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엔시트론\24.05.21\"/>
    </mc:Choice>
  </mc:AlternateContent>
  <xr:revisionPtr revIDLastSave="0" documentId="13_ncr:1_{5F5F9D2F-7D96-44EC-B255-79AA52CA9F27}" xr6:coauthVersionLast="41" xr6:coauthVersionMax="47" xr10:uidLastSave="{00000000-0000-0000-0000-000000000000}"/>
  <bookViews>
    <workbookView xWindow="3585" yWindow="1980" windowWidth="29100" windowHeight="13020" tabRatio="913" firstSheet="4" activeTab="8" xr2:uid="{00000000-000D-0000-FFFF-FFFF00000000}"/>
  </bookViews>
  <sheets>
    <sheet name="자산부채분할내역" sheetId="1" r:id="rId1"/>
    <sheet name="별첨1_승계대상자산목록" sheetId="10" r:id="rId2"/>
    <sheet name="별첨2_분할명세(유동자산부채)" sheetId="34" r:id="rId3"/>
    <sheet name="별첨3_분할명세(식재료,보증금 외)" sheetId="31" r:id="rId4"/>
    <sheet name="별첨4_분할명세(고정자산)" sheetId="32" r:id="rId5"/>
    <sheet name="분할사업부문 손익(2023년 실적)" sheetId="30" r:id="rId6"/>
    <sheet name="별첨5_매출 차이 규명" sheetId="45" r:id="rId7"/>
    <sheet name="별첨6_HQ급여 내역" sheetId="46" r:id="rId8"/>
    <sheet name="분할사업부문 손익(향후5개년)" sheetId="51" r:id="rId9"/>
    <sheet name="==&gt; Appendix" sheetId="49" r:id="rId10"/>
    <sheet name="2024년1Q영업점별 실적" sheetId="57" r:id="rId11"/>
    <sheet name="영업점별 IS(통합)" sheetId="37" r:id="rId12"/>
    <sheet name="1호점" sheetId="39" r:id="rId13"/>
    <sheet name="2호점" sheetId="40" r:id="rId14"/>
    <sheet name="3호점" sheetId="41" r:id="rId15"/>
    <sheet name="4호점" sheetId="42" r:id="rId16"/>
    <sheet name="참조_영업점별 유형자산 내역" sheetId="50" r:id="rId17"/>
  </sheets>
  <definedNames>
    <definedName name="_xlnm._FilterDatabase" localSheetId="4" hidden="1">'별첨4_분할명세(고정자산)'!$A$4:$Z$189</definedName>
    <definedName name="_xlnm.Print_Titles" localSheetId="12">'1호점'!$1:$5</definedName>
    <definedName name="_xlnm.Print_Titles" localSheetId="13">'2호점'!$1:$5</definedName>
    <definedName name="_xlnm.Print_Titles" localSheetId="14">'3호점'!$1:$5</definedName>
    <definedName name="_xlnm.Print_Titles" localSheetId="15">'4호점'!$1:$5</definedName>
    <definedName name="_xlnm.Print_Titles" localSheetId="11">'영업점별 IS(통합)'!$1:$5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0" i="51" l="1"/>
  <c r="E147" i="51"/>
  <c r="F147" i="51" s="1"/>
  <c r="G147" i="51" s="1"/>
  <c r="H147" i="51" s="1"/>
  <c r="I147" i="51" s="1"/>
  <c r="F36" i="51"/>
  <c r="G36" i="51" s="1"/>
  <c r="F76" i="51"/>
  <c r="E104" i="51"/>
  <c r="G16" i="57"/>
  <c r="E74" i="51" s="1"/>
  <c r="J17" i="57"/>
  <c r="J15" i="57"/>
  <c r="G5" i="57"/>
  <c r="H5" i="57"/>
  <c r="I5" i="57" s="1"/>
  <c r="E21" i="51" s="1"/>
  <c r="G6" i="57"/>
  <c r="E22" i="51" s="1"/>
  <c r="I6" i="57"/>
  <c r="G7" i="57"/>
  <c r="H7" i="57"/>
  <c r="I7" i="57" s="1"/>
  <c r="E23" i="51" s="1"/>
  <c r="G8" i="57"/>
  <c r="H8" i="57"/>
  <c r="I8" i="57" s="1"/>
  <c r="E24" i="51" s="1"/>
  <c r="G9" i="57"/>
  <c r="H9" i="57"/>
  <c r="I9" i="57" s="1"/>
  <c r="E25" i="51" s="1"/>
  <c r="C10" i="57"/>
  <c r="D10" i="57"/>
  <c r="E10" i="57"/>
  <c r="F10" i="57"/>
  <c r="G15" i="57"/>
  <c r="G17" i="57"/>
  <c r="G18" i="57"/>
  <c r="I18" i="57" s="1"/>
  <c r="E76" i="51" s="1"/>
  <c r="G19" i="57"/>
  <c r="I19" i="57" s="1"/>
  <c r="E77" i="51" s="1"/>
  <c r="C20" i="57"/>
  <c r="D20" i="57"/>
  <c r="E20" i="57"/>
  <c r="F20" i="57"/>
  <c r="H36" i="51" l="1"/>
  <c r="I36" i="51" s="1"/>
  <c r="I17" i="57"/>
  <c r="E75" i="51" s="1"/>
  <c r="I15" i="57"/>
  <c r="E73" i="51" s="1"/>
  <c r="G10" i="57"/>
  <c r="G20" i="57"/>
  <c r="J30" i="51"/>
  <c r="F102" i="51" l="1"/>
  <c r="E108" i="51"/>
  <c r="E107" i="51"/>
  <c r="E106" i="51"/>
  <c r="E105" i="51"/>
  <c r="E103" i="51"/>
  <c r="E43" i="51"/>
  <c r="G29" i="51"/>
  <c r="G81" i="51" s="1"/>
  <c r="F26" i="51"/>
  <c r="F78" i="51" s="1"/>
  <c r="G28" i="51"/>
  <c r="G80" i="51" s="1"/>
  <c r="F27" i="51"/>
  <c r="F24" i="51"/>
  <c r="G24" i="51" s="1"/>
  <c r="H24" i="51" s="1"/>
  <c r="I24" i="51" s="1"/>
  <c r="I106" i="51" s="1"/>
  <c r="F25" i="51"/>
  <c r="G25" i="51" s="1"/>
  <c r="H25" i="51" s="1"/>
  <c r="I25" i="51" s="1"/>
  <c r="I107" i="51" s="1"/>
  <c r="F23" i="51"/>
  <c r="G23" i="51" s="1"/>
  <c r="H23" i="51" s="1"/>
  <c r="I23" i="51" s="1"/>
  <c r="I105" i="51" s="1"/>
  <c r="F21" i="51"/>
  <c r="F79" i="51" l="1"/>
  <c r="G27" i="51"/>
  <c r="G21" i="51"/>
  <c r="G102" i="51"/>
  <c r="H107" i="51"/>
  <c r="F107" i="51"/>
  <c r="G107" i="51"/>
  <c r="F103" i="51"/>
  <c r="H106" i="51"/>
  <c r="G106" i="51"/>
  <c r="F106" i="51"/>
  <c r="F108" i="51"/>
  <c r="G105" i="51"/>
  <c r="H105" i="51"/>
  <c r="F105" i="51"/>
  <c r="H28" i="51"/>
  <c r="H80" i="51" s="1"/>
  <c r="G26" i="51"/>
  <c r="G78" i="51" s="1"/>
  <c r="H27" i="51" l="1"/>
  <c r="H79" i="51" s="1"/>
  <c r="G79" i="51"/>
  <c r="H21" i="51"/>
  <c r="G103" i="51"/>
  <c r="H102" i="51"/>
  <c r="I27" i="51"/>
  <c r="H26" i="51"/>
  <c r="H78" i="51" s="1"/>
  <c r="G108" i="51"/>
  <c r="I28" i="51"/>
  <c r="I80" i="51" s="1"/>
  <c r="F43" i="51"/>
  <c r="G121" i="51"/>
  <c r="F121" i="51"/>
  <c r="H121" i="51" s="1"/>
  <c r="I121" i="51" s="1"/>
  <c r="E121" i="51"/>
  <c r="H29" i="51"/>
  <c r="H81" i="51" s="1"/>
  <c r="F29" i="51"/>
  <c r="F81" i="51" s="1"/>
  <c r="E138" i="51"/>
  <c r="F138" i="51"/>
  <c r="J27" i="51" l="1"/>
  <c r="I79" i="51"/>
  <c r="I21" i="51"/>
  <c r="H103" i="51"/>
  <c r="I102" i="51"/>
  <c r="G43" i="51"/>
  <c r="I29" i="51"/>
  <c r="I81" i="51" s="1"/>
  <c r="J28" i="51"/>
  <c r="I26" i="51"/>
  <c r="I78" i="51" s="1"/>
  <c r="H108" i="51"/>
  <c r="J29" i="51"/>
  <c r="D13" i="51"/>
  <c r="D14" i="51"/>
  <c r="I103" i="51" l="1"/>
  <c r="I43" i="51"/>
  <c r="I108" i="51"/>
  <c r="J26" i="51"/>
  <c r="E40" i="51"/>
  <c r="G138" i="51"/>
  <c r="H138" i="51" s="1"/>
  <c r="I138" i="51" s="1"/>
  <c r="G24" i="30"/>
  <c r="B11" i="37"/>
  <c r="K18" i="30"/>
  <c r="J18" i="30"/>
  <c r="I18" i="30"/>
  <c r="H18" i="30"/>
  <c r="G18" i="30"/>
  <c r="E16" i="41"/>
  <c r="K48" i="30"/>
  <c r="J48" i="30"/>
  <c r="I48" i="30"/>
  <c r="H48" i="30"/>
  <c r="G48" i="30"/>
  <c r="E36" i="39"/>
  <c r="E36" i="40"/>
  <c r="E36" i="41"/>
  <c r="E36" i="42"/>
  <c r="L40" i="37"/>
  <c r="L29" i="37"/>
  <c r="J29" i="37"/>
  <c r="H29" i="37"/>
  <c r="F29" i="37"/>
  <c r="D29" i="37"/>
  <c r="F24" i="46"/>
  <c r="S23" i="46"/>
  <c r="R23" i="46"/>
  <c r="Q23" i="46"/>
  <c r="G23" i="46" s="1"/>
  <c r="P23" i="46"/>
  <c r="F23" i="46" s="1"/>
  <c r="O23" i="46"/>
  <c r="N23" i="46"/>
  <c r="M23" i="46"/>
  <c r="L23" i="46"/>
  <c r="K23" i="46"/>
  <c r="J23" i="46"/>
  <c r="I23" i="46"/>
  <c r="H23" i="46"/>
  <c r="AE22" i="46"/>
  <c r="AD22" i="46"/>
  <c r="AC22" i="46"/>
  <c r="AB22" i="46"/>
  <c r="AA22" i="46"/>
  <c r="Z22" i="46"/>
  <c r="Y22" i="46"/>
  <c r="X22" i="46"/>
  <c r="W22" i="46"/>
  <c r="V22" i="46"/>
  <c r="U22" i="46"/>
  <c r="T22" i="46"/>
  <c r="S22" i="46"/>
  <c r="R22" i="46"/>
  <c r="Q22" i="46"/>
  <c r="P22" i="46"/>
  <c r="O22" i="46"/>
  <c r="N22" i="46"/>
  <c r="M22" i="46"/>
  <c r="L22" i="46"/>
  <c r="K22" i="46"/>
  <c r="J22" i="46"/>
  <c r="I22" i="46"/>
  <c r="H22" i="46"/>
  <c r="G21" i="46"/>
  <c r="F21" i="46"/>
  <c r="G20" i="46"/>
  <c r="F20" i="46"/>
  <c r="G19" i="46"/>
  <c r="F19" i="46"/>
  <c r="G18" i="46"/>
  <c r="F18" i="46"/>
  <c r="G17" i="46"/>
  <c r="F17" i="46"/>
  <c r="G16" i="46"/>
  <c r="F16" i="46"/>
  <c r="G14" i="46"/>
  <c r="F14" i="46"/>
  <c r="G13" i="46"/>
  <c r="F13" i="46"/>
  <c r="G10" i="46"/>
  <c r="F10" i="46"/>
  <c r="G8" i="46"/>
  <c r="F8" i="46"/>
  <c r="G4" i="46"/>
  <c r="F4" i="46"/>
  <c r="G3" i="46"/>
  <c r="G22" i="46" s="1"/>
  <c r="F3" i="46"/>
  <c r="F22" i="46" s="1"/>
  <c r="F40" i="30"/>
  <c r="G40" i="30" s="1"/>
  <c r="F36" i="30"/>
  <c r="F30" i="30"/>
  <c r="G30" i="30" s="1"/>
  <c r="G36" i="30" l="1"/>
  <c r="D162" i="51"/>
  <c r="H43" i="51"/>
  <c r="F11" i="37"/>
  <c r="D11" i="37"/>
  <c r="L6" i="30"/>
  <c r="L25" i="30" l="1"/>
  <c r="L26" i="30"/>
  <c r="L27" i="30"/>
  <c r="L28" i="30"/>
  <c r="L29" i="30"/>
  <c r="L30" i="30"/>
  <c r="L31" i="30"/>
  <c r="L32" i="30"/>
  <c r="L33" i="30"/>
  <c r="L34" i="30"/>
  <c r="L35" i="30"/>
  <c r="L36" i="30"/>
  <c r="L38" i="30"/>
  <c r="L39" i="30"/>
  <c r="L40" i="30"/>
  <c r="L41" i="30"/>
  <c r="L42" i="30"/>
  <c r="L43" i="30"/>
  <c r="L44" i="30"/>
  <c r="L45" i="30"/>
  <c r="L46" i="30"/>
  <c r="L47" i="30"/>
  <c r="L49" i="30"/>
  <c r="L50" i="30"/>
  <c r="L51" i="30"/>
  <c r="L52" i="30"/>
  <c r="L53" i="30"/>
  <c r="L54" i="30"/>
  <c r="L55" i="30"/>
  <c r="L56" i="30"/>
  <c r="L57" i="30"/>
  <c r="L58" i="30"/>
  <c r="L59" i="30"/>
  <c r="L60" i="30"/>
  <c r="L61" i="30"/>
  <c r="L24" i="30"/>
  <c r="K19" i="30"/>
  <c r="J19" i="30"/>
  <c r="I19" i="30"/>
  <c r="H19" i="30"/>
  <c r="G19" i="30"/>
  <c r="H8" i="30" l="1"/>
  <c r="B48" i="37"/>
  <c r="D18" i="10"/>
  <c r="G125" i="51"/>
  <c r="H125" i="51"/>
  <c r="I125" i="51"/>
  <c r="G126" i="51"/>
  <c r="H126" i="51"/>
  <c r="I126" i="51"/>
  <c r="F126" i="51"/>
  <c r="F119" i="51"/>
  <c r="F123" i="51"/>
  <c r="G123" i="51"/>
  <c r="H123" i="51"/>
  <c r="F124" i="51"/>
  <c r="G124" i="51"/>
  <c r="H124" i="51"/>
  <c r="I124" i="51"/>
  <c r="E122" i="51"/>
  <c r="E123" i="51"/>
  <c r="E124" i="51"/>
  <c r="F125" i="51"/>
  <c r="F45" i="51"/>
  <c r="G45" i="51"/>
  <c r="H45" i="51"/>
  <c r="F46" i="51"/>
  <c r="G46" i="51"/>
  <c r="H46" i="51"/>
  <c r="I46" i="51"/>
  <c r="F47" i="51"/>
  <c r="G47" i="51"/>
  <c r="H47" i="51"/>
  <c r="I47" i="51"/>
  <c r="F48" i="51"/>
  <c r="G48" i="51"/>
  <c r="H48" i="51"/>
  <c r="I48" i="51"/>
  <c r="E46" i="51"/>
  <c r="E47" i="51"/>
  <c r="E48" i="51"/>
  <c r="E45" i="51"/>
  <c r="D11" i="51"/>
  <c r="D12" i="51"/>
  <c r="E133" i="51"/>
  <c r="F133" i="51" s="1"/>
  <c r="G133" i="51" s="1"/>
  <c r="H133" i="51" s="1"/>
  <c r="I133" i="51" s="1"/>
  <c r="F134" i="51"/>
  <c r="G134" i="51" s="1"/>
  <c r="H134" i="51" s="1"/>
  <c r="I134" i="51" s="1"/>
  <c r="T220" i="32"/>
  <c r="U220" i="32" s="1"/>
  <c r="E137" i="51"/>
  <c r="F137" i="51" s="1"/>
  <c r="G137" i="51" s="1"/>
  <c r="H137" i="51" s="1"/>
  <c r="I137" i="51" s="1"/>
  <c r="E136" i="51"/>
  <c r="F136" i="51" s="1"/>
  <c r="F140" i="51" s="1"/>
  <c r="E135" i="51"/>
  <c r="F135" i="51" s="1"/>
  <c r="G135" i="51" s="1"/>
  <c r="H135" i="51" s="1"/>
  <c r="I135" i="51" s="1"/>
  <c r="E134" i="51"/>
  <c r="Y210" i="32"/>
  <c r="Y204" i="32"/>
  <c r="Y197" i="32"/>
  <c r="Y196" i="32"/>
  <c r="Y187" i="32"/>
  <c r="Y178" i="32"/>
  <c r="Y177" i="32"/>
  <c r="Y194" i="32" s="1"/>
  <c r="Y176" i="32"/>
  <c r="Y174" i="32"/>
  <c r="Y195" i="32" s="1"/>
  <c r="Y167" i="32"/>
  <c r="Y151" i="32"/>
  <c r="Y150" i="32"/>
  <c r="Y144" i="32"/>
  <c r="Y145" i="32"/>
  <c r="Y146" i="32"/>
  <c r="Y147" i="32"/>
  <c r="Y143" i="32"/>
  <c r="Y198" i="32" s="1"/>
  <c r="Y140" i="32"/>
  <c r="Y133" i="32"/>
  <c r="Y132" i="32"/>
  <c r="Y131" i="32"/>
  <c r="Y116" i="32"/>
  <c r="Y135" i="32" s="1"/>
  <c r="Y117" i="32"/>
  <c r="Y115" i="32"/>
  <c r="Y113" i="32"/>
  <c r="Y111" i="32"/>
  <c r="Y103" i="32"/>
  <c r="Y104" i="32"/>
  <c r="Y105" i="32"/>
  <c r="Y106" i="32"/>
  <c r="Y107" i="32"/>
  <c r="Y108" i="32"/>
  <c r="Y102" i="32"/>
  <c r="Y94" i="32"/>
  <c r="Y207" i="32" s="1"/>
  <c r="Y26" i="32"/>
  <c r="Y92" i="32" s="1"/>
  <c r="Y27" i="32"/>
  <c r="Y28" i="32"/>
  <c r="Y29" i="32"/>
  <c r="Y30" i="32"/>
  <c r="Y31" i="32"/>
  <c r="Y32" i="32"/>
  <c r="Y33" i="32"/>
  <c r="Y34" i="32"/>
  <c r="Y35" i="32"/>
  <c r="Y36" i="32"/>
  <c r="Y37" i="32"/>
  <c r="Y38" i="32"/>
  <c r="Y39" i="32"/>
  <c r="Y40" i="32"/>
  <c r="Y41" i="32"/>
  <c r="Y93" i="32" s="1"/>
  <c r="Y42" i="32"/>
  <c r="Y43" i="32"/>
  <c r="Y44" i="32"/>
  <c r="Y45" i="32"/>
  <c r="Y46" i="32"/>
  <c r="Y47" i="32"/>
  <c r="Y48" i="32"/>
  <c r="Y49" i="32"/>
  <c r="Y50" i="32"/>
  <c r="Y51" i="32"/>
  <c r="Y52" i="32"/>
  <c r="Y53" i="32"/>
  <c r="Y54" i="32"/>
  <c r="Y55" i="32"/>
  <c r="Y56" i="32"/>
  <c r="Y57" i="32"/>
  <c r="Y95" i="32" s="1"/>
  <c r="Y58" i="32"/>
  <c r="Y59" i="32"/>
  <c r="Y60" i="32"/>
  <c r="Y61" i="32"/>
  <c r="Y62" i="32"/>
  <c r="Y63" i="32"/>
  <c r="Y64" i="32"/>
  <c r="Y65" i="32"/>
  <c r="Y66" i="32"/>
  <c r="Y67" i="32"/>
  <c r="Y68" i="32"/>
  <c r="Y69" i="32"/>
  <c r="Y70" i="32"/>
  <c r="Y71" i="32"/>
  <c r="Y72" i="32"/>
  <c r="Y96" i="32" s="1"/>
  <c r="Y73" i="32"/>
  <c r="Y74" i="32"/>
  <c r="Y75" i="32"/>
  <c r="Y76" i="32"/>
  <c r="Y77" i="32"/>
  <c r="Y78" i="32"/>
  <c r="Y79" i="32"/>
  <c r="Y80" i="32"/>
  <c r="Y81" i="32"/>
  <c r="Y82" i="32"/>
  <c r="Y83" i="32"/>
  <c r="Y84" i="32"/>
  <c r="Y85" i="32"/>
  <c r="Y86" i="32"/>
  <c r="Y87" i="32"/>
  <c r="Y25" i="32"/>
  <c r="D169" i="51"/>
  <c r="D117" i="51"/>
  <c r="D102" i="51"/>
  <c r="D87" i="51"/>
  <c r="D72" i="51"/>
  <c r="G74" i="51"/>
  <c r="E44" i="51"/>
  <c r="F41" i="51"/>
  <c r="T215" i="32"/>
  <c r="U204" i="32"/>
  <c r="V204" i="32"/>
  <c r="W204" i="32"/>
  <c r="X204" i="32"/>
  <c r="U111" i="32"/>
  <c r="V111" i="32" s="1"/>
  <c r="W111" i="32" s="1"/>
  <c r="U46" i="32"/>
  <c r="V46" i="32" s="1"/>
  <c r="W46" i="32" s="1"/>
  <c r="U47" i="32"/>
  <c r="V47" i="32" s="1"/>
  <c r="U48" i="32"/>
  <c r="U59" i="32"/>
  <c r="V59" i="32" s="1"/>
  <c r="W59" i="32" s="1"/>
  <c r="U61" i="32"/>
  <c r="U62" i="32"/>
  <c r="V62" i="32" s="1"/>
  <c r="W62" i="32" s="1"/>
  <c r="U85" i="32"/>
  <c r="U86" i="32"/>
  <c r="Q204" i="32"/>
  <c r="R204" i="32"/>
  <c r="T204" i="32"/>
  <c r="T187" i="32"/>
  <c r="T177" i="32"/>
  <c r="U177" i="32" s="1"/>
  <c r="V177" i="32" s="1"/>
  <c r="T178" i="32"/>
  <c r="U178" i="32" s="1"/>
  <c r="T176" i="32"/>
  <c r="T174" i="32"/>
  <c r="T167" i="32"/>
  <c r="T195" i="32" s="1"/>
  <c r="T151" i="32"/>
  <c r="U151" i="32" s="1"/>
  <c r="T150" i="32"/>
  <c r="T144" i="32"/>
  <c r="T197" i="32" s="1"/>
  <c r="T145" i="32"/>
  <c r="T146" i="32"/>
  <c r="T147" i="32"/>
  <c r="T143" i="32"/>
  <c r="T140" i="32"/>
  <c r="T116" i="32"/>
  <c r="T117" i="32"/>
  <c r="T115" i="32"/>
  <c r="T113" i="32"/>
  <c r="T111" i="32"/>
  <c r="T103" i="32"/>
  <c r="T132" i="32" s="1"/>
  <c r="T104" i="32"/>
  <c r="U104" i="32" s="1"/>
  <c r="T105" i="32"/>
  <c r="U105" i="32" s="1"/>
  <c r="T106" i="32"/>
  <c r="U106" i="32" s="1"/>
  <c r="T107" i="32"/>
  <c r="U107" i="32" s="1"/>
  <c r="T108" i="32"/>
  <c r="U108" i="32" s="1"/>
  <c r="V108" i="32" s="1"/>
  <c r="T102" i="32"/>
  <c r="U102" i="32" s="1"/>
  <c r="T77" i="32"/>
  <c r="T78" i="32"/>
  <c r="T79" i="32"/>
  <c r="T80" i="32"/>
  <c r="U80" i="32" s="1"/>
  <c r="T81" i="32"/>
  <c r="U81" i="32" s="1"/>
  <c r="V81" i="32" s="1"/>
  <c r="W81" i="32" s="1"/>
  <c r="T82" i="32"/>
  <c r="U82" i="32" s="1"/>
  <c r="T83" i="32"/>
  <c r="U83" i="32" s="1"/>
  <c r="V83" i="32" s="1"/>
  <c r="T84" i="32"/>
  <c r="U84" i="32" s="1"/>
  <c r="T85" i="32"/>
  <c r="T86" i="32"/>
  <c r="T87" i="32"/>
  <c r="U87" i="32" s="1"/>
  <c r="V87" i="32" s="1"/>
  <c r="T76" i="32"/>
  <c r="T75" i="32"/>
  <c r="U75" i="32" s="1"/>
  <c r="V75" i="32" s="1"/>
  <c r="W75" i="32" s="1"/>
  <c r="T74" i="32"/>
  <c r="T73" i="32"/>
  <c r="T72" i="32"/>
  <c r="T71" i="32"/>
  <c r="T70" i="32"/>
  <c r="T66" i="32"/>
  <c r="T67" i="32"/>
  <c r="T68" i="32"/>
  <c r="U68" i="32" s="1"/>
  <c r="V68" i="32" s="1"/>
  <c r="T69" i="32"/>
  <c r="T65" i="32"/>
  <c r="U65" i="32" s="1"/>
  <c r="V65" i="32" s="1"/>
  <c r="T64" i="32"/>
  <c r="U64" i="32" s="1"/>
  <c r="T63" i="32"/>
  <c r="U63" i="32" s="1"/>
  <c r="V63" i="32" s="1"/>
  <c r="T62" i="32"/>
  <c r="T61" i="32"/>
  <c r="T60" i="32"/>
  <c r="T59" i="32"/>
  <c r="T58" i="32"/>
  <c r="T57" i="32"/>
  <c r="T56" i="32"/>
  <c r="T55" i="32"/>
  <c r="T54" i="32"/>
  <c r="T53" i="32"/>
  <c r="T51" i="32"/>
  <c r="T52" i="32"/>
  <c r="U52" i="32" s="1"/>
  <c r="V52" i="32" s="1"/>
  <c r="T50" i="32"/>
  <c r="T49" i="32"/>
  <c r="U49" i="32" s="1"/>
  <c r="V49" i="32" s="1"/>
  <c r="W49" i="32" s="1"/>
  <c r="T45" i="32"/>
  <c r="U45" i="32" s="1"/>
  <c r="T46" i="32"/>
  <c r="T47" i="32"/>
  <c r="T48" i="32"/>
  <c r="T44" i="32"/>
  <c r="U44" i="32" s="1"/>
  <c r="T43" i="32"/>
  <c r="U43" i="32" s="1"/>
  <c r="V43" i="32" s="1"/>
  <c r="T36" i="32"/>
  <c r="T37" i="32"/>
  <c r="U37" i="32" s="1"/>
  <c r="V37" i="32" s="1"/>
  <c r="T38" i="32"/>
  <c r="U38" i="32" s="1"/>
  <c r="T39" i="32"/>
  <c r="T40" i="32"/>
  <c r="T41" i="32"/>
  <c r="T42" i="32"/>
  <c r="T35" i="32"/>
  <c r="T26" i="32"/>
  <c r="T27" i="32"/>
  <c r="T28" i="32"/>
  <c r="T29" i="32"/>
  <c r="U29" i="32" s="1"/>
  <c r="T30" i="32"/>
  <c r="U30" i="32" s="1"/>
  <c r="V30" i="32" s="1"/>
  <c r="W30" i="32" s="1"/>
  <c r="T31" i="32"/>
  <c r="U31" i="32" s="1"/>
  <c r="V31" i="32" s="1"/>
  <c r="W31" i="32" s="1"/>
  <c r="T32" i="32"/>
  <c r="U32" i="32" s="1"/>
  <c r="V32" i="32" s="1"/>
  <c r="T33" i="32"/>
  <c r="U33" i="32" s="1"/>
  <c r="T34" i="32"/>
  <c r="U34" i="32" s="1"/>
  <c r="T25" i="32"/>
  <c r="C23" i="30"/>
  <c r="F24" i="30"/>
  <c r="G70" i="30"/>
  <c r="S193" i="32"/>
  <c r="S130" i="32"/>
  <c r="S134" i="32"/>
  <c r="S91" i="32"/>
  <c r="R187" i="32"/>
  <c r="R116" i="32"/>
  <c r="R117" i="32"/>
  <c r="R115" i="32"/>
  <c r="R113" i="32"/>
  <c r="R111" i="32"/>
  <c r="R103" i="32"/>
  <c r="R132" i="32" s="1"/>
  <c r="R104" i="32"/>
  <c r="R105" i="32"/>
  <c r="R106" i="32"/>
  <c r="R107" i="32"/>
  <c r="R108" i="32"/>
  <c r="R102" i="32"/>
  <c r="R87" i="32"/>
  <c r="R86" i="32"/>
  <c r="R85" i="32"/>
  <c r="R84" i="32"/>
  <c r="R83" i="32"/>
  <c r="R82" i="32"/>
  <c r="R81" i="32"/>
  <c r="R80" i="32"/>
  <c r="R79" i="32"/>
  <c r="R78" i="32"/>
  <c r="R77" i="32"/>
  <c r="R76" i="32"/>
  <c r="R75" i="32"/>
  <c r="R74" i="32"/>
  <c r="R73" i="32"/>
  <c r="R72" i="32"/>
  <c r="R71" i="32"/>
  <c r="R70" i="32"/>
  <c r="R69" i="32"/>
  <c r="R68" i="32"/>
  <c r="R67" i="32"/>
  <c r="R66" i="32"/>
  <c r="R65" i="32"/>
  <c r="R64" i="32"/>
  <c r="R63" i="32"/>
  <c r="R62" i="32"/>
  <c r="R61" i="32"/>
  <c r="R60" i="32"/>
  <c r="R59" i="32"/>
  <c r="R58" i="32"/>
  <c r="R57" i="32"/>
  <c r="R56" i="32"/>
  <c r="R55" i="32"/>
  <c r="R54" i="32"/>
  <c r="R53" i="32"/>
  <c r="R52" i="32"/>
  <c r="R51" i="32"/>
  <c r="R50" i="32"/>
  <c r="R49" i="32"/>
  <c r="R48" i="32"/>
  <c r="R47" i="32"/>
  <c r="R46" i="32"/>
  <c r="R45" i="32"/>
  <c r="R44" i="32"/>
  <c r="R35" i="32"/>
  <c r="R36" i="32"/>
  <c r="R37" i="32"/>
  <c r="R38" i="32"/>
  <c r="R39" i="32"/>
  <c r="R40" i="32"/>
  <c r="R41" i="32"/>
  <c r="R42" i="32"/>
  <c r="R43" i="32"/>
  <c r="R26" i="32"/>
  <c r="R27" i="32"/>
  <c r="R28" i="32"/>
  <c r="R29" i="32"/>
  <c r="R30" i="32"/>
  <c r="R31" i="32"/>
  <c r="R32" i="32"/>
  <c r="R33" i="32"/>
  <c r="R34" i="32"/>
  <c r="R25" i="32"/>
  <c r="R178" i="32"/>
  <c r="R177" i="32"/>
  <c r="R176" i="32"/>
  <c r="R174" i="32"/>
  <c r="R167" i="32"/>
  <c r="R151" i="32"/>
  <c r="R150" i="32"/>
  <c r="R144" i="32"/>
  <c r="R145" i="32"/>
  <c r="R146" i="32"/>
  <c r="R147" i="32"/>
  <c r="R143" i="32"/>
  <c r="R198" i="32" s="1"/>
  <c r="R140" i="32"/>
  <c r="E16" i="40"/>
  <c r="B16" i="40"/>
  <c r="B16" i="41"/>
  <c r="H17" i="30"/>
  <c r="G17" i="30"/>
  <c r="P133" i="32"/>
  <c r="N133" i="32"/>
  <c r="J246" i="32" s="1"/>
  <c r="H133" i="32"/>
  <c r="P95" i="32"/>
  <c r="N95" i="32"/>
  <c r="K245" i="32" s="1"/>
  <c r="H95" i="32"/>
  <c r="P92" i="32"/>
  <c r="N92" i="32"/>
  <c r="H92" i="32"/>
  <c r="L249" i="32"/>
  <c r="K56" i="30" s="1"/>
  <c r="K249" i="32"/>
  <c r="J56" i="30" s="1"/>
  <c r="J249" i="32"/>
  <c r="I56" i="30" s="1"/>
  <c r="G247" i="32"/>
  <c r="K246" i="32"/>
  <c r="G246" i="32"/>
  <c r="G245" i="32"/>
  <c r="P198" i="32"/>
  <c r="N198" i="32"/>
  <c r="H198" i="32"/>
  <c r="P197" i="32"/>
  <c r="N197" i="32"/>
  <c r="K247" i="32" s="1"/>
  <c r="H197" i="32"/>
  <c r="P196" i="32"/>
  <c r="N196" i="32"/>
  <c r="J247" i="32" s="1"/>
  <c r="H196" i="32"/>
  <c r="P195" i="32"/>
  <c r="N195" i="32"/>
  <c r="I247" i="32" s="1"/>
  <c r="H195" i="32"/>
  <c r="P194" i="32"/>
  <c r="N194" i="32"/>
  <c r="H247" i="32" s="1"/>
  <c r="H194" i="32"/>
  <c r="P135" i="32"/>
  <c r="N135" i="32"/>
  <c r="L246" i="32" s="1"/>
  <c r="H135" i="32"/>
  <c r="P132" i="32"/>
  <c r="N132" i="32"/>
  <c r="I246" i="32" s="1"/>
  <c r="H132" i="32"/>
  <c r="P131" i="32"/>
  <c r="N131" i="32"/>
  <c r="H131" i="32"/>
  <c r="P93" i="32"/>
  <c r="N93" i="32"/>
  <c r="H93" i="32"/>
  <c r="P96" i="32"/>
  <c r="N96" i="32"/>
  <c r="H96" i="32"/>
  <c r="P94" i="32"/>
  <c r="N94" i="32"/>
  <c r="J245" i="32" s="1"/>
  <c r="H94" i="32"/>
  <c r="E97" i="1"/>
  <c r="E99" i="1" s="1"/>
  <c r="E100" i="1" s="1"/>
  <c r="E91" i="1" s="1"/>
  <c r="D97" i="1"/>
  <c r="D31" i="10"/>
  <c r="N129" i="32"/>
  <c r="P129" i="32"/>
  <c r="H129" i="32"/>
  <c r="E72" i="51" l="1"/>
  <c r="F72" i="51" s="1"/>
  <c r="E87" i="51"/>
  <c r="F87" i="51" s="1"/>
  <c r="E117" i="51"/>
  <c r="F117" i="51" s="1"/>
  <c r="H74" i="51"/>
  <c r="I74" i="51" s="1"/>
  <c r="J46" i="51"/>
  <c r="G136" i="51"/>
  <c r="F141" i="51"/>
  <c r="G141" i="51" s="1"/>
  <c r="H141" i="51" s="1"/>
  <c r="I141" i="51" s="1"/>
  <c r="J48" i="51"/>
  <c r="J47" i="51"/>
  <c r="E139" i="51"/>
  <c r="V220" i="32"/>
  <c r="F139" i="51"/>
  <c r="I45" i="51"/>
  <c r="J45" i="51" s="1"/>
  <c r="D22" i="51"/>
  <c r="E41" i="51" s="1"/>
  <c r="E48" i="1"/>
  <c r="D48" i="1" s="1"/>
  <c r="F48" i="1" s="1"/>
  <c r="G48" i="1" s="1"/>
  <c r="H119" i="51"/>
  <c r="G119" i="51"/>
  <c r="J137" i="51"/>
  <c r="J134" i="51"/>
  <c r="I123" i="51"/>
  <c r="J123" i="51" s="1"/>
  <c r="J135" i="51"/>
  <c r="F122" i="51"/>
  <c r="J125" i="51"/>
  <c r="Y205" i="32"/>
  <c r="Y90" i="32"/>
  <c r="Y208" i="32"/>
  <c r="Y203" i="32" s="1"/>
  <c r="Y209" i="32"/>
  <c r="Y192" i="32"/>
  <c r="T210" i="32"/>
  <c r="U103" i="32"/>
  <c r="U132" i="32" s="1"/>
  <c r="Y129" i="32"/>
  <c r="U215" i="32"/>
  <c r="U210" i="32" s="1"/>
  <c r="H41" i="51"/>
  <c r="F44" i="51"/>
  <c r="G41" i="51"/>
  <c r="X59" i="32"/>
  <c r="U36" i="32"/>
  <c r="V36" i="32" s="1"/>
  <c r="W36" i="32" s="1"/>
  <c r="X36" i="32" s="1"/>
  <c r="Q209" i="32"/>
  <c r="V34" i="32"/>
  <c r="W34" i="32" s="1"/>
  <c r="X34" i="32" s="1"/>
  <c r="V33" i="32"/>
  <c r="W33" i="32" s="1"/>
  <c r="X33" i="32" s="1"/>
  <c r="X111" i="32"/>
  <c r="W177" i="32"/>
  <c r="X177" i="32" s="1"/>
  <c r="U35" i="32"/>
  <c r="V38" i="32"/>
  <c r="U39" i="32"/>
  <c r="V39" i="32" s="1"/>
  <c r="T131" i="32"/>
  <c r="W102" i="32"/>
  <c r="X31" i="32"/>
  <c r="W32" i="32"/>
  <c r="X32" i="32" s="1"/>
  <c r="V86" i="32"/>
  <c r="W86" i="32" s="1"/>
  <c r="W65" i="32"/>
  <c r="X65" i="32" s="1"/>
  <c r="V143" i="32"/>
  <c r="U40" i="32"/>
  <c r="U56" i="32"/>
  <c r="V56" i="32" s="1"/>
  <c r="V64" i="32"/>
  <c r="W64" i="32" s="1"/>
  <c r="X64" i="32" s="1"/>
  <c r="W87" i="32"/>
  <c r="X87" i="32" s="1"/>
  <c r="X62" i="32"/>
  <c r="U53" i="32"/>
  <c r="V178" i="32"/>
  <c r="W178" i="32" s="1"/>
  <c r="U51" i="32"/>
  <c r="U143" i="32"/>
  <c r="V85" i="32"/>
  <c r="W85" i="32" s="1"/>
  <c r="X85" i="32" s="1"/>
  <c r="V51" i="32"/>
  <c r="W51" i="32" s="1"/>
  <c r="V107" i="32"/>
  <c r="W107" i="32" s="1"/>
  <c r="X107" i="32" s="1"/>
  <c r="U42" i="32"/>
  <c r="V80" i="32"/>
  <c r="W80" i="32" s="1"/>
  <c r="Q206" i="32"/>
  <c r="I245" i="32"/>
  <c r="I248" i="32" s="1"/>
  <c r="H37" i="30" s="1"/>
  <c r="U79" i="32"/>
  <c r="U66" i="32"/>
  <c r="V66" i="32" s="1"/>
  <c r="W66" i="32" s="1"/>
  <c r="U77" i="32"/>
  <c r="V106" i="32"/>
  <c r="W106" i="32" s="1"/>
  <c r="X106" i="32" s="1"/>
  <c r="H245" i="32"/>
  <c r="Q205" i="32"/>
  <c r="U145" i="32"/>
  <c r="V102" i="32"/>
  <c r="U27" i="32"/>
  <c r="V27" i="32"/>
  <c r="W27" i="32"/>
  <c r="X49" i="32"/>
  <c r="W83" i="32"/>
  <c r="X83" i="32"/>
  <c r="U115" i="32"/>
  <c r="V187" i="32"/>
  <c r="U50" i="32"/>
  <c r="U147" i="32"/>
  <c r="V84" i="32"/>
  <c r="W84" i="32" s="1"/>
  <c r="X84" i="32" s="1"/>
  <c r="W63" i="32"/>
  <c r="X63" i="32" s="1"/>
  <c r="X75" i="32"/>
  <c r="U67" i="32"/>
  <c r="V105" i="32"/>
  <c r="W47" i="32"/>
  <c r="X47" i="32" s="1"/>
  <c r="W37" i="32"/>
  <c r="X37" i="32" s="1"/>
  <c r="W105" i="32"/>
  <c r="U54" i="32"/>
  <c r="X30" i="32"/>
  <c r="U146" i="32"/>
  <c r="U140" i="32"/>
  <c r="V140" i="32" s="1"/>
  <c r="U41" i="32"/>
  <c r="U78" i="32"/>
  <c r="U55" i="32"/>
  <c r="V55" i="32" s="1"/>
  <c r="W55" i="32" s="1"/>
  <c r="U71" i="32"/>
  <c r="W43" i="32"/>
  <c r="U72" i="32"/>
  <c r="W108" i="32"/>
  <c r="X108" i="32" s="1"/>
  <c r="V67" i="32"/>
  <c r="U131" i="32"/>
  <c r="V151" i="32"/>
  <c r="X46" i="32"/>
  <c r="U26" i="32"/>
  <c r="U117" i="32"/>
  <c r="U70" i="32"/>
  <c r="V70" i="32" s="1"/>
  <c r="W52" i="32"/>
  <c r="X52" i="32"/>
  <c r="W68" i="32"/>
  <c r="X68" i="32"/>
  <c r="X81" i="32"/>
  <c r="U116" i="32"/>
  <c r="V116" i="32" s="1"/>
  <c r="U69" i="32"/>
  <c r="V48" i="32"/>
  <c r="W48" i="32" s="1"/>
  <c r="X48" i="32"/>
  <c r="U187" i="32"/>
  <c r="V82" i="32"/>
  <c r="W82" i="32" s="1"/>
  <c r="T133" i="32"/>
  <c r="Q208" i="32"/>
  <c r="U150" i="32"/>
  <c r="V104" i="32"/>
  <c r="Q207" i="32"/>
  <c r="U76" i="32"/>
  <c r="V76" i="32" s="1"/>
  <c r="U60" i="32"/>
  <c r="V60" i="32" s="1"/>
  <c r="U28" i="32"/>
  <c r="U113" i="32"/>
  <c r="V61" i="32"/>
  <c r="W61" i="32" s="1"/>
  <c r="V45" i="32"/>
  <c r="W45" i="32" s="1"/>
  <c r="V29" i="32"/>
  <c r="W29" i="32" s="1"/>
  <c r="T94" i="32"/>
  <c r="U74" i="32"/>
  <c r="U58" i="32"/>
  <c r="U174" i="32"/>
  <c r="T135" i="32"/>
  <c r="U144" i="32"/>
  <c r="U167" i="32"/>
  <c r="G248" i="32"/>
  <c r="F37" i="30" s="1"/>
  <c r="U73" i="32"/>
  <c r="V73" i="32" s="1"/>
  <c r="U57" i="32"/>
  <c r="U176" i="32"/>
  <c r="V44" i="32"/>
  <c r="S204" i="32"/>
  <c r="U25" i="32"/>
  <c r="V25" i="32" s="1"/>
  <c r="T93" i="32"/>
  <c r="T206" i="32" s="1"/>
  <c r="T96" i="32"/>
  <c r="T196" i="32"/>
  <c r="R194" i="32"/>
  <c r="S194" i="32" s="1"/>
  <c r="T194" i="32"/>
  <c r="T92" i="32"/>
  <c r="R197" i="32"/>
  <c r="S197" i="32" s="1"/>
  <c r="T198" i="32"/>
  <c r="T95" i="32"/>
  <c r="T208" i="32" s="1"/>
  <c r="T192" i="32"/>
  <c r="T129" i="32"/>
  <c r="R131" i="32"/>
  <c r="S131" i="32" s="1"/>
  <c r="S198" i="32"/>
  <c r="R196" i="32"/>
  <c r="S196" i="32" s="1"/>
  <c r="J248" i="32"/>
  <c r="I37" i="30" s="1"/>
  <c r="R195" i="32"/>
  <c r="S195" i="32" s="1"/>
  <c r="S132" i="32"/>
  <c r="P90" i="32"/>
  <c r="P89" i="32" s="1"/>
  <c r="L245" i="32"/>
  <c r="L247" i="32"/>
  <c r="F247" i="32" s="1"/>
  <c r="R133" i="32"/>
  <c r="S133" i="32" s="1"/>
  <c r="K248" i="32"/>
  <c r="J37" i="30" s="1"/>
  <c r="R192" i="32"/>
  <c r="H246" i="32"/>
  <c r="N90" i="32"/>
  <c r="N89" i="32" s="1"/>
  <c r="R96" i="32"/>
  <c r="R94" i="32"/>
  <c r="S94" i="32" s="1"/>
  <c r="R135" i="32"/>
  <c r="S135" i="32" s="1"/>
  <c r="R129" i="32"/>
  <c r="S129" i="32" s="1"/>
  <c r="R93" i="32"/>
  <c r="R92" i="32"/>
  <c r="R95" i="32"/>
  <c r="F249" i="32"/>
  <c r="N249" i="32" s="1"/>
  <c r="K8" i="30"/>
  <c r="K60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8" i="30"/>
  <c r="K39" i="30"/>
  <c r="K40" i="30"/>
  <c r="K41" i="30"/>
  <c r="K42" i="30"/>
  <c r="K43" i="30"/>
  <c r="K44" i="30"/>
  <c r="K45" i="30"/>
  <c r="K46" i="30"/>
  <c r="K47" i="30"/>
  <c r="K49" i="30"/>
  <c r="K50" i="30"/>
  <c r="D152" i="51" s="1"/>
  <c r="K51" i="30"/>
  <c r="K52" i="30"/>
  <c r="K53" i="30"/>
  <c r="K24" i="30"/>
  <c r="J26" i="30"/>
  <c r="J29" i="30"/>
  <c r="J41" i="30"/>
  <c r="J42" i="30"/>
  <c r="J51" i="30"/>
  <c r="J52" i="30"/>
  <c r="I26" i="30"/>
  <c r="I29" i="30"/>
  <c r="I41" i="30"/>
  <c r="I42" i="30"/>
  <c r="I51" i="30"/>
  <c r="I52" i="30"/>
  <c r="H26" i="30"/>
  <c r="H29" i="30"/>
  <c r="H41" i="30"/>
  <c r="H42" i="30"/>
  <c r="H51" i="30"/>
  <c r="H52" i="30"/>
  <c r="G26" i="30"/>
  <c r="G29" i="30"/>
  <c r="G41" i="30"/>
  <c r="G42" i="30"/>
  <c r="G51" i="30"/>
  <c r="G52" i="30"/>
  <c r="G4" i="45"/>
  <c r="G6" i="45" s="1"/>
  <c r="I6" i="45" s="1"/>
  <c r="G5" i="45"/>
  <c r="C6" i="45"/>
  <c r="D6" i="45"/>
  <c r="E6" i="45"/>
  <c r="F6" i="45"/>
  <c r="A2" i="42"/>
  <c r="E4" i="42"/>
  <c r="C6" i="42"/>
  <c r="F6" i="42"/>
  <c r="N7" i="42"/>
  <c r="O6" i="42" s="1"/>
  <c r="N8" i="42"/>
  <c r="C10" i="42"/>
  <c r="C9" i="42" s="1"/>
  <c r="F10" i="42"/>
  <c r="F9" i="42" s="1"/>
  <c r="N12" i="42"/>
  <c r="O10" i="42" s="1"/>
  <c r="O9" i="42" s="1"/>
  <c r="N13" i="42"/>
  <c r="C15" i="42"/>
  <c r="D15" i="42"/>
  <c r="F15" i="42"/>
  <c r="G15" i="42" s="1"/>
  <c r="D16" i="42"/>
  <c r="G16" i="42"/>
  <c r="N16" i="42"/>
  <c r="N17" i="42"/>
  <c r="N18" i="42"/>
  <c r="N19" i="42"/>
  <c r="N20" i="42"/>
  <c r="N21" i="42"/>
  <c r="N22" i="42"/>
  <c r="N23" i="42"/>
  <c r="N24" i="42"/>
  <c r="N25" i="42"/>
  <c r="N26" i="42"/>
  <c r="N27" i="42"/>
  <c r="N28" i="42"/>
  <c r="J30" i="37" s="1"/>
  <c r="J38" i="30" s="1"/>
  <c r="N29" i="42"/>
  <c r="J31" i="37" s="1"/>
  <c r="J39" i="30" s="1"/>
  <c r="N30" i="42"/>
  <c r="J32" i="37" s="1"/>
  <c r="J40" i="30" s="1"/>
  <c r="N31" i="42"/>
  <c r="N32" i="42"/>
  <c r="N33" i="42"/>
  <c r="N34" i="42"/>
  <c r="N35" i="42"/>
  <c r="N36" i="42"/>
  <c r="J40" i="37" s="1"/>
  <c r="N37" i="42"/>
  <c r="J41" i="37" s="1"/>
  <c r="J49" i="30" s="1"/>
  <c r="N38" i="42"/>
  <c r="J42" i="37" s="1"/>
  <c r="J50" i="30" s="1"/>
  <c r="N39" i="42"/>
  <c r="N40" i="42"/>
  <c r="A2" i="41"/>
  <c r="E4" i="41"/>
  <c r="C6" i="41"/>
  <c r="F6" i="41"/>
  <c r="G16" i="41" s="1"/>
  <c r="N7" i="41"/>
  <c r="N8" i="41"/>
  <c r="H8" i="37" s="1"/>
  <c r="C10" i="41"/>
  <c r="C9" i="41" s="1"/>
  <c r="F10" i="41"/>
  <c r="F9" i="41" s="1"/>
  <c r="O10" i="41"/>
  <c r="O9" i="41" s="1"/>
  <c r="N12" i="41"/>
  <c r="N13" i="41"/>
  <c r="H13" i="37" s="1"/>
  <c r="C15" i="41"/>
  <c r="D15" i="41" s="1"/>
  <c r="F15" i="41"/>
  <c r="G15" i="41"/>
  <c r="D16" i="41"/>
  <c r="N16" i="41"/>
  <c r="H16" i="37" s="1"/>
  <c r="I24" i="30" s="1"/>
  <c r="N17" i="41"/>
  <c r="N18" i="41"/>
  <c r="N19" i="41"/>
  <c r="H20" i="37" s="1"/>
  <c r="I28" i="30" s="1"/>
  <c r="N20" i="41"/>
  <c r="H22" i="37" s="1"/>
  <c r="I30" i="30" s="1"/>
  <c r="N21" i="41"/>
  <c r="N22" i="41"/>
  <c r="N23" i="41"/>
  <c r="N24" i="41"/>
  <c r="N25" i="41"/>
  <c r="N26" i="41"/>
  <c r="N27" i="41"/>
  <c r="N28" i="41"/>
  <c r="N29" i="41"/>
  <c r="H31" i="37" s="1"/>
  <c r="I39" i="30" s="1"/>
  <c r="N30" i="41"/>
  <c r="N31" i="41"/>
  <c r="N32" i="41"/>
  <c r="N33" i="41"/>
  <c r="N34" i="41"/>
  <c r="N35" i="41"/>
  <c r="N36" i="41"/>
  <c r="H40" i="37" s="1"/>
  <c r="N37" i="41"/>
  <c r="H41" i="37" s="1"/>
  <c r="I49" i="30" s="1"/>
  <c r="N38" i="41"/>
  <c r="N39" i="41"/>
  <c r="N40" i="41"/>
  <c r="A2" i="40"/>
  <c r="E4" i="40"/>
  <c r="C6" i="40"/>
  <c r="F6" i="40"/>
  <c r="N7" i="40"/>
  <c r="O6" i="40" s="1"/>
  <c r="N8" i="40"/>
  <c r="C10" i="40"/>
  <c r="C9" i="40" s="1"/>
  <c r="F10" i="40"/>
  <c r="F9" i="40" s="1"/>
  <c r="O10" i="40"/>
  <c r="O9" i="40" s="1"/>
  <c r="P9" i="40" s="1"/>
  <c r="N12" i="40"/>
  <c r="N13" i="40"/>
  <c r="C15" i="40"/>
  <c r="D15" i="40"/>
  <c r="F15" i="40"/>
  <c r="G15" i="40" s="1"/>
  <c r="D16" i="40"/>
  <c r="G16" i="40"/>
  <c r="N16" i="40"/>
  <c r="N17" i="40"/>
  <c r="F17" i="37" s="1"/>
  <c r="H25" i="30" s="1"/>
  <c r="N18" i="40"/>
  <c r="N19" i="40"/>
  <c r="N20" i="40"/>
  <c r="N21" i="40"/>
  <c r="F23" i="37" s="1"/>
  <c r="H31" i="30" s="1"/>
  <c r="N22" i="40"/>
  <c r="F24" i="37" s="1"/>
  <c r="H32" i="30" s="1"/>
  <c r="N23" i="40"/>
  <c r="F25" i="37" s="1"/>
  <c r="H33" i="30" s="1"/>
  <c r="N24" i="40"/>
  <c r="N25" i="40"/>
  <c r="N26" i="40"/>
  <c r="F28" i="37" s="1"/>
  <c r="H36" i="30" s="1"/>
  <c r="N27" i="40"/>
  <c r="N28" i="40"/>
  <c r="F30" i="37" s="1"/>
  <c r="H38" i="30" s="1"/>
  <c r="N29" i="40"/>
  <c r="F31" i="37" s="1"/>
  <c r="H39" i="30" s="1"/>
  <c r="N30" i="40"/>
  <c r="F32" i="37" s="1"/>
  <c r="H40" i="30" s="1"/>
  <c r="N31" i="40"/>
  <c r="F35" i="37" s="1"/>
  <c r="H43" i="30" s="1"/>
  <c r="N32" i="40"/>
  <c r="N33" i="40"/>
  <c r="N34" i="40"/>
  <c r="N35" i="40"/>
  <c r="F39" i="37" s="1"/>
  <c r="H47" i="30" s="1"/>
  <c r="N36" i="40"/>
  <c r="N37" i="40"/>
  <c r="N38" i="40"/>
  <c r="N39" i="40"/>
  <c r="F45" i="37" s="1"/>
  <c r="H53" i="30" s="1"/>
  <c r="N40" i="40"/>
  <c r="F52" i="37" s="1"/>
  <c r="H60" i="30" s="1"/>
  <c r="C6" i="39"/>
  <c r="F6" i="39"/>
  <c r="G12" i="39" s="1"/>
  <c r="N7" i="39"/>
  <c r="O6" i="39" s="1"/>
  <c r="N8" i="39"/>
  <c r="F10" i="39"/>
  <c r="F9" i="39" s="1"/>
  <c r="N12" i="39"/>
  <c r="N13" i="39"/>
  <c r="C15" i="39"/>
  <c r="D15" i="39"/>
  <c r="F15" i="39"/>
  <c r="G15" i="39" s="1"/>
  <c r="D16" i="39"/>
  <c r="N16" i="39"/>
  <c r="P16" i="39" s="1"/>
  <c r="N17" i="39"/>
  <c r="N18" i="39"/>
  <c r="N19" i="39"/>
  <c r="D20" i="37" s="1"/>
  <c r="G28" i="30" s="1"/>
  <c r="N20" i="39"/>
  <c r="N21" i="39"/>
  <c r="N22" i="39"/>
  <c r="D24" i="37" s="1"/>
  <c r="G32" i="30" s="1"/>
  <c r="N23" i="39"/>
  <c r="N24" i="39"/>
  <c r="D26" i="37" s="1"/>
  <c r="G34" i="30" s="1"/>
  <c r="N25" i="39"/>
  <c r="N26" i="39"/>
  <c r="N27" i="39"/>
  <c r="N28" i="39"/>
  <c r="N29" i="39"/>
  <c r="D31" i="37" s="1"/>
  <c r="G39" i="30" s="1"/>
  <c r="N30" i="39"/>
  <c r="N31" i="39"/>
  <c r="N32" i="39"/>
  <c r="N33" i="39"/>
  <c r="N34" i="39"/>
  <c r="N35" i="39"/>
  <c r="N36" i="39"/>
  <c r="N37" i="39"/>
  <c r="D41" i="37" s="1"/>
  <c r="G49" i="30" s="1"/>
  <c r="N38" i="39"/>
  <c r="N39" i="39"/>
  <c r="N40" i="39"/>
  <c r="D52" i="37" s="1"/>
  <c r="G60" i="30" s="1"/>
  <c r="E60" i="30" s="1"/>
  <c r="M6" i="37"/>
  <c r="D7" i="37"/>
  <c r="G8" i="30" s="1"/>
  <c r="D21" i="51" s="1"/>
  <c r="H7" i="37"/>
  <c r="I8" i="30" s="1"/>
  <c r="J7" i="37"/>
  <c r="J8" i="30" s="1"/>
  <c r="D8" i="37"/>
  <c r="F8" i="37"/>
  <c r="J8" i="37"/>
  <c r="M10" i="37"/>
  <c r="M9" i="37" s="1"/>
  <c r="H11" i="37"/>
  <c r="J11" i="37"/>
  <c r="F12" i="37"/>
  <c r="H12" i="37"/>
  <c r="J12" i="37"/>
  <c r="D13" i="37"/>
  <c r="D14" i="10" s="1"/>
  <c r="F13" i="37"/>
  <c r="D15" i="10" s="1"/>
  <c r="J13" i="37"/>
  <c r="D17" i="10" s="1"/>
  <c r="M15" i="37"/>
  <c r="F16" i="37"/>
  <c r="H24" i="30" s="1"/>
  <c r="J16" i="37"/>
  <c r="J24" i="30" s="1"/>
  <c r="D17" i="37"/>
  <c r="G25" i="30" s="1"/>
  <c r="H17" i="37"/>
  <c r="I25" i="30" s="1"/>
  <c r="J17" i="37"/>
  <c r="J25" i="30" s="1"/>
  <c r="D19" i="37"/>
  <c r="G27" i="30" s="1"/>
  <c r="F19" i="37"/>
  <c r="H27" i="30" s="1"/>
  <c r="H19" i="37"/>
  <c r="I27" i="30" s="1"/>
  <c r="J19" i="37"/>
  <c r="J27" i="30" s="1"/>
  <c r="F20" i="37"/>
  <c r="H28" i="30" s="1"/>
  <c r="J20" i="37"/>
  <c r="J28" i="30" s="1"/>
  <c r="D22" i="37"/>
  <c r="D88" i="51" s="1"/>
  <c r="F22" i="37"/>
  <c r="H30" i="30" s="1"/>
  <c r="J22" i="37"/>
  <c r="J30" i="30" s="1"/>
  <c r="D23" i="37"/>
  <c r="G31" i="30" s="1"/>
  <c r="H23" i="37"/>
  <c r="I31" i="30" s="1"/>
  <c r="J23" i="37"/>
  <c r="J31" i="30" s="1"/>
  <c r="H24" i="37"/>
  <c r="I32" i="30" s="1"/>
  <c r="J24" i="37"/>
  <c r="J32" i="30" s="1"/>
  <c r="H25" i="37"/>
  <c r="I33" i="30" s="1"/>
  <c r="J25" i="37"/>
  <c r="J33" i="30" s="1"/>
  <c r="F26" i="37"/>
  <c r="H34" i="30" s="1"/>
  <c r="H26" i="37"/>
  <c r="I34" i="30" s="1"/>
  <c r="D27" i="37"/>
  <c r="G35" i="30" s="1"/>
  <c r="F27" i="37"/>
  <c r="H35" i="30" s="1"/>
  <c r="D32" i="37"/>
  <c r="H32" i="37"/>
  <c r="I40" i="30" s="1"/>
  <c r="D35" i="37"/>
  <c r="G43" i="30" s="1"/>
  <c r="H35" i="37"/>
  <c r="I43" i="30" s="1"/>
  <c r="J35" i="37"/>
  <c r="J43" i="30" s="1"/>
  <c r="D36" i="37"/>
  <c r="G44" i="30" s="1"/>
  <c r="F36" i="37"/>
  <c r="H44" i="30" s="1"/>
  <c r="H36" i="37"/>
  <c r="I44" i="30" s="1"/>
  <c r="J36" i="37"/>
  <c r="J44" i="30" s="1"/>
  <c r="F37" i="37"/>
  <c r="H45" i="30" s="1"/>
  <c r="H37" i="37"/>
  <c r="I45" i="30" s="1"/>
  <c r="J37" i="37"/>
  <c r="J45" i="30" s="1"/>
  <c r="D38" i="37"/>
  <c r="G46" i="30" s="1"/>
  <c r="F38" i="37"/>
  <c r="H46" i="30" s="1"/>
  <c r="H38" i="37"/>
  <c r="I46" i="30" s="1"/>
  <c r="J38" i="37"/>
  <c r="J46" i="30" s="1"/>
  <c r="D39" i="37"/>
  <c r="G47" i="30" s="1"/>
  <c r="H39" i="37"/>
  <c r="I47" i="30" s="1"/>
  <c r="J39" i="37"/>
  <c r="J47" i="30" s="1"/>
  <c r="D40" i="37"/>
  <c r="F40" i="37"/>
  <c r="F41" i="37"/>
  <c r="H49" i="30" s="1"/>
  <c r="D42" i="37"/>
  <c r="G50" i="30" s="1"/>
  <c r="F42" i="37"/>
  <c r="H50" i="30" s="1"/>
  <c r="H42" i="37"/>
  <c r="I50" i="30" s="1"/>
  <c r="D45" i="37"/>
  <c r="G53" i="30" s="1"/>
  <c r="H45" i="37"/>
  <c r="I53" i="30" s="1"/>
  <c r="J45" i="37"/>
  <c r="J53" i="30" s="1"/>
  <c r="H52" i="37"/>
  <c r="I60" i="30" s="1"/>
  <c r="J52" i="37"/>
  <c r="J60" i="30" s="1"/>
  <c r="F16" i="30"/>
  <c r="D39" i="51" s="1"/>
  <c r="F71" i="30"/>
  <c r="F63" i="30"/>
  <c r="E76" i="30"/>
  <c r="E67" i="30"/>
  <c r="E68" i="30"/>
  <c r="F6" i="30"/>
  <c r="G77" i="30"/>
  <c r="G71" i="30" s="1"/>
  <c r="G63" i="30"/>
  <c r="I13" i="34"/>
  <c r="D43" i="10" s="1"/>
  <c r="E60" i="1" s="1"/>
  <c r="D60" i="1" s="1"/>
  <c r="F60" i="1" s="1"/>
  <c r="G60" i="1" s="1"/>
  <c r="D42" i="10"/>
  <c r="E61" i="1" s="1"/>
  <c r="D61" i="1" s="1"/>
  <c r="F61" i="1" s="1"/>
  <c r="G61" i="1" s="1"/>
  <c r="D12" i="10"/>
  <c r="E19" i="1" s="1"/>
  <c r="D19" i="1" s="1"/>
  <c r="F19" i="1" s="1"/>
  <c r="G19" i="1" s="1"/>
  <c r="D10" i="10"/>
  <c r="E17" i="1" s="1"/>
  <c r="D17" i="1" s="1"/>
  <c r="F17" i="1" s="1"/>
  <c r="G17" i="1" s="1"/>
  <c r="D9" i="10"/>
  <c r="E16" i="1" s="1"/>
  <c r="D16" i="1" s="1"/>
  <c r="F16" i="1" s="1"/>
  <c r="G16" i="1" s="1"/>
  <c r="I3" i="34"/>
  <c r="D7" i="10" s="1"/>
  <c r="E10" i="1" s="1"/>
  <c r="D10" i="1" s="1"/>
  <c r="E58" i="30"/>
  <c r="M58" i="30" s="1"/>
  <c r="E61" i="30"/>
  <c r="M61" i="30" s="1"/>
  <c r="I14" i="34"/>
  <c r="I12" i="34"/>
  <c r="D41" i="10" s="1"/>
  <c r="E58" i="1" s="1"/>
  <c r="D58" i="1" s="1"/>
  <c r="F58" i="1" s="1"/>
  <c r="G58" i="1" s="1"/>
  <c r="I11" i="34"/>
  <c r="D40" i="10" s="1"/>
  <c r="E57" i="1" s="1"/>
  <c r="D57" i="1" s="1"/>
  <c r="F57" i="1" s="1"/>
  <c r="G57" i="1" s="1"/>
  <c r="I10" i="34"/>
  <c r="D39" i="10" s="1"/>
  <c r="E56" i="1" s="1"/>
  <c r="D56" i="1" s="1"/>
  <c r="F56" i="1" s="1"/>
  <c r="G56" i="1" s="1"/>
  <c r="I9" i="34"/>
  <c r="D38" i="10" s="1"/>
  <c r="E55" i="1" s="1"/>
  <c r="D55" i="1" s="1"/>
  <c r="F55" i="1" s="1"/>
  <c r="G55" i="1" s="1"/>
  <c r="I8" i="34"/>
  <c r="I7" i="34"/>
  <c r="D11" i="10" s="1"/>
  <c r="E18" i="1" s="1"/>
  <c r="D18" i="1" s="1"/>
  <c r="F18" i="1" s="1"/>
  <c r="G18" i="1" s="1"/>
  <c r="I6" i="34"/>
  <c r="I5" i="34"/>
  <c r="I4" i="34"/>
  <c r="D8" i="10" s="1"/>
  <c r="E11" i="1" s="1"/>
  <c r="K71" i="30"/>
  <c r="J71" i="30"/>
  <c r="E69" i="30"/>
  <c r="E57" i="30"/>
  <c r="M57" i="30" s="1"/>
  <c r="E59" i="30"/>
  <c r="M59" i="30" s="1"/>
  <c r="E65" i="30"/>
  <c r="E66" i="30"/>
  <c r="E72" i="30"/>
  <c r="E73" i="30"/>
  <c r="E74" i="30"/>
  <c r="E75" i="30"/>
  <c r="E80" i="30"/>
  <c r="G79" i="30"/>
  <c r="E79" i="30" s="1"/>
  <c r="B16" i="30"/>
  <c r="N192" i="32"/>
  <c r="P192" i="32"/>
  <c r="D27" i="10" s="1"/>
  <c r="E40" i="1" s="1"/>
  <c r="H192" i="32"/>
  <c r="D25" i="10"/>
  <c r="E38" i="1" s="1"/>
  <c r="D24" i="10"/>
  <c r="V230" i="32"/>
  <c r="T230" i="32"/>
  <c r="S230" i="32"/>
  <c r="H90" i="32"/>
  <c r="C40" i="1"/>
  <c r="C38" i="1"/>
  <c r="C36" i="1"/>
  <c r="C34" i="1"/>
  <c r="D34" i="1" s="1"/>
  <c r="F34" i="1" s="1"/>
  <c r="G34" i="1" s="1"/>
  <c r="C32" i="1"/>
  <c r="D32" i="1" s="1"/>
  <c r="F32" i="1" s="1"/>
  <c r="G32" i="1" s="1"/>
  <c r="C30" i="1"/>
  <c r="D30" i="1" s="1"/>
  <c r="F30" i="1" s="1"/>
  <c r="G30" i="1" s="1"/>
  <c r="D29" i="10"/>
  <c r="D28" i="10"/>
  <c r="D36" i="10"/>
  <c r="D35" i="10"/>
  <c r="D34" i="10"/>
  <c r="D33" i="10"/>
  <c r="D45" i="10"/>
  <c r="D63" i="1" s="1"/>
  <c r="F63" i="1" s="1"/>
  <c r="G63" i="1" s="1"/>
  <c r="D13" i="10"/>
  <c r="E23" i="1" s="1"/>
  <c r="D23" i="1" s="1"/>
  <c r="F23" i="1" s="1"/>
  <c r="G23" i="1" s="1"/>
  <c r="C41" i="1"/>
  <c r="B23" i="30"/>
  <c r="B11" i="30"/>
  <c r="B63" i="30"/>
  <c r="B71" i="30"/>
  <c r="B79" i="30"/>
  <c r="C75" i="1"/>
  <c r="D45" i="1"/>
  <c r="F45" i="1" s="1"/>
  <c r="G45" i="1" s="1"/>
  <c r="F53" i="1"/>
  <c r="G53" i="1" s="1"/>
  <c r="C54" i="1"/>
  <c r="D67" i="1"/>
  <c r="F67" i="1" s="1"/>
  <c r="G67" i="1" s="1"/>
  <c r="D66" i="1"/>
  <c r="F66" i="1" s="1"/>
  <c r="G66" i="1" s="1"/>
  <c r="D59" i="1"/>
  <c r="F59" i="1" s="1"/>
  <c r="G59" i="1" s="1"/>
  <c r="D64" i="1"/>
  <c r="F64" i="1" s="1"/>
  <c r="G64" i="1" s="1"/>
  <c r="D49" i="1"/>
  <c r="F49" i="1" s="1"/>
  <c r="G49" i="1" s="1"/>
  <c r="D50" i="1"/>
  <c r="F50" i="1" s="1"/>
  <c r="G50" i="1" s="1"/>
  <c r="D51" i="1"/>
  <c r="F51" i="1" s="1"/>
  <c r="G51" i="1" s="1"/>
  <c r="D44" i="1"/>
  <c r="F44" i="1" s="1"/>
  <c r="G44" i="1" s="1"/>
  <c r="D43" i="1"/>
  <c r="F43" i="1" s="1"/>
  <c r="G43" i="1" s="1"/>
  <c r="D29" i="1"/>
  <c r="F29" i="1" s="1"/>
  <c r="G29" i="1" s="1"/>
  <c r="D31" i="1"/>
  <c r="F31" i="1" s="1"/>
  <c r="G31" i="1" s="1"/>
  <c r="D33" i="1"/>
  <c r="F33" i="1" s="1"/>
  <c r="G33" i="1" s="1"/>
  <c r="D28" i="1"/>
  <c r="F28" i="1" s="1"/>
  <c r="G28" i="1" s="1"/>
  <c r="D26" i="1"/>
  <c r="F26" i="1" s="1"/>
  <c r="G26" i="1" s="1"/>
  <c r="D21" i="1"/>
  <c r="F21" i="1" s="1"/>
  <c r="G21" i="1" s="1"/>
  <c r="D12" i="1"/>
  <c r="F12" i="1" s="1"/>
  <c r="G12" i="1" s="1"/>
  <c r="D13" i="1"/>
  <c r="F13" i="1" s="1"/>
  <c r="G13" i="1" s="1"/>
  <c r="D14" i="1"/>
  <c r="F14" i="1" s="1"/>
  <c r="G14" i="1" s="1"/>
  <c r="D15" i="1"/>
  <c r="F15" i="1" s="1"/>
  <c r="G15" i="1" s="1"/>
  <c r="C25" i="1"/>
  <c r="C20" i="1"/>
  <c r="E25" i="1"/>
  <c r="E65" i="1"/>
  <c r="C70" i="1"/>
  <c r="E71" i="1"/>
  <c r="E70" i="1" s="1"/>
  <c r="D71" i="1"/>
  <c r="D70" i="1" s="1"/>
  <c r="C65" i="1"/>
  <c r="C46" i="1"/>
  <c r="C9" i="1"/>
  <c r="G72" i="51" l="1"/>
  <c r="H72" i="51" s="1"/>
  <c r="G117" i="51"/>
  <c r="J141" i="51"/>
  <c r="H136" i="51"/>
  <c r="G140" i="51"/>
  <c r="W220" i="32"/>
  <c r="G139" i="51"/>
  <c r="G44" i="51"/>
  <c r="G122" i="51"/>
  <c r="O14" i="42"/>
  <c r="D12" i="39"/>
  <c r="E6" i="37"/>
  <c r="G10" i="37"/>
  <c r="G9" i="37" s="1"/>
  <c r="D104" i="51"/>
  <c r="K10" i="37"/>
  <c r="K9" i="37" s="1"/>
  <c r="D77" i="51"/>
  <c r="E78" i="51" s="1"/>
  <c r="D120" i="51"/>
  <c r="D90" i="51"/>
  <c r="D151" i="51"/>
  <c r="D150" i="51"/>
  <c r="D76" i="51"/>
  <c r="D121" i="51"/>
  <c r="D149" i="51"/>
  <c r="D119" i="51"/>
  <c r="D91" i="51"/>
  <c r="D75" i="51"/>
  <c r="F75" i="51" s="1"/>
  <c r="D89" i="51"/>
  <c r="D106" i="51"/>
  <c r="F110" i="51" s="1"/>
  <c r="F111" i="51" s="1"/>
  <c r="D24" i="51"/>
  <c r="D118" i="51"/>
  <c r="D23" i="51"/>
  <c r="D92" i="51"/>
  <c r="D25" i="51"/>
  <c r="F118" i="51"/>
  <c r="D74" i="51"/>
  <c r="D148" i="51"/>
  <c r="B13" i="37"/>
  <c r="D16" i="10"/>
  <c r="D122" i="51"/>
  <c r="D107" i="51"/>
  <c r="J22" i="51"/>
  <c r="J138" i="51"/>
  <c r="I41" i="51"/>
  <c r="J41" i="51" s="1"/>
  <c r="I119" i="51"/>
  <c r="G87" i="51"/>
  <c r="J126" i="51"/>
  <c r="T205" i="32"/>
  <c r="D135" i="51"/>
  <c r="Q203" i="32"/>
  <c r="V103" i="32"/>
  <c r="W103" i="32" s="1"/>
  <c r="W132" i="32" s="1"/>
  <c r="U95" i="32"/>
  <c r="V215" i="32"/>
  <c r="D134" i="51"/>
  <c r="D132" i="51"/>
  <c r="D56" i="51" s="1"/>
  <c r="D136" i="51"/>
  <c r="E39" i="51"/>
  <c r="U129" i="32"/>
  <c r="H248" i="32"/>
  <c r="G37" i="30" s="1"/>
  <c r="U135" i="32"/>
  <c r="X61" i="32"/>
  <c r="X51" i="32"/>
  <c r="T207" i="32"/>
  <c r="W73" i="32"/>
  <c r="X73" i="32" s="1"/>
  <c r="W67" i="32"/>
  <c r="W38" i="32"/>
  <c r="X38" i="32" s="1"/>
  <c r="X67" i="32"/>
  <c r="X105" i="32"/>
  <c r="V35" i="32"/>
  <c r="W35" i="32" s="1"/>
  <c r="W70" i="32"/>
  <c r="X70" i="32" s="1"/>
  <c r="U196" i="32"/>
  <c r="X86" i="32"/>
  <c r="V42" i="32"/>
  <c r="W42" i="32" s="1"/>
  <c r="F246" i="32"/>
  <c r="X66" i="32"/>
  <c r="W39" i="32"/>
  <c r="X39" i="32" s="1"/>
  <c r="S96" i="32"/>
  <c r="S209" i="32" s="1"/>
  <c r="K88" i="30" s="1"/>
  <c r="R209" i="32"/>
  <c r="V26" i="32"/>
  <c r="W26" i="32" s="1"/>
  <c r="X26" i="32" s="1"/>
  <c r="V41" i="32"/>
  <c r="W41" i="32" s="1"/>
  <c r="U96" i="32"/>
  <c r="V40" i="32"/>
  <c r="W40" i="32" s="1"/>
  <c r="V133" i="32"/>
  <c r="V72" i="32"/>
  <c r="U192" i="32"/>
  <c r="U194" i="32"/>
  <c r="U92" i="32"/>
  <c r="V150" i="32"/>
  <c r="V194" i="32" s="1"/>
  <c r="X27" i="32"/>
  <c r="W44" i="32"/>
  <c r="V131" i="32"/>
  <c r="W25" i="32"/>
  <c r="X25" i="32" s="1"/>
  <c r="U94" i="32"/>
  <c r="V53" i="32"/>
  <c r="V77" i="32"/>
  <c r="W77" i="32" s="1"/>
  <c r="U93" i="32"/>
  <c r="V176" i="32"/>
  <c r="V71" i="32"/>
  <c r="W71" i="32" s="1"/>
  <c r="W140" i="32"/>
  <c r="F245" i="32"/>
  <c r="F248" i="32" s="1"/>
  <c r="N248" i="32" s="1"/>
  <c r="U198" i="32"/>
  <c r="V147" i="32"/>
  <c r="W147" i="32" s="1"/>
  <c r="V145" i="32"/>
  <c r="F23" i="30"/>
  <c r="S95" i="32"/>
  <c r="S208" i="32" s="1"/>
  <c r="J88" i="30" s="1"/>
  <c r="R208" i="32"/>
  <c r="W187" i="32"/>
  <c r="W117" i="32"/>
  <c r="X187" i="32"/>
  <c r="V54" i="32"/>
  <c r="W54" i="32" s="1"/>
  <c r="X54" i="32" s="1"/>
  <c r="X102" i="32"/>
  <c r="X131" i="32" s="1"/>
  <c r="X55" i="32"/>
  <c r="W143" i="32"/>
  <c r="S93" i="32"/>
  <c r="S206" i="32" s="1"/>
  <c r="R206" i="32"/>
  <c r="T209" i="32"/>
  <c r="U195" i="32"/>
  <c r="V167" i="32"/>
  <c r="V113" i="32"/>
  <c r="W113" i="32" s="1"/>
  <c r="V117" i="32"/>
  <c r="V58" i="32"/>
  <c r="V78" i="32"/>
  <c r="W78" i="32" s="1"/>
  <c r="U133" i="32"/>
  <c r="V146" i="32"/>
  <c r="W146" i="32" s="1"/>
  <c r="X146" i="32" s="1"/>
  <c r="V79" i="32"/>
  <c r="X80" i="32"/>
  <c r="W131" i="32"/>
  <c r="X103" i="32"/>
  <c r="X132" i="32" s="1"/>
  <c r="V132" i="32"/>
  <c r="V144" i="32"/>
  <c r="U197" i="32"/>
  <c r="U208" i="32" s="1"/>
  <c r="V28" i="32"/>
  <c r="W28" i="32" s="1"/>
  <c r="V69" i="32"/>
  <c r="W69" i="32" s="1"/>
  <c r="X69" i="32" s="1"/>
  <c r="X82" i="32"/>
  <c r="V115" i="32"/>
  <c r="V135" i="32" s="1"/>
  <c r="X45" i="32"/>
  <c r="W56" i="32"/>
  <c r="X56" i="32" s="1"/>
  <c r="W151" i="32"/>
  <c r="X151" i="32" s="1"/>
  <c r="R205" i="32"/>
  <c r="W60" i="32"/>
  <c r="X60" i="32" s="1"/>
  <c r="V74" i="32"/>
  <c r="W74" i="32" s="1"/>
  <c r="V50" i="32"/>
  <c r="X43" i="32"/>
  <c r="W104" i="32"/>
  <c r="X29" i="32"/>
  <c r="R207" i="32"/>
  <c r="V174" i="32"/>
  <c r="W174" i="32" s="1"/>
  <c r="W76" i="32"/>
  <c r="X76" i="32" s="1"/>
  <c r="W116" i="32"/>
  <c r="X116" i="32" s="1"/>
  <c r="V57" i="32"/>
  <c r="W57" i="32" s="1"/>
  <c r="X178" i="32"/>
  <c r="T90" i="32"/>
  <c r="S207" i="32"/>
  <c r="I88" i="30" s="1"/>
  <c r="S192" i="32"/>
  <c r="L248" i="32"/>
  <c r="K37" i="30" s="1"/>
  <c r="R90" i="32"/>
  <c r="S90" i="32" s="1"/>
  <c r="S92" i="32"/>
  <c r="S205" i="32" s="1"/>
  <c r="G88" i="30" s="1"/>
  <c r="F10" i="30"/>
  <c r="K6" i="30"/>
  <c r="D16" i="37"/>
  <c r="D22" i="10"/>
  <c r="E35" i="1" s="1"/>
  <c r="D35" i="1" s="1"/>
  <c r="F35" i="1" s="1"/>
  <c r="G35" i="1" s="1"/>
  <c r="U230" i="32"/>
  <c r="D23" i="10"/>
  <c r="E36" i="1" s="1"/>
  <c r="D36" i="1" s="1"/>
  <c r="F36" i="1" s="1"/>
  <c r="G36" i="1" s="1"/>
  <c r="D26" i="10"/>
  <c r="E39" i="1" s="1"/>
  <c r="D39" i="1" s="1"/>
  <c r="F39" i="1" s="1"/>
  <c r="G39" i="1" s="1"/>
  <c r="P14" i="42"/>
  <c r="P16" i="42"/>
  <c r="P9" i="42"/>
  <c r="F14" i="42"/>
  <c r="G9" i="42"/>
  <c r="C14" i="42"/>
  <c r="D9" i="42"/>
  <c r="O15" i="42"/>
  <c r="P15" i="42" s="1"/>
  <c r="J28" i="37"/>
  <c r="J36" i="30" s="1"/>
  <c r="K6" i="37"/>
  <c r="J27" i="37"/>
  <c r="J35" i="30" s="1"/>
  <c r="J26" i="37"/>
  <c r="F14" i="41"/>
  <c r="G9" i="41"/>
  <c r="C14" i="41"/>
  <c r="D9" i="41"/>
  <c r="I10" i="37"/>
  <c r="I9" i="37" s="1"/>
  <c r="I6" i="37"/>
  <c r="I14" i="37" s="1"/>
  <c r="O15" i="41"/>
  <c r="B38" i="37"/>
  <c r="H30" i="37"/>
  <c r="I38" i="30" s="1"/>
  <c r="D105" i="51" s="1"/>
  <c r="H28" i="37"/>
  <c r="I36" i="30" s="1"/>
  <c r="O6" i="41"/>
  <c r="O14" i="41" s="1"/>
  <c r="H27" i="37"/>
  <c r="B35" i="37"/>
  <c r="F14" i="40"/>
  <c r="G9" i="40"/>
  <c r="D9" i="40"/>
  <c r="C14" i="40"/>
  <c r="O14" i="40"/>
  <c r="P16" i="40"/>
  <c r="O15" i="40"/>
  <c r="P15" i="40" s="1"/>
  <c r="B22" i="37"/>
  <c r="B31" i="37"/>
  <c r="B36" i="37"/>
  <c r="B24" i="37"/>
  <c r="F7" i="37"/>
  <c r="B41" i="37"/>
  <c r="B39" i="37"/>
  <c r="B23" i="37"/>
  <c r="B42" i="37"/>
  <c r="B32" i="37"/>
  <c r="B16" i="37"/>
  <c r="G15" i="37"/>
  <c r="B40" i="37"/>
  <c r="L48" i="30" s="1"/>
  <c r="B52" i="37"/>
  <c r="B19" i="37"/>
  <c r="B45" i="37"/>
  <c r="B17" i="37"/>
  <c r="B20" i="37"/>
  <c r="D12" i="37"/>
  <c r="B12" i="37" s="1"/>
  <c r="L18" i="30" s="1"/>
  <c r="O10" i="39"/>
  <c r="O9" i="39" s="1"/>
  <c r="P9" i="39" s="1"/>
  <c r="G9" i="39"/>
  <c r="F14" i="39"/>
  <c r="D25" i="37"/>
  <c r="D37" i="37"/>
  <c r="D28" i="37"/>
  <c r="O15" i="39"/>
  <c r="P15" i="39" s="1"/>
  <c r="C10" i="39"/>
  <c r="C9" i="39" s="1"/>
  <c r="D9" i="39" s="1"/>
  <c r="B8" i="37"/>
  <c r="D30" i="37"/>
  <c r="G38" i="30" s="1"/>
  <c r="D103" i="51" s="1"/>
  <c r="G16" i="39"/>
  <c r="M14" i="37"/>
  <c r="J63" i="30"/>
  <c r="K63" i="30"/>
  <c r="E56" i="30"/>
  <c r="M56" i="30" s="1"/>
  <c r="E55" i="30"/>
  <c r="M55" i="30" s="1"/>
  <c r="E54" i="30"/>
  <c r="M54" i="30" s="1"/>
  <c r="I6" i="30"/>
  <c r="G6" i="30"/>
  <c r="D32" i="10"/>
  <c r="E49" i="30"/>
  <c r="M49" i="30" s="1"/>
  <c r="E39" i="30"/>
  <c r="M39" i="30" s="1"/>
  <c r="E46" i="30"/>
  <c r="M46" i="30" s="1"/>
  <c r="I63" i="30"/>
  <c r="I71" i="30"/>
  <c r="H71" i="30"/>
  <c r="E48" i="30"/>
  <c r="E70" i="30"/>
  <c r="E40" i="30"/>
  <c r="M40" i="30" s="1"/>
  <c r="E41" i="30"/>
  <c r="M41" i="30" s="1"/>
  <c r="K16" i="30"/>
  <c r="D44" i="51" s="1"/>
  <c r="J16" i="30"/>
  <c r="D43" i="51" s="1"/>
  <c r="J6" i="30"/>
  <c r="E26" i="30"/>
  <c r="M26" i="30" s="1"/>
  <c r="I16" i="30"/>
  <c r="D42" i="51" s="1"/>
  <c r="E29" i="30"/>
  <c r="M29" i="30" s="1"/>
  <c r="E47" i="30"/>
  <c r="M47" i="30" s="1"/>
  <c r="E52" i="30"/>
  <c r="M52" i="30" s="1"/>
  <c r="H6" i="30"/>
  <c r="H16" i="30"/>
  <c r="D41" i="51" s="1"/>
  <c r="E42" i="30"/>
  <c r="M42" i="30" s="1"/>
  <c r="E51" i="30"/>
  <c r="M51" i="30" s="1"/>
  <c r="E50" i="30"/>
  <c r="M50" i="30" s="1"/>
  <c r="E19" i="30"/>
  <c r="E17" i="30"/>
  <c r="D40" i="1"/>
  <c r="F40" i="1" s="1"/>
  <c r="G40" i="1" s="1"/>
  <c r="D30" i="10"/>
  <c r="E42" i="1" s="1"/>
  <c r="D42" i="1" s="1"/>
  <c r="F42" i="1" s="1"/>
  <c r="G42" i="1" s="1"/>
  <c r="B10" i="30"/>
  <c r="D25" i="1"/>
  <c r="F25" i="1" s="1"/>
  <c r="G25" i="1" s="1"/>
  <c r="D44" i="10"/>
  <c r="E37" i="1"/>
  <c r="D37" i="1" s="1"/>
  <c r="F37" i="1" s="1"/>
  <c r="G37" i="1" s="1"/>
  <c r="E9" i="1"/>
  <c r="C77" i="1"/>
  <c r="C68" i="1"/>
  <c r="C27" i="1"/>
  <c r="C24" i="1" s="1"/>
  <c r="E20" i="1"/>
  <c r="D38" i="1"/>
  <c r="F38" i="1" s="1"/>
  <c r="G38" i="1" s="1"/>
  <c r="D65" i="1"/>
  <c r="C8" i="1"/>
  <c r="D22" i="1"/>
  <c r="F10" i="1"/>
  <c r="G10" i="1" s="1"/>
  <c r="M48" i="30" l="1"/>
  <c r="D86" i="51"/>
  <c r="H87" i="51"/>
  <c r="D116" i="51"/>
  <c r="D101" i="51"/>
  <c r="H117" i="51"/>
  <c r="E132" i="51"/>
  <c r="E131" i="51" s="1"/>
  <c r="D146" i="51"/>
  <c r="D157" i="51" s="1"/>
  <c r="J74" i="51"/>
  <c r="J104" i="51"/>
  <c r="I136" i="51"/>
  <c r="H140" i="51"/>
  <c r="H122" i="51"/>
  <c r="H44" i="51"/>
  <c r="X220" i="32"/>
  <c r="I139" i="51" s="1"/>
  <c r="H139" i="51"/>
  <c r="I44" i="51"/>
  <c r="K14" i="37"/>
  <c r="E10" i="37"/>
  <c r="E9" i="37" s="1"/>
  <c r="J102" i="51"/>
  <c r="O14" i="39"/>
  <c r="P14" i="39" s="1"/>
  <c r="J105" i="51"/>
  <c r="E38" i="30"/>
  <c r="M38" i="30" s="1"/>
  <c r="E120" i="51"/>
  <c r="E42" i="51"/>
  <c r="E38" i="51" s="1"/>
  <c r="I15" i="37"/>
  <c r="I35" i="30"/>
  <c r="E35" i="30" s="1"/>
  <c r="M35" i="30" s="1"/>
  <c r="E20" i="51"/>
  <c r="F40" i="51"/>
  <c r="D127" i="51"/>
  <c r="B37" i="37"/>
  <c r="G45" i="30"/>
  <c r="E45" i="30" s="1"/>
  <c r="M45" i="30" s="1"/>
  <c r="D20" i="51"/>
  <c r="K15" i="37"/>
  <c r="J34" i="30"/>
  <c r="E34" i="30" s="1"/>
  <c r="M34" i="30" s="1"/>
  <c r="B25" i="37"/>
  <c r="G33" i="30"/>
  <c r="E33" i="30" s="1"/>
  <c r="M33" i="30" s="1"/>
  <c r="D73" i="51"/>
  <c r="D71" i="51" s="1"/>
  <c r="B28" i="37"/>
  <c r="E36" i="30"/>
  <c r="M36" i="30" s="1"/>
  <c r="G76" i="51"/>
  <c r="C10" i="37"/>
  <c r="E15" i="37"/>
  <c r="E47" i="1"/>
  <c r="D47" i="1" s="1"/>
  <c r="F47" i="1" s="1"/>
  <c r="G47" i="1" s="1"/>
  <c r="F132" i="51"/>
  <c r="F131" i="51" s="1"/>
  <c r="D133" i="51"/>
  <c r="D137" i="51"/>
  <c r="T203" i="32"/>
  <c r="V210" i="32"/>
  <c r="W215" i="32"/>
  <c r="W210" i="32" s="1"/>
  <c r="R203" i="32"/>
  <c r="S203" i="32"/>
  <c r="F39" i="51"/>
  <c r="E118" i="51"/>
  <c r="I72" i="51"/>
  <c r="X74" i="32"/>
  <c r="V92" i="32"/>
  <c r="U207" i="32"/>
  <c r="X28" i="32"/>
  <c r="X35" i="32"/>
  <c r="X42" i="32"/>
  <c r="X117" i="32"/>
  <c r="W58" i="32"/>
  <c r="X58" i="32" s="1"/>
  <c r="V93" i="32"/>
  <c r="V198" i="32"/>
  <c r="X71" i="32"/>
  <c r="X92" i="32"/>
  <c r="H88" i="30"/>
  <c r="E88" i="30"/>
  <c r="X79" i="32"/>
  <c r="X41" i="32"/>
  <c r="W93" i="32"/>
  <c r="X174" i="32"/>
  <c r="W150" i="32"/>
  <c r="X150" i="32" s="1"/>
  <c r="X77" i="32"/>
  <c r="V195" i="32"/>
  <c r="W167" i="32"/>
  <c r="W92" i="32"/>
  <c r="U90" i="32"/>
  <c r="U205" i="32"/>
  <c r="V196" i="32"/>
  <c r="W145" i="32"/>
  <c r="W198" i="32"/>
  <c r="W115" i="32"/>
  <c r="X115" i="32" s="1"/>
  <c r="X135" i="32" s="1"/>
  <c r="V205" i="32"/>
  <c r="W176" i="32"/>
  <c r="X176" i="32" s="1"/>
  <c r="V94" i="32"/>
  <c r="X147" i="32"/>
  <c r="V95" i="32"/>
  <c r="W53" i="32"/>
  <c r="W79" i="32"/>
  <c r="W50" i="32"/>
  <c r="X50" i="32" s="1"/>
  <c r="X143" i="32"/>
  <c r="X198" i="32" s="1"/>
  <c r="V192" i="32"/>
  <c r="W133" i="32"/>
  <c r="X104" i="32"/>
  <c r="W94" i="32"/>
  <c r="X44" i="32"/>
  <c r="V197" i="32"/>
  <c r="W144" i="32"/>
  <c r="X78" i="32"/>
  <c r="V96" i="32"/>
  <c r="W72" i="32"/>
  <c r="X57" i="32"/>
  <c r="V129" i="32"/>
  <c r="U209" i="32"/>
  <c r="X113" i="32"/>
  <c r="X140" i="32"/>
  <c r="X40" i="32"/>
  <c r="K23" i="30"/>
  <c r="J10" i="30"/>
  <c r="I10" i="30"/>
  <c r="K10" i="30"/>
  <c r="H10" i="30"/>
  <c r="K21" i="30"/>
  <c r="D20" i="10"/>
  <c r="D19" i="10"/>
  <c r="E62" i="1"/>
  <c r="D62" i="1" s="1"/>
  <c r="F62" i="1" s="1"/>
  <c r="G62" i="1" s="1"/>
  <c r="D46" i="10"/>
  <c r="B26" i="37"/>
  <c r="D14" i="42"/>
  <c r="C41" i="42"/>
  <c r="D41" i="42" s="1"/>
  <c r="G14" i="42"/>
  <c r="F41" i="42"/>
  <c r="G41" i="42" s="1"/>
  <c r="O41" i="42"/>
  <c r="P41" i="42" s="1"/>
  <c r="B29" i="37"/>
  <c r="L37" i="30" s="1"/>
  <c r="B30" i="37"/>
  <c r="P14" i="41"/>
  <c r="O41" i="41"/>
  <c r="P41" i="41" s="1"/>
  <c r="B27" i="37"/>
  <c r="P15" i="41"/>
  <c r="D14" i="41"/>
  <c r="C41" i="41"/>
  <c r="D41" i="41" s="1"/>
  <c r="G14" i="41"/>
  <c r="F41" i="41"/>
  <c r="G41" i="41" s="1"/>
  <c r="P9" i="41"/>
  <c r="P16" i="41"/>
  <c r="O41" i="40"/>
  <c r="P41" i="40" s="1"/>
  <c r="P14" i="40"/>
  <c r="D14" i="40"/>
  <c r="C41" i="40"/>
  <c r="D41" i="40" s="1"/>
  <c r="G6" i="37"/>
  <c r="B7" i="37"/>
  <c r="C6" i="37" s="1"/>
  <c r="F41" i="40"/>
  <c r="G41" i="40" s="1"/>
  <c r="G14" i="40"/>
  <c r="C14" i="39"/>
  <c r="E14" i="37"/>
  <c r="O41" i="39"/>
  <c r="P41" i="39" s="1"/>
  <c r="F41" i="39"/>
  <c r="G41" i="39" s="1"/>
  <c r="G14" i="39"/>
  <c r="M54" i="37"/>
  <c r="I21" i="30"/>
  <c r="J21" i="30"/>
  <c r="H63" i="30"/>
  <c r="E30" i="30"/>
  <c r="M30" i="30" s="1"/>
  <c r="E32" i="30"/>
  <c r="M32" i="30" s="1"/>
  <c r="E31" i="30"/>
  <c r="M31" i="30" s="1"/>
  <c r="E44" i="30"/>
  <c r="M44" i="30" s="1"/>
  <c r="E43" i="30"/>
  <c r="M43" i="30" s="1"/>
  <c r="E28" i="30"/>
  <c r="M28" i="30" s="1"/>
  <c r="E77" i="30"/>
  <c r="H21" i="30"/>
  <c r="E41" i="1"/>
  <c r="D41" i="1"/>
  <c r="E53" i="30"/>
  <c r="M53" i="30" s="1"/>
  <c r="E64" i="30"/>
  <c r="E8" i="30"/>
  <c r="E24" i="30"/>
  <c r="M24" i="30" s="1"/>
  <c r="H23" i="30"/>
  <c r="E37" i="30"/>
  <c r="M60" i="30"/>
  <c r="E25" i="30"/>
  <c r="E27" i="30"/>
  <c r="M27" i="30" s="1"/>
  <c r="G16" i="30"/>
  <c r="D40" i="51" s="1"/>
  <c r="D38" i="51" s="1"/>
  <c r="C78" i="1"/>
  <c r="E27" i="1"/>
  <c r="D11" i="1"/>
  <c r="F11" i="1" s="1"/>
  <c r="G11" i="1" s="1"/>
  <c r="E8" i="1"/>
  <c r="D27" i="1"/>
  <c r="C52" i="1"/>
  <c r="F22" i="1"/>
  <c r="G22" i="1" s="1"/>
  <c r="D20" i="1"/>
  <c r="F20" i="1" s="1"/>
  <c r="G20" i="1" s="1"/>
  <c r="F65" i="1"/>
  <c r="G65" i="1" s="1"/>
  <c r="P26" i="30" l="1"/>
  <c r="P28" i="30" s="1"/>
  <c r="M25" i="30"/>
  <c r="M37" i="30"/>
  <c r="E116" i="51"/>
  <c r="I87" i="51"/>
  <c r="I117" i="51"/>
  <c r="J117" i="51" s="1"/>
  <c r="D131" i="51"/>
  <c r="D142" i="51" s="1"/>
  <c r="I144" i="51"/>
  <c r="J139" i="51"/>
  <c r="I140" i="51"/>
  <c r="J140" i="51" s="1"/>
  <c r="J136" i="51"/>
  <c r="J44" i="51"/>
  <c r="J25" i="51"/>
  <c r="I122" i="51"/>
  <c r="J122" i="51" s="1"/>
  <c r="I23" i="30"/>
  <c r="I62" i="30" s="1"/>
  <c r="I78" i="30" s="1"/>
  <c r="I81" i="30" s="1"/>
  <c r="G75" i="51"/>
  <c r="C9" i="37"/>
  <c r="L10" i="30"/>
  <c r="L23" i="30"/>
  <c r="I54" i="37"/>
  <c r="C15" i="37"/>
  <c r="H76" i="51"/>
  <c r="D112" i="51"/>
  <c r="G40" i="51"/>
  <c r="G118" i="51"/>
  <c r="K54" i="37"/>
  <c r="G23" i="30"/>
  <c r="J23" i="30"/>
  <c r="D60" i="51" s="1"/>
  <c r="D166" i="51" s="1"/>
  <c r="F20" i="51"/>
  <c r="D97" i="51"/>
  <c r="D82" i="51"/>
  <c r="F42" i="51"/>
  <c r="F38" i="51" s="1"/>
  <c r="F120" i="51"/>
  <c r="F116" i="51" s="1"/>
  <c r="E109" i="51"/>
  <c r="E101" i="51" s="1"/>
  <c r="D9" i="1"/>
  <c r="D8" i="1" s="1"/>
  <c r="D32" i="51"/>
  <c r="E46" i="1"/>
  <c r="D46" i="1"/>
  <c r="F46" i="1" s="1"/>
  <c r="G46" i="1" s="1"/>
  <c r="E54" i="1"/>
  <c r="E68" i="1" s="1"/>
  <c r="G132" i="51"/>
  <c r="G131" i="51" s="1"/>
  <c r="J119" i="51"/>
  <c r="D54" i="1"/>
  <c r="X215" i="32"/>
  <c r="X210" i="32" s="1"/>
  <c r="D61" i="51"/>
  <c r="U203" i="32"/>
  <c r="D58" i="51"/>
  <c r="V203" i="32"/>
  <c r="G39" i="51"/>
  <c r="J72" i="51"/>
  <c r="W192" i="32"/>
  <c r="W195" i="32"/>
  <c r="X93" i="32"/>
  <c r="W96" i="32"/>
  <c r="V208" i="32"/>
  <c r="V209" i="32"/>
  <c r="V207" i="32"/>
  <c r="X94" i="32"/>
  <c r="W95" i="32"/>
  <c r="W90" i="32" s="1"/>
  <c r="X53" i="32"/>
  <c r="X95" i="32" s="1"/>
  <c r="X129" i="32"/>
  <c r="X133" i="32"/>
  <c r="W197" i="32"/>
  <c r="X144" i="32"/>
  <c r="X197" i="32" s="1"/>
  <c r="W135" i="32"/>
  <c r="W209" i="32" s="1"/>
  <c r="W129" i="32"/>
  <c r="W196" i="32"/>
  <c r="X145" i="32"/>
  <c r="X196" i="32" s="1"/>
  <c r="X194" i="32"/>
  <c r="X72" i="32"/>
  <c r="X96" i="32" s="1"/>
  <c r="X209" i="32" s="1"/>
  <c r="W207" i="32"/>
  <c r="W194" i="32"/>
  <c r="W205" i="32" s="1"/>
  <c r="V90" i="32"/>
  <c r="X167" i="32"/>
  <c r="X195" i="32" s="1"/>
  <c r="X90" i="32"/>
  <c r="X205" i="32"/>
  <c r="F41" i="1"/>
  <c r="G41" i="1" s="1"/>
  <c r="D21" i="10"/>
  <c r="D37" i="10" s="1"/>
  <c r="D47" i="10" s="1"/>
  <c r="K62" i="30"/>
  <c r="K78" i="30" s="1"/>
  <c r="K81" i="30" s="1"/>
  <c r="G10" i="30"/>
  <c r="E71" i="30"/>
  <c r="E63" i="30"/>
  <c r="C14" i="37"/>
  <c r="G14" i="37"/>
  <c r="E54" i="37"/>
  <c r="C41" i="39"/>
  <c r="D41" i="39" s="1"/>
  <c r="D14" i="39"/>
  <c r="E23" i="30"/>
  <c r="M23" i="30" s="1"/>
  <c r="H62" i="30"/>
  <c r="H78" i="30" s="1"/>
  <c r="H81" i="30" s="1"/>
  <c r="H87" i="30" s="1"/>
  <c r="H89" i="30" s="1"/>
  <c r="E6" i="30"/>
  <c r="M6" i="30" s="1"/>
  <c r="G21" i="30"/>
  <c r="C81" i="1"/>
  <c r="E24" i="1"/>
  <c r="E52" i="1" s="1"/>
  <c r="D24" i="1"/>
  <c r="F27" i="1"/>
  <c r="G27" i="1" s="1"/>
  <c r="C80" i="1"/>
  <c r="J87" i="51" l="1"/>
  <c r="E84" i="51"/>
  <c r="G90" i="51" s="1"/>
  <c r="E152" i="51"/>
  <c r="G148" i="51"/>
  <c r="F148" i="51"/>
  <c r="F155" i="51"/>
  <c r="E151" i="51"/>
  <c r="E156" i="51"/>
  <c r="F151" i="51"/>
  <c r="E150" i="51"/>
  <c r="I152" i="51"/>
  <c r="I151" i="51"/>
  <c r="E155" i="51"/>
  <c r="E149" i="51"/>
  <c r="I149" i="51"/>
  <c r="H152" i="51"/>
  <c r="E154" i="51"/>
  <c r="E153" i="51"/>
  <c r="H149" i="51"/>
  <c r="G149" i="51"/>
  <c r="F149" i="51"/>
  <c r="I148" i="51"/>
  <c r="H148" i="51"/>
  <c r="G152" i="51"/>
  <c r="F152" i="51"/>
  <c r="H151" i="51"/>
  <c r="G151" i="51"/>
  <c r="F154" i="51"/>
  <c r="G150" i="51"/>
  <c r="G155" i="51"/>
  <c r="H150" i="51"/>
  <c r="G156" i="51"/>
  <c r="G154" i="51"/>
  <c r="I150" i="51"/>
  <c r="F153" i="51"/>
  <c r="F150" i="51"/>
  <c r="G153" i="51"/>
  <c r="H155" i="51"/>
  <c r="H154" i="51"/>
  <c r="I155" i="51"/>
  <c r="H156" i="51"/>
  <c r="I154" i="51"/>
  <c r="H153" i="51"/>
  <c r="F156" i="51"/>
  <c r="I153" i="51"/>
  <c r="I156" i="51"/>
  <c r="E148" i="51"/>
  <c r="G110" i="51"/>
  <c r="G111" i="51" s="1"/>
  <c r="D59" i="51"/>
  <c r="D165" i="51" s="1"/>
  <c r="H75" i="51"/>
  <c r="E10" i="30"/>
  <c r="L16" i="30"/>
  <c r="L21" i="30"/>
  <c r="D9" i="51"/>
  <c r="L62" i="30"/>
  <c r="J62" i="30"/>
  <c r="J78" i="30" s="1"/>
  <c r="J81" i="30" s="1"/>
  <c r="J87" i="30" s="1"/>
  <c r="J89" i="30" s="1"/>
  <c r="G120" i="51"/>
  <c r="G116" i="51" s="1"/>
  <c r="G42" i="51"/>
  <c r="G38" i="51" s="1"/>
  <c r="G20" i="51"/>
  <c r="I76" i="51"/>
  <c r="D57" i="51"/>
  <c r="F109" i="51"/>
  <c r="F101" i="51" s="1"/>
  <c r="J21" i="51"/>
  <c r="H40" i="51"/>
  <c r="H118" i="51"/>
  <c r="E79" i="51"/>
  <c r="F73" i="51"/>
  <c r="F54" i="1"/>
  <c r="G54" i="1" s="1"/>
  <c r="D68" i="1"/>
  <c r="F68" i="1" s="1"/>
  <c r="G68" i="1" s="1"/>
  <c r="H132" i="51"/>
  <c r="H131" i="51" s="1"/>
  <c r="J124" i="51"/>
  <c r="D7" i="51"/>
  <c r="D164" i="51"/>
  <c r="D10" i="51"/>
  <c r="D167" i="51"/>
  <c r="W203" i="32"/>
  <c r="H39" i="51"/>
  <c r="X208" i="32"/>
  <c r="X192" i="32"/>
  <c r="W208" i="32"/>
  <c r="X207" i="32"/>
  <c r="X203" i="32" s="1"/>
  <c r="I87" i="30"/>
  <c r="I89" i="30" s="1"/>
  <c r="K87" i="30"/>
  <c r="K89" i="30" s="1"/>
  <c r="G54" i="37"/>
  <c r="C54" i="37"/>
  <c r="G62" i="30"/>
  <c r="G78" i="30" s="1"/>
  <c r="F24" i="1"/>
  <c r="G24" i="1" s="1"/>
  <c r="D52" i="1"/>
  <c r="E72" i="1"/>
  <c r="E77" i="1" s="1"/>
  <c r="E86" i="1"/>
  <c r="B6" i="30"/>
  <c r="E71" i="51" l="1"/>
  <c r="J79" i="51"/>
  <c r="G146" i="51"/>
  <c r="H146" i="51"/>
  <c r="F146" i="51"/>
  <c r="E146" i="51"/>
  <c r="D6" i="51"/>
  <c r="D8" i="51"/>
  <c r="J152" i="51"/>
  <c r="J154" i="51"/>
  <c r="F88" i="51"/>
  <c r="E94" i="51"/>
  <c r="I75" i="51"/>
  <c r="H90" i="51"/>
  <c r="J153" i="51"/>
  <c r="J149" i="51"/>
  <c r="E96" i="51"/>
  <c r="E91" i="51"/>
  <c r="E95" i="51"/>
  <c r="E89" i="51"/>
  <c r="E90" i="51"/>
  <c r="F89" i="51"/>
  <c r="E92" i="51"/>
  <c r="E88" i="51"/>
  <c r="G89" i="51"/>
  <c r="I89" i="51"/>
  <c r="H89" i="51"/>
  <c r="F90" i="51"/>
  <c r="F91" i="51"/>
  <c r="E93" i="51"/>
  <c r="G91" i="51"/>
  <c r="I91" i="51"/>
  <c r="H91" i="51"/>
  <c r="J107" i="51"/>
  <c r="H110" i="51"/>
  <c r="H111" i="51" s="1"/>
  <c r="H20" i="51"/>
  <c r="D163" i="51"/>
  <c r="J76" i="51"/>
  <c r="G73" i="51"/>
  <c r="F77" i="51"/>
  <c r="F92" i="51" s="1"/>
  <c r="G109" i="51"/>
  <c r="G101" i="51" s="1"/>
  <c r="I110" i="51"/>
  <c r="I111" i="51" s="1"/>
  <c r="H120" i="51"/>
  <c r="H116" i="51" s="1"/>
  <c r="H42" i="51"/>
  <c r="H38" i="51" s="1"/>
  <c r="I118" i="51"/>
  <c r="I40" i="51"/>
  <c r="J40" i="51" s="1"/>
  <c r="J148" i="51"/>
  <c r="D86" i="1"/>
  <c r="F86" i="1" s="1"/>
  <c r="F87" i="1" s="1"/>
  <c r="I132" i="51"/>
  <c r="I131" i="51" s="1"/>
  <c r="J133" i="51"/>
  <c r="I39" i="51"/>
  <c r="B21" i="30"/>
  <c r="B62" i="30" s="1"/>
  <c r="D48" i="10"/>
  <c r="D104" i="1"/>
  <c r="G81" i="30"/>
  <c r="F52" i="1"/>
  <c r="G52" i="1" s="1"/>
  <c r="E87" i="1"/>
  <c r="D76" i="1"/>
  <c r="D75" i="1" s="1"/>
  <c r="D77" i="1" s="1"/>
  <c r="D78" i="1" s="1"/>
  <c r="E78" i="1"/>
  <c r="G88" i="51" l="1"/>
  <c r="E86" i="51"/>
  <c r="J118" i="51"/>
  <c r="J147" i="51"/>
  <c r="I146" i="51"/>
  <c r="J91" i="51"/>
  <c r="J75" i="51"/>
  <c r="I90" i="51"/>
  <c r="J90" i="51" s="1"/>
  <c r="F94" i="51"/>
  <c r="J89" i="51"/>
  <c r="J111" i="51"/>
  <c r="J110" i="51"/>
  <c r="J106" i="51"/>
  <c r="F95" i="51"/>
  <c r="F96" i="51"/>
  <c r="J24" i="51"/>
  <c r="G77" i="51"/>
  <c r="J43" i="51"/>
  <c r="J151" i="51"/>
  <c r="I20" i="51"/>
  <c r="H73" i="51"/>
  <c r="I42" i="51"/>
  <c r="J42" i="51" s="1"/>
  <c r="I120" i="51"/>
  <c r="I116" i="51" s="1"/>
  <c r="J150" i="51"/>
  <c r="J23" i="51"/>
  <c r="J108" i="51"/>
  <c r="H109" i="51"/>
  <c r="H101" i="51" s="1"/>
  <c r="I109" i="51"/>
  <c r="I101" i="51" s="1"/>
  <c r="J39" i="51"/>
  <c r="J132" i="51"/>
  <c r="J131" i="51" s="1"/>
  <c r="G87" i="30"/>
  <c r="G89" i="30" s="1"/>
  <c r="B78" i="30"/>
  <c r="E80" i="1"/>
  <c r="E81" i="1"/>
  <c r="D80" i="1"/>
  <c r="D81" i="1"/>
  <c r="F71" i="51" l="1"/>
  <c r="H88" i="51"/>
  <c r="J38" i="51"/>
  <c r="I38" i="51"/>
  <c r="J20" i="51"/>
  <c r="F93" i="51"/>
  <c r="F86" i="51" s="1"/>
  <c r="G95" i="51"/>
  <c r="G92" i="51"/>
  <c r="G94" i="51"/>
  <c r="H77" i="51"/>
  <c r="J120" i="51"/>
  <c r="I73" i="51"/>
  <c r="J109" i="51"/>
  <c r="J121" i="51"/>
  <c r="J155" i="51"/>
  <c r="J103" i="51"/>
  <c r="B81" i="30"/>
  <c r="I88" i="51" l="1"/>
  <c r="J88" i="51"/>
  <c r="J116" i="51"/>
  <c r="J101" i="51"/>
  <c r="H95" i="51"/>
  <c r="H92" i="51"/>
  <c r="G71" i="51"/>
  <c r="G93" i="51"/>
  <c r="H94" i="51"/>
  <c r="H93" i="51"/>
  <c r="J156" i="51"/>
  <c r="J146" i="51" s="1"/>
  <c r="I77" i="51"/>
  <c r="J73" i="51"/>
  <c r="G96" i="51" l="1"/>
  <c r="I95" i="51"/>
  <c r="J95" i="51" s="1"/>
  <c r="I92" i="51"/>
  <c r="H71" i="51"/>
  <c r="I94" i="51"/>
  <c r="J94" i="51" s="1"/>
  <c r="J77" i="51"/>
  <c r="G86" i="51" l="1"/>
  <c r="J80" i="51"/>
  <c r="I71" i="51"/>
  <c r="I96" i="51"/>
  <c r="J92" i="51"/>
  <c r="I93" i="51"/>
  <c r="J93" i="51" s="1"/>
  <c r="H96" i="51"/>
  <c r="H86" i="51" s="1"/>
  <c r="J78" i="51"/>
  <c r="J81" i="51" l="1"/>
  <c r="J71" i="51" s="1"/>
  <c r="I86" i="51"/>
  <c r="J96" i="51"/>
  <c r="J86" i="51" s="1"/>
  <c r="E18" i="30"/>
  <c r="M18" i="30" s="1"/>
  <c r="F21" i="30"/>
  <c r="E16" i="30"/>
  <c r="D50" i="51" l="1"/>
  <c r="E21" i="30"/>
  <c r="M21" i="30" s="1"/>
  <c r="F62" i="30"/>
  <c r="F78" i="30" s="1"/>
  <c r="F81" i="30" s="1"/>
  <c r="D99" i="1"/>
  <c r="D100" i="1" s="1"/>
  <c r="D91" i="1" s="1"/>
  <c r="F91" i="1" s="1"/>
  <c r="E104" i="1" s="1"/>
  <c r="F104" i="1" s="1"/>
  <c r="E62" i="30" l="1"/>
  <c r="M62" i="30" s="1"/>
  <c r="F87" i="30"/>
  <c r="F89" i="30" s="1"/>
  <c r="E78" i="30" l="1"/>
  <c r="E81" i="30" s="1"/>
  <c r="E87" i="30" s="1"/>
  <c r="E89" i="30" s="1"/>
  <c r="D161" i="51"/>
  <c r="I159" i="51" s="1"/>
  <c r="D5" i="51"/>
  <c r="D4" i="51" s="1"/>
  <c r="E162" i="51"/>
  <c r="D55" i="51"/>
  <c r="D67" i="51" s="1"/>
  <c r="F163" i="51" l="1"/>
  <c r="F57" i="51" s="1"/>
  <c r="F6" i="51" s="1"/>
  <c r="H165" i="51"/>
  <c r="H59" i="51" s="1"/>
  <c r="H8" i="51" s="1"/>
  <c r="I169" i="51"/>
  <c r="I63" i="51" s="1"/>
  <c r="I12" i="51" s="1"/>
  <c r="H163" i="51"/>
  <c r="H57" i="51" s="1"/>
  <c r="H6" i="51" s="1"/>
  <c r="E163" i="51"/>
  <c r="E57" i="51" s="1"/>
  <c r="E6" i="51" s="1"/>
  <c r="H171" i="51"/>
  <c r="H65" i="51" s="1"/>
  <c r="H14" i="51" s="1"/>
  <c r="H164" i="51"/>
  <c r="H58" i="51" s="1"/>
  <c r="H7" i="51" s="1"/>
  <c r="F166" i="51"/>
  <c r="F60" i="51" s="1"/>
  <c r="F9" i="51" s="1"/>
  <c r="G168" i="51"/>
  <c r="G62" i="51" s="1"/>
  <c r="G11" i="51" s="1"/>
  <c r="H167" i="51"/>
  <c r="H61" i="51" s="1"/>
  <c r="H10" i="51" s="1"/>
  <c r="G163" i="51"/>
  <c r="G57" i="51" s="1"/>
  <c r="G6" i="51" s="1"/>
  <c r="F169" i="51"/>
  <c r="F63" i="51" s="1"/>
  <c r="F12" i="51" s="1"/>
  <c r="I168" i="51"/>
  <c r="I62" i="51" s="1"/>
  <c r="I11" i="51" s="1"/>
  <c r="G169" i="51"/>
  <c r="G63" i="51" s="1"/>
  <c r="G12" i="51" s="1"/>
  <c r="F171" i="51"/>
  <c r="F65" i="51" s="1"/>
  <c r="F14" i="51" s="1"/>
  <c r="I165" i="51"/>
  <c r="I59" i="51" s="1"/>
  <c r="I8" i="51" s="1"/>
  <c r="G165" i="51"/>
  <c r="G59" i="51" s="1"/>
  <c r="G8" i="51" s="1"/>
  <c r="E56" i="51"/>
  <c r="F162" i="51"/>
  <c r="E165" i="51"/>
  <c r="H168" i="51"/>
  <c r="H62" i="51" s="1"/>
  <c r="H11" i="51" s="1"/>
  <c r="G166" i="51"/>
  <c r="G60" i="51" s="1"/>
  <c r="G9" i="51" s="1"/>
  <c r="H170" i="51"/>
  <c r="H64" i="51" s="1"/>
  <c r="H13" i="51" s="1"/>
  <c r="G164" i="51"/>
  <c r="G58" i="51" s="1"/>
  <c r="G7" i="51" s="1"/>
  <c r="E171" i="51"/>
  <c r="I164" i="51"/>
  <c r="I58" i="51" s="1"/>
  <c r="I7" i="51" s="1"/>
  <c r="E166" i="51"/>
  <c r="F170" i="51"/>
  <c r="F64" i="51" s="1"/>
  <c r="F13" i="51" s="1"/>
  <c r="I166" i="51"/>
  <c r="I60" i="51" s="1"/>
  <c r="I9" i="51" s="1"/>
  <c r="I167" i="51"/>
  <c r="I61" i="51" s="1"/>
  <c r="I10" i="51" s="1"/>
  <c r="E170" i="51"/>
  <c r="H169" i="51"/>
  <c r="H63" i="51" s="1"/>
  <c r="H12" i="51" s="1"/>
  <c r="G170" i="51"/>
  <c r="G64" i="51" s="1"/>
  <c r="G13" i="51" s="1"/>
  <c r="I163" i="51"/>
  <c r="I57" i="51" s="1"/>
  <c r="I6" i="51" s="1"/>
  <c r="F164" i="51"/>
  <c r="F58" i="51" s="1"/>
  <c r="F7" i="51" s="1"/>
  <c r="E168" i="51"/>
  <c r="F165" i="51"/>
  <c r="F59" i="51" s="1"/>
  <c r="F8" i="51" s="1"/>
  <c r="E167" i="51"/>
  <c r="I171" i="51"/>
  <c r="I65" i="51" s="1"/>
  <c r="I14" i="51" s="1"/>
  <c r="I170" i="51"/>
  <c r="I64" i="51" s="1"/>
  <c r="I13" i="51" s="1"/>
  <c r="H166" i="51"/>
  <c r="H60" i="51" s="1"/>
  <c r="H9" i="51" s="1"/>
  <c r="F168" i="51"/>
  <c r="F62" i="51" s="1"/>
  <c r="F11" i="51" s="1"/>
  <c r="E169" i="51"/>
  <c r="G167" i="51"/>
  <c r="G61" i="51" s="1"/>
  <c r="G10" i="51" s="1"/>
  <c r="G171" i="51"/>
  <c r="G65" i="51" s="1"/>
  <c r="G14" i="51" s="1"/>
  <c r="F167" i="51"/>
  <c r="F61" i="51" s="1"/>
  <c r="F10" i="51" s="1"/>
  <c r="E164" i="51"/>
  <c r="J57" i="51" l="1"/>
  <c r="E65" i="51"/>
  <c r="J171" i="51"/>
  <c r="J168" i="51"/>
  <c r="E62" i="51"/>
  <c r="J165" i="51"/>
  <c r="E59" i="51"/>
  <c r="J163" i="51"/>
  <c r="J164" i="51"/>
  <c r="E58" i="51"/>
  <c r="E64" i="51"/>
  <c r="J170" i="51"/>
  <c r="E161" i="51"/>
  <c r="J169" i="51"/>
  <c r="E63" i="51"/>
  <c r="E60" i="51"/>
  <c r="J166" i="51"/>
  <c r="E61" i="51"/>
  <c r="J167" i="51"/>
  <c r="F161" i="51"/>
  <c r="F56" i="51"/>
  <c r="G162" i="51"/>
  <c r="J6" i="51"/>
  <c r="E5" i="51"/>
  <c r="J58" i="51" l="1"/>
  <c r="E7" i="51"/>
  <c r="J7" i="51" s="1"/>
  <c r="E8" i="51"/>
  <c r="J8" i="51" s="1"/>
  <c r="J59" i="51"/>
  <c r="J60" i="51"/>
  <c r="E9" i="51"/>
  <c r="J9" i="51" s="1"/>
  <c r="J63" i="51"/>
  <c r="E12" i="51"/>
  <c r="J12" i="51" s="1"/>
  <c r="E55" i="51"/>
  <c r="E13" i="51"/>
  <c r="J13" i="51" s="1"/>
  <c r="J64" i="51"/>
  <c r="H162" i="51"/>
  <c r="G56" i="51"/>
  <c r="G161" i="51"/>
  <c r="F5" i="51"/>
  <c r="F4" i="51" s="1"/>
  <c r="F55" i="51"/>
  <c r="J62" i="51"/>
  <c r="E11" i="51"/>
  <c r="J11" i="51" s="1"/>
  <c r="J61" i="51"/>
  <c r="E10" i="51"/>
  <c r="J10" i="51" s="1"/>
  <c r="J65" i="51"/>
  <c r="E14" i="51"/>
  <c r="J14" i="51" s="1"/>
  <c r="E4" i="51" l="1"/>
  <c r="I162" i="51"/>
  <c r="J162" i="51" s="1"/>
  <c r="J161" i="51" s="1"/>
  <c r="H161" i="51"/>
  <c r="H56" i="51"/>
  <c r="G5" i="51"/>
  <c r="G55" i="51"/>
  <c r="G4" i="51" l="1"/>
  <c r="H55" i="51"/>
  <c r="H5" i="51"/>
  <c r="H4" i="51" s="1"/>
  <c r="I56" i="51"/>
  <c r="I161" i="51"/>
  <c r="I5" i="51" l="1"/>
  <c r="I55" i="51"/>
  <c r="J56" i="51"/>
  <c r="J55" i="51" l="1"/>
  <c r="I4" i="51"/>
  <c r="J5" i="51"/>
  <c r="J4" i="5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김송철</author>
  </authors>
  <commentList>
    <comment ref="G27" authorId="0" shapeId="0" xr:uid="{BD8A3EF9-B625-442B-BD45-DF66A73129C1}">
      <text>
        <r>
          <rPr>
            <b/>
            <sz val="9"/>
            <color indexed="81"/>
            <rFont val="돋움"/>
            <family val="3"/>
            <charset val="129"/>
          </rPr>
          <t>정점에서</t>
        </r>
        <r>
          <rPr>
            <b/>
            <sz val="9"/>
            <color indexed="81"/>
            <rFont val="Tahoma"/>
            <family val="2"/>
          </rPr>
          <t xml:space="preserve"> 20% </t>
        </r>
        <r>
          <rPr>
            <b/>
            <sz val="9"/>
            <color indexed="81"/>
            <rFont val="돋움"/>
            <family val="3"/>
            <charset val="129"/>
          </rPr>
          <t>감소</t>
        </r>
      </text>
    </comment>
    <comment ref="H27" authorId="0" shapeId="0" xr:uid="{BE247F2C-BF43-424F-97BE-E8B0AA46E14A}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20% </t>
        </r>
        <r>
          <rPr>
            <b/>
            <sz val="9"/>
            <color indexed="81"/>
            <rFont val="돋움"/>
            <family val="3"/>
            <charset val="129"/>
          </rPr>
          <t>감소</t>
        </r>
      </text>
    </comment>
    <comment ref="I36" authorId="0" shapeId="0" xr:uid="{FBA9C093-A25B-4014-8665-BA2C630C5FA9}">
      <text>
        <r>
          <rPr>
            <b/>
            <sz val="9"/>
            <color indexed="81"/>
            <rFont val="돋움"/>
            <family val="3"/>
            <charset val="129"/>
          </rPr>
          <t>식재료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노력을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구매량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효과와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더불어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경제성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식재료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F78" authorId="0" shapeId="0" xr:uid="{97CC0807-E5C5-4600-BE23-C02132367A03}">
      <text>
        <r>
          <rPr>
            <b/>
            <sz val="9"/>
            <color indexed="81"/>
            <rFont val="돋움"/>
            <family val="3"/>
            <charset val="129"/>
          </rPr>
          <t>매출의</t>
        </r>
        <r>
          <rPr>
            <b/>
            <sz val="9"/>
            <color indexed="81"/>
            <rFont val="Tahoma"/>
            <family val="2"/>
          </rPr>
          <t xml:space="preserve"> 30%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F79" authorId="0" shapeId="0" xr:uid="{1C5FEDF0-6320-49C9-8201-569352A66FE4}">
      <text>
        <r>
          <rPr>
            <b/>
            <sz val="9"/>
            <color indexed="81"/>
            <rFont val="돋움"/>
            <family val="3"/>
            <charset val="129"/>
          </rPr>
          <t>경험에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매출의</t>
        </r>
        <r>
          <rPr>
            <b/>
            <sz val="9"/>
            <color indexed="81"/>
            <rFont val="Tahoma"/>
            <family val="2"/>
          </rPr>
          <t xml:space="preserve"> 23%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G79" authorId="0" shapeId="0" xr:uid="{C011B413-25E7-4BB0-A633-E73C42EDAFFE}">
      <text>
        <r>
          <rPr>
            <b/>
            <sz val="9"/>
            <color indexed="81"/>
            <rFont val="돋움"/>
            <family val="3"/>
            <charset val="129"/>
          </rPr>
          <t>경험에 따라 매출의 22% 적용</t>
        </r>
      </text>
    </comment>
    <comment ref="F80" authorId="0" shapeId="0" xr:uid="{AD910CBF-DBFF-4310-9B11-391539AB61D6}">
      <text>
        <r>
          <rPr>
            <b/>
            <sz val="9"/>
            <color indexed="81"/>
            <rFont val="돋움"/>
            <family val="3"/>
            <charset val="129"/>
          </rPr>
          <t>매출의</t>
        </r>
        <r>
          <rPr>
            <b/>
            <sz val="9"/>
            <color indexed="81"/>
            <rFont val="Tahoma"/>
            <family val="2"/>
          </rPr>
          <t xml:space="preserve"> 32%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G80" authorId="0" shapeId="0" xr:uid="{51A905B0-D0CA-42C7-96D7-EA949DC8093F}">
      <text>
        <r>
          <rPr>
            <b/>
            <sz val="9"/>
            <color indexed="81"/>
            <rFont val="돋움"/>
            <family val="3"/>
            <charset val="129"/>
          </rPr>
          <t>매출의</t>
        </r>
        <r>
          <rPr>
            <b/>
            <sz val="9"/>
            <color indexed="81"/>
            <rFont val="Tahoma"/>
            <family val="2"/>
          </rPr>
          <t xml:space="preserve"> 30%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F81" authorId="0" shapeId="0" xr:uid="{2B6F4BB5-5417-489E-A0DD-2501791411BF}">
      <text>
        <r>
          <rPr>
            <b/>
            <sz val="9"/>
            <color indexed="81"/>
            <rFont val="돋움"/>
            <family val="3"/>
            <charset val="129"/>
          </rPr>
          <t>매출의</t>
        </r>
        <r>
          <rPr>
            <b/>
            <sz val="9"/>
            <color indexed="81"/>
            <rFont val="Tahoma"/>
            <family val="2"/>
          </rPr>
          <t xml:space="preserve"> 32%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G81" authorId="0" shapeId="0" xr:uid="{BDA297F1-5C41-4BCD-AA82-8F1A7609E91A}">
      <text>
        <r>
          <rPr>
            <b/>
            <sz val="9"/>
            <color indexed="81"/>
            <rFont val="돋움"/>
            <family val="3"/>
            <charset val="129"/>
          </rPr>
          <t>매출의</t>
        </r>
        <r>
          <rPr>
            <b/>
            <sz val="9"/>
            <color indexed="81"/>
            <rFont val="Tahoma"/>
            <family val="2"/>
          </rPr>
          <t xml:space="preserve"> 30%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E109" authorId="0" shapeId="0" xr:uid="{BEF7DA8B-7873-42D3-9457-EBD8F813801B}">
      <text>
        <r>
          <rPr>
            <b/>
            <sz val="9"/>
            <color indexed="81"/>
            <rFont val="돋움"/>
            <family val="3"/>
            <charset val="129"/>
          </rPr>
          <t>잠실점의</t>
        </r>
        <r>
          <rPr>
            <b/>
            <sz val="9"/>
            <color indexed="81"/>
            <rFont val="Tahoma"/>
            <family val="2"/>
          </rPr>
          <t xml:space="preserve"> 120%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가정</t>
        </r>
      </text>
    </comment>
    <comment ref="F110" authorId="0" shapeId="0" xr:uid="{D85E042C-502E-46BE-9FD2-93B7D795D239}">
      <text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호점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부산센텀점의</t>
        </r>
        <r>
          <rPr>
            <b/>
            <sz val="9"/>
            <color indexed="81"/>
            <rFont val="Tahoma"/>
            <family val="2"/>
          </rPr>
          <t xml:space="preserve"> 85% </t>
        </r>
        <r>
          <rPr>
            <b/>
            <sz val="9"/>
            <color indexed="81"/>
            <rFont val="돋움"/>
            <family val="3"/>
            <charset val="129"/>
          </rPr>
          <t>수준유지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가정</t>
        </r>
      </text>
    </comment>
    <comment ref="F111" authorId="0" shapeId="0" xr:uid="{5DC40086-1193-4D78-B13F-B201D46A4747}">
      <text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 xml:space="preserve"> 8</t>
        </r>
        <r>
          <rPr>
            <b/>
            <sz val="9"/>
            <color indexed="81"/>
            <rFont val="돋움"/>
            <family val="3"/>
            <charset val="129"/>
          </rPr>
          <t>호점의</t>
        </r>
        <r>
          <rPr>
            <b/>
            <sz val="9"/>
            <color indexed="81"/>
            <rFont val="Tahoma"/>
            <family val="2"/>
          </rPr>
          <t xml:space="preserve"> 80%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규모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가정</t>
        </r>
      </text>
    </comment>
    <comment ref="E138" authorId="0" shapeId="0" xr:uid="{421EB5B0-3E15-4769-B678-C705287362B3}">
      <text>
        <r>
          <rPr>
            <b/>
            <sz val="9"/>
            <color indexed="81"/>
            <rFont val="돋움"/>
            <family val="3"/>
            <charset val="129"/>
          </rPr>
          <t>총 2억원만 소요된다고 가정.
왜냐하면 10억원을 롯데에서 지원함.
내용년수는 8년</t>
        </r>
      </text>
    </comment>
    <comment ref="E139" authorId="0" shapeId="0" xr:uid="{FED14ACB-6AF0-40EE-9E1F-2FEEAB2D4600}">
      <text>
        <r>
          <rPr>
            <b/>
            <sz val="9"/>
            <color indexed="81"/>
            <rFont val="돋움"/>
            <family val="3"/>
            <charset val="129"/>
          </rPr>
          <t>인테리어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돋움"/>
            <family val="3"/>
            <charset val="129"/>
          </rPr>
          <t>주방기구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돋움"/>
            <family val="3"/>
            <charset val="129"/>
          </rPr>
          <t>집기비품</t>
        </r>
        <r>
          <rPr>
            <b/>
            <sz val="9"/>
            <color indexed="81"/>
            <rFont val="Tahoma"/>
            <family val="2"/>
          </rPr>
          <t xml:space="preserve"> = 18</t>
        </r>
        <r>
          <rPr>
            <b/>
            <sz val="9"/>
            <color indexed="81"/>
            <rFont val="돋움"/>
            <family val="3"/>
            <charset val="129"/>
          </rPr>
          <t>억원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신세계에서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억원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지원함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경과기간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개월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정률법상각</t>
        </r>
        <r>
          <rPr>
            <b/>
            <sz val="9"/>
            <color indexed="81"/>
            <rFont val="Tahoma"/>
            <family val="2"/>
          </rPr>
          <t xml:space="preserve"> (0.313)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F140" authorId="0" shapeId="0" xr:uid="{D3BD8B8F-C368-41F5-8365-94E962D50DA7}">
      <text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호점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부산센텀점의</t>
        </r>
        <r>
          <rPr>
            <b/>
            <sz val="9"/>
            <color indexed="81"/>
            <rFont val="Tahoma"/>
            <family val="2"/>
          </rPr>
          <t xml:space="preserve"> 85% </t>
        </r>
        <r>
          <rPr>
            <b/>
            <sz val="9"/>
            <color indexed="81"/>
            <rFont val="돋움"/>
            <family val="3"/>
            <charset val="129"/>
          </rPr>
          <t>수준유지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가정</t>
        </r>
      </text>
    </comment>
  </commentList>
</comments>
</file>

<file path=xl/sharedStrings.xml><?xml version="1.0" encoding="utf-8"?>
<sst xmlns="http://schemas.openxmlformats.org/spreadsheetml/2006/main" count="8654" uniqueCount="2492">
  <si>
    <t>재 무 상 태 표</t>
  </si>
  <si>
    <t>회사명:진경산업(주)본점</t>
  </si>
  <si>
    <t>과목</t>
  </si>
  <si>
    <t>자산</t>
  </si>
  <si>
    <t>Ⅰ.유동자산</t>
  </si>
  <si>
    <t>(1)당좌자산</t>
  </si>
  <si>
    <t>현금</t>
  </si>
  <si>
    <t>보통예금</t>
  </si>
  <si>
    <t>외화보통예금</t>
  </si>
  <si>
    <t>기타단기금융상품</t>
  </si>
  <si>
    <t>외상매출금</t>
  </si>
  <si>
    <t>대손충당금</t>
  </si>
  <si>
    <t>미수금</t>
  </si>
  <si>
    <t>선급금</t>
  </si>
  <si>
    <t>선급비용</t>
  </si>
  <si>
    <t>선납세금</t>
  </si>
  <si>
    <t>(2)재고자산</t>
  </si>
  <si>
    <t>상품</t>
  </si>
  <si>
    <t>상품평가충당금</t>
  </si>
  <si>
    <t>식재료</t>
  </si>
  <si>
    <t>Ⅱ.비유동자산</t>
  </si>
  <si>
    <t>(1)투자자산</t>
  </si>
  <si>
    <t>장기성예금</t>
  </si>
  <si>
    <t>(2)유형자산</t>
  </si>
  <si>
    <t>토지</t>
  </si>
  <si>
    <t>건물</t>
  </si>
  <si>
    <t>감가상각누계액</t>
  </si>
  <si>
    <t>기계장치</t>
  </si>
  <si>
    <t>차량운반구</t>
  </si>
  <si>
    <t>주방기구</t>
  </si>
  <si>
    <t>비품</t>
  </si>
  <si>
    <t>시설장치</t>
  </si>
  <si>
    <t>(3)무형자산</t>
  </si>
  <si>
    <t>특허권</t>
  </si>
  <si>
    <t>의장권</t>
  </si>
  <si>
    <t>소프트웨어</t>
  </si>
  <si>
    <t>(4)기타비유동자산</t>
  </si>
  <si>
    <t>임차보증금</t>
  </si>
  <si>
    <t>기타보증금</t>
  </si>
  <si>
    <t>장기외상매출금</t>
  </si>
  <si>
    <t>전신전화가입권</t>
  </si>
  <si>
    <t>자산총계</t>
  </si>
  <si>
    <t>부채</t>
  </si>
  <si>
    <t>Ⅰ.유동부채</t>
  </si>
  <si>
    <t>외상매입금</t>
  </si>
  <si>
    <t>미지급금</t>
  </si>
  <si>
    <t>예수금</t>
  </si>
  <si>
    <t>부가세예수금</t>
  </si>
  <si>
    <t>선수금</t>
  </si>
  <si>
    <t>단기차입금</t>
  </si>
  <si>
    <t>미지급비용</t>
  </si>
  <si>
    <t>선수수익</t>
  </si>
  <si>
    <t>주임종단기채무</t>
  </si>
  <si>
    <t>Ⅱ.비유동부채</t>
  </si>
  <si>
    <t>장기차입금</t>
  </si>
  <si>
    <t>주.임.종장기차입금</t>
  </si>
  <si>
    <t>부채총계</t>
  </si>
  <si>
    <t>자본</t>
  </si>
  <si>
    <t>Ⅰ.자본금</t>
  </si>
  <si>
    <t>자본금</t>
  </si>
  <si>
    <t>Ⅱ.자본잉여금</t>
  </si>
  <si>
    <t>Ⅲ.자본조정</t>
  </si>
  <si>
    <t>Ⅳ.기타포괄손익누계액</t>
  </si>
  <si>
    <t>Ⅴ.이익잉여금</t>
  </si>
  <si>
    <t>미처분이익잉여금</t>
  </si>
  <si>
    <t>자본총계</t>
  </si>
  <si>
    <t>부채및자본총계</t>
  </si>
  <si>
    <t>유형자산감가상각비명세서</t>
  </si>
  <si>
    <t>[미상각분 감가상각계산]</t>
  </si>
  <si>
    <t>(단위:원)</t>
  </si>
  <si>
    <t>자산명</t>
  </si>
  <si>
    <t>취득일</t>
  </si>
  <si>
    <t>업종코드/명</t>
  </si>
  <si>
    <t>기초가액</t>
  </si>
  <si>
    <t>당기증감</t>
  </si>
  <si>
    <t>기말잔액</t>
  </si>
  <si>
    <t>전기말상각누계액</t>
  </si>
  <si>
    <t>상각대상금액</t>
  </si>
  <si>
    <t>년수</t>
  </si>
  <si>
    <t>상각률</t>
  </si>
  <si>
    <t>월수</t>
  </si>
  <si>
    <t>당기상각비</t>
  </si>
  <si>
    <t>특별상각비</t>
  </si>
  <si>
    <t>당기말상각누계액</t>
  </si>
  <si>
    <t>미상각잔액</t>
  </si>
  <si>
    <t>광암동 405-1</t>
  </si>
  <si>
    <t>2019-10-08</t>
  </si>
  <si>
    <t>08</t>
  </si>
  <si>
    <t>철골, 철근콘크리트조, 석조 등</t>
  </si>
  <si>
    <t>[소계] 건물</t>
  </si>
  <si>
    <t/>
  </si>
  <si>
    <t>이동식콘베어</t>
  </si>
  <si>
    <t>2011-04-04</t>
  </si>
  <si>
    <t>15</t>
  </si>
  <si>
    <t>도.소매업 및 소비자용품수리업</t>
  </si>
  <si>
    <t>공업용재봉기</t>
  </si>
  <si>
    <t>2020-11-30</t>
  </si>
  <si>
    <t xml:space="preserve">  </t>
  </si>
  <si>
    <t>[소계] 기계장치</t>
  </si>
  <si>
    <t>36러6471 QM6</t>
  </si>
  <si>
    <t>2019-06-25</t>
  </si>
  <si>
    <t>69서4577 QM6</t>
  </si>
  <si>
    <t>32도7980호 MINI</t>
  </si>
  <si>
    <t>2017-12-04</t>
  </si>
  <si>
    <t>79두5397 스타렉스</t>
  </si>
  <si>
    <t>2015-02-04</t>
  </si>
  <si>
    <t>29러8807.쉐보레스파크</t>
  </si>
  <si>
    <t>2012-03-31</t>
  </si>
  <si>
    <t>47소9157스파크</t>
  </si>
  <si>
    <t>2013-07-25</t>
  </si>
  <si>
    <t>50더6334 벤츠</t>
  </si>
  <si>
    <t>2015-03-23</t>
  </si>
  <si>
    <t>67두0865 엑센트</t>
  </si>
  <si>
    <t>2015-09-15</t>
  </si>
  <si>
    <t>67두0867 엑센트</t>
  </si>
  <si>
    <t>2015-09-17</t>
  </si>
  <si>
    <t>08노0481 벤츠E220</t>
  </si>
  <si>
    <t>2016-08-22</t>
  </si>
  <si>
    <t>64라0213 K7</t>
  </si>
  <si>
    <t>2016-09-30</t>
  </si>
  <si>
    <t>2021-10-27</t>
  </si>
  <si>
    <t>[소계] 차량운반구</t>
  </si>
  <si>
    <t>써머믹스 종합조리기</t>
  </si>
  <si>
    <t>2021-08-05</t>
  </si>
  <si>
    <t>쿠진수비드머신</t>
  </si>
  <si>
    <t>2021-12-10</t>
  </si>
  <si>
    <t>커피머신</t>
  </si>
  <si>
    <t>2021-12-20</t>
  </si>
  <si>
    <t>Ramsay Burger Plate</t>
  </si>
  <si>
    <t>2021-12-31</t>
  </si>
  <si>
    <t>Ramsay Burger Small ware</t>
  </si>
  <si>
    <t>냉장고</t>
  </si>
  <si>
    <t>2022-01-17</t>
  </si>
  <si>
    <t>전기그릴</t>
  </si>
  <si>
    <t>2022-05-13</t>
  </si>
  <si>
    <t>눈꽃빙수기</t>
  </si>
  <si>
    <t>2022-06-08</t>
  </si>
  <si>
    <t>월드점-보조주방기기</t>
  </si>
  <si>
    <t>2022-07-06</t>
  </si>
  <si>
    <t>스파이럴믹서기</t>
  </si>
  <si>
    <t>2022-08-08</t>
  </si>
  <si>
    <t>2호점-피자도구</t>
  </si>
  <si>
    <t>2022-09-02</t>
  </si>
  <si>
    <t>2022-09-07</t>
  </si>
  <si>
    <t>화덕오븐기</t>
  </si>
  <si>
    <t>2022-09-23</t>
  </si>
  <si>
    <t>믹서기</t>
  </si>
  <si>
    <t>2022-09-30</t>
  </si>
  <si>
    <t>오븐집진기</t>
  </si>
  <si>
    <t>2022-10-12</t>
  </si>
  <si>
    <t>2호점-주방기기</t>
  </si>
  <si>
    <t>2022-10-30</t>
  </si>
  <si>
    <t>2호점-주방용품</t>
  </si>
  <si>
    <t>반반호두기기</t>
  </si>
  <si>
    <t>2022-11-08</t>
  </si>
  <si>
    <t>[소계] 주방기구</t>
  </si>
  <si>
    <t>제습기-광암동 지하</t>
  </si>
  <si>
    <t>2021-07-20</t>
  </si>
  <si>
    <t>해시스냅 프린터</t>
  </si>
  <si>
    <t>2022-04-30</t>
  </si>
  <si>
    <t>디타워-가구인테리어</t>
  </si>
  <si>
    <t>2022-11-30</t>
  </si>
  <si>
    <t>냉난방기</t>
  </si>
  <si>
    <t>2022-08-03</t>
  </si>
  <si>
    <t>직원용책상(FDD-1614) 외</t>
  </si>
  <si>
    <t>2014-12-11</t>
  </si>
  <si>
    <t>직원용책상</t>
  </si>
  <si>
    <t>2015-09-18</t>
  </si>
  <si>
    <t>에어컨IP-W0601V</t>
  </si>
  <si>
    <t>2009-10-20</t>
  </si>
  <si>
    <t>우드브라인드</t>
  </si>
  <si>
    <t>2011-04-19</t>
  </si>
  <si>
    <t>책상.의자.회의탁자등</t>
  </si>
  <si>
    <t>2011-04-28</t>
  </si>
  <si>
    <t>회의용탁자</t>
  </si>
  <si>
    <t>2011-05-11</t>
  </si>
  <si>
    <t>간판</t>
  </si>
  <si>
    <t>2011-05-15</t>
  </si>
  <si>
    <t>LG훼센에어컨</t>
  </si>
  <si>
    <t>2011-08-24</t>
  </si>
  <si>
    <t>사무실집기</t>
  </si>
  <si>
    <t>2012-04-04</t>
  </si>
  <si>
    <t>2013-01-30</t>
  </si>
  <si>
    <t>good-MD초기비용(소프트)</t>
  </si>
  <si>
    <t>2013-04-30</t>
  </si>
  <si>
    <t>[소계] 비품</t>
  </si>
  <si>
    <t>2022-03-31</t>
  </si>
  <si>
    <t>롯데월드 주방-냉난방기.전기공사</t>
  </si>
  <si>
    <t>2022-05-16</t>
  </si>
  <si>
    <t>AA</t>
  </si>
  <si>
    <t>숙박 및 음식점업</t>
  </si>
  <si>
    <t>명동작업건</t>
  </si>
  <si>
    <t>2021-03-11</t>
  </si>
  <si>
    <t>월드몰-보조주방인테리어</t>
  </si>
  <si>
    <t>2022-07-03</t>
  </si>
  <si>
    <t>서울역 작업건</t>
  </si>
  <si>
    <t>2019-03-13</t>
  </si>
  <si>
    <t>김포점</t>
  </si>
  <si>
    <t>2019-03-20</t>
  </si>
  <si>
    <t>유상원차장껀</t>
  </si>
  <si>
    <t>2019-04-05</t>
  </si>
  <si>
    <t>현대청주</t>
  </si>
  <si>
    <t>2021-03-17</t>
  </si>
  <si>
    <t>울산집기</t>
  </si>
  <si>
    <t>2019-08-13</t>
  </si>
  <si>
    <t>인천터미날건</t>
  </si>
  <si>
    <t>2019-08-21</t>
  </si>
  <si>
    <t>파이너스뮤지엄 잠실 집기제작</t>
  </si>
  <si>
    <t>2019-08-26</t>
  </si>
  <si>
    <t>진경 잠실롯데 폴뮤지엄 인테리어공사</t>
  </si>
  <si>
    <t>2019-09-04</t>
  </si>
  <si>
    <t>가구보수</t>
  </si>
  <si>
    <t>2019-10-05</t>
  </si>
  <si>
    <t>롯데평촌</t>
  </si>
  <si>
    <t>2019-10-07</t>
  </si>
  <si>
    <t>미아리작업건</t>
  </si>
  <si>
    <t>2019-10-17</t>
  </si>
  <si>
    <t>디타워-세콤설치</t>
  </si>
  <si>
    <t>2022-12-30</t>
  </si>
  <si>
    <t>본사 모피창고 행거(칸막이공사)</t>
  </si>
  <si>
    <t>2020-06-03</t>
  </si>
  <si>
    <t>광주점 매장집기</t>
  </si>
  <si>
    <t>2020-10-16</t>
  </si>
  <si>
    <t>롯데노원</t>
  </si>
  <si>
    <t>목동작업건</t>
  </si>
  <si>
    <t>2021-08-30</t>
  </si>
  <si>
    <t>구리 작업건</t>
  </si>
  <si>
    <t>2021-10-14</t>
  </si>
  <si>
    <t>부산집기</t>
  </si>
  <si>
    <t>2021-11-07</t>
  </si>
  <si>
    <t>디타워-주방인테리어(38.88)</t>
  </si>
  <si>
    <t>잠실점</t>
  </si>
  <si>
    <t>2021-11-17</t>
  </si>
  <si>
    <t>디타워-매장인테리어(63.80)</t>
  </si>
  <si>
    <t>롯데월드몰-매장인테리어(40평)</t>
  </si>
  <si>
    <t>2021-12-15</t>
  </si>
  <si>
    <t>롯데월드몰-주방인테리어(80평)</t>
  </si>
  <si>
    <t>롯데광복점인테리어</t>
  </si>
  <si>
    <t>2022-07-18</t>
  </si>
  <si>
    <t>부산정상집기</t>
  </si>
  <si>
    <t>2022-08-28</t>
  </si>
  <si>
    <t>구내교환기설치공사</t>
  </si>
  <si>
    <t>휀스자재</t>
  </si>
  <si>
    <t>2011-05-17</t>
  </si>
  <si>
    <t>회의실 인테리어공사</t>
  </si>
  <si>
    <t>2015-06-30</t>
  </si>
  <si>
    <t>냉난방공사 외</t>
  </si>
  <si>
    <t>2015-07-14</t>
  </si>
  <si>
    <t>진경회의실공사</t>
  </si>
  <si>
    <t>2015-07-20</t>
  </si>
  <si>
    <t>전기공사</t>
  </si>
  <si>
    <t>2016-06-09</t>
  </si>
  <si>
    <t>월드몰 송풍기설치공사</t>
  </si>
  <si>
    <t>[소계] 시설장치</t>
  </si>
  <si>
    <t>합계</t>
  </si>
  <si>
    <t>손   익   계   산   서</t>
  </si>
  <si>
    <t>금          액</t>
  </si>
  <si>
    <t>Ⅰ.매출액</t>
  </si>
  <si>
    <t>상품매출</t>
  </si>
  <si>
    <t>음식매출</t>
  </si>
  <si>
    <t>임대료수입</t>
  </si>
  <si>
    <t>Ⅱ.매출원가</t>
  </si>
  <si>
    <t>상품매출원가</t>
  </si>
  <si>
    <t>기초상품재고액</t>
  </si>
  <si>
    <t>당기상품매입액</t>
  </si>
  <si>
    <t>상품평가손실환입</t>
  </si>
  <si>
    <t>기말상품재고액</t>
  </si>
  <si>
    <t>음식매출원가</t>
  </si>
  <si>
    <t>기초음식재고액</t>
  </si>
  <si>
    <t>당기음식제조원가</t>
  </si>
  <si>
    <t>기말음식재고액</t>
  </si>
  <si>
    <t>Ⅲ.매출총이익</t>
  </si>
  <si>
    <t>Ⅳ.판매비와관리비</t>
  </si>
  <si>
    <t>제수당</t>
  </si>
  <si>
    <t>잡급</t>
  </si>
  <si>
    <t>퇴직연금</t>
  </si>
  <si>
    <t>퇴직급여</t>
  </si>
  <si>
    <t>복리후생비</t>
  </si>
  <si>
    <t>여비교통비</t>
  </si>
  <si>
    <t>접대비</t>
  </si>
  <si>
    <t>통신비</t>
  </si>
  <si>
    <t>수도광열비</t>
  </si>
  <si>
    <t>전력비</t>
  </si>
  <si>
    <t>세금과공과금</t>
  </si>
  <si>
    <t>감가상각비</t>
  </si>
  <si>
    <t>지급임차료</t>
  </si>
  <si>
    <t>수선비</t>
  </si>
  <si>
    <t>보험료</t>
  </si>
  <si>
    <t>차량유지비</t>
  </si>
  <si>
    <t>경상연구개발비</t>
  </si>
  <si>
    <t>운반비</t>
  </si>
  <si>
    <t>교육훈련비</t>
  </si>
  <si>
    <t>도서인쇄비</t>
  </si>
  <si>
    <t>포장비</t>
  </si>
  <si>
    <t>사무용품비</t>
  </si>
  <si>
    <t>소모품비</t>
  </si>
  <si>
    <t>지급수수료</t>
  </si>
  <si>
    <t>광고선전비</t>
  </si>
  <si>
    <t>판매촉진비</t>
  </si>
  <si>
    <t>대손상각비</t>
  </si>
  <si>
    <t>건물관리비</t>
  </si>
  <si>
    <t>수출제비용</t>
  </si>
  <si>
    <t>판매수수료</t>
  </si>
  <si>
    <t>무형고정자산상각</t>
  </si>
  <si>
    <t>견본비</t>
  </si>
  <si>
    <t>해외접대비</t>
  </si>
  <si>
    <t>해외출장비</t>
  </si>
  <si>
    <t>잡비</t>
  </si>
  <si>
    <t>차량리스료</t>
  </si>
  <si>
    <t>Ⅴ.영업이익</t>
  </si>
  <si>
    <t>Ⅵ.영업외수익</t>
  </si>
  <si>
    <t>이자수익</t>
  </si>
  <si>
    <t>단기투자자산평가익</t>
  </si>
  <si>
    <t>외환차익</t>
  </si>
  <si>
    <t>외화환산이익</t>
  </si>
  <si>
    <t>유형자산처분이익</t>
  </si>
  <si>
    <t>잡이익</t>
  </si>
  <si>
    <t>Ⅶ.영업외비용</t>
  </si>
  <si>
    <t>이자비용</t>
  </si>
  <si>
    <t>외환차손</t>
  </si>
  <si>
    <t>기부금</t>
  </si>
  <si>
    <t>외화환산손실</t>
  </si>
  <si>
    <t>유형자산처분손실</t>
  </si>
  <si>
    <t>잡손실</t>
  </si>
  <si>
    <t>Ⅷ.법인세차감전이익</t>
  </si>
  <si>
    <t>Ⅸ.법인세등</t>
  </si>
  <si>
    <t>법인세비용</t>
  </si>
  <si>
    <t>Ⅹ.당기순이익</t>
  </si>
  <si>
    <t>분할후</t>
    <phoneticPr fontId="4" type="noConversion"/>
  </si>
  <si>
    <t>합계</t>
    <phoneticPr fontId="4" type="noConversion"/>
  </si>
  <si>
    <t>검증</t>
    <phoneticPr fontId="4" type="noConversion"/>
  </si>
  <si>
    <t>비고</t>
  </si>
  <si>
    <t>비고</t>
    <phoneticPr fontId="4" type="noConversion"/>
  </si>
  <si>
    <t>차액</t>
    <phoneticPr fontId="4" type="noConversion"/>
  </si>
  <si>
    <t>보통예금명세서</t>
  </si>
  <si>
    <t>진경산업(주)본점</t>
  </si>
  <si>
    <t>(단위: 원)</t>
  </si>
  <si>
    <t>코드</t>
  </si>
  <si>
    <t>계정과목명</t>
  </si>
  <si>
    <t>거래처명</t>
  </si>
  <si>
    <t>금액</t>
  </si>
  <si>
    <t>103</t>
  </si>
  <si>
    <t>098000</t>
  </si>
  <si>
    <t>우리은행(101)</t>
  </si>
  <si>
    <t>098001</t>
  </si>
  <si>
    <t>신한은행롯데(279)</t>
  </si>
  <si>
    <t>098003</t>
  </si>
  <si>
    <t>우리은행(103)</t>
  </si>
  <si>
    <t>098004</t>
  </si>
  <si>
    <t>신한은행(596)</t>
  </si>
  <si>
    <t>098006</t>
  </si>
  <si>
    <t>국민은행(037949)</t>
  </si>
  <si>
    <t>098008</t>
  </si>
  <si>
    <t>하나은행(504)</t>
  </si>
  <si>
    <t>098016</t>
  </si>
  <si>
    <t>국민체크(956)</t>
  </si>
  <si>
    <t>098021</t>
  </si>
  <si>
    <t>기업은행</t>
  </si>
  <si>
    <t>098023</t>
  </si>
  <si>
    <t>국민체크(309312)</t>
  </si>
  <si>
    <t>098026</t>
  </si>
  <si>
    <t>098214</t>
  </si>
  <si>
    <t>국민은행(10억한도 마이너스통장)</t>
  </si>
  <si>
    <t>합 계</t>
  </si>
  <si>
    <t>외화보통예금명세서</t>
  </si>
  <si>
    <t>104</t>
  </si>
  <si>
    <t>098009</t>
  </si>
  <si>
    <t>우리외화(150)</t>
  </si>
  <si>
    <t>098015</t>
  </si>
  <si>
    <t>국민외화(USD)</t>
  </si>
  <si>
    <t>098019</t>
  </si>
  <si>
    <t>기업외화</t>
  </si>
  <si>
    <t>기타단기금융상품명세서</t>
  </si>
  <si>
    <t>106</t>
  </si>
  <si>
    <t>외상매출금명세서</t>
  </si>
  <si>
    <t>108</t>
  </si>
  <si>
    <t>000102</t>
  </si>
  <si>
    <t>롯데쇼핑(주)잠실점</t>
  </si>
  <si>
    <t>000103</t>
  </si>
  <si>
    <t>롯데쇼핑(주)부산본점</t>
  </si>
  <si>
    <t>000104</t>
  </si>
  <si>
    <t>롯데역사(주)영등포점</t>
  </si>
  <si>
    <t>000105</t>
  </si>
  <si>
    <t>롯데쇼핑(주)광주점</t>
  </si>
  <si>
    <t>000106</t>
  </si>
  <si>
    <t>롯데쇼핑(주)관악점</t>
  </si>
  <si>
    <t>000109</t>
  </si>
  <si>
    <t>롯데쇼핑㈜청주영플라자</t>
  </si>
  <si>
    <t>000111</t>
  </si>
  <si>
    <t>롯데쇼핑(주)본점</t>
  </si>
  <si>
    <t>000126</t>
  </si>
  <si>
    <t>롯데쇼핑(주)청량리점</t>
  </si>
  <si>
    <t>000127</t>
  </si>
  <si>
    <t>롯데쇼핑(주)일산점</t>
  </si>
  <si>
    <t>000149</t>
  </si>
  <si>
    <t>(주)엠티콜렉션</t>
  </si>
  <si>
    <t>000154</t>
  </si>
  <si>
    <t>롯데쇼핑(주)대전점</t>
  </si>
  <si>
    <t>000349</t>
  </si>
  <si>
    <t>롯데쇼핑(주)강남점</t>
  </si>
  <si>
    <t>000435</t>
  </si>
  <si>
    <t>쉘브르(현경희)</t>
  </si>
  <si>
    <t>000436</t>
  </si>
  <si>
    <t>롯데쇼핑(주)전주점</t>
  </si>
  <si>
    <t>000488</t>
  </si>
  <si>
    <t>롯데쇼핑(주)미아점</t>
  </si>
  <si>
    <t>000582</t>
  </si>
  <si>
    <t>롯데쇼핑(주)센텀시티점</t>
  </si>
  <si>
    <t>000754</t>
  </si>
  <si>
    <t>롯데쇼핑(주)건대스타시티점</t>
  </si>
  <si>
    <t>000845</t>
  </si>
  <si>
    <t>인성산업</t>
  </si>
  <si>
    <t>000998</t>
  </si>
  <si>
    <t>롯데쇼핑(주)광복점</t>
  </si>
  <si>
    <t>롯데물산（주）롯데월드몰점</t>
  </si>
  <si>
    <t>001639</t>
  </si>
  <si>
    <t>(주)진원아이티씨</t>
  </si>
  <si>
    <t>001641</t>
  </si>
  <si>
    <t>(주)비홍패션</t>
  </si>
  <si>
    <t>002223</t>
  </si>
  <si>
    <t>(주)현대백화점천호점</t>
  </si>
  <si>
    <t>002554</t>
  </si>
  <si>
    <t>(주)현대백화점울산점</t>
  </si>
  <si>
    <t>002555</t>
  </si>
  <si>
    <t>(주)현대백화점중동점</t>
  </si>
  <si>
    <t>002685</t>
  </si>
  <si>
    <t>롯데쇼핑(주)김포공항점</t>
  </si>
  <si>
    <t>002982</t>
  </si>
  <si>
    <t>롯데쇼핑(주)평촌점</t>
  </si>
  <si>
    <t>003083</t>
  </si>
  <si>
    <t>한무쇼핑 (주) 충청점</t>
  </si>
  <si>
    <t>003084</t>
  </si>
  <si>
    <t>(주)현대백화점신촌점</t>
  </si>
  <si>
    <t>003429</t>
  </si>
  <si>
    <t>롯데쇼핑㈜구리점</t>
  </si>
  <si>
    <t>004030</t>
  </si>
  <si>
    <t>롯데쇼핑(주)노원점</t>
  </si>
  <si>
    <t>005385</t>
  </si>
  <si>
    <t>한무쇼핑(주)목동점</t>
  </si>
  <si>
    <t>006599</t>
  </si>
  <si>
    <t>주식회사 엠제이컴퍼니</t>
  </si>
  <si>
    <t>010480</t>
  </si>
  <si>
    <t>롯데쇼핑(주) 동탄점</t>
  </si>
  <si>
    <t>011195</t>
  </si>
  <si>
    <t>주식회사 세원바이오</t>
  </si>
  <si>
    <t>대손충당금명세서</t>
  </si>
  <si>
    <t>109</t>
  </si>
  <si>
    <t>미등록거래처</t>
  </si>
  <si>
    <t>미수금명세서</t>
  </si>
  <si>
    <t>120</t>
  </si>
  <si>
    <t>006261</t>
  </si>
  <si>
    <t>LH토지공사</t>
  </si>
  <si>
    <t>009862</t>
  </si>
  <si>
    <t>(주)싱싱</t>
  </si>
  <si>
    <t>011337</t>
  </si>
  <si>
    <t>주식회사 와드</t>
  </si>
  <si>
    <t>비씨카드</t>
  </si>
  <si>
    <t>신한카드</t>
  </si>
  <si>
    <t>롯데카드</t>
  </si>
  <si>
    <t>하나카드</t>
  </si>
  <si>
    <t>농협NH카드</t>
  </si>
  <si>
    <t>KB카드</t>
  </si>
  <si>
    <t>현대카드</t>
  </si>
  <si>
    <t>삼성카드</t>
  </si>
  <si>
    <t>선급금명세서</t>
  </si>
  <si>
    <t>131</t>
  </si>
  <si>
    <t>001521</t>
  </si>
  <si>
    <t>인프로디자인</t>
  </si>
  <si>
    <t>011191</t>
  </si>
  <si>
    <t>（주）동원에프앤비</t>
  </si>
  <si>
    <t>011336</t>
  </si>
  <si>
    <t>엔케이토탈키친</t>
  </si>
  <si>
    <t>선급비용명세서</t>
  </si>
  <si>
    <t>133</t>
  </si>
  <si>
    <t>000118</t>
  </si>
  <si>
    <t>롯데쇼핑(주)롯데아울렛서울역점</t>
  </si>
  <si>
    <t>000125</t>
  </si>
  <si>
    <t>주식회사 밴코아트</t>
  </si>
  <si>
    <t>000130</t>
  </si>
  <si>
    <t>인천세관</t>
  </si>
  <si>
    <t>000135</t>
  </si>
  <si>
    <t>한국전력공사</t>
  </si>
  <si>
    <t>000139</t>
  </si>
  <si>
    <t>㈜LG유플러스</t>
  </si>
  <si>
    <t>000143</t>
  </si>
  <si>
    <t>(주)에스원 경기광주</t>
  </si>
  <si>
    <t>000221</t>
  </si>
  <si>
    <t>홈플러스（주）</t>
  </si>
  <si>
    <t>000253</t>
  </si>
  <si>
    <t>롯데쇼핑（주）롯데마트잠실점</t>
  </si>
  <si>
    <t>000320</t>
  </si>
  <si>
    <t>（주）이마트</t>
  </si>
  <si>
    <t>000326</t>
  </si>
  <si>
    <t>기원상사</t>
  </si>
  <si>
    <t>000368</t>
  </si>
  <si>
    <t>주식회사 한국사이버결제</t>
  </si>
  <si>
    <t>000404</t>
  </si>
  <si>
    <t>대아사(김현석)</t>
  </si>
  <si>
    <t>000481</t>
  </si>
  <si>
    <t>（주）대명레저산업</t>
  </si>
  <si>
    <t>000628</t>
  </si>
  <si>
    <t>롯데글로벌로지스(주)</t>
  </si>
  <si>
    <t>000708</t>
  </si>
  <si>
    <t>최경선변호사사무소</t>
  </si>
  <si>
    <t>000741</t>
  </si>
  <si>
    <t>（주）호텔롯데롯데월드</t>
  </si>
  <si>
    <t>000864</t>
  </si>
  <si>
    <t>（주）신세계</t>
  </si>
  <si>
    <t>000958</t>
  </si>
  <si>
    <t>제이케이인터내셔널</t>
  </si>
  <si>
    <t>001085</t>
  </si>
  <si>
    <t>대원피엔에스(신순득)</t>
  </si>
  <si>
    <t>001217</t>
  </si>
  <si>
    <t>아우라디자인(김정식)</t>
  </si>
  <si>
    <t>001462</t>
  </si>
  <si>
    <t>(주)화이어캅스서울</t>
  </si>
  <si>
    <t>001792</t>
  </si>
  <si>
    <t>（주）코리아세븐 잠실역신광장점</t>
  </si>
  <si>
    <t>명가</t>
  </si>
  <si>
    <t>002229</t>
  </si>
  <si>
    <t>세종 플러스</t>
  </si>
  <si>
    <t>002250</t>
  </si>
  <si>
    <t>동신상사</t>
  </si>
  <si>
    <t>002494</t>
  </si>
  <si>
    <t>주식회사　현대홈쇼핑</t>
  </si>
  <si>
    <t>002558</t>
  </si>
  <si>
    <t>장정일. 장정환</t>
  </si>
  <si>
    <t>002906</t>
  </si>
  <si>
    <t>미래모자</t>
  </si>
  <si>
    <t>003232</t>
  </si>
  <si>
    <t>(주)코리아세븐 롯데월드광장점</t>
  </si>
  <si>
    <t>003567</t>
  </si>
  <si>
    <t>(주)태발에프앤씨</t>
  </si>
  <si>
    <t>003589</t>
  </si>
  <si>
    <t>정금순</t>
  </si>
  <si>
    <t>003735</t>
  </si>
  <si>
    <t>성도금속</t>
  </si>
  <si>
    <t>003739</t>
  </si>
  <si>
    <t>주식회사 포워드벤처스</t>
  </si>
  <si>
    <t>하남시청</t>
  </si>
  <si>
    <t>004063</t>
  </si>
  <si>
    <t>롯데물산（주）</t>
  </si>
  <si>
    <t>004166</t>
  </si>
  <si>
    <t>경진수출포장</t>
  </si>
  <si>
    <t>004170</t>
  </si>
  <si>
    <t>주식회사 다보</t>
  </si>
  <si>
    <t>004207</t>
  </si>
  <si>
    <t>(주)신도디지텍</t>
  </si>
  <si>
    <t>004219</t>
  </si>
  <si>
    <t>(주)신세계아이앤씨</t>
  </si>
  <si>
    <t>004535</t>
  </si>
  <si>
    <t>신흥기업</t>
  </si>
  <si>
    <t>004547</t>
  </si>
  <si>
    <t>롯데쇼핑（주）롯데마트 월드타워점</t>
  </si>
  <si>
    <t>004649</t>
  </si>
  <si>
    <t>주식회사 새롬에스에프</t>
  </si>
  <si>
    <t>005016</t>
  </si>
  <si>
    <t>한국정보통신（주）</t>
  </si>
  <si>
    <t>005040</t>
  </si>
  <si>
    <t>씨케이코퍼레이션즈 주식회사</t>
  </si>
  <si>
    <t>005388</t>
  </si>
  <si>
    <t>스튜디오이탈이데아</t>
  </si>
  <si>
    <t>005764</t>
  </si>
  <si>
    <t>제이엠티씨 (주)</t>
  </si>
  <si>
    <t>005765</t>
  </si>
  <si>
    <t>선우관세사무소</t>
  </si>
  <si>
    <t>005768</t>
  </si>
  <si>
    <t>(사)한국관세무역개발원공항특송사무소</t>
  </si>
  <si>
    <t>005989</t>
  </si>
  <si>
    <t>씨제이프레시웨이주식회사</t>
  </si>
  <si>
    <t>006587</t>
  </si>
  <si>
    <t>이오스관세법인</t>
  </si>
  <si>
    <t>006590</t>
  </si>
  <si>
    <t>(주)다우기술</t>
  </si>
  <si>
    <t>006981</t>
  </si>
  <si>
    <t>주식회사동영어패럴</t>
  </si>
  <si>
    <t>007354</t>
  </si>
  <si>
    <t>아이네오스</t>
  </si>
  <si>
    <t>007947</t>
  </si>
  <si>
    <t>주식회사 한강무역</t>
  </si>
  <si>
    <t>008830</t>
  </si>
  <si>
    <t>연합전력소방</t>
  </si>
  <si>
    <t>008886</t>
  </si>
  <si>
    <t>네이버파이낸셜 주식회사</t>
  </si>
  <si>
    <t>009053</t>
  </si>
  <si>
    <t>씨제이올리브영 주식회사</t>
  </si>
  <si>
    <t>009155</t>
  </si>
  <si>
    <t>(주)태영엘리베이터써비스</t>
  </si>
  <si>
    <t>009158</t>
  </si>
  <si>
    <t>우성토탈</t>
  </si>
  <si>
    <t>009450</t>
  </si>
  <si>
    <t>빌딩닥터</t>
  </si>
  <si>
    <t>009466</t>
  </si>
  <si>
    <t>파비스인터내셔날(주)</t>
  </si>
  <si>
    <t>009477</t>
  </si>
  <si>
    <t>(주)코리아세븐 롯데월드타워1호점</t>
  </si>
  <si>
    <t>009597</t>
  </si>
  <si>
    <t>주식회사 동맹무역</t>
  </si>
  <si>
    <t>009875</t>
  </si>
  <si>
    <t>정금산업</t>
  </si>
  <si>
    <t>010242</t>
  </si>
  <si>
    <t>에스지메디칼 주식회사</t>
  </si>
  <si>
    <t>010249</t>
  </si>
  <si>
    <t>삼성사</t>
  </si>
  <si>
    <t>010483</t>
  </si>
  <si>
    <t>(주)영민섬유</t>
  </si>
  <si>
    <t>010487</t>
  </si>
  <si>
    <t>(주)지에스리테일 홈쇼핑</t>
  </si>
  <si>
    <t>010491</t>
  </si>
  <si>
    <t>매일유업주식회사</t>
  </si>
  <si>
    <t>010493</t>
  </si>
  <si>
    <t>시노 (SHINOH)</t>
  </si>
  <si>
    <t>010494</t>
  </si>
  <si>
    <t>(주)쉐프스 푸드</t>
  </si>
  <si>
    <t>010495</t>
  </si>
  <si>
    <t>(주)하나특판</t>
  </si>
  <si>
    <t>010499</t>
  </si>
  <si>
    <t>주식회사 보타 (VOTTA Co., Ltd.)</t>
  </si>
  <si>
    <t>010500</t>
  </si>
  <si>
    <t>도우</t>
  </si>
  <si>
    <t>010729</t>
  </si>
  <si>
    <t>지에스25 서울숲디타워점</t>
  </si>
  <si>
    <t>010753</t>
  </si>
  <si>
    <t>주식회사 디자인사쩜이</t>
  </si>
  <si>
    <t>010755</t>
  </si>
  <si>
    <t>서광인터내셔널</t>
  </si>
  <si>
    <t>010757</t>
  </si>
  <si>
    <t>구르메에프앤드비코리아(주)</t>
  </si>
  <si>
    <t>010758</t>
  </si>
  <si>
    <t>한국후지공업(주)</t>
  </si>
  <si>
    <t>해피웨이브컴퍼니</t>
  </si>
  <si>
    <t>010761</t>
  </si>
  <si>
    <t>(주)씨피티</t>
  </si>
  <si>
    <t>010762</t>
  </si>
  <si>
    <t>(주)성우테크</t>
  </si>
  <si>
    <t>010767</t>
  </si>
  <si>
    <t>KTK(케이티케이)</t>
  </si>
  <si>
    <t>010768</t>
  </si>
  <si>
    <t>(주)오레팜</t>
  </si>
  <si>
    <t>010769</t>
  </si>
  <si>
    <t>주식회사 카카오</t>
  </si>
  <si>
    <t>010773</t>
  </si>
  <si>
    <t>(주)제원인터내쇼날</t>
  </si>
  <si>
    <t>010774</t>
  </si>
  <si>
    <t>세미기업(주)</t>
  </si>
  <si>
    <t>010775</t>
  </si>
  <si>
    <t>농업회사법인(주)대경햄</t>
  </si>
  <si>
    <t>010776</t>
  </si>
  <si>
    <t>(주)진성통합상사</t>
  </si>
  <si>
    <t>010777</t>
  </si>
  <si>
    <t>주식회사 글로벌제너레이션</t>
  </si>
  <si>
    <t>010778</t>
  </si>
  <si>
    <t>(주)코라마상사</t>
  </si>
  <si>
    <t>010779</t>
  </si>
  <si>
    <t>코카콜라음료 주식회사</t>
  </si>
  <si>
    <t>010781</t>
  </si>
  <si>
    <t>타코</t>
  </si>
  <si>
    <t>010796</t>
  </si>
  <si>
    <t>오케이미트(주)</t>
  </si>
  <si>
    <t>010797</t>
  </si>
  <si>
    <t>(주)굿푸드시스템</t>
  </si>
  <si>
    <t>010801</t>
  </si>
  <si>
    <t>농업회사법인 자연에프엔비 주식회사</t>
  </si>
  <si>
    <t>010830</t>
  </si>
  <si>
    <t>주식회사 엠에이치파트너스</t>
  </si>
  <si>
    <t>010839</t>
  </si>
  <si>
    <t>（주）코리아세븐 롯데월드몰수족관점</t>
  </si>
  <si>
    <t>011017</t>
  </si>
  <si>
    <t>011021</t>
  </si>
  <si>
    <t>사람에프앤비</t>
  </si>
  <si>
    <t>011196</t>
  </si>
  <si>
    <t>세무법인 정진 하남사무소</t>
  </si>
  <si>
    <t>011201</t>
  </si>
  <si>
    <t>우성코리아</t>
  </si>
  <si>
    <t>011202</t>
  </si>
  <si>
    <t>（주）호레카</t>
  </si>
  <si>
    <t>011203</t>
  </si>
  <si>
    <t>주식회사 샵캐스트</t>
  </si>
  <si>
    <t>011205</t>
  </si>
  <si>
    <t>(주)디플러스</t>
  </si>
  <si>
    <t>011206</t>
  </si>
  <si>
    <t>주식회사 시아스</t>
  </si>
  <si>
    <t>011208</t>
  </si>
  <si>
    <t>주식회사 지구인컴퍼니</t>
  </si>
  <si>
    <t>011212</t>
  </si>
  <si>
    <t>퓌퓌 초콜릿</t>
  </si>
  <si>
    <t>011213</t>
  </si>
  <si>
    <t>유원렌탈</t>
  </si>
  <si>
    <t>011214</t>
  </si>
  <si>
    <t>아띠공방</t>
  </si>
  <si>
    <t>011218</t>
  </si>
  <si>
    <t>퀸즈햇(Queens Hat)</t>
  </si>
  <si>
    <t>011219</t>
  </si>
  <si>
    <t>장안모자</t>
  </si>
  <si>
    <t>011220</t>
  </si>
  <si>
    <t>KM모자</t>
  </si>
  <si>
    <t>011222</t>
  </si>
  <si>
    <t>제이코코(J.CoCo)</t>
  </si>
  <si>
    <t>011230</t>
  </si>
  <si>
    <t>지니모자</t>
  </si>
  <si>
    <t>011231</t>
  </si>
  <si>
    <t>대도모자</t>
  </si>
  <si>
    <t>011232</t>
  </si>
  <si>
    <t>스마트로지스 주식회사</t>
  </si>
  <si>
    <t>011233</t>
  </si>
  <si>
    <t>세기모자</t>
  </si>
  <si>
    <t>011234</t>
  </si>
  <si>
    <t>(주)해시스냅</t>
  </si>
  <si>
    <t>011235</t>
  </si>
  <si>
    <t>（주）삼성키드</t>
  </si>
  <si>
    <t>011237</t>
  </si>
  <si>
    <t>(주)디앤에이치</t>
  </si>
  <si>
    <t>011238</t>
  </si>
  <si>
    <t>삼성현대세탁</t>
  </si>
  <si>
    <t>011240</t>
  </si>
  <si>
    <t>011241</t>
  </si>
  <si>
    <t>주식회사 나까조인터내셔널</t>
  </si>
  <si>
    <t>011242</t>
  </si>
  <si>
    <t>햇츠맘</t>
  </si>
  <si>
    <t>011246</t>
  </si>
  <si>
    <t>폴리체（pollice）</t>
  </si>
  <si>
    <t>011284</t>
  </si>
  <si>
    <t>주식회사 씨앤아이물류</t>
  </si>
  <si>
    <t>011287</t>
  </si>
  <si>
    <t>디피지샵</t>
  </si>
  <si>
    <t>011325</t>
  </si>
  <si>
    <t>비에프엘컴퍼니</t>
  </si>
  <si>
    <t>011326</t>
  </si>
  <si>
    <t>주식회사 부에나 (Buena Co.LTD)</t>
  </si>
  <si>
    <t>011328</t>
  </si>
  <si>
    <t>주식회사 아이키친</t>
  </si>
  <si>
    <t>011329</t>
  </si>
  <si>
    <t>(주)씨알트레이딩</t>
  </si>
  <si>
    <t>011332</t>
  </si>
  <si>
    <t>보성무역</t>
  </si>
  <si>
    <t>011338</t>
  </si>
  <si>
    <t>(주) 부성비앤에프시스템</t>
  </si>
  <si>
    <t>011340</t>
  </si>
  <si>
    <t>주식회사 지오글로벌</t>
  </si>
  <si>
    <t>011344</t>
  </si>
  <si>
    <t>(주)디자인다나함</t>
  </si>
  <si>
    <t>011345</t>
  </si>
  <si>
    <t>진흥모피</t>
  </si>
  <si>
    <t>011348</t>
  </si>
  <si>
    <t>（주）하남프라자</t>
  </si>
  <si>
    <t>011435</t>
  </si>
  <si>
    <t>다농산업（주）</t>
  </si>
  <si>
    <t>011462</t>
  </si>
  <si>
    <t>（주）우주식품디씨오피</t>
  </si>
  <si>
    <t>011470</t>
  </si>
  <si>
    <t>롯데쇼핑(주)보틀벙커 제타플렉스</t>
  </si>
  <si>
    <t>011489</t>
  </si>
  <si>
    <t>유한회사 대진건해</t>
  </si>
  <si>
    <t>011619</t>
  </si>
  <si>
    <t>주식회사 한국바이에른식육학교</t>
  </si>
  <si>
    <t>011718</t>
  </si>
  <si>
    <t>큐브인터내셔널</t>
  </si>
  <si>
    <t>011724</t>
  </si>
  <si>
    <t>(주)카보드</t>
  </si>
  <si>
    <t>011725</t>
  </si>
  <si>
    <t>주식회사 유원</t>
  </si>
  <si>
    <t>011726</t>
  </si>
  <si>
    <t>타이거인터내셔날(주)</t>
  </si>
  <si>
    <t>011730</t>
  </si>
  <si>
    <t>(주)로시퍼제스</t>
  </si>
  <si>
    <t>011742</t>
  </si>
  <si>
    <t>타바론코리아(주)</t>
  </si>
  <si>
    <t>011743</t>
  </si>
  <si>
    <t>(주)윈설트</t>
  </si>
  <si>
    <t>011748</t>
  </si>
  <si>
    <t>디엘이앤씨 주식회사 서울숲D타워 사업소</t>
  </si>
  <si>
    <t>011752</t>
  </si>
  <si>
    <t>일우식품 주식회사</t>
  </si>
  <si>
    <t>011755</t>
  </si>
  <si>
    <t>주식회사 해드림에프앤씨</t>
  </si>
  <si>
    <t>011764</t>
  </si>
  <si>
    <t>모자백화점</t>
  </si>
  <si>
    <t>011765</t>
  </si>
  <si>
    <t>주식회사온코</t>
  </si>
  <si>
    <t>011766</t>
  </si>
  <si>
    <t>아이스팜</t>
  </si>
  <si>
    <t>011778</t>
  </si>
  <si>
    <t>프로즌 베이커리</t>
  </si>
  <si>
    <t>011779</t>
  </si>
  <si>
    <t>오성패키지주식회사</t>
  </si>
  <si>
    <t>011783</t>
  </si>
  <si>
    <t>(주) 크림앤크림</t>
  </si>
  <si>
    <t>011784</t>
  </si>
  <si>
    <t>더 월드 바인</t>
  </si>
  <si>
    <t>011791</t>
  </si>
  <si>
    <t>(주)테라디티엠 김포지사</t>
  </si>
  <si>
    <t>011804</t>
  </si>
  <si>
    <t>빅마운트앤컴퍼니(BIGMOUNT&amp;Company)</t>
  </si>
  <si>
    <t>011824</t>
  </si>
  <si>
    <t>제아스컴퍼니</t>
  </si>
  <si>
    <t>011836</t>
  </si>
  <si>
    <t>피아텍</t>
  </si>
  <si>
    <t>011842</t>
  </si>
  <si>
    <t>김영모 과자점</t>
  </si>
  <si>
    <t>011933</t>
  </si>
  <si>
    <t>팔당생명살림소비자생활 협동조합</t>
  </si>
  <si>
    <t>011941</t>
  </si>
  <si>
    <t>（주）신성 성남지사</t>
  </si>
  <si>
    <t>012057</t>
  </si>
  <si>
    <t>(주)신세계엘앤비 와인앤모어 서울숲점</t>
  </si>
  <si>
    <t>상품명세서</t>
  </si>
  <si>
    <t>146</t>
  </si>
  <si>
    <t>비즈담</t>
  </si>
  <si>
    <t>153</t>
  </si>
  <si>
    <t>009810</t>
  </si>
  <si>
    <t>(주)코리아세븐 롯데월드몰5층점</t>
  </si>
  <si>
    <t>010502</t>
  </si>
  <si>
    <t>인푸드（INFOOD）</t>
  </si>
  <si>
    <t>010780</t>
  </si>
  <si>
    <t>(주)거림스피리츠</t>
  </si>
  <si>
    <t>010798</t>
  </si>
  <si>
    <t>상하농원(유)</t>
  </si>
  <si>
    <t>010802</t>
  </si>
  <si>
    <t>설로인 주식회사</t>
  </si>
  <si>
    <t>010829</t>
  </si>
  <si>
    <t>제이와인주류샵 （J WINE SHOP）</t>
  </si>
  <si>
    <t>미착품명세서</t>
  </si>
  <si>
    <t>168</t>
  </si>
  <si>
    <t>미착품</t>
  </si>
  <si>
    <t>003401</t>
  </si>
  <si>
    <t>XU WEN</t>
  </si>
  <si>
    <t>상품평가충당금명세서</t>
  </si>
  <si>
    <t>172</t>
  </si>
  <si>
    <t>장기성예금명세서</t>
  </si>
  <si>
    <t>176</t>
  </si>
  <si>
    <t>098105</t>
  </si>
  <si>
    <t>LIG운전자보험(10만)</t>
  </si>
  <si>
    <t>098107</t>
  </si>
  <si>
    <t>LIG상해보험(100만)</t>
  </si>
  <si>
    <t>특허권명세서</t>
  </si>
  <si>
    <t>232</t>
  </si>
  <si>
    <t>의장권명세서</t>
  </si>
  <si>
    <t>235</t>
  </si>
  <si>
    <t>소프트웨어명세서</t>
  </si>
  <si>
    <t>240</t>
  </si>
  <si>
    <t>외상매입금명세서</t>
  </si>
  <si>
    <t>251</t>
  </si>
  <si>
    <t>미지급금명세서</t>
  </si>
  <si>
    <t>253</t>
  </si>
  <si>
    <t>000330</t>
  </si>
  <si>
    <t>직원</t>
  </si>
  <si>
    <t>004776</t>
  </si>
  <si>
    <t>(주)글로벌텍스프리(주)</t>
  </si>
  <si>
    <t>005162</t>
  </si>
  <si>
    <t>셀프광장주유소</t>
  </si>
  <si>
    <t>국민법인카드</t>
  </si>
  <si>
    <t>예수금명세서</t>
  </si>
  <si>
    <t>254</t>
  </si>
  <si>
    <t>000671</t>
  </si>
  <si>
    <t>건강보험공단</t>
  </si>
  <si>
    <t>000672</t>
  </si>
  <si>
    <t>근로복지공단</t>
  </si>
  <si>
    <t>001006</t>
  </si>
  <si>
    <t>경기광주세무서</t>
  </si>
  <si>
    <t>001007</t>
  </si>
  <si>
    <t>단기차입금명세서</t>
  </si>
  <si>
    <t>260</t>
  </si>
  <si>
    <t>미지급비용명세서</t>
  </si>
  <si>
    <t>262</t>
  </si>
  <si>
    <t>002973</t>
  </si>
  <si>
    <t>김효분</t>
  </si>
  <si>
    <t>002986</t>
  </si>
  <si>
    <t>이병숙</t>
  </si>
  <si>
    <t>002992</t>
  </si>
  <si>
    <t>임수자</t>
  </si>
  <si>
    <t>002993</t>
  </si>
  <si>
    <t>한양례</t>
  </si>
  <si>
    <t>002996</t>
  </si>
  <si>
    <t>문경란</t>
  </si>
  <si>
    <t>003001</t>
  </si>
  <si>
    <t>손지영</t>
  </si>
  <si>
    <t>003358</t>
  </si>
  <si>
    <t>양옥순</t>
  </si>
  <si>
    <t>012136</t>
  </si>
  <si>
    <t>황정희</t>
  </si>
  <si>
    <t>선수수익명세서</t>
  </si>
  <si>
    <t>263</t>
  </si>
  <si>
    <t>주임종단기채무명세서</t>
  </si>
  <si>
    <t>274</t>
  </si>
  <si>
    <t>001910</t>
  </si>
  <si>
    <t>대표이사</t>
  </si>
  <si>
    <t>장기차입금명세서</t>
  </si>
  <si>
    <t>293</t>
  </si>
  <si>
    <t>주.임.종장기차입금명세서</t>
  </si>
  <si>
    <t>303</t>
  </si>
  <si>
    <t>자본금명세서</t>
  </si>
  <si>
    <t>331</t>
  </si>
  <si>
    <t>임차보증금명세서</t>
  </si>
  <si>
    <t>962</t>
  </si>
  <si>
    <t>기타보증금명세서</t>
  </si>
  <si>
    <t>964</t>
  </si>
  <si>
    <t>GR SOUTH KOREA LTD</t>
  </si>
  <si>
    <t>전신전화가입권명세서</t>
  </si>
  <si>
    <t>978</t>
  </si>
  <si>
    <t>분할 순자산 규모</t>
    <phoneticPr fontId="4" type="noConversion"/>
  </si>
  <si>
    <t>분할 신설법인</t>
    <phoneticPr fontId="4" type="noConversion"/>
  </si>
  <si>
    <t>존속법인</t>
    <phoneticPr fontId="4" type="noConversion"/>
  </si>
  <si>
    <t>소계</t>
    <phoneticPr fontId="4" type="noConversion"/>
  </si>
  <si>
    <t>구분</t>
    <phoneticPr fontId="4" type="noConversion"/>
  </si>
  <si>
    <t xml:space="preserve"> </t>
    <phoneticPr fontId="4" type="noConversion"/>
  </si>
  <si>
    <t>금액</t>
    <phoneticPr fontId="4" type="noConversion"/>
  </si>
  <si>
    <t>(단위 : 원)</t>
    <phoneticPr fontId="4" type="noConversion"/>
  </si>
  <si>
    <t>분할존속회사</t>
    <phoneticPr fontId="4" type="noConversion"/>
  </si>
  <si>
    <t>분할신설회사</t>
    <phoneticPr fontId="4" type="noConversion"/>
  </si>
  <si>
    <t>유형자산(장부가액 합계)</t>
    <phoneticPr fontId="4" type="noConversion"/>
  </si>
  <si>
    <t>유형자산(감가상각누계액 합계)</t>
    <phoneticPr fontId="4" type="noConversion"/>
  </si>
  <si>
    <t>분할 대상 순자산</t>
    <phoneticPr fontId="4" type="noConversion"/>
  </si>
  <si>
    <t>시설장치</t>
    <phoneticPr fontId="4" type="noConversion"/>
  </si>
  <si>
    <t xml:space="preserve">  (1) 주방기구(취득가액 소계)</t>
    <phoneticPr fontId="4" type="noConversion"/>
  </si>
  <si>
    <t xml:space="preserve">  (2) 비품(취득가액 소계)</t>
    <phoneticPr fontId="4" type="noConversion"/>
  </si>
  <si>
    <t>승계대상자산/부채 목록</t>
    <phoneticPr fontId="4" type="noConversion"/>
  </si>
  <si>
    <t>고든램지레스코랑㈜</t>
    <phoneticPr fontId="4" type="noConversion"/>
  </si>
  <si>
    <t>기준일 : 2023년 12월 31일 기준</t>
    <phoneticPr fontId="4" type="noConversion"/>
  </si>
  <si>
    <t>부채</t>
    <phoneticPr fontId="4" type="noConversion"/>
  </si>
  <si>
    <t>과        목</t>
  </si>
  <si>
    <t>합   계</t>
    <phoneticPr fontId="4" type="noConversion"/>
  </si>
  <si>
    <t>비율</t>
    <phoneticPr fontId="4" type="noConversion"/>
  </si>
  <si>
    <t xml:space="preserve">Ⅰ. 매출액     </t>
    <phoneticPr fontId="4" type="noConversion"/>
  </si>
  <si>
    <t>음식매출</t>
    <phoneticPr fontId="4" type="noConversion"/>
  </si>
  <si>
    <t>면세매출</t>
    <phoneticPr fontId="4" type="noConversion"/>
  </si>
  <si>
    <t xml:space="preserve">Ⅱ. 매출원가     </t>
    <phoneticPr fontId="4" type="noConversion"/>
  </si>
  <si>
    <t xml:space="preserve">제품매출원가        </t>
    <phoneticPr fontId="4" type="noConversion"/>
  </si>
  <si>
    <t>기초제품재고액</t>
    <phoneticPr fontId="4" type="noConversion"/>
  </si>
  <si>
    <t>당기제품제조원가</t>
    <phoneticPr fontId="4" type="noConversion"/>
  </si>
  <si>
    <t>기말제품재고액</t>
    <phoneticPr fontId="4" type="noConversion"/>
  </si>
  <si>
    <t xml:space="preserve">Ⅲ. 매출총이익     </t>
    <phoneticPr fontId="4" type="noConversion"/>
  </si>
  <si>
    <t xml:space="preserve">Ⅳ. 판매비와관리비     </t>
    <phoneticPr fontId="4" type="noConversion"/>
  </si>
  <si>
    <t>직원급여</t>
    <phoneticPr fontId="4" type="noConversion"/>
  </si>
  <si>
    <t>상여금</t>
    <phoneticPr fontId="4" type="noConversion"/>
  </si>
  <si>
    <t>잡금</t>
    <phoneticPr fontId="4" type="noConversion"/>
  </si>
  <si>
    <t>퇴직연금</t>
    <phoneticPr fontId="4" type="noConversion"/>
  </si>
  <si>
    <t>복리후생비</t>
    <phoneticPr fontId="4" type="noConversion"/>
  </si>
  <si>
    <t>여비교통비</t>
    <phoneticPr fontId="4" type="noConversion"/>
  </si>
  <si>
    <t>접대비</t>
    <phoneticPr fontId="4" type="noConversion"/>
  </si>
  <si>
    <t>통신비</t>
    <phoneticPr fontId="4" type="noConversion"/>
  </si>
  <si>
    <t>수도광열비</t>
    <phoneticPr fontId="4" type="noConversion"/>
  </si>
  <si>
    <t>전력비</t>
    <phoneticPr fontId="4" type="noConversion"/>
  </si>
  <si>
    <t>세금과공과</t>
    <phoneticPr fontId="4" type="noConversion"/>
  </si>
  <si>
    <t>지급임차료</t>
    <phoneticPr fontId="4" type="noConversion"/>
  </si>
  <si>
    <t>수선비</t>
    <phoneticPr fontId="4" type="noConversion"/>
  </si>
  <si>
    <t>보험료</t>
    <phoneticPr fontId="4" type="noConversion"/>
  </si>
  <si>
    <t>운반비</t>
    <phoneticPr fontId="4" type="noConversion"/>
  </si>
  <si>
    <t>교육훈련비</t>
    <phoneticPr fontId="4" type="noConversion"/>
  </si>
  <si>
    <t>도서인쇄비</t>
    <phoneticPr fontId="4" type="noConversion"/>
  </si>
  <si>
    <t>포장비</t>
    <phoneticPr fontId="4" type="noConversion"/>
  </si>
  <si>
    <t>사무용품비</t>
    <phoneticPr fontId="4" type="noConversion"/>
  </si>
  <si>
    <t>소모품비</t>
    <phoneticPr fontId="4" type="noConversion"/>
  </si>
  <si>
    <t>지급수수료</t>
    <phoneticPr fontId="4" type="noConversion"/>
  </si>
  <si>
    <t>광고선전비</t>
    <phoneticPr fontId="4" type="noConversion"/>
  </si>
  <si>
    <t>건물관리비</t>
    <phoneticPr fontId="4" type="noConversion"/>
  </si>
  <si>
    <t>잡비</t>
    <phoneticPr fontId="4" type="noConversion"/>
  </si>
  <si>
    <t xml:space="preserve">Ⅴ. 영업이익     </t>
    <phoneticPr fontId="4" type="noConversion"/>
  </si>
  <si>
    <t>감가상각비</t>
    <phoneticPr fontId="4" type="noConversion"/>
  </si>
  <si>
    <t>1-6월</t>
    <phoneticPr fontId="4" type="noConversion"/>
  </si>
  <si>
    <t>회사명 : 현대무역센터</t>
    <phoneticPr fontId="4" type="noConversion"/>
  </si>
  <si>
    <t>회사명 : 롯데월드몰</t>
    <phoneticPr fontId="4" type="noConversion"/>
  </si>
  <si>
    <t>회사명 : 서울숲디타워</t>
    <phoneticPr fontId="4" type="noConversion"/>
  </si>
  <si>
    <t>회사명 : 신세계센텀</t>
    <phoneticPr fontId="4" type="noConversion"/>
  </si>
  <si>
    <t>차량유지비</t>
    <phoneticPr fontId="4" type="noConversion"/>
  </si>
  <si>
    <t>상각누계액</t>
    <phoneticPr fontId="4" type="noConversion"/>
  </si>
  <si>
    <t>판관비</t>
    <phoneticPr fontId="4" type="noConversion"/>
  </si>
  <si>
    <t>1호점</t>
    <phoneticPr fontId="4" type="noConversion"/>
  </si>
  <si>
    <t>2호점</t>
  </si>
  <si>
    <t>2호점</t>
    <phoneticPr fontId="4" type="noConversion"/>
  </si>
  <si>
    <t>3호점</t>
  </si>
  <si>
    <t>3호점</t>
    <phoneticPr fontId="4" type="noConversion"/>
  </si>
  <si>
    <t>4호점</t>
  </si>
  <si>
    <t>4호점</t>
    <phoneticPr fontId="4" type="noConversion"/>
  </si>
  <si>
    <t>5호점</t>
  </si>
  <si>
    <t>5호점</t>
    <phoneticPr fontId="4" type="noConversion"/>
  </si>
  <si>
    <t>인건비 소계</t>
    <phoneticPr fontId="4" type="noConversion"/>
  </si>
  <si>
    <t>지급수수료 소계</t>
    <phoneticPr fontId="4" type="noConversion"/>
  </si>
  <si>
    <t>본사</t>
    <phoneticPr fontId="4" type="noConversion"/>
  </si>
  <si>
    <t>복리후생비 소계</t>
    <phoneticPr fontId="4" type="noConversion"/>
  </si>
  <si>
    <t>기타 판관비 소계</t>
    <phoneticPr fontId="4" type="noConversion"/>
  </si>
  <si>
    <t>임차료(관리비포함) 소계</t>
    <phoneticPr fontId="4" type="noConversion"/>
  </si>
  <si>
    <t>광고선전비 소계</t>
    <phoneticPr fontId="4" type="noConversion"/>
  </si>
  <si>
    <t>기간</t>
    <phoneticPr fontId="4" type="noConversion"/>
  </si>
  <si>
    <t>감가상각비 소계</t>
    <phoneticPr fontId="4" type="noConversion"/>
  </si>
  <si>
    <t>향후5년치 합계</t>
    <phoneticPr fontId="4" type="noConversion"/>
  </si>
  <si>
    <t>2024년(예상)</t>
    <phoneticPr fontId="4" type="noConversion"/>
  </si>
  <si>
    <t>2025년(예상)</t>
  </si>
  <si>
    <t>2026년(예상)</t>
  </si>
  <si>
    <t>2027년(예상)</t>
  </si>
  <si>
    <t>2028년(예상)</t>
  </si>
  <si>
    <t>영업이익 계</t>
    <phoneticPr fontId="4" type="noConversion"/>
  </si>
  <si>
    <t>연간 증가율</t>
    <phoneticPr fontId="4" type="noConversion"/>
  </si>
  <si>
    <t>6호점</t>
    <phoneticPr fontId="4" type="noConversion"/>
  </si>
  <si>
    <t>분할전 재무상태표
(2023.12.31 기준)</t>
    <phoneticPr fontId="4" type="noConversion"/>
  </si>
  <si>
    <t xml:space="preserve"> </t>
    <phoneticPr fontId="4" type="noConversion"/>
  </si>
  <si>
    <t>본지점</t>
  </si>
  <si>
    <t>25기 2023년 12월 31일 현재</t>
  </si>
  <si>
    <t>당기증가</t>
  </si>
  <si>
    <t>당기감소</t>
  </si>
  <si>
    <t>012148</t>
  </si>
  <si>
    <t>2호점 성수동 디타워</t>
  </si>
  <si>
    <t>012384</t>
  </si>
  <si>
    <t>롯데쇼핑(주)인천점</t>
  </si>
  <si>
    <t>기업신탁계좌</t>
  </si>
  <si>
    <t>012234</t>
  </si>
  <si>
    <t>(주)한국페이즈서비스</t>
  </si>
  <si>
    <t>012532</t>
  </si>
  <si>
    <t>테이블매니저(주)</t>
  </si>
  <si>
    <t>013463</t>
  </si>
  <si>
    <t>013469</t>
  </si>
  <si>
    <t>본지점명세서</t>
  </si>
  <si>
    <t>125</t>
  </si>
  <si>
    <t>012880</t>
  </si>
  <si>
    <t>진경산업(주)</t>
  </si>
  <si>
    <t>진경임대</t>
  </si>
  <si>
    <t>1호점</t>
  </si>
  <si>
    <t>006290</t>
  </si>
  <si>
    <t>LARIOSETA SPA</t>
  </si>
  <si>
    <t>007818</t>
  </si>
  <si>
    <t>ANGIOLO FRASCONI SRL</t>
  </si>
  <si>
    <t>013431</t>
  </si>
  <si>
    <t>씨엔트리(CNTREE)</t>
  </si>
  <si>
    <t>FERRUCCIO VECCHIATO</t>
  </si>
  <si>
    <t>000132</t>
  </si>
  <si>
    <t>인천공항세관</t>
  </si>
  <si>
    <t>000136</t>
  </si>
  <si>
    <t>대원통상</t>
  </si>
  <si>
    <t>000693</t>
  </si>
  <si>
    <t>(주)컴퓨존</t>
  </si>
  <si>
    <t>001463</t>
  </si>
  <si>
    <t>참（CHARM）</t>
  </si>
  <si>
    <t>001949</t>
  </si>
  <si>
    <t>현대사</t>
  </si>
  <si>
    <t>003024</t>
  </si>
  <si>
    <t>주）그린실크</t>
  </si>
  <si>
    <t>003569</t>
  </si>
  <si>
    <t>벧엘렌탈</t>
  </si>
  <si>
    <t>005093</t>
  </si>
  <si>
    <t>(주）동원홈푸드</t>
  </si>
  <si>
    <t>006082</t>
  </si>
  <si>
    <t>GS25 센텀호텔점</t>
  </si>
  <si>
    <t>012144</t>
  </si>
  <si>
    <t>두드림식품</t>
  </si>
  <si>
    <t>012154</t>
  </si>
  <si>
    <t>소다미디어</t>
  </si>
  <si>
    <t>012165</t>
  </si>
  <si>
    <t>재원상사</t>
  </si>
  <si>
    <t>012224</t>
  </si>
  <si>
    <t>애드밴</t>
  </si>
  <si>
    <t>012243</t>
  </si>
  <si>
    <t>주식회사 더 자연</t>
  </si>
  <si>
    <t>012244</t>
  </si>
  <si>
    <t>성도메탈</t>
  </si>
  <si>
    <t>012246</t>
  </si>
  <si>
    <t>한영FMT</t>
  </si>
  <si>
    <t>012252</t>
  </si>
  <si>
    <t>주식회사 미래포스시스템</t>
  </si>
  <si>
    <t>012253</t>
  </si>
  <si>
    <t>(주)우아한형제들</t>
  </si>
  <si>
    <t>012255</t>
  </si>
  <si>
    <t>주식회사 한국에이원</t>
  </si>
  <si>
    <t>012256</t>
  </si>
  <si>
    <t>주식회사 플레이에프앤비</t>
  </si>
  <si>
    <t>012257</t>
  </si>
  <si>
    <t>에스더</t>
  </si>
  <si>
    <t>012275</t>
  </si>
  <si>
    <t>트리투바</t>
  </si>
  <si>
    <t>012497</t>
  </si>
  <si>
    <t>롯데 프리미엄 푸드마켓 잠실점</t>
  </si>
  <si>
    <t>012507</t>
  </si>
  <si>
    <t>주식회사 대명코리아</t>
  </si>
  <si>
    <t>012514</t>
  </si>
  <si>
    <t>패스트파이브㈜</t>
  </si>
  <si>
    <t>012516</t>
  </si>
  <si>
    <t>엘앤에스컴</t>
  </si>
  <si>
    <t>012522</t>
  </si>
  <si>
    <t>보누스메이트（BONUS MATE）</t>
  </si>
  <si>
    <t>012524</t>
  </si>
  <si>
    <t>주식회사 스페이스크래프트</t>
  </si>
  <si>
    <t>012529</t>
  </si>
  <si>
    <t>주식회사 엔케이토탈키친</t>
  </si>
  <si>
    <t>012530</t>
  </si>
  <si>
    <t>주식회사 세종피앤디</t>
  </si>
  <si>
    <t>012531</t>
  </si>
  <si>
    <t>JK랩</t>
  </si>
  <si>
    <t>012540</t>
  </si>
  <si>
    <t>(주)푸디슨</t>
  </si>
  <si>
    <t>012541</t>
  </si>
  <si>
    <t>유니트레이드(UNI TRADE)</t>
  </si>
  <si>
    <t>012544</t>
  </si>
  <si>
    <t>(주)지에프네트워크</t>
  </si>
  <si>
    <t>012545</t>
  </si>
  <si>
    <t>대도실업(주)</t>
  </si>
  <si>
    <t>012549</t>
  </si>
  <si>
    <t>주식회사 야놀자에프앤비솔루션</t>
  </si>
  <si>
    <t>012689</t>
  </si>
  <si>
    <t>다믐주방</t>
  </si>
  <si>
    <t>012849</t>
  </si>
  <si>
    <t>제이원로지스틱스 주식회사</t>
  </si>
  <si>
    <t>012867</t>
  </si>
  <si>
    <t>（주）한솔아이스컴패니</t>
  </si>
  <si>
    <t>012877</t>
  </si>
  <si>
    <t>프레시스 주식회사</t>
  </si>
  <si>
    <t>012882</t>
  </si>
  <si>
    <t>디모다</t>
  </si>
  <si>
    <t>012889</t>
  </si>
  <si>
    <t>주식회사 링크해운항공</t>
  </si>
  <si>
    <t>012890</t>
  </si>
  <si>
    <t>세느</t>
  </si>
  <si>
    <t>012891</t>
  </si>
  <si>
    <t>(주)세현컨설팅</t>
  </si>
  <si>
    <t>012892</t>
  </si>
  <si>
    <t>우련국제물류（주）</t>
  </si>
  <si>
    <t>012897</t>
  </si>
  <si>
    <t>제이스피릿(J-SPIRIT)</t>
  </si>
  <si>
    <t>012899</t>
  </si>
  <si>
    <t>대건</t>
  </si>
  <si>
    <t>012915</t>
  </si>
  <si>
    <t>아이스걸크림보이 잠실점</t>
  </si>
  <si>
    <t>012916</t>
  </si>
  <si>
    <t>장모반찬</t>
  </si>
  <si>
    <t>013144</t>
  </si>
  <si>
    <t>주식회사 한성앤와이컴퍼니</t>
  </si>
  <si>
    <t>013160</t>
  </si>
  <si>
    <t>주식회사 그르</t>
  </si>
  <si>
    <t>013164</t>
  </si>
  <si>
    <t>태영모피</t>
  </si>
  <si>
    <t>013189</t>
  </si>
  <si>
    <t>포인터즈</t>
  </si>
  <si>
    <t>013395</t>
  </si>
  <si>
    <t>(유)가락금호상회</t>
  </si>
  <si>
    <t>013408</t>
  </si>
  <si>
    <t>가자세계주류</t>
  </si>
  <si>
    <t>013412</t>
  </si>
  <si>
    <t>벨키친</t>
  </si>
  <si>
    <t>013413</t>
  </si>
  <si>
    <t>주식회사 케이앤에스</t>
  </si>
  <si>
    <t>주식회사 더플랙스</t>
  </si>
  <si>
    <t>013452</t>
  </si>
  <si>
    <t>선납세금명세서</t>
  </si>
  <si>
    <t>136</t>
  </si>
  <si>
    <t>001518</t>
  </si>
  <si>
    <t>(주)국민은행송파지점</t>
  </si>
  <si>
    <t>011051</t>
  </si>
  <si>
    <t>중소기업은행하남지점</t>
  </si>
  <si>
    <t>013434</t>
  </si>
  <si>
    <t>한국토지주택공사경기남부지역본부</t>
  </si>
  <si>
    <t>012152</t>
  </si>
  <si>
    <t>012869</t>
  </si>
  <si>
    <t>미모샵</t>
  </si>
  <si>
    <t>식재료명세서</t>
  </si>
  <si>
    <t>005431</t>
  </si>
  <si>
    <t>희성식품（주）판매점</t>
  </si>
  <si>
    <t>010505</t>
  </si>
  <si>
    <t>농업회사법인 주식회사 케이씨케이</t>
  </si>
  <si>
    <t>012260</t>
  </si>
  <si>
    <t>모렐로 인터내셔날</t>
  </si>
  <si>
    <t>012261</t>
  </si>
  <si>
    <t>코코카트코리아</t>
  </si>
  <si>
    <t>012262</t>
  </si>
  <si>
    <t>농업회사법인 주식회사 사계절</t>
  </si>
  <si>
    <t>012263</t>
  </si>
  <si>
    <t>농업회사법인 태성그린푸드 주식회사</t>
  </si>
  <si>
    <t>012340</t>
  </si>
  <si>
    <t>경정닭</t>
  </si>
  <si>
    <t>012533</t>
  </si>
  <si>
    <t>（주）대디스팜</t>
  </si>
  <si>
    <t>012534</t>
  </si>
  <si>
    <t>농업회사법인 랑성 주식회사</t>
  </si>
  <si>
    <t>012535</t>
  </si>
  <si>
    <t>(주) 모렐로 인터내셔날</t>
  </si>
  <si>
    <t>012586</t>
  </si>
  <si>
    <t>주식회사 트릿지</t>
  </si>
  <si>
    <t>012587</t>
  </si>
  <si>
    <t>에그타운(구.부림농장)</t>
  </si>
  <si>
    <t>012894</t>
  </si>
  <si>
    <t>도담유통</t>
  </si>
  <si>
    <t>003393</t>
  </si>
  <si>
    <t>SHANGHAI DONGHAN</t>
  </si>
  <si>
    <t>007834</t>
  </si>
  <si>
    <t>INNER MONGOLIA LANBER FASHION</t>
  </si>
  <si>
    <t>009868</t>
  </si>
  <si>
    <t>(주) 티지아이로지스틱</t>
  </si>
  <si>
    <t>012159</t>
  </si>
  <si>
    <t>주식회사 레오스인터내셔날</t>
  </si>
  <si>
    <t>012242</t>
  </si>
  <si>
    <t>(주)디플러스항공해운</t>
  </si>
  <si>
    <t>013161</t>
  </si>
  <si>
    <t>(주) 씨엔케이익스프레스</t>
  </si>
  <si>
    <t>토지명세서</t>
  </si>
  <si>
    <t>201</t>
  </si>
  <si>
    <t>건물명세서</t>
  </si>
  <si>
    <t>202</t>
  </si>
  <si>
    <t>006188</t>
  </si>
  <si>
    <t>선인기술단(주)</t>
  </si>
  <si>
    <t>006189</t>
  </si>
  <si>
    <t>한아건축사사무소</t>
  </si>
  <si>
    <t>006598</t>
  </si>
  <si>
    <t>수림종합건설（주）</t>
  </si>
  <si>
    <t>감가상각누계액명세서</t>
  </si>
  <si>
    <t>203</t>
  </si>
  <si>
    <t>기계장치명세서</t>
  </si>
  <si>
    <t>206</t>
  </si>
  <si>
    <t>008476</t>
  </si>
  <si>
    <t>성창미싱</t>
  </si>
  <si>
    <t>207</t>
  </si>
  <si>
    <t>차량운반구명세서</t>
  </si>
  <si>
    <t>208</t>
  </si>
  <si>
    <t>000199</t>
  </si>
  <si>
    <t>메리츠종합증권</t>
  </si>
  <si>
    <t>000687</t>
  </si>
  <si>
    <t>신덕오</t>
  </si>
  <si>
    <t>001805</t>
  </si>
  <si>
    <t>한성자동차（주）</t>
  </si>
  <si>
    <t>001944</t>
  </si>
  <si>
    <t>아주캐피탈(주)</t>
  </si>
  <si>
    <t>001961</t>
  </si>
  <si>
    <t>（주）서울오토플러스</t>
  </si>
  <si>
    <t>001962</t>
  </si>
  <si>
    <t>현대자동차(주)울산공장</t>
  </si>
  <si>
    <t>002421</t>
  </si>
  <si>
    <t>하나캐피탈(주)</t>
  </si>
  <si>
    <t>003790</t>
  </si>
  <si>
    <t>기아자동차(주)</t>
  </si>
  <si>
    <t>004154</t>
  </si>
  <si>
    <t>(주)모닝카</t>
  </si>
  <si>
    <t>005738</t>
  </si>
  <si>
    <t>주식회사 아이오토스</t>
  </si>
  <si>
    <t>006204</t>
  </si>
  <si>
    <t>굿모닝모터스</t>
  </si>
  <si>
    <t>006263</t>
  </si>
  <si>
    <t>주식회사 지오모터스</t>
  </si>
  <si>
    <t>008169</t>
  </si>
  <si>
    <t>해피카</t>
  </si>
  <si>
    <t>009147</t>
  </si>
  <si>
    <t>얄개자동차매매상사</t>
  </si>
  <si>
    <t>009348</t>
  </si>
  <si>
    <t>전학경</t>
  </si>
  <si>
    <t>009349</t>
  </si>
  <si>
    <t>조진경</t>
  </si>
  <si>
    <t>209</t>
  </si>
  <si>
    <t>주방기구명세서</t>
  </si>
  <si>
    <t>210</t>
  </si>
  <si>
    <t>012817</t>
  </si>
  <si>
    <t>레오하우스</t>
  </si>
  <si>
    <t>211</t>
  </si>
  <si>
    <t>비품명세서</t>
  </si>
  <si>
    <t>212</t>
  </si>
  <si>
    <t>000874</t>
  </si>
  <si>
    <t>(주)멤버스디자인가구</t>
  </si>
  <si>
    <t>001661</t>
  </si>
  <si>
    <t>(주)아이네오스(이정훈)</t>
  </si>
  <si>
    <t>002690</t>
  </si>
  <si>
    <t>영진앵글주식회사</t>
  </si>
  <si>
    <t>003708</t>
  </si>
  <si>
    <t>（주）에스엠지</t>
  </si>
  <si>
    <t>004661</t>
  </si>
  <si>
    <t>(주)이지엠 인터내셔널</t>
  </si>
  <si>
    <t>010485</t>
  </si>
  <si>
    <t>신한냉열</t>
  </si>
  <si>
    <t>213</t>
  </si>
  <si>
    <t>시설장치명세서</t>
  </si>
  <si>
    <t>219</t>
  </si>
  <si>
    <t>220</t>
  </si>
  <si>
    <t>013465</t>
  </si>
  <si>
    <t>013466</t>
  </si>
  <si>
    <t>선수금명세서</t>
  </si>
  <si>
    <t>259</t>
  </si>
  <si>
    <t>012588</t>
  </si>
  <si>
    <t>상품권</t>
  </si>
  <si>
    <t>013459</t>
  </si>
  <si>
    <t>IBK기업은행(15억대출-43)</t>
  </si>
  <si>
    <t>098022</t>
  </si>
  <si>
    <t>098220</t>
  </si>
  <si>
    <t>IBK기업은행(5억대출-45)</t>
  </si>
  <si>
    <t>098223</t>
  </si>
  <si>
    <t>IBK기업은행(2억대출-46)</t>
  </si>
  <si>
    <t>098225</t>
  </si>
  <si>
    <t>IBK기업은행(15억대출-52)</t>
  </si>
  <si>
    <t>098226</t>
  </si>
  <si>
    <t>국민은행(20억-543112)</t>
  </si>
  <si>
    <t>098227</t>
  </si>
  <si>
    <t>국민은행(8억4천-542777))</t>
  </si>
  <si>
    <t>000541</t>
  </si>
  <si>
    <t>박미자</t>
  </si>
  <si>
    <t>002974</t>
  </si>
  <si>
    <t>박정희</t>
  </si>
  <si>
    <t>002980</t>
  </si>
  <si>
    <t>이지현</t>
  </si>
  <si>
    <t>003723</t>
  </si>
  <si>
    <t>양유진</t>
  </si>
  <si>
    <t>004655</t>
  </si>
  <si>
    <t>005340</t>
  </si>
  <si>
    <t>이미선</t>
  </si>
  <si>
    <t>함금순</t>
  </si>
  <si>
    <t>098222</t>
  </si>
  <si>
    <t>IBK기업은행(10억대출-44)</t>
  </si>
  <si>
    <t>012875</t>
  </si>
  <si>
    <t>(주)신세계센텀시티</t>
  </si>
  <si>
    <t>012162</t>
  </si>
  <si>
    <t>브리티시오토 주식회사</t>
  </si>
  <si>
    <t xml:space="preserve">2023 년  12 월  31 일  현재 </t>
  </si>
  <si>
    <t>전기 그리들 외 (부산 센텀점)</t>
  </si>
  <si>
    <t>2023-01-04</t>
  </si>
  <si>
    <t>전기 그리들 외 (현대 코엑스점)</t>
  </si>
  <si>
    <t>민서기-3호점</t>
  </si>
  <si>
    <t>2023-03-06</t>
  </si>
  <si>
    <t>패트성형기</t>
  </si>
  <si>
    <t>핸드블랜더.푸드프로세서(야채설기.다지기)</t>
  </si>
  <si>
    <t>2023-03-14</t>
  </si>
  <si>
    <t>3호선점믹서</t>
  </si>
  <si>
    <t>2023-03-17</t>
  </si>
  <si>
    <t>4호점 쉐이크믹서</t>
  </si>
  <si>
    <t>2023-03-26</t>
  </si>
  <si>
    <t>2023-03-28</t>
  </si>
  <si>
    <t>주방기물</t>
  </si>
  <si>
    <t>2023-04-11</t>
  </si>
  <si>
    <t>2023-04-13</t>
  </si>
  <si>
    <t>커피머신외 주변기기</t>
  </si>
  <si>
    <t>2023-04-20</t>
  </si>
  <si>
    <t>패티성형기</t>
  </si>
  <si>
    <t>2023-05-22</t>
  </si>
  <si>
    <t>스노우반 눈꽃빙수기</t>
  </si>
  <si>
    <t>2023-05-31</t>
  </si>
  <si>
    <t>2023-06-02</t>
  </si>
  <si>
    <t>야채절단기</t>
  </si>
  <si>
    <t>2023-06-05</t>
  </si>
  <si>
    <t>진공포장기 외</t>
  </si>
  <si>
    <t>2023-06-07</t>
  </si>
  <si>
    <t>피자 반죽기</t>
  </si>
  <si>
    <t>2023-06-13</t>
  </si>
  <si>
    <t>2023-06-23</t>
  </si>
  <si>
    <t>아이스크림머신</t>
  </si>
  <si>
    <t>2023-06-30</t>
  </si>
  <si>
    <t>콤비오븐</t>
  </si>
  <si>
    <t>2023-06-29</t>
  </si>
  <si>
    <t>온도조절믹서기</t>
  </si>
  <si>
    <t xml:space="preserve"> 착즙 쥬서기</t>
  </si>
  <si>
    <t>2023-07-12</t>
  </si>
  <si>
    <t>쿠진수비드 머신(고기저온숙성기)</t>
  </si>
  <si>
    <t>2023-08-11</t>
  </si>
  <si>
    <t>호두과자몰드</t>
  </si>
  <si>
    <t>2023-09-01</t>
  </si>
  <si>
    <t>2023-11-29</t>
  </si>
  <si>
    <t>진동벨장비(일체)</t>
  </si>
  <si>
    <t>2023-03-30</t>
  </si>
  <si>
    <t>포스장비(일체)</t>
  </si>
  <si>
    <t>2023-05-24</t>
  </si>
  <si>
    <t>스미스머신</t>
  </si>
  <si>
    <t>2023-10-12</t>
  </si>
  <si>
    <t>런닝머신</t>
  </si>
  <si>
    <t>노트북</t>
  </si>
  <si>
    <t>구리점인테리어</t>
  </si>
  <si>
    <t>2023-01-10</t>
  </si>
  <si>
    <t>2023-07-13</t>
  </si>
  <si>
    <t>전주점 인테리어</t>
  </si>
  <si>
    <t>2023-02-02</t>
  </si>
  <si>
    <t>대전점 인테리어</t>
  </si>
  <si>
    <t>2023-03-18</t>
  </si>
  <si>
    <t>서울역 인테리어</t>
  </si>
  <si>
    <t>2023-04-24</t>
  </si>
  <si>
    <t>김포공항점 인테리어</t>
  </si>
  <si>
    <t>2023-04-04</t>
  </si>
  <si>
    <t>평촌점 인테리어</t>
  </si>
  <si>
    <t>2023-11-01</t>
  </si>
  <si>
    <t>제 25(당)기 2023년  1월  1일부터  2023년 12월 31일까지</t>
    <phoneticPr fontId="4" type="noConversion"/>
  </si>
  <si>
    <t>2023.12.31</t>
    <phoneticPr fontId="4" type="noConversion"/>
  </si>
  <si>
    <t>영업권</t>
    <phoneticPr fontId="4" type="noConversion"/>
  </si>
  <si>
    <t>유동성임대보증금</t>
    <phoneticPr fontId="4" type="noConversion"/>
  </si>
  <si>
    <t>기초액</t>
  </si>
  <si>
    <t>사업자등록번호</t>
  </si>
  <si>
    <t>계좌번호</t>
  </si>
  <si>
    <t>141-176031-13-101</t>
  </si>
  <si>
    <t>100-013-711279</t>
  </si>
  <si>
    <t>141-176031-13-103</t>
  </si>
  <si>
    <t>100-014-562596</t>
  </si>
  <si>
    <t>861901-04-037949</t>
  </si>
  <si>
    <t>100-910021-44504</t>
  </si>
  <si>
    <t>861901-04-040956</t>
  </si>
  <si>
    <t>398-082830-04-016</t>
  </si>
  <si>
    <t>596401-01-390312</t>
  </si>
  <si>
    <t>398-082830-75-077</t>
  </si>
  <si>
    <t>098030</t>
  </si>
  <si>
    <t>39809531504016</t>
  </si>
  <si>
    <t>098031</t>
  </si>
  <si>
    <t>39809531404012</t>
  </si>
  <si>
    <t>098033</t>
  </si>
  <si>
    <t>39809531804017</t>
  </si>
  <si>
    <t>098034</t>
  </si>
  <si>
    <t>39809531704013</t>
  </si>
  <si>
    <t>098037</t>
  </si>
  <si>
    <t>3980-95313-04-019</t>
  </si>
  <si>
    <t>098038</t>
  </si>
  <si>
    <t>39809531604010</t>
  </si>
  <si>
    <t>098039</t>
  </si>
  <si>
    <t>398-096375-04-010</t>
  </si>
  <si>
    <t>810401-04-275215</t>
  </si>
  <si>
    <t>1081-400-260150</t>
  </si>
  <si>
    <t>861968-11-000638</t>
  </si>
  <si>
    <t>398-082830-56-00011</t>
  </si>
  <si>
    <t>2014-3787611</t>
  </si>
  <si>
    <t>219-85-00066</t>
  </si>
  <si>
    <t>605-85-09915</t>
  </si>
  <si>
    <t>107-81-30954</t>
  </si>
  <si>
    <t>408-85-10368</t>
  </si>
  <si>
    <t>112-85-11151</t>
  </si>
  <si>
    <t>317-85-01447</t>
  </si>
  <si>
    <t>104-81-26067</t>
  </si>
  <si>
    <t>104-85-26046</t>
  </si>
  <si>
    <t>205-85-10283</t>
  </si>
  <si>
    <t>128-85-17669</t>
  </si>
  <si>
    <t>218-81-20703</t>
  </si>
  <si>
    <t>314-85-11908</t>
  </si>
  <si>
    <t>120-85-15973</t>
  </si>
  <si>
    <t>410-13-86961</t>
  </si>
  <si>
    <t>402-85-19717</t>
  </si>
  <si>
    <t>210-85-20600</t>
  </si>
  <si>
    <t>617-85-24957</t>
  </si>
  <si>
    <t>206-85-25872</t>
  </si>
  <si>
    <t>206-16-36387</t>
  </si>
  <si>
    <t>602-85-16703</t>
  </si>
  <si>
    <t>129-86-38140</t>
  </si>
  <si>
    <t>106-86-57635</t>
  </si>
  <si>
    <t>212-85-19282</t>
  </si>
  <si>
    <t>211-86-76540</t>
  </si>
  <si>
    <t>610-85-42406</t>
  </si>
  <si>
    <t>130-85-37479</t>
  </si>
  <si>
    <t>109-85-37096</t>
  </si>
  <si>
    <t>138-85-24115</t>
  </si>
  <si>
    <t>301-85-40450</t>
  </si>
  <si>
    <t>110-85-11913</t>
  </si>
  <si>
    <t>132-85-30943</t>
  </si>
  <si>
    <t>217-85-20799</t>
  </si>
  <si>
    <t>117-85-09271</t>
  </si>
  <si>
    <t>581-87-01004</t>
  </si>
  <si>
    <t>350-85-01712</t>
  </si>
  <si>
    <t>550-86-01788</t>
  </si>
  <si>
    <t>383-85-01861</t>
  </si>
  <si>
    <t>220-81-39938</t>
  </si>
  <si>
    <t>571-87-00202</t>
  </si>
  <si>
    <t>614-88-00597</t>
  </si>
  <si>
    <t>206-86-91670</t>
  </si>
  <si>
    <t>120-87-65763</t>
  </si>
  <si>
    <t>751-81-00830</t>
  </si>
  <si>
    <t>한무쇼핑(주)</t>
  </si>
  <si>
    <t>120-81-01942</t>
  </si>
  <si>
    <t>롯데물산(주)롯데월드몰점</t>
  </si>
  <si>
    <t>230-85-01984</t>
  </si>
  <si>
    <t>013487</t>
  </si>
  <si>
    <t>(주)신세계 센텀시티점</t>
  </si>
  <si>
    <t>201-81-32195</t>
  </si>
  <si>
    <t>013512</t>
  </si>
  <si>
    <t>구청</t>
  </si>
  <si>
    <t>013561</t>
  </si>
  <si>
    <t>잠실세무서</t>
  </si>
  <si>
    <t>013562</t>
  </si>
  <si>
    <t>송파구청</t>
  </si>
  <si>
    <t>013605</t>
  </si>
  <si>
    <t>해운대세무서</t>
  </si>
  <si>
    <t>013629</t>
  </si>
  <si>
    <t>인천세무서</t>
  </si>
  <si>
    <t>099646</t>
  </si>
  <si>
    <t>국민카드</t>
  </si>
  <si>
    <t>099700</t>
  </si>
  <si>
    <t>099701</t>
  </si>
  <si>
    <t>099702</t>
  </si>
  <si>
    <t>099703</t>
  </si>
  <si>
    <t>099704</t>
  </si>
  <si>
    <t>099705</t>
  </si>
  <si>
    <t>099706</t>
  </si>
  <si>
    <t>099707</t>
  </si>
  <si>
    <t>099708</t>
  </si>
  <si>
    <t>우리카드</t>
  </si>
  <si>
    <t>진경산업(주)아울렛</t>
  </si>
  <si>
    <t>899-85-02609</t>
  </si>
  <si>
    <t>013506</t>
  </si>
  <si>
    <t>013507</t>
  </si>
  <si>
    <t>4호점-부산신세계</t>
  </si>
  <si>
    <t>013508</t>
  </si>
  <si>
    <t>1호점-잠실월드</t>
  </si>
  <si>
    <t>013509</t>
  </si>
  <si>
    <t>2호점-성수디타워</t>
  </si>
  <si>
    <t>013513</t>
  </si>
  <si>
    <t>본점</t>
  </si>
  <si>
    <t>013524</t>
  </si>
  <si>
    <t>013528</t>
  </si>
  <si>
    <t>013543</t>
  </si>
  <si>
    <t>013549</t>
  </si>
  <si>
    <t>013552</t>
  </si>
  <si>
    <t>013602</t>
  </si>
  <si>
    <t>2호점-성수디타워'</t>
  </si>
  <si>
    <t>013612</t>
  </si>
  <si>
    <t>진경아울렛</t>
  </si>
  <si>
    <t>013634</t>
  </si>
  <si>
    <t>013635</t>
  </si>
  <si>
    <t>4호점-부산</t>
  </si>
  <si>
    <t>013636</t>
  </si>
  <si>
    <t>진경산업（주)본점</t>
  </si>
  <si>
    <t>213-86-39411</t>
  </si>
  <si>
    <t>201-81-20549</t>
  </si>
  <si>
    <t>220-81-02810</t>
  </si>
  <si>
    <t>007843</t>
  </si>
  <si>
    <t>101-02-43908</t>
  </si>
  <si>
    <t>011351</t>
  </si>
  <si>
    <t>（주）바이맥스인터내셔날</t>
  </si>
  <si>
    <t>114-86-12599</t>
  </si>
  <si>
    <t>310-88-02994</t>
  </si>
  <si>
    <t>220-88-90365</t>
  </si>
  <si>
    <t>013156</t>
  </si>
  <si>
    <t>SANTELLI</t>
  </si>
  <si>
    <t>346-05-00293</t>
  </si>
  <si>
    <t>013630</t>
  </si>
  <si>
    <t>네이버</t>
  </si>
  <si>
    <t>011085</t>
  </si>
  <si>
    <t>215-85-17401</t>
  </si>
  <si>
    <t>126-85-13842</t>
  </si>
  <si>
    <t>135-82-14276</t>
  </si>
  <si>
    <t>013526</t>
  </si>
  <si>
    <t>217-81-34150</t>
  </si>
  <si>
    <t>130-15-81138</t>
  </si>
  <si>
    <t>212-12-34538</t>
  </si>
  <si>
    <t>217-04-71421</t>
  </si>
  <si>
    <t>126-25-96233</t>
  </si>
  <si>
    <t>301-18-98775</t>
  </si>
  <si>
    <t>201-02-65385</t>
  </si>
  <si>
    <t>105-22-40560</t>
  </si>
  <si>
    <t>203-01-41591</t>
  </si>
  <si>
    <t>203-01-85925</t>
  </si>
  <si>
    <t>104-81-64800</t>
  </si>
  <si>
    <t>113-86-56823</t>
  </si>
  <si>
    <t>132-15-99857</t>
  </si>
  <si>
    <t>820-88-00474</t>
  </si>
  <si>
    <t>129-38-45577</t>
  </si>
  <si>
    <t>577-88-00420</t>
  </si>
  <si>
    <t>220-08-31802</t>
  </si>
  <si>
    <t>503-86-06905</t>
  </si>
  <si>
    <t>106-54-79297</t>
  </si>
  <si>
    <t>819-87-00332</t>
  </si>
  <si>
    <t>221-32-54313</t>
  </si>
  <si>
    <t>104-81-80566</t>
  </si>
  <si>
    <t>121-86-02288</t>
  </si>
  <si>
    <t>204-20-35754</t>
  </si>
  <si>
    <t>101-11-81073</t>
  </si>
  <si>
    <t>472-87-00604</t>
  </si>
  <si>
    <t>392-06-00537</t>
  </si>
  <si>
    <t>513-60-00515</t>
  </si>
  <si>
    <t>201-09-48497</t>
  </si>
  <si>
    <t>201-11-15285</t>
  </si>
  <si>
    <t>340-50-00408</t>
  </si>
  <si>
    <t>384-43-00128</t>
  </si>
  <si>
    <t>201-16-88347</t>
  </si>
  <si>
    <t>166-09-00322</t>
  </si>
  <si>
    <t>436-52-00377</t>
  </si>
  <si>
    <t>101-10-95721</t>
  </si>
  <si>
    <t>195-30-00305</t>
  </si>
  <si>
    <t>338-01-02235</t>
  </si>
  <si>
    <t>515-43-01003</t>
  </si>
  <si>
    <t>201-10-14066</t>
  </si>
  <si>
    <t>615-88-01527</t>
  </si>
  <si>
    <t>386-14-01292</t>
  </si>
  <si>
    <t>203-01-97945</t>
  </si>
  <si>
    <t>201-17-38693</t>
  </si>
  <si>
    <t>201-07-83831</t>
  </si>
  <si>
    <t>147-51-00029</t>
  </si>
  <si>
    <t>220-81-60348</t>
  </si>
  <si>
    <t>219-85-06129</t>
  </si>
  <si>
    <t>206-86-50913</t>
  </si>
  <si>
    <t>113-85-21083</t>
  </si>
  <si>
    <t>219-85-00014</t>
  </si>
  <si>
    <t>230-85-03037</t>
  </si>
  <si>
    <t>317-85-16294</t>
  </si>
  <si>
    <t>120-88-00767</t>
  </si>
  <si>
    <t>230-85-02402</t>
  </si>
  <si>
    <t>116-81-19948</t>
  </si>
  <si>
    <t>203-81-56363</t>
  </si>
  <si>
    <t>312-81-25280</t>
  </si>
  <si>
    <t>620-85-11647</t>
  </si>
  <si>
    <t>603-81-11270</t>
  </si>
  <si>
    <t>617-23-56349</t>
  </si>
  <si>
    <t>524-86-01528</t>
  </si>
  <si>
    <t>809-81-01574</t>
  </si>
  <si>
    <t>133-85-13777</t>
  </si>
  <si>
    <t>677-85-01349</t>
  </si>
  <si>
    <t>844-81-00466</t>
  </si>
  <si>
    <t>129-81-77565</t>
  </si>
  <si>
    <t>229-81-03586</t>
  </si>
  <si>
    <t>127-39-63431</t>
  </si>
  <si>
    <t>206-93-36243</t>
  </si>
  <si>
    <t>516-87-01301</t>
  </si>
  <si>
    <t>170-31-00977</t>
  </si>
  <si>
    <t>106-81-73135</t>
  </si>
  <si>
    <t>201-31-62321</t>
  </si>
  <si>
    <t>220-88-73143</t>
  </si>
  <si>
    <t>210-81-15981</t>
  </si>
  <si>
    <t>214-81-30344</t>
  </si>
  <si>
    <t>126-81-09938</t>
  </si>
  <si>
    <t>105-81-03811</t>
  </si>
  <si>
    <t>132-81-96516</t>
  </si>
  <si>
    <t>125-86-31688</t>
  </si>
  <si>
    <t>102-81-41121</t>
  </si>
  <si>
    <t>767-87-01194</t>
  </si>
  <si>
    <t>211-86-99989</t>
  </si>
  <si>
    <t>132-81-60911</t>
  </si>
  <si>
    <t>415-86-00211</t>
  </si>
  <si>
    <t>614-87-00926</t>
  </si>
  <si>
    <t>660-86-00918</t>
  </si>
  <si>
    <t>114-10-80409</t>
  </si>
  <si>
    <t>261-81-18730</t>
  </si>
  <si>
    <t>230-85-02611</t>
  </si>
  <si>
    <t>456-11-00801</t>
  </si>
  <si>
    <t>214-86-68729</t>
  </si>
  <si>
    <t>134-86-39516</t>
  </si>
  <si>
    <t>167-86-00587</t>
  </si>
  <si>
    <t>215-81-68159</t>
  </si>
  <si>
    <t>665-87-00827</t>
  </si>
  <si>
    <t>129-31-54738</t>
  </si>
  <si>
    <t>141-04-76361</t>
  </si>
  <si>
    <t>106-13-18962</t>
  </si>
  <si>
    <t>785-81-00717</t>
  </si>
  <si>
    <t>605-23-42537</t>
  </si>
  <si>
    <t>531-07-02160</t>
  </si>
  <si>
    <t>727-87-01110</t>
  </si>
  <si>
    <t>142-81-79227</t>
  </si>
  <si>
    <t>130-86-82189</t>
  </si>
  <si>
    <t>215-81-03379</t>
  </si>
  <si>
    <t>215-81-89907</t>
  </si>
  <si>
    <t>215-85-42370</t>
  </si>
  <si>
    <t>215-87-26530</t>
  </si>
  <si>
    <t>252-81-00968</t>
  </si>
  <si>
    <t>107-19-43490</t>
  </si>
  <si>
    <t>722-86-01480</t>
  </si>
  <si>
    <t>126-86-53268</t>
  </si>
  <si>
    <t>215-81-80658</t>
  </si>
  <si>
    <t>211-87-57064</t>
  </si>
  <si>
    <t>105-87-23065</t>
  </si>
  <si>
    <t>231-81-06233</t>
  </si>
  <si>
    <t>271-86-02642</t>
  </si>
  <si>
    <t>210-20-33066</t>
  </si>
  <si>
    <t>595-11-01629</t>
  </si>
  <si>
    <t>738-87-00130</t>
  </si>
  <si>
    <t>284-86-01620</t>
  </si>
  <si>
    <t>214-85-55566</t>
  </si>
  <si>
    <t>596-85-01851</t>
  </si>
  <si>
    <t>583-03-00258</t>
  </si>
  <si>
    <t>110-50-00113</t>
  </si>
  <si>
    <t>863-02-00588</t>
  </si>
  <si>
    <t>230-01-32774</t>
  </si>
  <si>
    <t>132-82-07005</t>
  </si>
  <si>
    <t>129-85-50318</t>
  </si>
  <si>
    <t>328-85-01170</t>
  </si>
  <si>
    <t>495-03-01886</t>
  </si>
  <si>
    <t>899-45-00279</t>
  </si>
  <si>
    <t>555-81-00488</t>
  </si>
  <si>
    <t>269-86-00414</t>
  </si>
  <si>
    <t>105-17-96018</t>
  </si>
  <si>
    <t>321-07-00570</t>
  </si>
  <si>
    <t>757-81-02063</t>
  </si>
  <si>
    <t>126-86-39984</t>
  </si>
  <si>
    <t>493-12-00302</t>
  </si>
  <si>
    <t>208-98-61777</t>
  </si>
  <si>
    <t>215-85-28698</t>
  </si>
  <si>
    <t>108-04-66449</t>
  </si>
  <si>
    <t>214-88-83438</t>
  </si>
  <si>
    <t>142-81-40232</t>
  </si>
  <si>
    <t>817-88-02699</t>
  </si>
  <si>
    <t>617-86-00438</t>
  </si>
  <si>
    <t>606-81-11416</t>
  </si>
  <si>
    <t>770-87-00283</t>
  </si>
  <si>
    <t>608-93-09641</t>
  </si>
  <si>
    <t>605-86-23253</t>
  </si>
  <si>
    <t>675-87-00047</t>
  </si>
  <si>
    <t>565-54-00096</t>
  </si>
  <si>
    <t>802-04-02789</t>
  </si>
  <si>
    <t>744-12-01612</t>
  </si>
  <si>
    <t>106-86-80169</t>
  </si>
  <si>
    <t>414-81-08743</t>
  </si>
  <si>
    <t>215-87-17268</t>
  </si>
  <si>
    <t>755-31-00458</t>
  </si>
  <si>
    <t>790-81-00887</t>
  </si>
  <si>
    <t>롯데쇼핑㈜ 잠실점</t>
  </si>
  <si>
    <t>(주)동원홈푸드</t>
  </si>
  <si>
    <t>코카콜라음료(주)</t>
  </si>
  <si>
    <t>013480</t>
  </si>
  <si>
    <t>씨케이코퍼레이션즈(주)</t>
  </si>
  <si>
    <t>013493</t>
  </si>
  <si>
    <t>주식회사 성규푸드시스템</t>
  </si>
  <si>
    <t>140-81-70647</t>
  </si>
  <si>
    <t>013494</t>
  </si>
  <si>
    <t>주식회사굿푸드시스템</t>
  </si>
  <si>
    <t>013515</t>
  </si>
  <si>
    <t>엔에이치엔케이씨피 주식회사</t>
  </si>
  <si>
    <t>013516</t>
  </si>
  <si>
    <t>주식회사 아성다이소</t>
  </si>
  <si>
    <t>213-81-52063</t>
  </si>
  <si>
    <t>013523</t>
  </si>
  <si>
    <t>(주)현대그린푸드 본사</t>
  </si>
  <si>
    <t>656-81-02756</t>
  </si>
  <si>
    <t>013531</t>
  </si>
  <si>
    <t>(주) 지에스리테일 GS더프레시 서울숲점</t>
  </si>
  <si>
    <t>661-85-02417</t>
  </si>
  <si>
    <t>013542</t>
  </si>
  <si>
    <t>현대마트</t>
  </si>
  <si>
    <t>450-21-01325</t>
  </si>
  <si>
    <t>013544</t>
  </si>
  <si>
    <t>와인투유코리아</t>
  </si>
  <si>
    <t>211-87-70539</t>
  </si>
  <si>
    <t>013547</t>
  </si>
  <si>
    <t>세븐브로이이즈본사</t>
  </si>
  <si>
    <t>248-86-02263</t>
  </si>
  <si>
    <t>013554</t>
  </si>
  <si>
    <t>델리베이(DELIBAY)</t>
  </si>
  <si>
    <t>627-85-00888</t>
  </si>
  <si>
    <t>013558</t>
  </si>
  <si>
    <t>롯데쇼핑(주)롯데마트 제타플렉스 잠실점</t>
  </si>
  <si>
    <t>013559</t>
  </si>
  <si>
    <t>쿠팡 주식회사</t>
  </si>
  <si>
    <t>013565</t>
  </si>
  <si>
    <t>주식회사 위트스토리</t>
  </si>
  <si>
    <t>794-88-02585</t>
  </si>
  <si>
    <t>013567</t>
  </si>
  <si>
    <t>반푸드</t>
  </si>
  <si>
    <t>721-01-01234</t>
  </si>
  <si>
    <t>013568</t>
  </si>
  <si>
    <t>오티아이（Creative Design, OTi）</t>
  </si>
  <si>
    <t>114-15-14433</t>
  </si>
  <si>
    <t>013585</t>
  </si>
  <si>
    <t>농업회사법인 유한회사 슬지제빵소</t>
  </si>
  <si>
    <t>860-81-00018</t>
  </si>
  <si>
    <t>013591</t>
  </si>
  <si>
    <t>홈플러스(주)</t>
  </si>
  <si>
    <t>013596</t>
  </si>
  <si>
    <t>쉐프스푸드</t>
  </si>
  <si>
    <t>013604</t>
  </si>
  <si>
    <t>부일유통</t>
  </si>
  <si>
    <t>435-18-00462</t>
  </si>
  <si>
    <t>013609</t>
  </si>
  <si>
    <t>쿠팡</t>
  </si>
  <si>
    <t>121-83-00561</t>
  </si>
  <si>
    <t>109-83-02763</t>
  </si>
  <si>
    <t>105-87-24953</t>
  </si>
  <si>
    <t>121-24-68448</t>
  </si>
  <si>
    <t>457-82-00124</t>
  </si>
  <si>
    <t>722-85-00771</t>
  </si>
  <si>
    <t>105-86-86423</t>
  </si>
  <si>
    <t>223-86-01023</t>
  </si>
  <si>
    <t>214-88-18524</t>
  </si>
  <si>
    <t>121-86-40040</t>
  </si>
  <si>
    <t>201-86-18301</t>
  </si>
  <si>
    <t>793-81-00362</t>
  </si>
  <si>
    <t>121-81-84816</t>
  </si>
  <si>
    <t>639-87-02092</t>
  </si>
  <si>
    <t>126-28-54312</t>
  </si>
  <si>
    <t>142-81-02373</t>
  </si>
  <si>
    <t>126-05-29508</t>
  </si>
  <si>
    <t>126-86-74230</t>
  </si>
  <si>
    <t>252-17-01063</t>
  </si>
  <si>
    <t>116-81-22502</t>
  </si>
  <si>
    <t>6103281110228</t>
  </si>
  <si>
    <t>114-86-52489</t>
  </si>
  <si>
    <t>306-81-18407</t>
  </si>
  <si>
    <t>124-86-91344</t>
  </si>
  <si>
    <t>620-85-00010</t>
  </si>
  <si>
    <t>220-81-09337</t>
  </si>
  <si>
    <t>124-85-33444</t>
  </si>
  <si>
    <t>120-87-02865</t>
  </si>
  <si>
    <t>796-87-00500</t>
  </si>
  <si>
    <t>276-62-00129</t>
  </si>
  <si>
    <t>501-81-29362</t>
  </si>
  <si>
    <t>104-06-42605</t>
  </si>
  <si>
    <t>124-06-47899</t>
  </si>
  <si>
    <t>7802122548319</t>
  </si>
  <si>
    <t>7808302237515</t>
  </si>
  <si>
    <t>124-81-35202</t>
  </si>
  <si>
    <t>123-81-40565</t>
  </si>
  <si>
    <t>132-86-26975</t>
  </si>
  <si>
    <t>125-20-69908</t>
  </si>
  <si>
    <t>204-81-96179</t>
  </si>
  <si>
    <t>190-81-00850</t>
  </si>
  <si>
    <t>220-88-82977</t>
  </si>
  <si>
    <t>120-05-68560</t>
  </si>
  <si>
    <t>184-05-02107</t>
  </si>
  <si>
    <t>120-88-21985</t>
  </si>
  <si>
    <t>237-81-02443</t>
  </si>
  <si>
    <t>202-24-63330</t>
  </si>
  <si>
    <t>135-11-37191</t>
  </si>
  <si>
    <t>132-81-62340</t>
  </si>
  <si>
    <t>871-86-02888</t>
  </si>
  <si>
    <t>188-27-01102</t>
  </si>
  <si>
    <t>553-42-01013</t>
  </si>
  <si>
    <t>743-51-00303</t>
  </si>
  <si>
    <t>주식회사 성우테크</t>
  </si>
  <si>
    <t>013495</t>
  </si>
  <si>
    <t>린나이하남대리점（청운에너지）</t>
  </si>
  <si>
    <t>126-30-13293</t>
  </si>
  <si>
    <t>013563</t>
  </si>
  <si>
    <t>주식회사 영일종합주방</t>
  </si>
  <si>
    <t>147-88-00549</t>
  </si>
  <si>
    <t>013614</t>
  </si>
  <si>
    <t>주식회사 기화</t>
  </si>
  <si>
    <t>132-86-31430</t>
  </si>
  <si>
    <t>013617</t>
  </si>
  <si>
    <t>한국N．F시스템</t>
  </si>
  <si>
    <t>124-45-50660</t>
  </si>
  <si>
    <t>013619</t>
  </si>
  <si>
    <t>주식회사 한국쏘매트</t>
  </si>
  <si>
    <t>679-81-00988</t>
  </si>
  <si>
    <t>013621</t>
  </si>
  <si>
    <t>공감 더 테이블</t>
  </si>
  <si>
    <t>206-28-25068</t>
  </si>
  <si>
    <t>106-81-83458</t>
  </si>
  <si>
    <t>114-86-65096</t>
  </si>
  <si>
    <t>114-03-46738</t>
  </si>
  <si>
    <t>212-81-85028</t>
  </si>
  <si>
    <t>215-86-76538</t>
  </si>
  <si>
    <t>132-86-05397</t>
  </si>
  <si>
    <t>220-86-14534</t>
  </si>
  <si>
    <t>131-26-37058</t>
  </si>
  <si>
    <t>599-87-00608</t>
  </si>
  <si>
    <t>126-81-80829</t>
  </si>
  <si>
    <t>322-81-00438</t>
  </si>
  <si>
    <t>151-81-00025</t>
  </si>
  <si>
    <t>840-22-01277</t>
  </si>
  <si>
    <t>013146</t>
  </si>
  <si>
    <t>847-81-01751</t>
  </si>
  <si>
    <t>013491</t>
  </si>
  <si>
    <t>주식회사 스마트플랫</t>
  </si>
  <si>
    <t>177-86-00018</t>
  </si>
  <si>
    <t>013615</t>
  </si>
  <si>
    <t>（주）유레카테크놀로지</t>
  </si>
  <si>
    <t>114-87-08715</t>
  </si>
  <si>
    <t>013616</t>
  </si>
  <si>
    <t>진광금속</t>
  </si>
  <si>
    <t>202-19-96327</t>
  </si>
  <si>
    <t>208-81-13302</t>
  </si>
  <si>
    <t>502-23-32540</t>
  </si>
  <si>
    <t>201-06-29811</t>
  </si>
  <si>
    <t>211-27-95346</t>
  </si>
  <si>
    <t>625-87-02166</t>
  </si>
  <si>
    <t>211-88-09889</t>
  </si>
  <si>
    <t>999-99-99999</t>
  </si>
  <si>
    <t>168-81-02910</t>
  </si>
  <si>
    <t>013625</t>
  </si>
  <si>
    <t>（주）디에프디자인</t>
  </si>
  <si>
    <t>220-87-37193</t>
  </si>
  <si>
    <t>영업권명세서</t>
  </si>
  <si>
    <t>231</t>
  </si>
  <si>
    <t>영업권</t>
  </si>
  <si>
    <t>107-87-07789</t>
  </si>
  <si>
    <t>120-82-00052</t>
  </si>
  <si>
    <t>000189</t>
  </si>
  <si>
    <t>새집연구소 수원점</t>
  </si>
  <si>
    <t>224-08-42335</t>
  </si>
  <si>
    <t>102-81-23012</t>
  </si>
  <si>
    <t>109-86-10721</t>
  </si>
  <si>
    <t>211-07-73397</t>
  </si>
  <si>
    <t>147-02-00114</t>
  </si>
  <si>
    <t>409-07-81174</t>
  </si>
  <si>
    <t>126-01-01083</t>
  </si>
  <si>
    <t>207-72-62716</t>
  </si>
  <si>
    <t>215-86-52972</t>
  </si>
  <si>
    <t>126-03-31198</t>
  </si>
  <si>
    <t>129-29-58901</t>
  </si>
  <si>
    <t>279-88-01622</t>
  </si>
  <si>
    <t>729-85-01621</t>
  </si>
  <si>
    <t>120-81-47521</t>
  </si>
  <si>
    <t>304-85-12536</t>
  </si>
  <si>
    <t>408-04-38523</t>
  </si>
  <si>
    <t>570-81-02938</t>
  </si>
  <si>
    <t>284-10-02298</t>
  </si>
  <si>
    <t>637-37-01170</t>
  </si>
  <si>
    <t>332-85-01636</t>
  </si>
  <si>
    <t>107-88-10694</t>
  </si>
  <si>
    <t>011792</t>
  </si>
  <si>
    <t>이큐환경 Eco Queens</t>
  </si>
  <si>
    <t>590-43-00738</t>
  </si>
  <si>
    <t>501-17-72984</t>
  </si>
  <si>
    <t>201-10-52298</t>
  </si>
  <si>
    <t>459-88-02381</t>
  </si>
  <si>
    <t>855-08-00560</t>
  </si>
  <si>
    <t>619-36-01234</t>
  </si>
  <si>
    <t>256-21-01946</t>
  </si>
  <si>
    <t>013518</t>
  </si>
  <si>
    <t>디자인스튜디오글리</t>
  </si>
  <si>
    <t>251-07-02833</t>
  </si>
  <si>
    <t>013527</t>
  </si>
  <si>
    <t>라움커머스</t>
  </si>
  <si>
    <t>013548</t>
  </si>
  <si>
    <t>주식회사 현선디스플레이</t>
  </si>
  <si>
    <t>121-86-25184</t>
  </si>
  <si>
    <t>013595</t>
  </si>
  <si>
    <t>준리베라세탁</t>
  </si>
  <si>
    <t>515-59-00077</t>
  </si>
  <si>
    <t>013603</t>
  </si>
  <si>
    <t>주식회사 케어원 부산지사</t>
  </si>
  <si>
    <t>779-85-00097</t>
  </si>
  <si>
    <t>099600</t>
  </si>
  <si>
    <t>기업카드-3호점</t>
  </si>
  <si>
    <t>099604</t>
  </si>
  <si>
    <t>099630</t>
  </si>
  <si>
    <t>기업카드-3호점(재발행)</t>
  </si>
  <si>
    <t>099645</t>
  </si>
  <si>
    <t>기업카드-2호점</t>
  </si>
  <si>
    <t>099647</t>
  </si>
  <si>
    <t>기업카드-1호점</t>
  </si>
  <si>
    <t>099648</t>
  </si>
  <si>
    <t>비씨카드-4호점</t>
  </si>
  <si>
    <t>013511</t>
  </si>
  <si>
    <t>국민연금관리공단</t>
  </si>
  <si>
    <t>013514</t>
  </si>
  <si>
    <t>삼성세무서</t>
  </si>
  <si>
    <t>013529</t>
  </si>
  <si>
    <t>성동세무서</t>
  </si>
  <si>
    <t>013530</t>
  </si>
  <si>
    <t>성동구청</t>
  </si>
  <si>
    <t>013637</t>
  </si>
  <si>
    <t>남대문세무서</t>
  </si>
  <si>
    <t>013522</t>
  </si>
  <si>
    <t>(주)현대백화점'</t>
  </si>
  <si>
    <t>기업은행(5억대출-35)</t>
  </si>
  <si>
    <t>398-092830-32-00035</t>
  </si>
  <si>
    <t>098219</t>
  </si>
  <si>
    <t>398-082830-32-00043</t>
  </si>
  <si>
    <t>398-082830-32-00045</t>
  </si>
  <si>
    <t>398-082830-32-00046</t>
  </si>
  <si>
    <t>398-082830-32-00052</t>
  </si>
  <si>
    <t>810116-04-543112</t>
  </si>
  <si>
    <t>810116-04-542777</t>
  </si>
  <si>
    <t>555-28-01221</t>
  </si>
  <si>
    <t>214-87-72365</t>
  </si>
  <si>
    <t>011794</t>
  </si>
  <si>
    <t>（사）한국외식업중앙교육원</t>
  </si>
  <si>
    <t>208-82-05911</t>
  </si>
  <si>
    <t>013145</t>
  </si>
  <si>
    <t>013594</t>
  </si>
  <si>
    <t>김다현</t>
  </si>
  <si>
    <t>013613</t>
  </si>
  <si>
    <t>박진희</t>
  </si>
  <si>
    <t>398-082830-32-00044</t>
  </si>
  <si>
    <t>219-81-14922</t>
  </si>
  <si>
    <t>유동성임대보증금명세서</t>
  </si>
  <si>
    <t>266</t>
  </si>
  <si>
    <t>유동성임대보증금</t>
  </si>
  <si>
    <t>204-86-02389</t>
  </si>
  <si>
    <t>외화외상매입금명세서</t>
  </si>
  <si>
    <t>268</t>
  </si>
  <si>
    <t>외화외상매입금</t>
  </si>
  <si>
    <t>011055</t>
  </si>
  <si>
    <t>XIAMEN ONE LIGHT IMPORT</t>
  </si>
  <si>
    <t>215-81-61025</t>
  </si>
  <si>
    <t>223-81-08341</t>
  </si>
  <si>
    <t>287-86-01366</t>
  </si>
  <si>
    <t>회사명 :진경산업(주)</t>
  </si>
  <si>
    <t>38나9125</t>
  </si>
  <si>
    <t>주방기기</t>
  </si>
  <si>
    <t>기름정제기</t>
  </si>
  <si>
    <t>2023-12-30</t>
  </si>
  <si>
    <t>발효기</t>
  </si>
  <si>
    <t>2023-10-30</t>
  </si>
  <si>
    <t>2023-07-11</t>
  </si>
  <si>
    <t>바이카믹스</t>
  </si>
  <si>
    <t>2023-08-18</t>
  </si>
  <si>
    <t>2023-12-01</t>
  </si>
  <si>
    <t>2023-12-08</t>
  </si>
  <si>
    <t>전기 그리들</t>
  </si>
  <si>
    <t>2023-12-13</t>
  </si>
  <si>
    <t>2023-12-14</t>
  </si>
  <si>
    <t>MGB-32(민서기)</t>
  </si>
  <si>
    <t>적외선 레이져온도계</t>
  </si>
  <si>
    <t>전자저울 외</t>
  </si>
  <si>
    <t>2023-12-18</t>
  </si>
  <si>
    <t>일렉트로룩스전기사라만다</t>
  </si>
  <si>
    <t>정제기</t>
  </si>
  <si>
    <t>2023-12-26</t>
  </si>
  <si>
    <t>키오스크</t>
  </si>
  <si>
    <t>2023-07-14</t>
  </si>
  <si>
    <t>CCTV 및 근태관리시스템 설치</t>
  </si>
  <si>
    <t>포스장비일체</t>
  </si>
  <si>
    <t>테이블</t>
  </si>
  <si>
    <t>2023-12-19</t>
  </si>
  <si>
    <t>책상</t>
  </si>
  <si>
    <t>5호점 주방인테리어 80평/25평</t>
  </si>
  <si>
    <t>2023-12-20</t>
  </si>
  <si>
    <t>4호부산점-인테리어 102평/75평</t>
  </si>
  <si>
    <t>3호현대무역점-인테리어 63평/39평</t>
  </si>
  <si>
    <t>5호점 인테리어 80평/55평</t>
  </si>
  <si>
    <t>3호현대무역점-주방인테리어 63평/24평</t>
  </si>
  <si>
    <t>4호부산점-주방인테리어 102평/27평</t>
  </si>
  <si>
    <t>무형자산감가상각비명세서</t>
  </si>
  <si>
    <t>3호점 가맹비 USD-237,500</t>
  </si>
  <si>
    <t>2023-03-31</t>
  </si>
  <si>
    <t>4호점 USD-350,000</t>
  </si>
  <si>
    <t>5호점 가맹비 USD-237,500</t>
  </si>
  <si>
    <t>2023-11-23</t>
  </si>
  <si>
    <t>[소계] 영업권</t>
  </si>
  <si>
    <t>2008-01-25</t>
  </si>
  <si>
    <t>[소계] 특허권</t>
  </si>
  <si>
    <t>디자인출원</t>
  </si>
  <si>
    <t>2008-02-18</t>
  </si>
  <si>
    <t>디자인등록</t>
  </si>
  <si>
    <t>2008-07-08</t>
  </si>
  <si>
    <t>[소계] 의장권</t>
  </si>
  <si>
    <t>WINHBO 클라우드</t>
  </si>
  <si>
    <t>2022-12-26</t>
  </si>
  <si>
    <t>[소계] 소프트웨어</t>
  </si>
  <si>
    <t xml:space="preserve">  무형자산(감가상각누계액 합계)</t>
    <phoneticPr fontId="4" type="noConversion"/>
  </si>
  <si>
    <t xml:space="preserve">  무형자산(장부가액 합계)</t>
    <phoneticPr fontId="4" type="noConversion"/>
  </si>
  <si>
    <t>비품</t>
    <phoneticPr fontId="4" type="noConversion"/>
  </si>
  <si>
    <t>취득가액</t>
    <phoneticPr fontId="4" type="noConversion"/>
  </si>
  <si>
    <t>장부가액</t>
    <phoneticPr fontId="4" type="noConversion"/>
  </si>
  <si>
    <t>당해년도 감가상각비</t>
    <phoneticPr fontId="4" type="noConversion"/>
  </si>
  <si>
    <t>주방기구</t>
    <phoneticPr fontId="4" type="noConversion"/>
  </si>
  <si>
    <t>[요약] 식음료부문 감가상각비</t>
    <phoneticPr fontId="4" type="noConversion"/>
  </si>
  <si>
    <t>감가상각비 배부</t>
    <phoneticPr fontId="4" type="noConversion"/>
  </si>
  <si>
    <t>제조원가</t>
    <phoneticPr fontId="4" type="noConversion"/>
  </si>
  <si>
    <t>본점</t>
    <phoneticPr fontId="4" type="noConversion"/>
  </si>
  <si>
    <t>1호점(잠실)</t>
    <phoneticPr fontId="4" type="noConversion"/>
  </si>
  <si>
    <t>2호점(성수)</t>
    <phoneticPr fontId="4" type="noConversion"/>
  </si>
  <si>
    <t>5호점(인천)</t>
    <phoneticPr fontId="4" type="noConversion"/>
  </si>
  <si>
    <t>경상연구개발비</t>
    <phoneticPr fontId="4" type="noConversion"/>
  </si>
  <si>
    <t>판매촉진비</t>
    <phoneticPr fontId="4" type="noConversion"/>
  </si>
  <si>
    <t>투자자산처분이익</t>
    <phoneticPr fontId="4" type="noConversion"/>
  </si>
  <si>
    <t>제수당</t>
    <phoneticPr fontId="4" type="noConversion"/>
  </si>
  <si>
    <t>퇴직급여</t>
    <phoneticPr fontId="4" type="noConversion"/>
  </si>
  <si>
    <t>대손상각비</t>
    <phoneticPr fontId="4" type="noConversion"/>
  </si>
  <si>
    <t>과 목</t>
  </si>
  <si>
    <t>제 24(전)기[2022/01/01 ~ 2022/12/31]</t>
  </si>
  <si>
    <t xml:space="preserve">            현금</t>
  </si>
  <si>
    <t>1  877  370</t>
  </si>
  <si>
    <t xml:space="preserve">            보통예금</t>
  </si>
  <si>
    <t>1  022  677  897</t>
  </si>
  <si>
    <t xml:space="preserve">            미수금</t>
  </si>
  <si>
    <t>4  171  670  504</t>
  </si>
  <si>
    <t>0</t>
  </si>
  <si>
    <t xml:space="preserve">            선급금</t>
  </si>
  <si>
    <t>23  228  148</t>
  </si>
  <si>
    <t xml:space="preserve">            선급비용</t>
  </si>
  <si>
    <t>143  238  617</t>
  </si>
  <si>
    <t xml:space="preserve">            선납세금</t>
  </si>
  <si>
    <t xml:space="preserve">            외상매입금</t>
  </si>
  <si>
    <t>1  483  753  234</t>
  </si>
  <si>
    <t xml:space="preserve">            미지급금</t>
  </si>
  <si>
    <t>754  742  966</t>
  </si>
  <si>
    <t xml:space="preserve">            예수금</t>
  </si>
  <si>
    <t>109  226  820</t>
  </si>
  <si>
    <t xml:space="preserve">            부가세예수금</t>
  </si>
  <si>
    <t>252  987  050</t>
  </si>
  <si>
    <t xml:space="preserve">            단기차입금</t>
  </si>
  <si>
    <t>4  197  799  117</t>
  </si>
  <si>
    <t xml:space="preserve">            미지급비용</t>
  </si>
  <si>
    <t>313  169  759</t>
  </si>
  <si>
    <t>1. 현금</t>
    <phoneticPr fontId="4" type="noConversion"/>
  </si>
  <si>
    <t>2. 예금</t>
    <phoneticPr fontId="4" type="noConversion"/>
  </si>
  <si>
    <t>3. 미수금</t>
    <phoneticPr fontId="4" type="noConversion"/>
  </si>
  <si>
    <t>4. 선급금</t>
    <phoneticPr fontId="4" type="noConversion"/>
  </si>
  <si>
    <t>5. 선급비용</t>
    <phoneticPr fontId="4" type="noConversion"/>
  </si>
  <si>
    <t>6. 선납세금</t>
    <phoneticPr fontId="4" type="noConversion"/>
  </si>
  <si>
    <t>7. 식재료</t>
    <phoneticPr fontId="4" type="noConversion"/>
  </si>
  <si>
    <t>8. 유형자산(취득가액 합계)</t>
    <phoneticPr fontId="4" type="noConversion"/>
  </si>
  <si>
    <t>9. 무형자산(취득가액 합계)</t>
    <phoneticPr fontId="4" type="noConversion"/>
  </si>
  <si>
    <t>자산</t>
    <phoneticPr fontId="4" type="noConversion"/>
  </si>
  <si>
    <t>자산계</t>
    <phoneticPr fontId="4" type="noConversion"/>
  </si>
  <si>
    <t>11. 외상매입금</t>
    <phoneticPr fontId="4" type="noConversion"/>
  </si>
  <si>
    <t>12. 미지급금</t>
    <phoneticPr fontId="4" type="noConversion"/>
  </si>
  <si>
    <t>13. 예수금</t>
    <phoneticPr fontId="4" type="noConversion"/>
  </si>
  <si>
    <t>14. 부가세예수금</t>
    <phoneticPr fontId="4" type="noConversion"/>
  </si>
  <si>
    <t>15. 미지급비용</t>
    <phoneticPr fontId="4" type="noConversion"/>
  </si>
  <si>
    <t>16. 선수수익</t>
    <phoneticPr fontId="4" type="noConversion"/>
  </si>
  <si>
    <t xml:space="preserve">  (3) 시설장치(취득가액 소계)</t>
    <phoneticPr fontId="4" type="noConversion"/>
  </si>
  <si>
    <t xml:space="preserve">    주방기구(감가상각누계액)</t>
    <phoneticPr fontId="4" type="noConversion"/>
  </si>
  <si>
    <t xml:space="preserve">    비품(감가상각누계액 소계)</t>
    <phoneticPr fontId="4" type="noConversion"/>
  </si>
  <si>
    <t xml:space="preserve">      시설장치(감가상각누계액 소계)</t>
    <phoneticPr fontId="4" type="noConversion"/>
  </si>
  <si>
    <t>부채계</t>
    <phoneticPr fontId="4" type="noConversion"/>
  </si>
  <si>
    <t>영업점 소계</t>
    <phoneticPr fontId="4" type="noConversion"/>
  </si>
  <si>
    <t>부산본점작업건</t>
    <phoneticPr fontId="4" type="noConversion"/>
  </si>
  <si>
    <t>2023년(실적)</t>
    <phoneticPr fontId="4" type="noConversion"/>
  </si>
  <si>
    <t>16. 단기차입금</t>
    <phoneticPr fontId="4" type="noConversion"/>
  </si>
  <si>
    <t>기초식재료재고액</t>
    <phoneticPr fontId="4" type="noConversion"/>
  </si>
  <si>
    <t>당기 식재료 매입액</t>
    <phoneticPr fontId="4" type="noConversion"/>
  </si>
  <si>
    <t>기말식재료재고액</t>
    <phoneticPr fontId="4" type="noConversion"/>
  </si>
  <si>
    <t xml:space="preserve"> </t>
    <phoneticPr fontId="4" type="noConversion"/>
  </si>
  <si>
    <t>직원급여</t>
    <phoneticPr fontId="4" type="noConversion"/>
  </si>
  <si>
    <t>5호점 (롯데인천)</t>
    <phoneticPr fontId="4" type="noConversion"/>
  </si>
  <si>
    <t>4호점 (신세계센텀시티)</t>
    <phoneticPr fontId="4" type="noConversion"/>
  </si>
  <si>
    <t>3호점 (현대무역센터)</t>
    <phoneticPr fontId="4" type="noConversion"/>
  </si>
  <si>
    <t>2호점 (서울숲 디타워)</t>
    <phoneticPr fontId="4" type="noConversion"/>
  </si>
  <si>
    <t>1호점 (롯데월드몰)</t>
    <phoneticPr fontId="4" type="noConversion"/>
  </si>
  <si>
    <t>회사명 : 진경산업㈜</t>
    <phoneticPr fontId="4" type="noConversion"/>
  </si>
  <si>
    <r>
      <rPr>
        <sz val="10"/>
        <rFont val="맑은 고딕"/>
        <family val="3"/>
        <charset val="129"/>
      </rPr>
      <t>제</t>
    </r>
    <r>
      <rPr>
        <sz val="10"/>
        <rFont val="Arial"/>
        <family val="2"/>
      </rPr>
      <t xml:space="preserve"> 25(</t>
    </r>
    <r>
      <rPr>
        <sz val="10"/>
        <rFont val="맑은 고딕"/>
        <family val="3"/>
        <charset val="129"/>
      </rPr>
      <t>당</t>
    </r>
    <r>
      <rPr>
        <sz val="10"/>
        <rFont val="Arial"/>
        <family val="2"/>
      </rPr>
      <t>)</t>
    </r>
    <r>
      <rPr>
        <sz val="10"/>
        <rFont val="맑은 고딕"/>
        <family val="3"/>
        <charset val="129"/>
      </rPr>
      <t>기</t>
    </r>
    <r>
      <rPr>
        <sz val="10"/>
        <rFont val="Arial"/>
        <family val="2"/>
      </rPr>
      <t xml:space="preserve"> 2023</t>
    </r>
    <r>
      <rPr>
        <sz val="10"/>
        <rFont val="맑은 고딕"/>
        <family val="3"/>
        <charset val="129"/>
      </rPr>
      <t>년</t>
    </r>
    <r>
      <rPr>
        <sz val="10"/>
        <rFont val="Arial"/>
        <family val="2"/>
      </rPr>
      <t xml:space="preserve">  1</t>
    </r>
    <r>
      <rPr>
        <sz val="10"/>
        <rFont val="맑은 고딕"/>
        <family val="3"/>
        <charset val="129"/>
      </rPr>
      <t>월</t>
    </r>
    <r>
      <rPr>
        <sz val="10"/>
        <rFont val="Arial"/>
        <family val="2"/>
      </rPr>
      <t xml:space="preserve">  1</t>
    </r>
    <r>
      <rPr>
        <sz val="10"/>
        <rFont val="맑은 고딕"/>
        <family val="3"/>
        <charset val="129"/>
      </rPr>
      <t>일부터</t>
    </r>
    <r>
      <rPr>
        <sz val="10"/>
        <rFont val="Arial"/>
        <family val="2"/>
      </rPr>
      <t xml:space="preserve">  2023</t>
    </r>
    <r>
      <rPr>
        <sz val="10"/>
        <rFont val="맑은 고딕"/>
        <family val="3"/>
        <charset val="129"/>
      </rPr>
      <t>년</t>
    </r>
    <r>
      <rPr>
        <sz val="10"/>
        <rFont val="Arial"/>
        <family val="2"/>
      </rPr>
      <t xml:space="preserve">   12</t>
    </r>
    <r>
      <rPr>
        <sz val="10"/>
        <rFont val="맑은 고딕"/>
        <family val="3"/>
        <charset val="129"/>
      </rPr>
      <t>월</t>
    </r>
    <r>
      <rPr>
        <sz val="10"/>
        <rFont val="Arial"/>
        <family val="2"/>
      </rPr>
      <t xml:space="preserve">   31</t>
    </r>
    <r>
      <rPr>
        <sz val="10"/>
        <rFont val="맑은 고딕"/>
        <family val="3"/>
        <charset val="129"/>
      </rPr>
      <t>일까지</t>
    </r>
    <phoneticPr fontId="4" type="noConversion"/>
  </si>
  <si>
    <t>7-12월</t>
    <phoneticPr fontId="4" type="noConversion"/>
  </si>
  <si>
    <t>비에프엘</t>
    <phoneticPr fontId="4" type="noConversion"/>
  </si>
  <si>
    <t>7-12월총계</t>
    <phoneticPr fontId="4" type="noConversion"/>
  </si>
  <si>
    <t>1-6월총계</t>
    <phoneticPr fontId="4" type="noConversion"/>
  </si>
  <si>
    <t>인원 : [  64 명]</t>
  </si>
  <si>
    <t>총     계</t>
  </si>
  <si>
    <t>861026-*******</t>
  </si>
  <si>
    <t>내</t>
  </si>
  <si>
    <t>고재용(중도퇴사자)</t>
  </si>
  <si>
    <t>769</t>
  </si>
  <si>
    <t>790908-*******</t>
  </si>
  <si>
    <t>장재양(중도퇴사자)</t>
  </si>
  <si>
    <t>764</t>
  </si>
  <si>
    <t>890118-*******</t>
  </si>
  <si>
    <t>강채원(중도퇴사자)</t>
  </si>
  <si>
    <t>748</t>
  </si>
  <si>
    <t>980213-*******</t>
  </si>
  <si>
    <t>김다현(중도퇴사자)</t>
  </si>
  <si>
    <t>743</t>
  </si>
  <si>
    <t>911130-*******</t>
  </si>
  <si>
    <t>정찬호(중도퇴사자)</t>
  </si>
  <si>
    <t>735</t>
  </si>
  <si>
    <t>891101-*******</t>
  </si>
  <si>
    <t>외</t>
  </si>
  <si>
    <t>김광주(중도퇴사자)</t>
  </si>
  <si>
    <t>669</t>
  </si>
  <si>
    <t>811222-*******</t>
  </si>
  <si>
    <t>김현표(중도퇴사자)</t>
  </si>
  <si>
    <t>656</t>
  </si>
  <si>
    <t>811011-*******</t>
  </si>
  <si>
    <t>김선희(중도퇴사자)</t>
  </si>
  <si>
    <t>621</t>
  </si>
  <si>
    <t>760226-*******</t>
  </si>
  <si>
    <t>김도은(중도퇴사자)</t>
  </si>
  <si>
    <t>612</t>
  </si>
  <si>
    <t>850522-*******</t>
  </si>
  <si>
    <t>이슬기(중도퇴사자)</t>
  </si>
  <si>
    <t>611</t>
  </si>
  <si>
    <t>831024-*******</t>
  </si>
  <si>
    <t>이진웅(중도퇴사자)</t>
  </si>
  <si>
    <t>610</t>
  </si>
  <si>
    <t>851125-*******</t>
  </si>
  <si>
    <t>고재훈(중도퇴사자)</t>
  </si>
  <si>
    <t>609</t>
  </si>
  <si>
    <t>860914-*******</t>
  </si>
  <si>
    <t>신현승(중도퇴사자)</t>
  </si>
  <si>
    <t>581</t>
  </si>
  <si>
    <t>861016-*******</t>
  </si>
  <si>
    <t>강신화(중도퇴사자)</t>
  </si>
  <si>
    <t>580</t>
  </si>
  <si>
    <t>911017-*******</t>
  </si>
  <si>
    <t>문스텔라(중도퇴사자)</t>
  </si>
  <si>
    <t>551</t>
  </si>
  <si>
    <t>830218-*******</t>
  </si>
  <si>
    <t>김미성(중도퇴사자)</t>
  </si>
  <si>
    <t>541</t>
  </si>
  <si>
    <t>890910-*******</t>
  </si>
  <si>
    <t>임현수(중도퇴사자)</t>
  </si>
  <si>
    <t>273</t>
  </si>
  <si>
    <t>850815-*******</t>
  </si>
  <si>
    <t>박준현(중도퇴사자)</t>
  </si>
  <si>
    <t>840817-*******</t>
  </si>
  <si>
    <t>배현준(중도퇴사자)</t>
  </si>
  <si>
    <t>공제액</t>
  </si>
  <si>
    <t>지급액</t>
  </si>
  <si>
    <t>공제총액</t>
  </si>
  <si>
    <t>지급총액</t>
  </si>
  <si>
    <t>12월</t>
  </si>
  <si>
    <t>11월</t>
  </si>
  <si>
    <t>10월</t>
  </si>
  <si>
    <t>9월</t>
  </si>
  <si>
    <t>8월</t>
  </si>
  <si>
    <t>7월</t>
  </si>
  <si>
    <t>6월</t>
  </si>
  <si>
    <t>5월</t>
  </si>
  <si>
    <t>4월</t>
  </si>
  <si>
    <t>3월</t>
  </si>
  <si>
    <t>2월</t>
  </si>
  <si>
    <t>1월</t>
  </si>
  <si>
    <t>총계</t>
  </si>
  <si>
    <t>주민(외국인)등록번호</t>
  </si>
  <si>
    <t>부서명</t>
    <phoneticPr fontId="4" type="noConversion"/>
  </si>
  <si>
    <t>사원명</t>
  </si>
  <si>
    <t>Code</t>
  </si>
  <si>
    <t>영업점 귀속</t>
    <phoneticPr fontId="4" type="noConversion"/>
  </si>
  <si>
    <t>10. 기타 보증금</t>
    <phoneticPr fontId="4" type="noConversion"/>
  </si>
  <si>
    <t>11. 임차보증금</t>
    <phoneticPr fontId="4" type="noConversion"/>
  </si>
  <si>
    <t>분할신설법인</t>
    <phoneticPr fontId="4" type="noConversion"/>
  </si>
  <si>
    <t>비고</t>
    <phoneticPr fontId="4" type="noConversion"/>
  </si>
  <si>
    <t>1호점 영업권</t>
    <phoneticPr fontId="4" type="noConversion"/>
  </si>
  <si>
    <t>2호점 영업권</t>
    <phoneticPr fontId="4" type="noConversion"/>
  </si>
  <si>
    <t>총내용년수 5년</t>
    <phoneticPr fontId="4" type="noConversion"/>
  </si>
  <si>
    <t>경과기간(년)</t>
    <phoneticPr fontId="4" type="noConversion"/>
  </si>
  <si>
    <t>상각누계액</t>
    <phoneticPr fontId="4" type="noConversion"/>
  </si>
  <si>
    <t>취득가액</t>
    <phoneticPr fontId="4" type="noConversion"/>
  </si>
  <si>
    <t>연간 상각비</t>
    <phoneticPr fontId="4" type="noConversion"/>
  </si>
  <si>
    <t>(단위 : 원)</t>
    <phoneticPr fontId="4" type="noConversion"/>
  </si>
  <si>
    <t>분할신설회사 최종 순자산가치</t>
    <phoneticPr fontId="4" type="noConversion"/>
  </si>
  <si>
    <t>1,2호점 영업권</t>
    <phoneticPr fontId="4" type="noConversion"/>
  </si>
  <si>
    <t>비품 중 식음료 부문</t>
    <phoneticPr fontId="4" type="noConversion"/>
  </si>
  <si>
    <t>주방기구 중 식음료 부문</t>
    <phoneticPr fontId="4" type="noConversion"/>
  </si>
  <si>
    <t>시설장치 중 식음료 부문</t>
    <phoneticPr fontId="4" type="noConversion"/>
  </si>
  <si>
    <t>삼성동</t>
    <phoneticPr fontId="4" type="noConversion"/>
  </si>
  <si>
    <t>성수</t>
    <phoneticPr fontId="4" type="noConversion"/>
  </si>
  <si>
    <t>잠실</t>
    <phoneticPr fontId="4" type="noConversion"/>
  </si>
  <si>
    <t>부산</t>
    <phoneticPr fontId="4" type="noConversion"/>
  </si>
  <si>
    <t>인천</t>
    <phoneticPr fontId="4" type="noConversion"/>
  </si>
  <si>
    <t>강남신세계</t>
    <phoneticPr fontId="4" type="noConversion"/>
  </si>
  <si>
    <t>3호점(삼성동)</t>
    <phoneticPr fontId="4" type="noConversion"/>
  </si>
  <si>
    <t>인건비 (= 급여+상여+제수당+잡급+퇴직연금)</t>
    <phoneticPr fontId="4" type="noConversion"/>
  </si>
  <si>
    <t>연간증가율</t>
    <phoneticPr fontId="4" type="noConversion"/>
  </si>
  <si>
    <t>매출</t>
    <phoneticPr fontId="4" type="noConversion"/>
  </si>
  <si>
    <t>임차료(관리비포함)</t>
    <phoneticPr fontId="4" type="noConversion"/>
  </si>
  <si>
    <t>기타 판관비</t>
    <phoneticPr fontId="4" type="noConversion"/>
  </si>
  <si>
    <t>2023년</t>
    <phoneticPr fontId="4" type="noConversion"/>
  </si>
  <si>
    <t xml:space="preserve">연간 영업이익 </t>
    <phoneticPr fontId="4" type="noConversion"/>
  </si>
  <si>
    <t>매출액 대비</t>
    <phoneticPr fontId="4" type="noConversion"/>
  </si>
  <si>
    <t>엘리베이터 TV(15s)</t>
    <phoneticPr fontId="4" type="noConversion"/>
  </si>
  <si>
    <t xml:space="preserve"> </t>
    <phoneticPr fontId="4" type="noConversion"/>
  </si>
  <si>
    <t>정액법상각비(가정)</t>
    <phoneticPr fontId="4" type="noConversion"/>
  </si>
  <si>
    <t>정률법과의 차이</t>
    <phoneticPr fontId="4" type="noConversion"/>
  </si>
  <si>
    <t>Ⅹ. (가) 당기순이익</t>
    <phoneticPr fontId="4" type="noConversion"/>
  </si>
  <si>
    <t>회사 전체</t>
    <phoneticPr fontId="4" type="noConversion"/>
  </si>
  <si>
    <t>과목</t>
    <phoneticPr fontId="4" type="noConversion"/>
  </si>
  <si>
    <t>식음료 사업 부문</t>
    <phoneticPr fontId="4" type="noConversion"/>
  </si>
  <si>
    <t>HQ</t>
    <phoneticPr fontId="4" type="noConversion"/>
  </si>
  <si>
    <t xml:space="preserve">  식재료 매출원가</t>
    <phoneticPr fontId="4" type="noConversion"/>
  </si>
  <si>
    <t>Ⅱ.매출원가</t>
    <phoneticPr fontId="4" type="noConversion"/>
  </si>
  <si>
    <t>잡급</t>
    <phoneticPr fontId="4" type="noConversion"/>
  </si>
  <si>
    <t>세금과공과금</t>
    <phoneticPr fontId="4" type="noConversion"/>
  </si>
  <si>
    <t>수출제비용</t>
    <phoneticPr fontId="4" type="noConversion"/>
  </si>
  <si>
    <t>판매수수료</t>
    <phoneticPr fontId="4" type="noConversion"/>
  </si>
  <si>
    <t>무형고정자산상각</t>
    <phoneticPr fontId="4" type="noConversion"/>
  </si>
  <si>
    <t>견본비</t>
    <phoneticPr fontId="4" type="noConversion"/>
  </si>
  <si>
    <t>해외접대비</t>
    <phoneticPr fontId="4" type="noConversion"/>
  </si>
  <si>
    <t>해외출장비</t>
    <phoneticPr fontId="4" type="noConversion"/>
  </si>
  <si>
    <t>차량리스료</t>
    <phoneticPr fontId="4" type="noConversion"/>
  </si>
  <si>
    <t>Ⅳ.판매비와관리비
(+제조 노무비,경비)</t>
    <phoneticPr fontId="4" type="noConversion"/>
  </si>
  <si>
    <t>식음료사업 계</t>
    <phoneticPr fontId="4" type="noConversion"/>
  </si>
  <si>
    <t xml:space="preserve">  결산서상의 당기순이익</t>
    <phoneticPr fontId="4" type="noConversion"/>
  </si>
  <si>
    <t xml:space="preserve">  상각비 조정후 당기순이익</t>
    <phoneticPr fontId="4" type="noConversion"/>
  </si>
  <si>
    <t>R&amp;D dep.</t>
    <phoneticPr fontId="4" type="noConversion"/>
  </si>
  <si>
    <t>(단위 : 원)</t>
  </si>
  <si>
    <t>4호점(부산)</t>
    <phoneticPr fontId="4" type="noConversion"/>
  </si>
  <si>
    <t>실적치</t>
    <phoneticPr fontId="4" type="noConversion"/>
  </si>
  <si>
    <t>사업계획 기반</t>
    <phoneticPr fontId="4" type="noConversion"/>
  </si>
  <si>
    <t>연간 증가율 적용</t>
    <phoneticPr fontId="4" type="noConversion"/>
  </si>
  <si>
    <t>개별 비용 항목 합산</t>
    <phoneticPr fontId="4" type="noConversion"/>
  </si>
  <si>
    <t>매출대비 식재료 비율 일괄 적용</t>
    <phoneticPr fontId="4" type="noConversion"/>
  </si>
  <si>
    <t>산출근거</t>
    <phoneticPr fontId="4" type="noConversion"/>
  </si>
  <si>
    <t>매출원가(식재료)</t>
    <phoneticPr fontId="4" type="noConversion"/>
  </si>
  <si>
    <t>2024년 상각비 추정</t>
    <phoneticPr fontId="4" type="noConversion"/>
  </si>
  <si>
    <t>감가상각비 적용방법 차이 누적효과</t>
    <phoneticPr fontId="4" type="noConversion"/>
  </si>
  <si>
    <t>향후5년간 감가상각비(정률법 적용)</t>
    <phoneticPr fontId="4" type="noConversion"/>
  </si>
  <si>
    <t>2024년</t>
    <phoneticPr fontId="4" type="noConversion"/>
  </si>
  <si>
    <t>2025년</t>
  </si>
  <si>
    <t>2026년</t>
  </si>
  <si>
    <t>2027년</t>
  </si>
  <si>
    <t>2028년</t>
  </si>
  <si>
    <t>2023년 정률법 상각비</t>
    <phoneticPr fontId="4" type="noConversion"/>
  </si>
  <si>
    <t>2023년 정액법상각비</t>
    <phoneticPr fontId="4" type="noConversion"/>
  </si>
  <si>
    <t>2025년 상각비 추정</t>
  </si>
  <si>
    <t>2026년 상각비 추정</t>
  </si>
  <si>
    <t>2027년 상각비 추정</t>
  </si>
  <si>
    <t>2028년 상각비 추정</t>
  </si>
  <si>
    <t>부서PJT/현장별 유형고정자산명세서</t>
  </si>
  <si>
    <t>[프로젝트별:(0000)전체]</t>
  </si>
  <si>
    <t>진경산업(주)본점회사명:</t>
  </si>
  <si>
    <t>계정과목</t>
  </si>
  <si>
    <t>과목명</t>
  </si>
  <si>
    <t>자산코드</t>
  </si>
  <si>
    <t>관리코드</t>
  </si>
  <si>
    <t>당기말상각누계</t>
  </si>
  <si>
    <t>000003</t>
  </si>
  <si>
    <t>000001</t>
  </si>
  <si>
    <t>000002</t>
  </si>
  <si>
    <t>000004</t>
  </si>
  <si>
    <t>000005</t>
  </si>
  <si>
    <t>000006</t>
  </si>
  <si>
    <t>000008</t>
  </si>
  <si>
    <t>000012</t>
  </si>
  <si>
    <t>000013</t>
  </si>
  <si>
    <t>000014</t>
  </si>
  <si>
    <t>000015</t>
  </si>
  <si>
    <t>000018</t>
  </si>
  <si>
    <t>000023</t>
  </si>
  <si>
    <t>000024</t>
  </si>
  <si>
    <t xml:space="preserve">38나9125 </t>
  </si>
  <si>
    <t>000046</t>
  </si>
  <si>
    <t>000047</t>
  </si>
  <si>
    <t>스캐너</t>
  </si>
  <si>
    <t>2018-11-08</t>
  </si>
  <si>
    <t>000009</t>
  </si>
  <si>
    <t>000010</t>
  </si>
  <si>
    <t>000011</t>
  </si>
  <si>
    <t>000027</t>
  </si>
  <si>
    <t>000028</t>
  </si>
  <si>
    <t>000029</t>
  </si>
  <si>
    <t>000033</t>
  </si>
  <si>
    <t>000035</t>
  </si>
  <si>
    <t>000039</t>
  </si>
  <si>
    <t xml:space="preserve">책상 </t>
  </si>
  <si>
    <t>000040</t>
  </si>
  <si>
    <t>부산본점작업건</t>
  </si>
  <si>
    <t>000017</t>
  </si>
  <si>
    <t>000019</t>
  </si>
  <si>
    <t>000021</t>
  </si>
  <si>
    <t>광복.명동</t>
  </si>
  <si>
    <t>2018-03-23</t>
  </si>
  <si>
    <t>000022</t>
  </si>
  <si>
    <t>대전</t>
  </si>
  <si>
    <t>2018-08-31</t>
  </si>
  <si>
    <t>일산</t>
  </si>
  <si>
    <t>2018-09-11</t>
  </si>
  <si>
    <t>벽장4대유상원</t>
  </si>
  <si>
    <t>2018-09-20</t>
  </si>
  <si>
    <t>000025</t>
  </si>
  <si>
    <t>포항집기</t>
  </si>
  <si>
    <t>2018-10-02</t>
  </si>
  <si>
    <t>000026</t>
  </si>
  <si>
    <t>군산</t>
  </si>
  <si>
    <t>2018-10-19</t>
  </si>
  <si>
    <t>영등포</t>
  </si>
  <si>
    <t>2018-10-23</t>
  </si>
  <si>
    <t>노원평촌</t>
  </si>
  <si>
    <t>2018-11-01</t>
  </si>
  <si>
    <t>롯데건대점집기공사</t>
  </si>
  <si>
    <t>2018-11-14</t>
  </si>
  <si>
    <t>000030</t>
  </si>
  <si>
    <t>구리건</t>
  </si>
  <si>
    <t>2018-11-26</t>
  </si>
  <si>
    <t>000031</t>
  </si>
  <si>
    <t>부산서면</t>
  </si>
  <si>
    <t>2018-12-19</t>
  </si>
  <si>
    <t>000032</t>
  </si>
  <si>
    <t>000034</t>
  </si>
  <si>
    <t>청주</t>
  </si>
  <si>
    <t>2019-03-25</t>
  </si>
  <si>
    <t>000036</t>
  </si>
  <si>
    <t>000037</t>
  </si>
  <si>
    <t>000038</t>
  </si>
  <si>
    <t>000041</t>
  </si>
  <si>
    <t>000042</t>
  </si>
  <si>
    <t>000043</t>
  </si>
  <si>
    <t>000044</t>
  </si>
  <si>
    <t>000045</t>
  </si>
  <si>
    <t>디큐브작업</t>
  </si>
  <si>
    <t>2019-11-19</t>
  </si>
  <si>
    <t>2019-12-10</t>
  </si>
  <si>
    <t>000048</t>
  </si>
  <si>
    <t>000049</t>
  </si>
  <si>
    <t>000050</t>
  </si>
  <si>
    <t>000051</t>
  </si>
  <si>
    <t>000052</t>
  </si>
  <si>
    <t>000053</t>
  </si>
  <si>
    <t>000055</t>
  </si>
  <si>
    <t>000060</t>
  </si>
  <si>
    <t>000067</t>
  </si>
  <si>
    <t>000070</t>
  </si>
  <si>
    <t>000072</t>
  </si>
  <si>
    <t>000133</t>
  </si>
  <si>
    <t>000134</t>
  </si>
  <si>
    <t>000164</t>
  </si>
  <si>
    <t>000177</t>
  </si>
  <si>
    <t xml:space="preserve">공기식태양열 집열패널 </t>
  </si>
  <si>
    <t>2016-12-27</t>
  </si>
  <si>
    <t>[미등록] 미등록 소계</t>
  </si>
  <si>
    <t>000007</t>
  </si>
  <si>
    <t xml:space="preserve">해시스냅 프린터 </t>
  </si>
  <si>
    <t>000058</t>
  </si>
  <si>
    <t>000059</t>
  </si>
  <si>
    <t>000219</t>
  </si>
  <si>
    <t>[0002] 잠실월드점-1호점 소계</t>
  </si>
  <si>
    <t>000016</t>
  </si>
  <si>
    <t>000054</t>
  </si>
  <si>
    <t>000056</t>
  </si>
  <si>
    <t>[0003] 성수디타워-2호점피자 소계</t>
  </si>
  <si>
    <t>000020</t>
  </si>
  <si>
    <t xml:space="preserve">주방기기 </t>
  </si>
  <si>
    <t>엘리베이터 TV(15s)</t>
  </si>
  <si>
    <t>3호현대무역점-인테리어 63평/24평</t>
  </si>
  <si>
    <t>[0004] 무역센터점-3호점버거 소계</t>
  </si>
  <si>
    <t>4호부산점-인테리어 102평/27평</t>
  </si>
  <si>
    <t>[0005] 부산센텀비즈-4호점 소계</t>
  </si>
  <si>
    <t>취득원가</t>
    <phoneticPr fontId="4" type="noConversion"/>
  </si>
  <si>
    <t>내용년수</t>
    <phoneticPr fontId="4" type="noConversion"/>
  </si>
  <si>
    <t>상각율</t>
    <phoneticPr fontId="4" type="noConversion"/>
  </si>
  <si>
    <t>상각비</t>
    <phoneticPr fontId="4" type="noConversion"/>
  </si>
  <si>
    <t>지급수수료(로열티)</t>
    <phoneticPr fontId="4" type="noConversion"/>
  </si>
  <si>
    <t>매출대비 식재료 비율을 적용</t>
    <phoneticPr fontId="4" type="noConversion"/>
  </si>
  <si>
    <t>2024년 정액법 추정치</t>
    <phoneticPr fontId="4" type="noConversion"/>
  </si>
  <si>
    <t>2024년 ~</t>
    <phoneticPr fontId="4" type="noConversion"/>
  </si>
  <si>
    <t>정액법 적용(중고취득)</t>
    <phoneticPr fontId="4" type="noConversion"/>
  </si>
  <si>
    <t>6호점 유형자산 연간 상각비 계산 내역(정률법 적용)</t>
    <phoneticPr fontId="4" type="noConversion"/>
  </si>
  <si>
    <t>6호점 유형자산 연간 상각비 계산 내역(정액법 적용)</t>
    <phoneticPr fontId="4" type="noConversion"/>
  </si>
  <si>
    <t>제 25기  2023년  12월  31일  현재</t>
    <phoneticPr fontId="4" type="noConversion"/>
  </si>
  <si>
    <t>2023년 감사보고서상에는 비용처리되었으나, 자산성 있음.</t>
    <phoneticPr fontId="4" type="noConversion"/>
  </si>
  <si>
    <t>분할자산 가산 항목 (주1)</t>
    <phoneticPr fontId="4" type="noConversion"/>
  </si>
  <si>
    <t>(주1) 가산 항목 산출 근거</t>
    <phoneticPr fontId="4" type="noConversion"/>
  </si>
  <si>
    <t>실제로는 전액비용화</t>
    <phoneticPr fontId="4" type="noConversion"/>
  </si>
  <si>
    <t>적정한 기말장부가액</t>
    <phoneticPr fontId="4" type="noConversion"/>
  </si>
  <si>
    <t>분할 순자산 요약</t>
    <phoneticPr fontId="4" type="noConversion"/>
  </si>
  <si>
    <t>7호점</t>
    <phoneticPr fontId="4" type="noConversion"/>
  </si>
  <si>
    <t>롯데수원</t>
    <phoneticPr fontId="4" type="noConversion"/>
  </si>
  <si>
    <t>감가상각비 (=유형자산상각)</t>
    <phoneticPr fontId="4" type="noConversion"/>
  </si>
  <si>
    <t>8호점</t>
    <phoneticPr fontId="4" type="noConversion"/>
  </si>
  <si>
    <t>9호점</t>
    <phoneticPr fontId="4" type="noConversion"/>
  </si>
  <si>
    <t>롯데 부산</t>
    <phoneticPr fontId="4" type="noConversion"/>
  </si>
  <si>
    <t>신세계 대전</t>
    <phoneticPr fontId="4" type="noConversion"/>
  </si>
  <si>
    <t>2024.08 오픈</t>
    <phoneticPr fontId="4" type="noConversion"/>
  </si>
  <si>
    <t>2024.12 오픈</t>
    <phoneticPr fontId="4" type="noConversion"/>
  </si>
  <si>
    <t>2025.05 오픈</t>
    <phoneticPr fontId="4" type="noConversion"/>
  </si>
  <si>
    <t>2025.11 오픈</t>
    <phoneticPr fontId="4" type="noConversion"/>
  </si>
  <si>
    <t>매출대비 지급수수료율</t>
    <phoneticPr fontId="4" type="noConversion"/>
  </si>
  <si>
    <t>개별분석</t>
    <phoneticPr fontId="4" type="noConversion"/>
  </si>
  <si>
    <t>서울숲점</t>
    <phoneticPr fontId="4" type="noConversion"/>
  </si>
  <si>
    <t>무역센터점</t>
    <phoneticPr fontId="4" type="noConversion"/>
  </si>
  <si>
    <t>잠실점</t>
    <phoneticPr fontId="4" type="noConversion"/>
  </si>
  <si>
    <t>부산점</t>
    <phoneticPr fontId="4" type="noConversion"/>
  </si>
  <si>
    <t>인천점</t>
    <phoneticPr fontId="4" type="noConversion"/>
  </si>
  <si>
    <t>별첨2. 참조</t>
  </si>
  <si>
    <t>별첨2. 참조</t>
    <phoneticPr fontId="4" type="noConversion"/>
  </si>
  <si>
    <t>부산센텀점</t>
    <phoneticPr fontId="4" type="noConversion"/>
  </si>
  <si>
    <t>별첨4. 참조</t>
    <phoneticPr fontId="4" type="noConversion"/>
  </si>
  <si>
    <t>본사 귀속</t>
    <phoneticPr fontId="4" type="noConversion"/>
  </si>
  <si>
    <t>별첨3. 참조 (본사 귀속)</t>
    <phoneticPr fontId="4" type="noConversion"/>
  </si>
  <si>
    <t>별첨3. 참조</t>
    <phoneticPr fontId="4" type="noConversion"/>
  </si>
  <si>
    <t>별첨3. 참조
(인테리어지원금 미상각분)</t>
    <phoneticPr fontId="4" type="noConversion"/>
  </si>
  <si>
    <t>손   익   계   산   서
(분할전 법인 전체)</t>
    <phoneticPr fontId="4" type="noConversion"/>
  </si>
  <si>
    <t>손   익   계   산   서
(식음료 사업 부문)</t>
    <phoneticPr fontId="4" type="noConversion"/>
  </si>
  <si>
    <t>(가산) 감가상각변경효과
        (정률법 --&gt; 정액법)</t>
    <phoneticPr fontId="4" type="noConversion"/>
  </si>
  <si>
    <r>
      <t xml:space="preserve">* </t>
    </r>
    <r>
      <rPr>
        <b/>
        <sz val="10"/>
        <color rgb="FFFF0000"/>
        <rFont val="Arial Unicode MS"/>
        <family val="2"/>
        <charset val="129"/>
      </rPr>
      <t>기존의 영업점별로 식재료 총액은 구분 기재되어 있으나, 거래처별 명세서에서는 영업점별로 구분이 안됨.</t>
    </r>
    <phoneticPr fontId="4" type="noConversion"/>
  </si>
  <si>
    <t xml:space="preserve">  (1) 1호점</t>
    <phoneticPr fontId="4" type="noConversion"/>
  </si>
  <si>
    <t>잠실점(1호점)</t>
    <phoneticPr fontId="4" type="noConversion"/>
  </si>
  <si>
    <t>부산점(4호점)</t>
    <phoneticPr fontId="4" type="noConversion"/>
  </si>
  <si>
    <t>인천점(5호점)</t>
    <phoneticPr fontId="4" type="noConversion"/>
  </si>
  <si>
    <t>무역센터점(3호점)</t>
    <phoneticPr fontId="4" type="noConversion"/>
  </si>
  <si>
    <t>서울숲점(2호점)</t>
    <phoneticPr fontId="4" type="noConversion"/>
  </si>
  <si>
    <t>2호점(서울숲)</t>
    <phoneticPr fontId="4" type="noConversion"/>
  </si>
  <si>
    <t xml:space="preserve">  (2) 2호점</t>
    <phoneticPr fontId="4" type="noConversion"/>
  </si>
  <si>
    <t xml:space="preserve">  (3) 3호점</t>
    <phoneticPr fontId="4" type="noConversion"/>
  </si>
  <si>
    <t xml:space="preserve">  (4) 4호점</t>
    <phoneticPr fontId="4" type="noConversion"/>
  </si>
  <si>
    <t xml:space="preserve">  (5) 5호점</t>
    <phoneticPr fontId="4" type="noConversion"/>
  </si>
  <si>
    <t>영업점별 IS(통합) 참조</t>
    <phoneticPr fontId="4" type="noConversion"/>
  </si>
  <si>
    <t>차이</t>
    <phoneticPr fontId="4" type="noConversion"/>
  </si>
  <si>
    <t>영업점별IS 금액</t>
    <phoneticPr fontId="4" type="noConversion"/>
  </si>
  <si>
    <t>주다</t>
    <phoneticPr fontId="4" type="noConversion"/>
  </si>
  <si>
    <t>1-6월 음식매출</t>
    <phoneticPr fontId="4" type="noConversion"/>
  </si>
  <si>
    <t>1분기</t>
    <phoneticPr fontId="4" type="noConversion"/>
  </si>
  <si>
    <t>2분기</t>
    <phoneticPr fontId="4" type="noConversion"/>
  </si>
  <si>
    <t>부가세 신고 내역</t>
    <phoneticPr fontId="4" type="noConversion"/>
  </si>
  <si>
    <t>전산 내역</t>
    <phoneticPr fontId="4" type="noConversion"/>
  </si>
  <si>
    <t>* 2호점 매출 중 18,565,571원은 부가세 신고에 있어서 잡화 매출로 오류 신고된 것임.</t>
    <phoneticPr fontId="4" type="noConversion"/>
  </si>
  <si>
    <t>따라서, 해당 금액은 식음료 매출로 보아야 함.</t>
    <phoneticPr fontId="4" type="noConversion"/>
  </si>
  <si>
    <t>별첨5 참조</t>
    <phoneticPr fontId="4" type="noConversion"/>
  </si>
  <si>
    <t>대사 검증</t>
    <phoneticPr fontId="4" type="noConversion"/>
  </si>
  <si>
    <t>회사명 : 고든램지 레스토랑</t>
    <phoneticPr fontId="4" type="noConversion"/>
  </si>
  <si>
    <t>2023년  1월  1일부터  2023년 12월 31일까지</t>
    <phoneticPr fontId="4" type="noConversion"/>
  </si>
  <si>
    <t>2023년 식음료사업부문 결산 실적 분석</t>
    <phoneticPr fontId="4" type="noConversion"/>
  </si>
  <si>
    <t xml:space="preserve">인건비 대비 </t>
    <phoneticPr fontId="4" type="noConversion"/>
  </si>
  <si>
    <t>매출대비</t>
    <phoneticPr fontId="4" type="noConversion"/>
  </si>
  <si>
    <t>매출 8%</t>
    <phoneticPr fontId="4" type="noConversion"/>
  </si>
  <si>
    <t>매출 7%</t>
    <phoneticPr fontId="4" type="noConversion"/>
  </si>
  <si>
    <t>매출 10%,
관리비 월 5,001,350원</t>
    <phoneticPr fontId="4" type="noConversion"/>
  </si>
  <si>
    <t>매출 8%
관리비 월 4,603,720</t>
    <phoneticPr fontId="4" type="noConversion"/>
  </si>
  <si>
    <t>매출 7%(8월 오픈)
관리비 월 2,000,000원</t>
    <phoneticPr fontId="4" type="noConversion"/>
  </si>
  <si>
    <t>연간 3% 증가</t>
    <phoneticPr fontId="4" type="noConversion"/>
  </si>
  <si>
    <t xml:space="preserve"> =&gt; $250,000/12*1350*4개월</t>
    <phoneticPr fontId="76" type="noConversion"/>
  </si>
  <si>
    <t xml:space="preserve"> </t>
    <phoneticPr fontId="76" type="noConversion"/>
  </si>
  <si>
    <t>별도</t>
    <phoneticPr fontId="76" type="noConversion"/>
  </si>
  <si>
    <t>매출대비</t>
    <phoneticPr fontId="76" type="noConversion"/>
  </si>
  <si>
    <t>없음</t>
    <phoneticPr fontId="76" type="noConversion"/>
  </si>
  <si>
    <t>공과금</t>
    <phoneticPr fontId="76" type="noConversion"/>
  </si>
  <si>
    <t>고정관리비</t>
    <phoneticPr fontId="76" type="noConversion"/>
  </si>
  <si>
    <t>임차료</t>
    <phoneticPr fontId="76" type="noConversion"/>
  </si>
  <si>
    <t>계</t>
    <phoneticPr fontId="76" type="noConversion"/>
  </si>
  <si>
    <t>24년 예상</t>
    <phoneticPr fontId="76" type="noConversion"/>
  </si>
  <si>
    <t>4월</t>
    <phoneticPr fontId="76" type="noConversion"/>
  </si>
  <si>
    <t>3월</t>
    <phoneticPr fontId="76" type="noConversion"/>
  </si>
  <si>
    <t>2월</t>
    <phoneticPr fontId="76" type="noConversion"/>
  </si>
  <si>
    <t>1월</t>
    <phoneticPr fontId="76" type="noConversion"/>
  </si>
  <si>
    <t>24년 예상매출</t>
    <phoneticPr fontId="76" type="noConversion"/>
  </si>
  <si>
    <t>24년 월예상</t>
    <phoneticPr fontId="76" type="noConversion"/>
  </si>
  <si>
    <t>구분</t>
    <phoneticPr fontId="76" type="noConversion"/>
  </si>
  <si>
    <t>2024년 매출 추정</t>
    <phoneticPr fontId="4" type="noConversion"/>
  </si>
  <si>
    <t>실적 조정비율</t>
    <phoneticPr fontId="76" type="noConversion"/>
  </si>
  <si>
    <t>1호점 잠실점</t>
    <phoneticPr fontId="76" type="noConversion"/>
  </si>
  <si>
    <t>2호점 성수점</t>
    <phoneticPr fontId="76" type="noConversion"/>
  </si>
  <si>
    <t>3호점 삼성점</t>
    <phoneticPr fontId="76" type="noConversion"/>
  </si>
  <si>
    <t>4호점 부산점</t>
    <phoneticPr fontId="76" type="noConversion"/>
  </si>
  <si>
    <t>5호점 인천점</t>
    <phoneticPr fontId="76" type="noConversion"/>
  </si>
  <si>
    <t>6호점 수원점</t>
    <phoneticPr fontId="76" type="noConversion"/>
  </si>
  <si>
    <t>7호점 강남점</t>
    <phoneticPr fontId="76" type="noConversion"/>
  </si>
  <si>
    <t>2024년 인건비 추정</t>
    <phoneticPr fontId="4" type="noConversion"/>
  </si>
  <si>
    <t>2024년 임차료 추정</t>
    <phoneticPr fontId="4" type="noConversion"/>
  </si>
  <si>
    <t>상여금,제수당,잡급,퇴직연금,퇴직급여 소계</t>
    <phoneticPr fontId="4" type="noConversion"/>
  </si>
  <si>
    <t>직원급여 대비 비중</t>
    <phoneticPr fontId="4" type="noConversion"/>
  </si>
  <si>
    <t>2024년도 인건비 추정 근거로 사용</t>
    <phoneticPr fontId="4" type="noConversion"/>
  </si>
  <si>
    <t>(To. 2024년 영업점별 실적 sheet)</t>
    <phoneticPr fontId="4" type="noConversion"/>
  </si>
  <si>
    <t>퇴직금 12,000,000 포함</t>
    <phoneticPr fontId="4" type="noConversion"/>
  </si>
  <si>
    <t xml:space="preserve"> 폐업예상비용 1억 추가</t>
    <phoneticPr fontId="76" type="noConversion"/>
  </si>
  <si>
    <t>2024년 2호점 로열티 집계</t>
    <phoneticPr fontId="4" type="noConversion"/>
  </si>
  <si>
    <t>(과잉 인력 구조조정예정)</t>
    <phoneticPr fontId="4" type="noConversion"/>
  </si>
  <si>
    <t>본사광고비는 연간 3%증가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</si>
</sst>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76" formatCode="##,##0"/>
    <numFmt numFmtId="177" formatCode="###,###"/>
    <numFmt numFmtId="178" formatCode="###,##0.###"/>
    <numFmt numFmtId="179" formatCode="#,##0_);[Red]\(#,##0\)"/>
    <numFmt numFmtId="180" formatCode="0.0%"/>
    <numFmt numFmtId="181" formatCode="#,##0_);\(#,##0\)"/>
    <numFmt numFmtId="182" formatCode="_-* #,##0_-;\-* #,##0_-;_-* &quot;-&quot;??_-;_-@_-"/>
    <numFmt numFmtId="183" formatCode="mm&quot;월&quot;\ dd&quot;일&quot;"/>
    <numFmt numFmtId="184" formatCode="#,##0.000"/>
  </numFmts>
  <fonts count="79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0"/>
      <name val="돋움"/>
      <family val="3"/>
      <charset val="129"/>
    </font>
    <font>
      <sz val="18"/>
      <name val="Arial"/>
      <family val="2"/>
    </font>
    <font>
      <sz val="10"/>
      <color indexed="8"/>
      <name val="돋움체"/>
      <family val="3"/>
      <charset val="129"/>
    </font>
    <font>
      <b/>
      <sz val="10"/>
      <color indexed="8"/>
      <name val="돋움체"/>
      <family val="3"/>
      <charset val="129"/>
    </font>
    <font>
      <b/>
      <sz val="9"/>
      <color indexed="8"/>
      <name val="바탕체"/>
      <family val="1"/>
      <charset val="129"/>
    </font>
    <font>
      <sz val="9"/>
      <name val="바탕체"/>
      <family val="1"/>
      <charset val="129"/>
    </font>
    <font>
      <b/>
      <sz val="9"/>
      <color rgb="FFFF0000"/>
      <name val="바탕체"/>
      <family val="1"/>
      <charset val="129"/>
    </font>
    <font>
      <sz val="9"/>
      <color rgb="FFFF0000"/>
      <name val="바탕체"/>
      <family val="1"/>
      <charset val="129"/>
    </font>
    <font>
      <sz val="9"/>
      <color indexed="8"/>
      <name val="바탕체"/>
      <family val="1"/>
      <charset val="129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9"/>
      <color indexed="8"/>
      <name val="돋움체"/>
      <family val="3"/>
      <charset val="129"/>
    </font>
    <font>
      <sz val="10"/>
      <color indexed="8"/>
      <name val="바탕체"/>
      <family val="1"/>
      <charset val="129"/>
    </font>
    <font>
      <b/>
      <sz val="10"/>
      <color indexed="8"/>
      <name val="바탕체"/>
      <family val="1"/>
      <charset val="129"/>
    </font>
    <font>
      <sz val="11"/>
      <color theme="1"/>
      <name val="Arial"/>
      <family val="2"/>
    </font>
    <font>
      <b/>
      <sz val="11"/>
      <color theme="1"/>
      <name val="바탕체"/>
      <family val="1"/>
      <charset val="129"/>
    </font>
    <font>
      <sz val="11"/>
      <color theme="1"/>
      <name val="바탕체"/>
      <family val="1"/>
      <charset val="129"/>
    </font>
    <font>
      <sz val="11"/>
      <color theme="1"/>
      <name val="돋움체"/>
      <family val="3"/>
      <charset val="129"/>
    </font>
    <font>
      <b/>
      <sz val="11"/>
      <color theme="1"/>
      <name val="돋움체"/>
      <family val="3"/>
      <charset val="129"/>
    </font>
    <font>
      <sz val="9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name val="Arial"/>
      <family val="2"/>
    </font>
    <font>
      <b/>
      <sz val="11"/>
      <color indexed="8"/>
      <name val="바탕체"/>
      <family val="1"/>
      <charset val="129"/>
    </font>
    <font>
      <sz val="11"/>
      <color indexed="8"/>
      <name val="바탕체"/>
      <family val="1"/>
      <charset val="129"/>
    </font>
    <font>
      <sz val="11"/>
      <color indexed="8"/>
      <name val="돋움체"/>
      <family val="3"/>
      <charset val="129"/>
    </font>
    <font>
      <b/>
      <sz val="11"/>
      <color indexed="8"/>
      <name val="돋움체"/>
      <family val="3"/>
      <charset val="129"/>
    </font>
    <font>
      <b/>
      <sz val="9"/>
      <color rgb="FF000000"/>
      <name val="맑은 고딕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rgb="FF0835FF"/>
      <name val="맑은 고딕"/>
      <family val="3"/>
      <charset val="129"/>
    </font>
    <font>
      <sz val="12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sz val="12"/>
      <name val="Arial"/>
      <family val="2"/>
    </font>
    <font>
      <sz val="12"/>
      <color theme="1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Arial"/>
      <family val="2"/>
    </font>
    <font>
      <b/>
      <sz val="14"/>
      <color theme="1"/>
      <name val="바탕체"/>
      <family val="1"/>
      <charset val="129"/>
    </font>
    <font>
      <sz val="14"/>
      <color theme="1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b/>
      <sz val="16"/>
      <color indexed="8"/>
      <name val="맑은 고딕"/>
      <family val="3"/>
      <charset val="129"/>
      <scheme val="minor"/>
    </font>
    <font>
      <b/>
      <sz val="17"/>
      <color indexed="8"/>
      <name val="돋움체"/>
      <family val="3"/>
      <charset val="129"/>
    </font>
    <font>
      <sz val="8"/>
      <color indexed="8"/>
      <name val="바탕체"/>
      <family val="1"/>
      <charset val="129"/>
    </font>
    <font>
      <sz val="8"/>
      <color indexed="8"/>
      <name val="돋움체"/>
      <family val="3"/>
      <charset val="129"/>
    </font>
    <font>
      <sz val="9"/>
      <color indexed="8"/>
      <name val="돋움체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8"/>
      <color rgb="FFC00000"/>
      <name val="맑은 고딕"/>
      <family val="3"/>
      <charset val="129"/>
      <scheme val="minor"/>
    </font>
    <font>
      <b/>
      <sz val="10"/>
      <color rgb="FFFF0000"/>
      <name val="Arial"/>
      <family val="2"/>
    </font>
    <font>
      <b/>
      <sz val="10"/>
      <color rgb="FFFF0000"/>
      <name val="Arial Unicode MS"/>
      <family val="2"/>
      <charset val="129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F0F0"/>
      </patternFill>
    </fill>
    <fill>
      <patternFill patternType="solid">
        <fgColor rgb="FFABCCF8"/>
      </patternFill>
    </fill>
    <fill>
      <patternFill patternType="solid">
        <fgColor rgb="FFFFFFFF" tint="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</fills>
  <borders count="11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B3B3B3"/>
      </left>
      <right style="thin">
        <color rgb="FFB3B3B3"/>
      </right>
      <top style="thin">
        <color rgb="FFFFFFFF"/>
      </top>
      <bottom style="thin">
        <color rgb="FFB3B3B3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96BBED"/>
      </left>
      <right style="medium">
        <color indexed="64"/>
      </right>
      <top/>
      <bottom style="medium">
        <color indexed="64"/>
      </bottom>
      <diagonal/>
    </border>
    <border>
      <left style="thin">
        <color rgb="FF96BBED"/>
      </left>
      <right style="thin">
        <color rgb="FF96BBED"/>
      </right>
      <top/>
      <bottom style="medium">
        <color indexed="64"/>
      </bottom>
      <diagonal/>
    </border>
    <border>
      <left style="medium">
        <color indexed="64"/>
      </left>
      <right style="thin">
        <color rgb="FF96BBED"/>
      </right>
      <top/>
      <bottom style="medium">
        <color indexed="64"/>
      </bottom>
      <diagonal/>
    </border>
    <border>
      <left style="medium">
        <color indexed="64"/>
      </left>
      <right style="thin">
        <color rgb="FFB3B3B3"/>
      </right>
      <top/>
      <bottom style="medium">
        <color indexed="64"/>
      </bottom>
      <diagonal/>
    </border>
    <border>
      <left style="thin">
        <color rgb="FF96BBED"/>
      </left>
      <right style="medium">
        <color indexed="64"/>
      </right>
      <top style="thin">
        <color rgb="FF96BBED"/>
      </top>
      <bottom style="medium">
        <color indexed="64"/>
      </bottom>
      <diagonal/>
    </border>
    <border>
      <left style="thin">
        <color rgb="FF96BBED"/>
      </left>
      <right style="thin">
        <color rgb="FF96BBED"/>
      </right>
      <top style="thin">
        <color rgb="FF96BBED"/>
      </top>
      <bottom style="medium">
        <color indexed="64"/>
      </bottom>
      <diagonal/>
    </border>
    <border>
      <left style="medium">
        <color indexed="64"/>
      </left>
      <right style="thin">
        <color rgb="FF96BBED"/>
      </right>
      <top style="thin">
        <color rgb="FF96BBED"/>
      </top>
      <bottom style="medium">
        <color indexed="64"/>
      </bottom>
      <diagonal/>
    </border>
    <border>
      <left/>
      <right style="medium">
        <color indexed="64"/>
      </right>
      <top style="thin">
        <color rgb="FFB3B3B3"/>
      </top>
      <bottom style="medium">
        <color indexed="64"/>
      </bottom>
      <diagonal/>
    </border>
    <border>
      <left style="thin">
        <color rgb="FF96BBED"/>
      </left>
      <right/>
      <top style="thin">
        <color rgb="FFB3B3B3"/>
      </top>
      <bottom style="medium">
        <color indexed="64"/>
      </bottom>
      <diagonal/>
    </border>
    <border>
      <left style="thin">
        <color rgb="FF96BBED"/>
      </left>
      <right/>
      <top/>
      <bottom style="medium">
        <color indexed="64"/>
      </bottom>
      <diagonal/>
    </border>
    <border>
      <left style="thin">
        <color rgb="FFB3B3B3"/>
      </left>
      <right style="medium">
        <color indexed="64"/>
      </right>
      <top style="thin">
        <color rgb="FFFFFFFF"/>
      </top>
      <bottom style="thin">
        <color rgb="FFB3B3B3"/>
      </bottom>
      <diagonal/>
    </border>
    <border>
      <left style="medium">
        <color indexed="64"/>
      </left>
      <right style="thin">
        <color rgb="FFB3B3B3"/>
      </right>
      <top style="thin">
        <color rgb="FFFFFFFF"/>
      </top>
      <bottom style="thin">
        <color rgb="FFB3B3B3"/>
      </bottom>
      <diagonal/>
    </border>
    <border>
      <left/>
      <right style="medium">
        <color indexed="64"/>
      </right>
      <top/>
      <bottom style="thin">
        <color rgb="FFB3B3B3"/>
      </bottom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medium">
        <color indexed="64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medium">
        <color indexed="64"/>
      </top>
      <bottom style="thin">
        <color rgb="FFB3B3B3"/>
      </bottom>
      <diagonal/>
    </border>
    <border>
      <left style="medium">
        <color indexed="64"/>
      </left>
      <right style="thin">
        <color rgb="FFB3B3B3"/>
      </right>
      <top style="medium">
        <color indexed="64"/>
      </top>
      <bottom style="thin">
        <color rgb="FFB3B3B3"/>
      </bottom>
      <diagonal/>
    </border>
    <border>
      <left/>
      <right style="medium">
        <color indexed="64"/>
      </right>
      <top style="medium">
        <color indexed="64"/>
      </top>
      <bottom style="thin">
        <color rgb="FFB3B3B3"/>
      </bottom>
      <diagonal/>
    </border>
    <border>
      <left/>
      <right style="thin">
        <color rgb="FFB3B3B3"/>
      </right>
      <top style="medium">
        <color indexed="64"/>
      </top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B3B3B3"/>
      </left>
      <right style="thin">
        <color rgb="FFB3B3B3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B3B3B3"/>
      </right>
      <top style="thin">
        <color rgb="FF000000"/>
      </top>
      <bottom style="medium">
        <color indexed="64"/>
      </bottom>
      <diagonal/>
    </border>
    <border>
      <left style="thin">
        <color rgb="FFB3B3B3"/>
      </left>
      <right style="medium">
        <color indexed="64"/>
      </right>
      <top style="thin">
        <color rgb="FF000000"/>
      </top>
      <bottom/>
      <diagonal/>
    </border>
    <border>
      <left style="thin">
        <color rgb="FFB3B3B3"/>
      </left>
      <right style="thin">
        <color rgb="FFB3B3B3"/>
      </right>
      <top style="thin">
        <color rgb="FF000000"/>
      </top>
      <bottom/>
      <diagonal/>
    </border>
    <border>
      <left style="medium">
        <color indexed="64"/>
      </left>
      <right style="thin">
        <color rgb="FFB3B3B3"/>
      </right>
      <top style="thin">
        <color rgb="FF000000"/>
      </top>
      <bottom/>
      <diagonal/>
    </border>
    <border>
      <left style="thin">
        <color rgb="FFB3B3B3"/>
      </left>
      <right style="medium">
        <color indexed="64"/>
      </right>
      <top style="thin">
        <color rgb="FFFFFFFF"/>
      </top>
      <bottom/>
      <diagonal/>
    </border>
    <border>
      <left style="thin">
        <color rgb="FFB3B3B3"/>
      </left>
      <right style="thin">
        <color rgb="FFB3B3B3"/>
      </right>
      <top style="thin">
        <color rgb="FFFFFFFF"/>
      </top>
      <bottom/>
      <diagonal/>
    </border>
    <border>
      <left style="medium">
        <color indexed="64"/>
      </left>
      <right style="thin">
        <color rgb="FFB3B3B3"/>
      </right>
      <top style="thin">
        <color rgb="FFFFFFFF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9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17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862">
    <xf numFmtId="0" fontId="0" fillId="0" borderId="0" xfId="0"/>
    <xf numFmtId="0" fontId="8" fillId="0" borderId="0" xfId="0" applyFont="1" applyAlignment="1">
      <alignment horizontal="left"/>
    </xf>
    <xf numFmtId="0" fontId="8" fillId="0" borderId="0" xfId="0" applyFont="1"/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179" fontId="8" fillId="0" borderId="0" xfId="0" applyNumberFormat="1" applyFont="1"/>
    <xf numFmtId="0" fontId="8" fillId="0" borderId="2" xfId="0" applyFont="1" applyBorder="1"/>
    <xf numFmtId="179" fontId="8" fillId="0" borderId="2" xfId="0" applyNumberFormat="1" applyFont="1" applyBorder="1"/>
    <xf numFmtId="0" fontId="11" fillId="4" borderId="2" xfId="0" applyFont="1" applyFill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79" fontId="8" fillId="0" borderId="26" xfId="0" applyNumberFormat="1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9" fillId="2" borderId="0" xfId="0" applyFont="1" applyFill="1" applyAlignment="1">
      <alignment horizontal="left" vertical="center"/>
    </xf>
    <xf numFmtId="0" fontId="21" fillId="2" borderId="48" xfId="0" applyFont="1" applyFill="1" applyBorder="1" applyAlignment="1">
      <alignment horizontal="center" vertical="center"/>
    </xf>
    <xf numFmtId="176" fontId="21" fillId="2" borderId="50" xfId="0" applyNumberFormat="1" applyFont="1" applyFill="1" applyBorder="1" applyAlignment="1">
      <alignment horizontal="right" vertical="center"/>
    </xf>
    <xf numFmtId="176" fontId="21" fillId="2" borderId="1" xfId="0" applyNumberFormat="1" applyFont="1" applyFill="1" applyBorder="1" applyAlignment="1">
      <alignment horizontal="right" vertical="center"/>
    </xf>
    <xf numFmtId="176" fontId="23" fillId="2" borderId="50" xfId="0" applyNumberFormat="1" applyFont="1" applyFill="1" applyBorder="1" applyAlignment="1">
      <alignment horizontal="right" vertical="center"/>
    </xf>
    <xf numFmtId="176" fontId="23" fillId="2" borderId="1" xfId="0" applyNumberFormat="1" applyFont="1" applyFill="1" applyBorder="1" applyAlignment="1">
      <alignment horizontal="right" vertical="center"/>
    </xf>
    <xf numFmtId="0" fontId="25" fillId="2" borderId="48" xfId="0" applyFont="1" applyFill="1" applyBorder="1" applyAlignment="1">
      <alignment horizontal="center" vertical="center"/>
    </xf>
    <xf numFmtId="176" fontId="25" fillId="2" borderId="50" xfId="0" applyNumberFormat="1" applyFont="1" applyFill="1" applyBorder="1" applyAlignment="1">
      <alignment horizontal="right" vertical="center"/>
    </xf>
    <xf numFmtId="176" fontId="24" fillId="2" borderId="50" xfId="0" applyNumberFormat="1" applyFont="1" applyFill="1" applyBorder="1" applyAlignment="1">
      <alignment horizontal="right" vertical="center"/>
    </xf>
    <xf numFmtId="176" fontId="21" fillId="2" borderId="52" xfId="0" applyNumberFormat="1" applyFont="1" applyFill="1" applyBorder="1" applyAlignment="1">
      <alignment horizontal="right" vertical="center"/>
    </xf>
    <xf numFmtId="176" fontId="23" fillId="2" borderId="52" xfId="0" applyNumberFormat="1" applyFont="1" applyFill="1" applyBorder="1" applyAlignment="1">
      <alignment horizontal="right" vertical="center"/>
    </xf>
    <xf numFmtId="176" fontId="25" fillId="2" borderId="53" xfId="0" applyNumberFormat="1" applyFont="1" applyFill="1" applyBorder="1" applyAlignment="1">
      <alignment horizontal="right" vertical="center"/>
    </xf>
    <xf numFmtId="176" fontId="21" fillId="2" borderId="19" xfId="0" applyNumberFormat="1" applyFont="1" applyFill="1" applyBorder="1" applyAlignment="1">
      <alignment horizontal="right" vertical="center"/>
    </xf>
    <xf numFmtId="176" fontId="23" fillId="2" borderId="19" xfId="0" applyNumberFormat="1" applyFont="1" applyFill="1" applyBorder="1" applyAlignment="1">
      <alignment horizontal="right" vertical="center"/>
    </xf>
    <xf numFmtId="0" fontId="21" fillId="2" borderId="56" xfId="0" applyFont="1" applyFill="1" applyBorder="1" applyAlignment="1">
      <alignment horizontal="center" vertical="center"/>
    </xf>
    <xf numFmtId="176" fontId="21" fillId="2" borderId="32" xfId="0" applyNumberFormat="1" applyFont="1" applyFill="1" applyBorder="1" applyAlignment="1">
      <alignment horizontal="right" vertical="center"/>
    </xf>
    <xf numFmtId="176" fontId="21" fillId="2" borderId="33" xfId="0" applyNumberFormat="1" applyFont="1" applyFill="1" applyBorder="1" applyAlignment="1">
      <alignment horizontal="right" vertical="center"/>
    </xf>
    <xf numFmtId="176" fontId="23" fillId="2" borderId="32" xfId="0" applyNumberFormat="1" applyFont="1" applyFill="1" applyBorder="1" applyAlignment="1">
      <alignment horizontal="right" vertical="center"/>
    </xf>
    <xf numFmtId="176" fontId="23" fillId="2" borderId="33" xfId="0" applyNumberFormat="1" applyFont="1" applyFill="1" applyBorder="1" applyAlignment="1">
      <alignment horizontal="right" vertical="center"/>
    </xf>
    <xf numFmtId="176" fontId="25" fillId="6" borderId="50" xfId="0" applyNumberFormat="1" applyFont="1" applyFill="1" applyBorder="1" applyAlignment="1">
      <alignment horizontal="right" vertical="center"/>
    </xf>
    <xf numFmtId="3" fontId="6" fillId="0" borderId="0" xfId="2" applyFont="1" applyBorder="1" applyAlignment="1">
      <alignment vertical="center" wrapText="1"/>
    </xf>
    <xf numFmtId="3" fontId="6" fillId="0" borderId="2" xfId="2" applyFont="1" applyBorder="1" applyAlignment="1">
      <alignment vertical="center" wrapText="1"/>
    </xf>
    <xf numFmtId="3" fontId="6" fillId="0" borderId="0" xfId="2" applyFont="1" applyBorder="1" applyAlignment="1">
      <alignment horizontal="center" vertical="center" wrapText="1"/>
    </xf>
    <xf numFmtId="3" fontId="6" fillId="0" borderId="2" xfId="2" applyFont="1" applyBorder="1" applyAlignment="1">
      <alignment horizontal="center" vertical="center" wrapText="1"/>
    </xf>
    <xf numFmtId="3" fontId="6" fillId="0" borderId="0" xfId="2" applyFont="1" applyBorder="1" applyAlignment="1">
      <alignment horizontal="right" vertical="center" wrapText="1"/>
    </xf>
    <xf numFmtId="3" fontId="6" fillId="0" borderId="2" xfId="2" applyFont="1" applyBorder="1" applyAlignment="1">
      <alignment horizontal="right" vertical="center" wrapText="1"/>
    </xf>
    <xf numFmtId="3" fontId="6" fillId="7" borderId="2" xfId="2" applyFont="1" applyFill="1" applyBorder="1" applyAlignment="1">
      <alignment vertical="center" wrapText="1"/>
    </xf>
    <xf numFmtId="3" fontId="6" fillId="14" borderId="2" xfId="2" applyFont="1" applyFill="1" applyBorder="1" applyAlignment="1">
      <alignment horizontal="center" vertical="center" wrapText="1"/>
    </xf>
    <xf numFmtId="3" fontId="6" fillId="7" borderId="2" xfId="2" applyFont="1" applyFill="1" applyBorder="1" applyAlignment="1">
      <alignment horizontal="right" vertical="center" wrapText="1"/>
    </xf>
    <xf numFmtId="3" fontId="6" fillId="15" borderId="2" xfId="2" applyFont="1" applyFill="1" applyBorder="1" applyAlignment="1">
      <alignment horizontal="right" vertical="center" wrapText="1"/>
    </xf>
    <xf numFmtId="3" fontId="6" fillId="0" borderId="0" xfId="2" applyFont="1" applyBorder="1" applyAlignment="1">
      <alignment horizontal="center" vertical="center"/>
    </xf>
    <xf numFmtId="3" fontId="6" fillId="0" borderId="0" xfId="2" applyFont="1" applyFill="1" applyBorder="1" applyAlignment="1">
      <alignment horizontal="center" vertical="center" wrapText="1"/>
    </xf>
    <xf numFmtId="3" fontId="6" fillId="0" borderId="0" xfId="2" applyFont="1" applyFill="1" applyBorder="1" applyAlignment="1">
      <alignment vertical="center" wrapText="1"/>
    </xf>
    <xf numFmtId="3" fontId="6" fillId="0" borderId="2" xfId="2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3" fontId="6" fillId="0" borderId="2" xfId="2" applyFont="1" applyFill="1" applyBorder="1" applyAlignment="1">
      <alignment horizontal="right" vertical="center" wrapText="1"/>
    </xf>
    <xf numFmtId="179" fontId="8" fillId="0" borderId="29" xfId="0" applyNumberFormat="1" applyFont="1" applyBorder="1" applyAlignment="1">
      <alignment horizontal="right"/>
    </xf>
    <xf numFmtId="3" fontId="6" fillId="0" borderId="0" xfId="2" applyFont="1" applyBorder="1" applyAlignment="1">
      <alignment horizontal="left" vertical="center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right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left" vertical="center"/>
    </xf>
    <xf numFmtId="0" fontId="32" fillId="0" borderId="9" xfId="0" applyFont="1" applyBorder="1" applyAlignment="1">
      <alignment horizontal="center" vertical="center"/>
    </xf>
    <xf numFmtId="177" fontId="32" fillId="0" borderId="9" xfId="0" applyNumberFormat="1" applyFont="1" applyBorder="1" applyAlignment="1">
      <alignment horizontal="right" vertical="center"/>
    </xf>
    <xf numFmtId="0" fontId="32" fillId="0" borderId="14" xfId="0" applyFont="1" applyBorder="1" applyAlignment="1">
      <alignment horizontal="left" vertical="center"/>
    </xf>
    <xf numFmtId="0" fontId="32" fillId="0" borderId="11" xfId="0" applyFont="1" applyBorder="1" applyAlignment="1">
      <alignment horizontal="center" vertical="center"/>
    </xf>
    <xf numFmtId="0" fontId="32" fillId="0" borderId="12" xfId="0" applyFont="1" applyBorder="1" applyAlignment="1">
      <alignment horizontal="left" vertical="center"/>
    </xf>
    <xf numFmtId="0" fontId="32" fillId="0" borderId="12" xfId="0" applyFont="1" applyBorder="1" applyAlignment="1">
      <alignment horizontal="center" vertical="center"/>
    </xf>
    <xf numFmtId="177" fontId="32" fillId="0" borderId="12" xfId="0" applyNumberFormat="1" applyFont="1" applyBorder="1" applyAlignment="1">
      <alignment horizontal="right" vertical="center"/>
    </xf>
    <xf numFmtId="0" fontId="32" fillId="0" borderId="15" xfId="0" applyFont="1" applyBorder="1" applyAlignment="1">
      <alignment horizontal="left" vertical="center"/>
    </xf>
    <xf numFmtId="0" fontId="33" fillId="3" borderId="6" xfId="0" applyFont="1" applyFill="1" applyBorder="1" applyAlignment="1">
      <alignment horizontal="center" vertical="center"/>
    </xf>
    <xf numFmtId="0" fontId="33" fillId="3" borderId="7" xfId="0" applyFont="1" applyFill="1" applyBorder="1" applyAlignment="1">
      <alignment horizontal="left" vertical="center"/>
    </xf>
    <xf numFmtId="0" fontId="33" fillId="3" borderId="7" xfId="0" applyFont="1" applyFill="1" applyBorder="1" applyAlignment="1">
      <alignment horizontal="center" vertical="center"/>
    </xf>
    <xf numFmtId="177" fontId="33" fillId="3" borderId="7" xfId="0" applyNumberFormat="1" applyFont="1" applyFill="1" applyBorder="1" applyAlignment="1">
      <alignment horizontal="right" vertical="center"/>
    </xf>
    <xf numFmtId="0" fontId="33" fillId="3" borderId="13" xfId="0" applyFont="1" applyFill="1" applyBorder="1" applyAlignment="1">
      <alignment horizontal="left" vertical="center"/>
    </xf>
    <xf numFmtId="0" fontId="32" fillId="12" borderId="8" xfId="0" applyFont="1" applyFill="1" applyBorder="1" applyAlignment="1">
      <alignment horizontal="center" vertical="center"/>
    </xf>
    <xf numFmtId="0" fontId="32" fillId="12" borderId="9" xfId="0" applyFont="1" applyFill="1" applyBorder="1" applyAlignment="1">
      <alignment horizontal="left" vertical="center"/>
    </xf>
    <xf numFmtId="0" fontId="32" fillId="12" borderId="9" xfId="0" applyFont="1" applyFill="1" applyBorder="1" applyAlignment="1">
      <alignment horizontal="center" vertical="center"/>
    </xf>
    <xf numFmtId="177" fontId="32" fillId="12" borderId="9" xfId="0" applyNumberFormat="1" applyFont="1" applyFill="1" applyBorder="1" applyAlignment="1">
      <alignment horizontal="right" vertical="center"/>
    </xf>
    <xf numFmtId="0" fontId="32" fillId="12" borderId="14" xfId="0" applyFont="1" applyFill="1" applyBorder="1" applyAlignment="1">
      <alignment horizontal="left" vertical="center"/>
    </xf>
    <xf numFmtId="0" fontId="0" fillId="12" borderId="0" xfId="0" applyFill="1"/>
    <xf numFmtId="0" fontId="35" fillId="2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36" fillId="2" borderId="21" xfId="0" applyFont="1" applyFill="1" applyBorder="1" applyAlignment="1">
      <alignment horizontal="left" vertical="center"/>
    </xf>
    <xf numFmtId="0" fontId="37" fillId="2" borderId="0" xfId="0" applyFont="1" applyFill="1" applyAlignment="1">
      <alignment horizontal="center" vertical="center"/>
    </xf>
    <xf numFmtId="0" fontId="37" fillId="2" borderId="21" xfId="0" applyFont="1" applyFill="1" applyBorder="1" applyAlignment="1">
      <alignment horizontal="left" vertical="center"/>
    </xf>
    <xf numFmtId="0" fontId="38" fillId="3" borderId="9" xfId="0" applyFont="1" applyFill="1" applyBorder="1" applyAlignment="1">
      <alignment horizontal="center" vertical="center"/>
    </xf>
    <xf numFmtId="0" fontId="36" fillId="2" borderId="9" xfId="0" applyFont="1" applyFill="1" applyBorder="1" applyAlignment="1">
      <alignment horizontal="left" vertical="center"/>
    </xf>
    <xf numFmtId="0" fontId="36" fillId="2" borderId="9" xfId="0" applyFont="1" applyFill="1" applyBorder="1" applyAlignment="1">
      <alignment horizontal="center" vertical="center"/>
    </xf>
    <xf numFmtId="0" fontId="36" fillId="2" borderId="10" xfId="0" applyFont="1" applyFill="1" applyBorder="1" applyAlignment="1">
      <alignment horizontal="center" vertical="center"/>
    </xf>
    <xf numFmtId="0" fontId="36" fillId="2" borderId="22" xfId="0" applyFont="1" applyFill="1" applyBorder="1" applyAlignment="1">
      <alignment horizontal="left" vertical="center"/>
    </xf>
    <xf numFmtId="177" fontId="36" fillId="2" borderId="9" xfId="0" applyNumberFormat="1" applyFont="1" applyFill="1" applyBorder="1" applyAlignment="1">
      <alignment horizontal="right" vertical="center"/>
    </xf>
    <xf numFmtId="177" fontId="36" fillId="2" borderId="9" xfId="0" applyNumberFormat="1" applyFont="1" applyFill="1" applyBorder="1" applyAlignment="1">
      <alignment horizontal="center" vertical="center"/>
    </xf>
    <xf numFmtId="178" fontId="36" fillId="2" borderId="9" xfId="0" applyNumberFormat="1" applyFont="1" applyFill="1" applyBorder="1" applyAlignment="1">
      <alignment horizontal="right" vertical="center"/>
    </xf>
    <xf numFmtId="0" fontId="36" fillId="3" borderId="9" xfId="0" applyFont="1" applyFill="1" applyBorder="1" applyAlignment="1">
      <alignment horizontal="left" vertical="center"/>
    </xf>
    <xf numFmtId="0" fontId="36" fillId="3" borderId="9" xfId="0" applyFont="1" applyFill="1" applyBorder="1" applyAlignment="1">
      <alignment horizontal="center" vertical="center"/>
    </xf>
    <xf numFmtId="0" fontId="36" fillId="3" borderId="10" xfId="0" applyFont="1" applyFill="1" applyBorder="1" applyAlignment="1">
      <alignment horizontal="center" vertical="center"/>
    </xf>
    <xf numFmtId="0" fontId="36" fillId="3" borderId="22" xfId="0" applyFont="1" applyFill="1" applyBorder="1" applyAlignment="1">
      <alignment horizontal="left" vertical="center"/>
    </xf>
    <xf numFmtId="177" fontId="36" fillId="3" borderId="9" xfId="0" applyNumberFormat="1" applyFont="1" applyFill="1" applyBorder="1" applyAlignment="1">
      <alignment horizontal="right" vertical="center"/>
    </xf>
    <xf numFmtId="0" fontId="36" fillId="3" borderId="9" xfId="0" applyFont="1" applyFill="1" applyBorder="1" applyAlignment="1">
      <alignment horizontal="right" vertical="center"/>
    </xf>
    <xf numFmtId="0" fontId="36" fillId="2" borderId="19" xfId="0" applyFont="1" applyFill="1" applyBorder="1" applyAlignment="1">
      <alignment horizontal="left" vertical="center"/>
    </xf>
    <xf numFmtId="0" fontId="36" fillId="2" borderId="19" xfId="0" applyFont="1" applyFill="1" applyBorder="1" applyAlignment="1">
      <alignment horizontal="center" vertical="center"/>
    </xf>
    <xf numFmtId="0" fontId="36" fillId="2" borderId="20" xfId="0" applyFont="1" applyFill="1" applyBorder="1" applyAlignment="1">
      <alignment horizontal="center" vertical="center"/>
    </xf>
    <xf numFmtId="0" fontId="36" fillId="2" borderId="23" xfId="0" applyFont="1" applyFill="1" applyBorder="1" applyAlignment="1">
      <alignment horizontal="left" vertical="center"/>
    </xf>
    <xf numFmtId="177" fontId="36" fillId="2" borderId="19" xfId="0" applyNumberFormat="1" applyFont="1" applyFill="1" applyBorder="1" applyAlignment="1">
      <alignment horizontal="right" vertical="center"/>
    </xf>
    <xf numFmtId="177" fontId="36" fillId="2" borderId="19" xfId="0" applyNumberFormat="1" applyFont="1" applyFill="1" applyBorder="1" applyAlignment="1">
      <alignment horizontal="center" vertical="center"/>
    </xf>
    <xf numFmtId="178" fontId="36" fillId="2" borderId="19" xfId="0" applyNumberFormat="1" applyFont="1" applyFill="1" applyBorder="1" applyAlignment="1">
      <alignment horizontal="right" vertical="center"/>
    </xf>
    <xf numFmtId="0" fontId="37" fillId="3" borderId="9" xfId="0" applyFont="1" applyFill="1" applyBorder="1" applyAlignment="1">
      <alignment horizontal="center" vertical="center"/>
    </xf>
    <xf numFmtId="0" fontId="37" fillId="3" borderId="9" xfId="0" applyFont="1" applyFill="1" applyBorder="1" applyAlignment="1">
      <alignment horizontal="right" vertical="center"/>
    </xf>
    <xf numFmtId="177" fontId="36" fillId="12" borderId="9" xfId="0" applyNumberFormat="1" applyFont="1" applyFill="1" applyBorder="1" applyAlignment="1">
      <alignment horizontal="right" vertical="center"/>
    </xf>
    <xf numFmtId="0" fontId="36" fillId="12" borderId="9" xfId="0" applyFont="1" applyFill="1" applyBorder="1" applyAlignment="1">
      <alignment horizontal="left" vertical="center"/>
    </xf>
    <xf numFmtId="0" fontId="36" fillId="12" borderId="9" xfId="0" applyFont="1" applyFill="1" applyBorder="1" applyAlignment="1">
      <alignment horizontal="center" vertical="center"/>
    </xf>
    <xf numFmtId="0" fontId="36" fillId="12" borderId="10" xfId="0" applyFont="1" applyFill="1" applyBorder="1" applyAlignment="1">
      <alignment horizontal="center" vertical="center"/>
    </xf>
    <xf numFmtId="0" fontId="36" fillId="12" borderId="22" xfId="0" applyFont="1" applyFill="1" applyBorder="1" applyAlignment="1">
      <alignment horizontal="left" vertical="center"/>
    </xf>
    <xf numFmtId="177" fontId="36" fillId="12" borderId="9" xfId="0" applyNumberFormat="1" applyFont="1" applyFill="1" applyBorder="1" applyAlignment="1">
      <alignment horizontal="center" vertical="center"/>
    </xf>
    <xf numFmtId="178" fontId="36" fillId="12" borderId="9" xfId="0" applyNumberFormat="1" applyFont="1" applyFill="1" applyBorder="1" applyAlignment="1">
      <alignment horizontal="right" vertical="center"/>
    </xf>
    <xf numFmtId="179" fontId="40" fillId="0" borderId="2" xfId="2" applyNumberFormat="1" applyFont="1" applyFill="1" applyBorder="1" applyAlignment="1">
      <alignment horizontal="right"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176" fontId="7" fillId="0" borderId="2" xfId="0" applyNumberFormat="1" applyFont="1" applyBorder="1" applyAlignment="1">
      <alignment horizontal="right" vertical="center"/>
    </xf>
    <xf numFmtId="179" fontId="7" fillId="0" borderId="2" xfId="0" applyNumberFormat="1" applyFont="1" applyBorder="1" applyAlignment="1">
      <alignment horizontal="right" vertical="center"/>
    </xf>
    <xf numFmtId="0" fontId="16" fillId="0" borderId="2" xfId="0" applyFont="1" applyBorder="1" applyAlignment="1">
      <alignment horizontal="left" vertical="center" indent="2"/>
    </xf>
    <xf numFmtId="3" fontId="40" fillId="17" borderId="65" xfId="2" applyFont="1" applyFill="1" applyBorder="1" applyAlignment="1">
      <alignment horizontal="right" vertical="center"/>
    </xf>
    <xf numFmtId="176" fontId="6" fillId="0" borderId="2" xfId="0" applyNumberFormat="1" applyFont="1" applyBorder="1" applyAlignment="1">
      <alignment horizontal="right" vertical="center"/>
    </xf>
    <xf numFmtId="179" fontId="6" fillId="0" borderId="2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42" fillId="2" borderId="0" xfId="0" applyFont="1" applyFill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43" fillId="2" borderId="21" xfId="0" applyFont="1" applyFill="1" applyBorder="1" applyAlignment="1">
      <alignment horizontal="left" vertical="center"/>
    </xf>
    <xf numFmtId="0" fontId="44" fillId="2" borderId="0" xfId="0" applyFont="1" applyFill="1" applyAlignment="1">
      <alignment horizontal="center" vertical="center"/>
    </xf>
    <xf numFmtId="0" fontId="44" fillId="2" borderId="21" xfId="0" applyFont="1" applyFill="1" applyBorder="1" applyAlignment="1">
      <alignment horizontal="left" vertical="center"/>
    </xf>
    <xf numFmtId="0" fontId="45" fillId="3" borderId="9" xfId="0" applyFont="1" applyFill="1" applyBorder="1" applyAlignment="1">
      <alignment horizontal="center" vertical="center"/>
    </xf>
    <xf numFmtId="0" fontId="43" fillId="2" borderId="9" xfId="0" applyFont="1" applyFill="1" applyBorder="1" applyAlignment="1">
      <alignment horizontal="left" vertical="center"/>
    </xf>
    <xf numFmtId="0" fontId="43" fillId="2" borderId="9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43" fillId="2" borderId="22" xfId="0" applyFont="1" applyFill="1" applyBorder="1" applyAlignment="1">
      <alignment horizontal="left" vertical="center"/>
    </xf>
    <xf numFmtId="177" fontId="43" fillId="2" borderId="9" xfId="0" applyNumberFormat="1" applyFont="1" applyFill="1" applyBorder="1" applyAlignment="1">
      <alignment horizontal="right" vertical="center"/>
    </xf>
    <xf numFmtId="177" fontId="43" fillId="2" borderId="9" xfId="0" applyNumberFormat="1" applyFont="1" applyFill="1" applyBorder="1" applyAlignment="1">
      <alignment horizontal="center" vertical="center"/>
    </xf>
    <xf numFmtId="178" fontId="43" fillId="2" borderId="9" xfId="0" applyNumberFormat="1" applyFont="1" applyFill="1" applyBorder="1" applyAlignment="1">
      <alignment horizontal="right" vertical="center"/>
    </xf>
    <xf numFmtId="0" fontId="43" fillId="3" borderId="9" xfId="0" applyFont="1" applyFill="1" applyBorder="1" applyAlignment="1">
      <alignment horizontal="left" vertical="center"/>
    </xf>
    <xf numFmtId="0" fontId="43" fillId="3" borderId="9" xfId="0" applyFont="1" applyFill="1" applyBorder="1" applyAlignment="1">
      <alignment horizontal="center" vertical="center"/>
    </xf>
    <xf numFmtId="0" fontId="43" fillId="3" borderId="10" xfId="0" applyFont="1" applyFill="1" applyBorder="1" applyAlignment="1">
      <alignment horizontal="center" vertical="center"/>
    </xf>
    <xf numFmtId="0" fontId="43" fillId="3" borderId="22" xfId="0" applyFont="1" applyFill="1" applyBorder="1" applyAlignment="1">
      <alignment horizontal="left" vertical="center"/>
    </xf>
    <xf numFmtId="177" fontId="43" fillId="3" borderId="9" xfId="0" applyNumberFormat="1" applyFont="1" applyFill="1" applyBorder="1" applyAlignment="1">
      <alignment horizontal="right" vertical="center"/>
    </xf>
    <xf numFmtId="0" fontId="43" fillId="3" borderId="9" xfId="0" applyFont="1" applyFill="1" applyBorder="1" applyAlignment="1">
      <alignment horizontal="right" vertical="center"/>
    </xf>
    <xf numFmtId="0" fontId="44" fillId="3" borderId="9" xfId="0" applyFont="1" applyFill="1" applyBorder="1" applyAlignment="1">
      <alignment horizontal="center" vertical="center"/>
    </xf>
    <xf numFmtId="0" fontId="44" fillId="3" borderId="9" xfId="0" applyFont="1" applyFill="1" applyBorder="1" applyAlignment="1">
      <alignment horizontal="right" vertical="center"/>
    </xf>
    <xf numFmtId="0" fontId="43" fillId="12" borderId="9" xfId="0" applyFont="1" applyFill="1" applyBorder="1" applyAlignment="1">
      <alignment horizontal="left" vertical="center"/>
    </xf>
    <xf numFmtId="0" fontId="43" fillId="12" borderId="9" xfId="0" applyFont="1" applyFill="1" applyBorder="1" applyAlignment="1">
      <alignment horizontal="center" vertical="center"/>
    </xf>
    <xf numFmtId="0" fontId="43" fillId="12" borderId="10" xfId="0" applyFont="1" applyFill="1" applyBorder="1" applyAlignment="1">
      <alignment horizontal="center" vertical="center"/>
    </xf>
    <xf numFmtId="0" fontId="43" fillId="12" borderId="22" xfId="0" applyFont="1" applyFill="1" applyBorder="1" applyAlignment="1">
      <alignment horizontal="left" vertical="center"/>
    </xf>
    <xf numFmtId="177" fontId="43" fillId="12" borderId="9" xfId="0" applyNumberFormat="1" applyFont="1" applyFill="1" applyBorder="1" applyAlignment="1">
      <alignment horizontal="right" vertical="center"/>
    </xf>
    <xf numFmtId="177" fontId="43" fillId="12" borderId="9" xfId="0" applyNumberFormat="1" applyFont="1" applyFill="1" applyBorder="1" applyAlignment="1">
      <alignment horizontal="center" vertical="center"/>
    </xf>
    <xf numFmtId="178" fontId="43" fillId="12" borderId="9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center"/>
    </xf>
    <xf numFmtId="176" fontId="14" fillId="0" borderId="2" xfId="0" applyNumberFormat="1" applyFont="1" applyBorder="1" applyAlignment="1">
      <alignment horizontal="center" vertical="center"/>
    </xf>
    <xf numFmtId="179" fontId="16" fillId="0" borderId="2" xfId="0" applyNumberFormat="1" applyFont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12" borderId="0" xfId="0" applyFont="1" applyFill="1" applyAlignment="1">
      <alignment vertical="center"/>
    </xf>
    <xf numFmtId="0" fontId="41" fillId="0" borderId="0" xfId="0" applyFont="1" applyAlignment="1">
      <alignment vertical="center"/>
    </xf>
    <xf numFmtId="0" fontId="41" fillId="12" borderId="0" xfId="0" applyFont="1" applyFill="1" applyAlignment="1">
      <alignment vertical="center"/>
    </xf>
    <xf numFmtId="0" fontId="33" fillId="0" borderId="6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3" fillId="0" borderId="7" xfId="0" applyFont="1" applyBorder="1" applyAlignment="1">
      <alignment horizontal="left" vertical="center"/>
    </xf>
    <xf numFmtId="177" fontId="33" fillId="0" borderId="7" xfId="0" applyNumberFormat="1" applyFont="1" applyBorder="1" applyAlignment="1">
      <alignment horizontal="right" vertical="center"/>
    </xf>
    <xf numFmtId="0" fontId="33" fillId="0" borderId="13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3" fontId="12" fillId="0" borderId="0" xfId="2" applyFont="1" applyAlignment="1">
      <alignment horizontal="right" vertical="center"/>
    </xf>
    <xf numFmtId="3" fontId="12" fillId="0" borderId="25" xfId="2" applyFont="1" applyBorder="1" applyAlignment="1">
      <alignment horizontal="center" vertical="center"/>
    </xf>
    <xf numFmtId="3" fontId="12" fillId="0" borderId="26" xfId="2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3" fontId="12" fillId="0" borderId="2" xfId="2" applyFont="1" applyFill="1" applyBorder="1" applyAlignment="1">
      <alignment horizontal="right" vertical="center"/>
    </xf>
    <xf numFmtId="3" fontId="12" fillId="0" borderId="35" xfId="2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 indent="1"/>
    </xf>
    <xf numFmtId="181" fontId="12" fillId="0" borderId="2" xfId="2" applyNumberFormat="1" applyFont="1" applyFill="1" applyBorder="1" applyAlignment="1">
      <alignment horizontal="right" vertical="center"/>
    </xf>
    <xf numFmtId="3" fontId="12" fillId="0" borderId="2" xfId="2" applyFont="1" applyBorder="1" applyAlignment="1">
      <alignment horizontal="right" vertical="center"/>
    </xf>
    <xf numFmtId="3" fontId="12" fillId="0" borderId="35" xfId="2" applyFont="1" applyBorder="1" applyAlignment="1">
      <alignment horizontal="left" vertical="center"/>
    </xf>
    <xf numFmtId="3" fontId="12" fillId="0" borderId="0" xfId="0" applyNumberFormat="1" applyFont="1" applyAlignment="1">
      <alignment horizontal="center" vertical="center"/>
    </xf>
    <xf numFmtId="181" fontId="12" fillId="0" borderId="0" xfId="0" applyNumberFormat="1" applyFont="1" applyAlignment="1">
      <alignment horizontal="center" vertical="center"/>
    </xf>
    <xf numFmtId="181" fontId="12" fillId="0" borderId="2" xfId="2" applyNumberFormat="1" applyFont="1" applyBorder="1" applyAlignment="1">
      <alignment horizontal="right" vertical="center"/>
    </xf>
    <xf numFmtId="3" fontId="12" fillId="0" borderId="0" xfId="2" applyFont="1" applyAlignment="1">
      <alignment horizontal="center" vertical="center"/>
    </xf>
    <xf numFmtId="3" fontId="12" fillId="0" borderId="0" xfId="2" applyFont="1" applyAlignment="1">
      <alignment horizontal="left" vertical="center"/>
    </xf>
    <xf numFmtId="0" fontId="12" fillId="0" borderId="2" xfId="0" applyFont="1" applyBorder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indent="3"/>
    </xf>
    <xf numFmtId="3" fontId="12" fillId="7" borderId="2" xfId="2" applyFont="1" applyFill="1" applyBorder="1" applyAlignment="1">
      <alignment horizontal="right" vertical="center"/>
    </xf>
    <xf numFmtId="181" fontId="12" fillId="7" borderId="2" xfId="2" applyNumberFormat="1" applyFont="1" applyFill="1" applyBorder="1" applyAlignment="1">
      <alignment horizontal="right" vertical="center"/>
    </xf>
    <xf numFmtId="0" fontId="48" fillId="8" borderId="2" xfId="0" applyFont="1" applyFill="1" applyBorder="1" applyAlignment="1">
      <alignment horizontal="center" vertical="center"/>
    </xf>
    <xf numFmtId="3" fontId="48" fillId="8" borderId="2" xfId="2" applyFont="1" applyFill="1" applyBorder="1" applyAlignment="1">
      <alignment horizontal="right" vertical="center"/>
    </xf>
    <xf numFmtId="3" fontId="48" fillId="8" borderId="35" xfId="2" applyFont="1" applyFill="1" applyBorder="1" applyAlignment="1">
      <alignment horizontal="left" vertical="center"/>
    </xf>
    <xf numFmtId="0" fontId="7" fillId="8" borderId="29" xfId="0" applyFont="1" applyFill="1" applyBorder="1" applyAlignment="1">
      <alignment horizontal="center" vertical="center"/>
    </xf>
    <xf numFmtId="3" fontId="7" fillId="8" borderId="29" xfId="2" applyFont="1" applyFill="1" applyBorder="1" applyAlignment="1">
      <alignment horizontal="right" vertical="center"/>
    </xf>
    <xf numFmtId="3" fontId="7" fillId="8" borderId="30" xfId="2" applyFont="1" applyFill="1" applyBorder="1" applyAlignment="1">
      <alignment horizontal="left" vertical="center"/>
    </xf>
    <xf numFmtId="3" fontId="48" fillId="8" borderId="17" xfId="2" applyFont="1" applyFill="1" applyBorder="1" applyAlignment="1">
      <alignment horizontal="right" vertical="center"/>
    </xf>
    <xf numFmtId="3" fontId="48" fillId="8" borderId="40" xfId="2" applyFont="1" applyFill="1" applyBorder="1" applyAlignment="1">
      <alignment horizontal="left" vertical="center"/>
    </xf>
    <xf numFmtId="179" fontId="6" fillId="8" borderId="2" xfId="0" applyNumberFormat="1" applyFont="1" applyFill="1" applyBorder="1" applyAlignment="1">
      <alignment horizontal="right" vertical="center"/>
    </xf>
    <xf numFmtId="176" fontId="6" fillId="8" borderId="2" xfId="0" applyNumberFormat="1" applyFont="1" applyFill="1" applyBorder="1" applyAlignment="1">
      <alignment horizontal="right" vertical="center"/>
    </xf>
    <xf numFmtId="179" fontId="13" fillId="8" borderId="29" xfId="0" applyNumberFormat="1" applyFont="1" applyFill="1" applyBorder="1" applyAlignment="1">
      <alignment horizontal="right"/>
    </xf>
    <xf numFmtId="179" fontId="49" fillId="14" borderId="2" xfId="2" applyNumberFormat="1" applyFont="1" applyFill="1" applyBorder="1" applyAlignment="1">
      <alignment horizontal="center" vertical="center"/>
    </xf>
    <xf numFmtId="179" fontId="49" fillId="14" borderId="2" xfId="0" applyNumberFormat="1" applyFont="1" applyFill="1" applyBorder="1" applyAlignment="1">
      <alignment horizontal="center" vertical="center"/>
    </xf>
    <xf numFmtId="0" fontId="49" fillId="14" borderId="2" xfId="0" applyFont="1" applyFill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179" fontId="40" fillId="0" borderId="2" xfId="2" applyNumberFormat="1" applyFont="1" applyFill="1" applyBorder="1" applyAlignment="1">
      <alignment horizontal="left" vertical="center"/>
    </xf>
    <xf numFmtId="0" fontId="40" fillId="0" borderId="0" xfId="0" applyFont="1" applyAlignment="1">
      <alignment vertical="center"/>
    </xf>
    <xf numFmtId="179" fontId="40" fillId="0" borderId="2" xfId="0" applyNumberFormat="1" applyFont="1" applyBorder="1" applyAlignment="1">
      <alignment vertical="center"/>
    </xf>
    <xf numFmtId="179" fontId="40" fillId="0" borderId="2" xfId="2" applyNumberFormat="1" applyFont="1" applyFill="1" applyBorder="1" applyAlignment="1">
      <alignment vertical="center"/>
    </xf>
    <xf numFmtId="179" fontId="40" fillId="8" borderId="2" xfId="0" applyNumberFormat="1" applyFont="1" applyFill="1" applyBorder="1" applyAlignment="1">
      <alignment vertical="center"/>
    </xf>
    <xf numFmtId="177" fontId="32" fillId="8" borderId="9" xfId="0" applyNumberFormat="1" applyFont="1" applyFill="1" applyBorder="1" applyAlignment="1">
      <alignment horizontal="right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right" vertical="center"/>
    </xf>
    <xf numFmtId="177" fontId="33" fillId="8" borderId="7" xfId="0" applyNumberFormat="1" applyFont="1" applyFill="1" applyBorder="1" applyAlignment="1">
      <alignment horizontal="right" vertic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31" fillId="8" borderId="0" xfId="0" applyFont="1" applyFill="1" applyAlignment="1">
      <alignment horizontal="center" vertical="center"/>
    </xf>
    <xf numFmtId="0" fontId="36" fillId="0" borderId="9" xfId="0" applyFont="1" applyBorder="1" applyAlignment="1">
      <alignment horizontal="left" vertical="center"/>
    </xf>
    <xf numFmtId="0" fontId="36" fillId="0" borderId="9" xfId="0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22" xfId="0" applyFont="1" applyBorder="1" applyAlignment="1">
      <alignment horizontal="left" vertical="center"/>
    </xf>
    <xf numFmtId="177" fontId="36" fillId="0" borderId="9" xfId="0" applyNumberFormat="1" applyFont="1" applyBorder="1" applyAlignment="1">
      <alignment horizontal="right" vertical="center"/>
    </xf>
    <xf numFmtId="177" fontId="36" fillId="0" borderId="9" xfId="0" applyNumberFormat="1" applyFont="1" applyBorder="1" applyAlignment="1">
      <alignment horizontal="center" vertical="center"/>
    </xf>
    <xf numFmtId="178" fontId="36" fillId="0" borderId="9" xfId="0" applyNumberFormat="1" applyFont="1" applyBorder="1" applyAlignment="1">
      <alignment horizontal="right" vertical="center"/>
    </xf>
    <xf numFmtId="0" fontId="51" fillId="0" borderId="0" xfId="0" applyFont="1" applyAlignment="1">
      <alignment horizontal="center" vertical="center"/>
    </xf>
    <xf numFmtId="0" fontId="52" fillId="2" borderId="0" xfId="0" applyFont="1" applyFill="1" applyAlignment="1">
      <alignment horizontal="center" vertical="center"/>
    </xf>
    <xf numFmtId="0" fontId="51" fillId="0" borderId="0" xfId="0" applyFont="1" applyAlignment="1">
      <alignment vertical="center"/>
    </xf>
    <xf numFmtId="3" fontId="0" fillId="0" borderId="0" xfId="2" applyFont="1" applyAlignment="1">
      <alignment vertical="center"/>
    </xf>
    <xf numFmtId="180" fontId="0" fillId="0" borderId="0" xfId="1" applyNumberFormat="1" applyFont="1" applyAlignment="1">
      <alignment vertical="center"/>
    </xf>
    <xf numFmtId="180" fontId="24" fillId="0" borderId="57" xfId="1" applyNumberFormat="1" applyFont="1" applyBorder="1" applyAlignment="1">
      <alignment horizontal="center" vertical="center"/>
    </xf>
    <xf numFmtId="180" fontId="22" fillId="0" borderId="57" xfId="1" applyNumberFormat="1" applyFont="1" applyBorder="1" applyAlignment="1">
      <alignment horizontal="center" vertical="center"/>
    </xf>
    <xf numFmtId="180" fontId="22" fillId="0" borderId="68" xfId="1" applyNumberFormat="1" applyFont="1" applyBorder="1" applyAlignment="1">
      <alignment horizontal="center" vertical="center"/>
    </xf>
    <xf numFmtId="180" fontId="24" fillId="0" borderId="51" xfId="1" applyNumberFormat="1" applyFont="1" applyBorder="1" applyAlignment="1">
      <alignment horizontal="center" vertical="center"/>
    </xf>
    <xf numFmtId="180" fontId="22" fillId="0" borderId="51" xfId="1" applyNumberFormat="1" applyFont="1" applyBorder="1" applyAlignment="1">
      <alignment horizontal="center" vertical="center"/>
    </xf>
    <xf numFmtId="3" fontId="22" fillId="0" borderId="43" xfId="2" applyFont="1" applyBorder="1" applyAlignment="1">
      <alignment horizontal="right" vertical="center"/>
    </xf>
    <xf numFmtId="3" fontId="22" fillId="0" borderId="36" xfId="2" applyFont="1" applyBorder="1" applyAlignment="1">
      <alignment horizontal="right" vertical="center"/>
    </xf>
    <xf numFmtId="3" fontId="22" fillId="13" borderId="36" xfId="2" applyFont="1" applyFill="1" applyBorder="1" applyAlignment="1">
      <alignment horizontal="right" vertical="center"/>
    </xf>
    <xf numFmtId="3" fontId="2" fillId="13" borderId="36" xfId="2" applyFont="1" applyFill="1" applyBorder="1" applyAlignment="1">
      <alignment horizontal="right" vertical="center"/>
    </xf>
    <xf numFmtId="180" fontId="24" fillId="0" borderId="54" xfId="1" applyNumberFormat="1" applyFont="1" applyBorder="1" applyAlignment="1">
      <alignment horizontal="center" vertical="center"/>
    </xf>
    <xf numFmtId="180" fontId="22" fillId="0" borderId="54" xfId="1" applyNumberFormat="1" applyFont="1" applyBorder="1" applyAlignment="1">
      <alignment horizontal="center" vertical="center"/>
    </xf>
    <xf numFmtId="3" fontId="22" fillId="13" borderId="43" xfId="2" applyFont="1" applyFill="1" applyBorder="1" applyAlignment="1">
      <alignment horizontal="right" vertical="center"/>
    </xf>
    <xf numFmtId="3" fontId="22" fillId="0" borderId="62" xfId="2" applyFont="1" applyBorder="1" applyAlignment="1">
      <alignment horizontal="right" vertical="center"/>
    </xf>
    <xf numFmtId="3" fontId="21" fillId="2" borderId="1" xfId="2" applyFont="1" applyFill="1" applyBorder="1" applyAlignment="1">
      <alignment vertical="center"/>
    </xf>
    <xf numFmtId="0" fontId="17" fillId="0" borderId="0" xfId="0" applyFont="1" applyAlignment="1">
      <alignment vertical="center"/>
    </xf>
    <xf numFmtId="180" fontId="20" fillId="3" borderId="49" xfId="1" applyNumberFormat="1" applyFont="1" applyFill="1" applyBorder="1" applyAlignment="1">
      <alignment horizontal="center" vertical="center" shrinkToFit="1"/>
    </xf>
    <xf numFmtId="0" fontId="0" fillId="8" borderId="0" xfId="0" applyFill="1" applyAlignment="1">
      <alignment vertical="center"/>
    </xf>
    <xf numFmtId="3" fontId="46" fillId="8" borderId="0" xfId="2" applyFont="1" applyFill="1" applyAlignment="1">
      <alignment horizontal="right" vertical="center"/>
    </xf>
    <xf numFmtId="3" fontId="46" fillId="8" borderId="0" xfId="0" applyNumberFormat="1" applyFont="1" applyFill="1" applyAlignment="1">
      <alignment horizontal="right" vertical="center"/>
    </xf>
    <xf numFmtId="0" fontId="46" fillId="8" borderId="0" xfId="0" applyFont="1" applyFill="1" applyAlignment="1">
      <alignment horizontal="center" vertical="center"/>
    </xf>
    <xf numFmtId="0" fontId="46" fillId="8" borderId="0" xfId="0" applyFont="1" applyFill="1" applyAlignment="1">
      <alignment horizontal="left" vertical="center"/>
    </xf>
    <xf numFmtId="3" fontId="46" fillId="8" borderId="75" xfId="0" applyNumberFormat="1" applyFont="1" applyFill="1" applyBorder="1" applyAlignment="1">
      <alignment horizontal="right" vertical="center"/>
    </xf>
    <xf numFmtId="3" fontId="46" fillId="8" borderId="76" xfId="0" applyNumberFormat="1" applyFont="1" applyFill="1" applyBorder="1" applyAlignment="1">
      <alignment horizontal="right" vertical="center"/>
    </xf>
    <xf numFmtId="3" fontId="46" fillId="8" borderId="77" xfId="0" applyNumberFormat="1" applyFont="1" applyFill="1" applyBorder="1" applyAlignment="1">
      <alignment horizontal="right" vertical="center"/>
    </xf>
    <xf numFmtId="3" fontId="46" fillId="8" borderId="57" xfId="0" applyNumberFormat="1" applyFont="1" applyFill="1" applyBorder="1" applyAlignment="1">
      <alignment horizontal="right" vertical="center"/>
    </xf>
    <xf numFmtId="3" fontId="46" fillId="8" borderId="78" xfId="0" applyNumberFormat="1" applyFont="1" applyFill="1" applyBorder="1" applyAlignment="1">
      <alignment horizontal="right" vertical="center"/>
    </xf>
    <xf numFmtId="0" fontId="46" fillId="8" borderId="57" xfId="0" applyFont="1" applyFill="1" applyBorder="1" applyAlignment="1">
      <alignment horizontal="center" vertical="center"/>
    </xf>
    <xf numFmtId="0" fontId="46" fillId="8" borderId="64" xfId="0" applyFont="1" applyFill="1" applyBorder="1" applyAlignment="1">
      <alignment horizontal="center" vertical="center"/>
    </xf>
    <xf numFmtId="0" fontId="46" fillId="8" borderId="64" xfId="0" applyFont="1" applyFill="1" applyBorder="1" applyAlignment="1">
      <alignment horizontal="left" vertical="center"/>
    </xf>
    <xf numFmtId="0" fontId="46" fillId="8" borderId="68" xfId="0" applyFont="1" applyFill="1" applyBorder="1" applyAlignment="1">
      <alignment horizontal="center" vertical="center"/>
    </xf>
    <xf numFmtId="3" fontId="46" fillId="20" borderId="79" xfId="2" applyFont="1" applyFill="1" applyBorder="1" applyAlignment="1">
      <alignment horizontal="right" vertical="center"/>
    </xf>
    <xf numFmtId="3" fontId="46" fillId="20" borderId="80" xfId="2" applyFont="1" applyFill="1" applyBorder="1" applyAlignment="1">
      <alignment horizontal="right" vertical="center"/>
    </xf>
    <xf numFmtId="3" fontId="46" fillId="20" borderId="81" xfId="2" applyFont="1" applyFill="1" applyBorder="1" applyAlignment="1">
      <alignment horizontal="right" vertical="center"/>
    </xf>
    <xf numFmtId="3" fontId="46" fillId="20" borderId="79" xfId="0" applyNumberFormat="1" applyFont="1" applyFill="1" applyBorder="1" applyAlignment="1">
      <alignment horizontal="right" vertical="center"/>
    </xf>
    <xf numFmtId="3" fontId="46" fillId="20" borderId="80" xfId="0" applyNumberFormat="1" applyFont="1" applyFill="1" applyBorder="1" applyAlignment="1">
      <alignment horizontal="right" vertical="center"/>
    </xf>
    <xf numFmtId="3" fontId="46" fillId="20" borderId="81" xfId="0" applyNumberFormat="1" applyFont="1" applyFill="1" applyBorder="1" applyAlignment="1">
      <alignment horizontal="right" vertical="center"/>
    </xf>
    <xf numFmtId="0" fontId="46" fillId="20" borderId="84" xfId="0" applyFont="1" applyFill="1" applyBorder="1" applyAlignment="1">
      <alignment horizontal="left" vertical="center"/>
    </xf>
    <xf numFmtId="3" fontId="39" fillId="21" borderId="85" xfId="0" applyNumberFormat="1" applyFont="1" applyFill="1" applyBorder="1" applyAlignment="1">
      <alignment horizontal="right" vertical="center"/>
    </xf>
    <xf numFmtId="3" fontId="39" fillId="21" borderId="65" xfId="0" applyNumberFormat="1" applyFont="1" applyFill="1" applyBorder="1" applyAlignment="1">
      <alignment horizontal="right" vertical="center"/>
    </xf>
    <xf numFmtId="0" fontId="39" fillId="21" borderId="65" xfId="0" applyFont="1" applyFill="1" applyBorder="1" applyAlignment="1">
      <alignment horizontal="right" vertical="center"/>
    </xf>
    <xf numFmtId="0" fontId="39" fillId="21" borderId="86" xfId="0" applyFont="1" applyFill="1" applyBorder="1" applyAlignment="1">
      <alignment horizontal="right" vertical="center"/>
    </xf>
    <xf numFmtId="3" fontId="39" fillId="21" borderId="85" xfId="2" applyFont="1" applyFill="1" applyBorder="1" applyAlignment="1">
      <alignment horizontal="right" vertical="center"/>
    </xf>
    <xf numFmtId="3" fontId="39" fillId="21" borderId="65" xfId="2" applyFont="1" applyFill="1" applyBorder="1" applyAlignment="1">
      <alignment horizontal="right" vertical="center"/>
    </xf>
    <xf numFmtId="3" fontId="39" fillId="21" borderId="86" xfId="2" applyFont="1" applyFill="1" applyBorder="1" applyAlignment="1">
      <alignment horizontal="right" vertical="center"/>
    </xf>
    <xf numFmtId="3" fontId="39" fillId="5" borderId="87" xfId="0" applyNumberFormat="1" applyFont="1" applyFill="1" applyBorder="1" applyAlignment="1">
      <alignment horizontal="right" vertical="center"/>
    </xf>
    <xf numFmtId="3" fontId="39" fillId="5" borderId="88" xfId="0" applyNumberFormat="1" applyFont="1" applyFill="1" applyBorder="1" applyAlignment="1">
      <alignment horizontal="right" vertical="center"/>
    </xf>
    <xf numFmtId="0" fontId="39" fillId="21" borderId="87" xfId="0" applyFont="1" applyFill="1" applyBorder="1" applyAlignment="1">
      <alignment horizontal="center" vertical="center"/>
    </xf>
    <xf numFmtId="0" fontId="39" fillId="21" borderId="74" xfId="0" applyFont="1" applyFill="1" applyBorder="1" applyAlignment="1">
      <alignment horizontal="center" vertical="center"/>
    </xf>
    <xf numFmtId="0" fontId="54" fillId="21" borderId="74" xfId="0" applyFont="1" applyFill="1" applyBorder="1" applyAlignment="1">
      <alignment horizontal="left" vertical="center"/>
    </xf>
    <xf numFmtId="0" fontId="39" fillId="21" borderId="88" xfId="0" applyFont="1" applyFill="1" applyBorder="1" applyAlignment="1">
      <alignment horizontal="left" vertical="center"/>
    </xf>
    <xf numFmtId="0" fontId="39" fillId="21" borderId="85" xfId="0" applyFont="1" applyFill="1" applyBorder="1" applyAlignment="1">
      <alignment horizontal="right" vertical="center"/>
    </xf>
    <xf numFmtId="3" fontId="39" fillId="21" borderId="86" xfId="0" applyNumberFormat="1" applyFont="1" applyFill="1" applyBorder="1" applyAlignment="1">
      <alignment horizontal="right" vertical="center"/>
    </xf>
    <xf numFmtId="0" fontId="39" fillId="21" borderId="89" xfId="0" applyFont="1" applyFill="1" applyBorder="1" applyAlignment="1">
      <alignment horizontal="right" vertical="center"/>
    </xf>
    <xf numFmtId="0" fontId="39" fillId="21" borderId="90" xfId="0" applyFont="1" applyFill="1" applyBorder="1" applyAlignment="1">
      <alignment horizontal="right" vertical="center"/>
    </xf>
    <xf numFmtId="3" fontId="39" fillId="21" borderId="90" xfId="0" applyNumberFormat="1" applyFont="1" applyFill="1" applyBorder="1" applyAlignment="1">
      <alignment horizontal="right" vertical="center"/>
    </xf>
    <xf numFmtId="3" fontId="39" fillId="21" borderId="88" xfId="0" applyNumberFormat="1" applyFont="1" applyFill="1" applyBorder="1" applyAlignment="1">
      <alignment horizontal="right" vertical="center"/>
    </xf>
    <xf numFmtId="3" fontId="39" fillId="21" borderId="91" xfId="2" applyFont="1" applyFill="1" applyBorder="1" applyAlignment="1">
      <alignment horizontal="right" vertical="center"/>
    </xf>
    <xf numFmtId="3" fontId="39" fillId="21" borderId="92" xfId="2" applyFont="1" applyFill="1" applyBorder="1" applyAlignment="1">
      <alignment horizontal="right" vertical="center"/>
    </xf>
    <xf numFmtId="3" fontId="39" fillId="21" borderId="93" xfId="2" applyFont="1" applyFill="1" applyBorder="1" applyAlignment="1">
      <alignment horizontal="right" vertical="center"/>
    </xf>
    <xf numFmtId="3" fontId="39" fillId="5" borderId="94" xfId="0" applyNumberFormat="1" applyFont="1" applyFill="1" applyBorder="1" applyAlignment="1">
      <alignment horizontal="right" vertical="center"/>
    </xf>
    <xf numFmtId="3" fontId="39" fillId="5" borderId="93" xfId="0" applyNumberFormat="1" applyFont="1" applyFill="1" applyBorder="1" applyAlignment="1">
      <alignment horizontal="right" vertical="center"/>
    </xf>
    <xf numFmtId="0" fontId="39" fillId="21" borderId="94" xfId="0" applyFont="1" applyFill="1" applyBorder="1" applyAlignment="1">
      <alignment horizontal="center" vertical="center"/>
    </xf>
    <xf numFmtId="0" fontId="39" fillId="21" borderId="95" xfId="0" applyFont="1" applyFill="1" applyBorder="1" applyAlignment="1">
      <alignment horizontal="center" vertical="center"/>
    </xf>
    <xf numFmtId="0" fontId="54" fillId="21" borderId="95" xfId="0" applyFont="1" applyFill="1" applyBorder="1" applyAlignment="1">
      <alignment horizontal="left" vertical="center"/>
    </xf>
    <xf numFmtId="0" fontId="39" fillId="21" borderId="93" xfId="0" applyFont="1" applyFill="1" applyBorder="1" applyAlignment="1">
      <alignment horizontal="left" vertical="center"/>
    </xf>
    <xf numFmtId="0" fontId="46" fillId="19" borderId="96" xfId="0" applyFont="1" applyFill="1" applyBorder="1" applyAlignment="1">
      <alignment horizontal="center" vertical="center"/>
    </xf>
    <xf numFmtId="0" fontId="46" fillId="19" borderId="97" xfId="0" applyFont="1" applyFill="1" applyBorder="1" applyAlignment="1">
      <alignment horizontal="center" vertical="center"/>
    </xf>
    <xf numFmtId="0" fontId="46" fillId="19" borderId="98" xfId="0" applyFont="1" applyFill="1" applyBorder="1" applyAlignment="1">
      <alignment horizontal="center" vertical="center"/>
    </xf>
    <xf numFmtId="3" fontId="46" fillId="19" borderId="99" xfId="2" applyFont="1" applyFill="1" applyBorder="1" applyAlignment="1">
      <alignment horizontal="center" vertical="center"/>
    </xf>
    <xf numFmtId="3" fontId="46" fillId="19" borderId="100" xfId="2" applyFont="1" applyFill="1" applyBorder="1" applyAlignment="1">
      <alignment horizontal="center" vertical="center"/>
    </xf>
    <xf numFmtId="3" fontId="46" fillId="19" borderId="101" xfId="2" applyFont="1" applyFill="1" applyBorder="1" applyAlignment="1">
      <alignment horizontal="center" vertical="center"/>
    </xf>
    <xf numFmtId="0" fontId="46" fillId="19" borderId="99" xfId="0" applyFont="1" applyFill="1" applyBorder="1" applyAlignment="1">
      <alignment horizontal="center" vertical="center"/>
    </xf>
    <xf numFmtId="0" fontId="46" fillId="19" borderId="101" xfId="0" applyFont="1" applyFill="1" applyBorder="1" applyAlignment="1">
      <alignment horizontal="center" vertical="center"/>
    </xf>
    <xf numFmtId="176" fontId="50" fillId="0" borderId="2" xfId="0" applyNumberFormat="1" applyFont="1" applyBorder="1" applyAlignment="1">
      <alignment vertical="center"/>
    </xf>
    <xf numFmtId="3" fontId="15" fillId="0" borderId="0" xfId="2" applyFont="1" applyAlignment="1">
      <alignment vertical="center"/>
    </xf>
    <xf numFmtId="0" fontId="55" fillId="0" borderId="0" xfId="0" applyFont="1" applyAlignment="1">
      <alignment vertical="center"/>
    </xf>
    <xf numFmtId="0" fontId="50" fillId="2" borderId="2" xfId="0" applyFont="1" applyFill="1" applyBorder="1" applyAlignment="1">
      <alignment horizontal="left" vertical="center"/>
    </xf>
    <xf numFmtId="176" fontId="50" fillId="2" borderId="2" xfId="0" applyNumberFormat="1" applyFont="1" applyFill="1" applyBorder="1" applyAlignment="1">
      <alignment vertical="center"/>
    </xf>
    <xf numFmtId="0" fontId="56" fillId="0" borderId="2" xfId="0" applyFont="1" applyBorder="1" applyAlignment="1">
      <alignment horizontal="left" vertical="center"/>
    </xf>
    <xf numFmtId="176" fontId="56" fillId="0" borderId="2" xfId="0" applyNumberFormat="1" applyFont="1" applyBorder="1" applyAlignment="1">
      <alignment vertical="center"/>
    </xf>
    <xf numFmtId="0" fontId="50" fillId="0" borderId="2" xfId="0" applyFont="1" applyBorder="1" applyAlignment="1">
      <alignment horizontal="left" vertical="center"/>
    </xf>
    <xf numFmtId="0" fontId="34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6" fillId="14" borderId="9" xfId="0" applyFont="1" applyFill="1" applyBorder="1" applyAlignment="1">
      <alignment horizontal="left" vertical="center"/>
    </xf>
    <xf numFmtId="0" fontId="36" fillId="14" borderId="9" xfId="0" applyFont="1" applyFill="1" applyBorder="1" applyAlignment="1">
      <alignment horizontal="center" vertical="center"/>
    </xf>
    <xf numFmtId="0" fontId="36" fillId="14" borderId="10" xfId="0" applyFont="1" applyFill="1" applyBorder="1" applyAlignment="1">
      <alignment horizontal="center" vertical="center"/>
    </xf>
    <xf numFmtId="0" fontId="36" fillId="14" borderId="22" xfId="0" applyFont="1" applyFill="1" applyBorder="1" applyAlignment="1">
      <alignment horizontal="left" vertical="center"/>
    </xf>
    <xf numFmtId="177" fontId="36" fillId="14" borderId="9" xfId="0" applyNumberFormat="1" applyFont="1" applyFill="1" applyBorder="1" applyAlignment="1">
      <alignment horizontal="right" vertical="center"/>
    </xf>
    <xf numFmtId="177" fontId="36" fillId="14" borderId="9" xfId="0" applyNumberFormat="1" applyFont="1" applyFill="1" applyBorder="1" applyAlignment="1">
      <alignment horizontal="center" vertical="center"/>
    </xf>
    <xf numFmtId="178" fontId="36" fillId="14" borderId="9" xfId="0" applyNumberFormat="1" applyFont="1" applyFill="1" applyBorder="1" applyAlignment="1">
      <alignment horizontal="right" vertical="center"/>
    </xf>
    <xf numFmtId="0" fontId="34" fillId="14" borderId="0" xfId="0" applyFont="1" applyFill="1" applyAlignment="1">
      <alignment vertical="center"/>
    </xf>
    <xf numFmtId="0" fontId="36" fillId="14" borderId="19" xfId="0" applyFont="1" applyFill="1" applyBorder="1" applyAlignment="1">
      <alignment horizontal="left" vertical="center"/>
    </xf>
    <xf numFmtId="0" fontId="36" fillId="14" borderId="19" xfId="0" applyFont="1" applyFill="1" applyBorder="1" applyAlignment="1">
      <alignment horizontal="center" vertical="center"/>
    </xf>
    <xf numFmtId="0" fontId="36" fillId="14" borderId="20" xfId="0" applyFont="1" applyFill="1" applyBorder="1" applyAlignment="1">
      <alignment horizontal="center" vertical="center"/>
    </xf>
    <xf numFmtId="0" fontId="36" fillId="14" borderId="23" xfId="0" applyFont="1" applyFill="1" applyBorder="1" applyAlignment="1">
      <alignment horizontal="left" vertical="center"/>
    </xf>
    <xf numFmtId="177" fontId="36" fillId="14" borderId="19" xfId="0" applyNumberFormat="1" applyFont="1" applyFill="1" applyBorder="1" applyAlignment="1">
      <alignment horizontal="right" vertical="center"/>
    </xf>
    <xf numFmtId="177" fontId="36" fillId="14" borderId="19" xfId="0" applyNumberFormat="1" applyFont="1" applyFill="1" applyBorder="1" applyAlignment="1">
      <alignment horizontal="center" vertical="center"/>
    </xf>
    <xf numFmtId="178" fontId="36" fillId="14" borderId="19" xfId="0" applyNumberFormat="1" applyFont="1" applyFill="1" applyBorder="1" applyAlignment="1">
      <alignment horizontal="right" vertical="center"/>
    </xf>
    <xf numFmtId="0" fontId="36" fillId="8" borderId="9" xfId="0" applyFont="1" applyFill="1" applyBorder="1" applyAlignment="1">
      <alignment horizontal="left" vertical="center"/>
    </xf>
    <xf numFmtId="0" fontId="36" fillId="8" borderId="9" xfId="0" applyFont="1" applyFill="1" applyBorder="1" applyAlignment="1">
      <alignment horizontal="center" vertical="center"/>
    </xf>
    <xf numFmtId="0" fontId="36" fillId="8" borderId="10" xfId="0" applyFont="1" applyFill="1" applyBorder="1" applyAlignment="1">
      <alignment horizontal="center" vertical="center"/>
    </xf>
    <xf numFmtId="0" fontId="36" fillId="8" borderId="22" xfId="0" applyFont="1" applyFill="1" applyBorder="1" applyAlignment="1">
      <alignment horizontal="left" vertical="center"/>
    </xf>
    <xf numFmtId="177" fontId="36" fillId="8" borderId="9" xfId="0" applyNumberFormat="1" applyFont="1" applyFill="1" applyBorder="1" applyAlignment="1">
      <alignment horizontal="right" vertical="center"/>
    </xf>
    <xf numFmtId="177" fontId="36" fillId="8" borderId="9" xfId="0" applyNumberFormat="1" applyFont="1" applyFill="1" applyBorder="1" applyAlignment="1">
      <alignment horizontal="center" vertical="center"/>
    </xf>
    <xf numFmtId="178" fontId="36" fillId="8" borderId="9" xfId="0" applyNumberFormat="1" applyFont="1" applyFill="1" applyBorder="1" applyAlignment="1">
      <alignment horizontal="right" vertical="center"/>
    </xf>
    <xf numFmtId="0" fontId="34" fillId="8" borderId="0" xfId="0" applyFont="1" applyFill="1" applyAlignment="1">
      <alignment vertical="center"/>
    </xf>
    <xf numFmtId="179" fontId="8" fillId="0" borderId="30" xfId="0" applyNumberFormat="1" applyFont="1" applyBorder="1" applyAlignment="1">
      <alignment horizontal="right"/>
    </xf>
    <xf numFmtId="179" fontId="8" fillId="8" borderId="2" xfId="0" applyNumberFormat="1" applyFont="1" applyFill="1" applyBorder="1" applyAlignment="1">
      <alignment horizontal="right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179" fontId="8" fillId="8" borderId="35" xfId="0" applyNumberFormat="1" applyFont="1" applyFill="1" applyBorder="1" applyAlignment="1">
      <alignment horizontal="right"/>
    </xf>
    <xf numFmtId="3" fontId="8" fillId="0" borderId="2" xfId="2" applyFont="1" applyBorder="1"/>
    <xf numFmtId="4" fontId="8" fillId="0" borderId="2" xfId="2" applyNumberFormat="1" applyFont="1" applyBorder="1"/>
    <xf numFmtId="0" fontId="8" fillId="0" borderId="24" xfId="0" applyFont="1" applyBorder="1"/>
    <xf numFmtId="179" fontId="8" fillId="0" borderId="25" xfId="0" applyNumberFormat="1" applyFont="1" applyBorder="1"/>
    <xf numFmtId="179" fontId="8" fillId="0" borderId="26" xfId="0" applyNumberFormat="1" applyFont="1" applyBorder="1"/>
    <xf numFmtId="0" fontId="8" fillId="0" borderId="27" xfId="0" applyFont="1" applyBorder="1"/>
    <xf numFmtId="3" fontId="8" fillId="0" borderId="35" xfId="2" applyFont="1" applyBorder="1" applyAlignment="1">
      <alignment horizontal="center"/>
    </xf>
    <xf numFmtId="179" fontId="8" fillId="0" borderId="35" xfId="0" applyNumberFormat="1" applyFont="1" applyBorder="1"/>
    <xf numFmtId="0" fontId="8" fillId="0" borderId="28" xfId="0" applyFont="1" applyBorder="1"/>
    <xf numFmtId="179" fontId="8" fillId="0" borderId="29" xfId="0" applyNumberFormat="1" applyFont="1" applyBorder="1"/>
    <xf numFmtId="179" fontId="8" fillId="0" borderId="0" xfId="0" applyNumberFormat="1" applyFont="1" applyAlignment="1">
      <alignment horizontal="right"/>
    </xf>
    <xf numFmtId="0" fontId="36" fillId="10" borderId="9" xfId="0" applyFont="1" applyFill="1" applyBorder="1" applyAlignment="1">
      <alignment horizontal="left" vertical="center"/>
    </xf>
    <xf numFmtId="0" fontId="36" fillId="10" borderId="9" xfId="0" applyFont="1" applyFill="1" applyBorder="1" applyAlignment="1">
      <alignment horizontal="center" vertical="center"/>
    </xf>
    <xf numFmtId="0" fontId="36" fillId="10" borderId="10" xfId="0" applyFont="1" applyFill="1" applyBorder="1" applyAlignment="1">
      <alignment horizontal="center" vertical="center"/>
    </xf>
    <xf numFmtId="0" fontId="36" fillId="10" borderId="22" xfId="0" applyFont="1" applyFill="1" applyBorder="1" applyAlignment="1">
      <alignment horizontal="left" vertical="center"/>
    </xf>
    <xf numFmtId="177" fontId="36" fillId="10" borderId="9" xfId="0" applyNumberFormat="1" applyFont="1" applyFill="1" applyBorder="1" applyAlignment="1">
      <alignment horizontal="right" vertical="center"/>
    </xf>
    <xf numFmtId="177" fontId="36" fillId="10" borderId="9" xfId="0" applyNumberFormat="1" applyFont="1" applyFill="1" applyBorder="1" applyAlignment="1">
      <alignment horizontal="center" vertical="center"/>
    </xf>
    <xf numFmtId="178" fontId="36" fillId="10" borderId="9" xfId="0" applyNumberFormat="1" applyFont="1" applyFill="1" applyBorder="1" applyAlignment="1">
      <alignment horizontal="right" vertical="center"/>
    </xf>
    <xf numFmtId="0" fontId="34" fillId="10" borderId="0" xfId="0" applyFont="1" applyFill="1" applyAlignment="1">
      <alignment vertical="center"/>
    </xf>
    <xf numFmtId="0" fontId="36" fillId="18" borderId="9" xfId="0" applyFont="1" applyFill="1" applyBorder="1" applyAlignment="1">
      <alignment horizontal="left" vertical="center"/>
    </xf>
    <xf numFmtId="0" fontId="36" fillId="18" borderId="9" xfId="0" applyFont="1" applyFill="1" applyBorder="1" applyAlignment="1">
      <alignment horizontal="center" vertical="center"/>
    </xf>
    <xf numFmtId="0" fontId="36" fillId="18" borderId="10" xfId="0" applyFont="1" applyFill="1" applyBorder="1" applyAlignment="1">
      <alignment horizontal="center" vertical="center"/>
    </xf>
    <xf numFmtId="0" fontId="36" fillId="18" borderId="22" xfId="0" applyFont="1" applyFill="1" applyBorder="1" applyAlignment="1">
      <alignment horizontal="left" vertical="center"/>
    </xf>
    <xf numFmtId="177" fontId="36" fillId="18" borderId="9" xfId="0" applyNumberFormat="1" applyFont="1" applyFill="1" applyBorder="1" applyAlignment="1">
      <alignment horizontal="right" vertical="center"/>
    </xf>
    <xf numFmtId="177" fontId="36" fillId="18" borderId="9" xfId="0" applyNumberFormat="1" applyFont="1" applyFill="1" applyBorder="1" applyAlignment="1">
      <alignment horizontal="center" vertical="center"/>
    </xf>
    <xf numFmtId="178" fontId="36" fillId="18" borderId="9" xfId="0" applyNumberFormat="1" applyFont="1" applyFill="1" applyBorder="1" applyAlignment="1">
      <alignment horizontal="right" vertical="center"/>
    </xf>
    <xf numFmtId="0" fontId="34" fillId="18" borderId="0" xfId="0" applyFont="1" applyFill="1" applyAlignment="1">
      <alignment vertical="center"/>
    </xf>
    <xf numFmtId="0" fontId="36" fillId="0" borderId="9" xfId="0" applyFont="1" applyBorder="1" applyAlignment="1">
      <alignment horizontal="right" vertical="center"/>
    </xf>
    <xf numFmtId="0" fontId="6" fillId="12" borderId="0" xfId="0" applyFont="1" applyFill="1" applyAlignment="1">
      <alignment vertical="center"/>
    </xf>
    <xf numFmtId="0" fontId="6" fillId="14" borderId="0" xfId="0" applyFont="1" applyFill="1" applyAlignment="1">
      <alignment vertical="center"/>
    </xf>
    <xf numFmtId="0" fontId="6" fillId="10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6" fillId="18" borderId="0" xfId="0" applyFont="1" applyFill="1" applyAlignment="1">
      <alignment vertical="center"/>
    </xf>
    <xf numFmtId="0" fontId="60" fillId="16" borderId="0" xfId="0" applyFont="1" applyFill="1" applyAlignment="1">
      <alignment horizontal="center" vertical="center"/>
    </xf>
    <xf numFmtId="177" fontId="60" fillId="16" borderId="0" xfId="0" applyNumberFormat="1" applyFont="1" applyFill="1" applyAlignment="1">
      <alignment horizontal="center" vertical="center"/>
    </xf>
    <xf numFmtId="177" fontId="60" fillId="12" borderId="0" xfId="0" applyNumberFormat="1" applyFont="1" applyFill="1" applyAlignment="1">
      <alignment horizontal="center" vertical="center"/>
    </xf>
    <xf numFmtId="0" fontId="15" fillId="12" borderId="0" xfId="0" applyFont="1" applyFill="1" applyAlignment="1">
      <alignment vertical="center"/>
    </xf>
    <xf numFmtId="3" fontId="48" fillId="0" borderId="27" xfId="2" applyFont="1" applyBorder="1" applyAlignment="1">
      <alignment horizontal="center" vertical="center"/>
    </xf>
    <xf numFmtId="3" fontId="48" fillId="0" borderId="2" xfId="2" applyFont="1" applyBorder="1" applyAlignment="1">
      <alignment horizontal="right" vertical="center"/>
    </xf>
    <xf numFmtId="3" fontId="6" fillId="0" borderId="2" xfId="2" applyFont="1" applyBorder="1" applyAlignment="1">
      <alignment vertical="center"/>
    </xf>
    <xf numFmtId="3" fontId="6" fillId="12" borderId="35" xfId="2" applyFont="1" applyFill="1" applyBorder="1" applyAlignment="1">
      <alignment vertical="center"/>
    </xf>
    <xf numFmtId="3" fontId="48" fillId="0" borderId="28" xfId="2" applyFont="1" applyBorder="1" applyAlignment="1">
      <alignment horizontal="center" vertical="center"/>
    </xf>
    <xf numFmtId="3" fontId="48" fillId="0" borderId="29" xfId="2" applyFont="1" applyBorder="1" applyAlignment="1">
      <alignment horizontal="right" vertical="center"/>
    </xf>
    <xf numFmtId="3" fontId="6" fillId="0" borderId="29" xfId="2" applyFont="1" applyBorder="1" applyAlignment="1">
      <alignment vertical="center"/>
    </xf>
    <xf numFmtId="3" fontId="6" fillId="12" borderId="30" xfId="2" applyFont="1" applyFill="1" applyBorder="1" applyAlignment="1">
      <alignment vertical="center"/>
    </xf>
    <xf numFmtId="177" fontId="36" fillId="18" borderId="10" xfId="0" applyNumberFormat="1" applyFont="1" applyFill="1" applyBorder="1" applyAlignment="1">
      <alignment horizontal="right" vertical="center"/>
    </xf>
    <xf numFmtId="177" fontId="36" fillId="3" borderId="10" xfId="0" applyNumberFormat="1" applyFont="1" applyFill="1" applyBorder="1" applyAlignment="1">
      <alignment horizontal="right" vertical="center"/>
    </xf>
    <xf numFmtId="177" fontId="36" fillId="0" borderId="10" xfId="0" applyNumberFormat="1" applyFont="1" applyBorder="1" applyAlignment="1">
      <alignment horizontal="right" vertical="center"/>
    </xf>
    <xf numFmtId="0" fontId="36" fillId="0" borderId="10" xfId="0" applyFont="1" applyBorder="1" applyAlignment="1">
      <alignment horizontal="left" vertical="center"/>
    </xf>
    <xf numFmtId="177" fontId="36" fillId="0" borderId="105" xfId="0" applyNumberFormat="1" applyFont="1" applyBorder="1" applyAlignment="1">
      <alignment horizontal="right" vertical="center"/>
    </xf>
    <xf numFmtId="177" fontId="36" fillId="0" borderId="22" xfId="0" applyNumberFormat="1" applyFont="1" applyBorder="1" applyAlignment="1">
      <alignment horizontal="right" vertical="center"/>
    </xf>
    <xf numFmtId="0" fontId="36" fillId="0" borderId="19" xfId="0" applyFont="1" applyBorder="1" applyAlignment="1">
      <alignment horizontal="center" vertical="center"/>
    </xf>
    <xf numFmtId="0" fontId="36" fillId="0" borderId="20" xfId="0" applyFont="1" applyBorder="1" applyAlignment="1">
      <alignment horizontal="center" vertical="center"/>
    </xf>
    <xf numFmtId="0" fontId="36" fillId="0" borderId="23" xfId="0" applyFont="1" applyBorder="1" applyAlignment="1">
      <alignment horizontal="left" vertical="center"/>
    </xf>
    <xf numFmtId="177" fontId="36" fillId="0" borderId="19" xfId="0" applyNumberFormat="1" applyFont="1" applyBorder="1" applyAlignment="1">
      <alignment horizontal="right" vertical="center"/>
    </xf>
    <xf numFmtId="0" fontId="36" fillId="0" borderId="19" xfId="0" applyFont="1" applyBorder="1" applyAlignment="1">
      <alignment horizontal="right" vertical="center"/>
    </xf>
    <xf numFmtId="0" fontId="36" fillId="0" borderId="106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107" xfId="0" applyFont="1" applyBorder="1" applyAlignment="1">
      <alignment horizontal="left" vertical="center"/>
    </xf>
    <xf numFmtId="177" fontId="36" fillId="0" borderId="106" xfId="0" applyNumberFormat="1" applyFont="1" applyBorder="1" applyAlignment="1">
      <alignment horizontal="right" vertical="center"/>
    </xf>
    <xf numFmtId="0" fontId="36" fillId="0" borderId="106" xfId="0" applyFont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6" fillId="0" borderId="4" xfId="0" applyFont="1" applyBorder="1" applyAlignment="1">
      <alignment horizontal="left" vertical="center"/>
    </xf>
    <xf numFmtId="177" fontId="36" fillId="0" borderId="4" xfId="0" applyNumberFormat="1" applyFont="1" applyBorder="1" applyAlignment="1">
      <alignment horizontal="right" vertical="center"/>
    </xf>
    <xf numFmtId="0" fontId="36" fillId="0" borderId="4" xfId="0" applyFont="1" applyBorder="1" applyAlignment="1">
      <alignment horizontal="right" vertical="center"/>
    </xf>
    <xf numFmtId="3" fontId="60" fillId="16" borderId="27" xfId="2" applyFont="1" applyFill="1" applyBorder="1" applyAlignment="1">
      <alignment horizontal="center" vertical="center"/>
    </xf>
    <xf numFmtId="3" fontId="60" fillId="16" borderId="2" xfId="2" applyFont="1" applyFill="1" applyBorder="1" applyAlignment="1">
      <alignment horizontal="center" vertical="center"/>
    </xf>
    <xf numFmtId="3" fontId="60" fillId="16" borderId="2" xfId="2" applyFont="1" applyFill="1" applyBorder="1" applyAlignment="1">
      <alignment horizontal="left" vertical="center"/>
    </xf>
    <xf numFmtId="3" fontId="60" fillId="16" borderId="2" xfId="2" applyFont="1" applyFill="1" applyBorder="1" applyAlignment="1">
      <alignment horizontal="right" vertical="center"/>
    </xf>
    <xf numFmtId="3" fontId="60" fillId="16" borderId="35" xfId="2" applyFont="1" applyFill="1" applyBorder="1" applyAlignment="1">
      <alignment horizontal="right" vertical="center"/>
    </xf>
    <xf numFmtId="3" fontId="60" fillId="16" borderId="28" xfId="2" applyFont="1" applyFill="1" applyBorder="1" applyAlignment="1">
      <alignment horizontal="center" vertical="center"/>
    </xf>
    <xf numFmtId="3" fontId="60" fillId="16" borderId="29" xfId="2" applyFont="1" applyFill="1" applyBorder="1" applyAlignment="1">
      <alignment horizontal="center" vertical="center"/>
    </xf>
    <xf numFmtId="3" fontId="60" fillId="16" borderId="29" xfId="2" applyFont="1" applyFill="1" applyBorder="1" applyAlignment="1">
      <alignment horizontal="left" vertical="center"/>
    </xf>
    <xf numFmtId="3" fontId="60" fillId="16" borderId="29" xfId="2" applyFont="1" applyFill="1" applyBorder="1" applyAlignment="1">
      <alignment horizontal="right" vertical="center"/>
    </xf>
    <xf numFmtId="3" fontId="60" fillId="16" borderId="30" xfId="2" applyFont="1" applyFill="1" applyBorder="1" applyAlignment="1">
      <alignment horizontal="right" vertical="center"/>
    </xf>
    <xf numFmtId="3" fontId="61" fillId="16" borderId="24" xfId="2" applyFont="1" applyFill="1" applyBorder="1" applyAlignment="1">
      <alignment horizontal="center" vertical="center"/>
    </xf>
    <xf numFmtId="3" fontId="61" fillId="16" borderId="25" xfId="2" applyFont="1" applyFill="1" applyBorder="1" applyAlignment="1">
      <alignment horizontal="center" vertical="center"/>
    </xf>
    <xf numFmtId="3" fontId="61" fillId="16" borderId="25" xfId="2" applyFont="1" applyFill="1" applyBorder="1" applyAlignment="1">
      <alignment horizontal="left" vertical="center"/>
    </xf>
    <xf numFmtId="3" fontId="61" fillId="16" borderId="25" xfId="2" applyFont="1" applyFill="1" applyBorder="1" applyAlignment="1">
      <alignment horizontal="right" vertical="center"/>
    </xf>
    <xf numFmtId="0" fontId="60" fillId="0" borderId="0" xfId="0" applyFont="1" applyAlignment="1">
      <alignment vertical="center"/>
    </xf>
    <xf numFmtId="0" fontId="35" fillId="0" borderId="9" xfId="0" applyFont="1" applyBorder="1" applyAlignment="1">
      <alignment horizontal="left" vertical="center"/>
    </xf>
    <xf numFmtId="3" fontId="61" fillId="16" borderId="2" xfId="2" applyFont="1" applyFill="1" applyBorder="1" applyAlignment="1">
      <alignment horizontal="right" vertical="center"/>
    </xf>
    <xf numFmtId="177" fontId="35" fillId="0" borderId="9" xfId="0" applyNumberFormat="1" applyFont="1" applyBorder="1" applyAlignment="1">
      <alignment horizontal="right" vertical="center"/>
    </xf>
    <xf numFmtId="0" fontId="62" fillId="0" borderId="0" xfId="0" applyFont="1" applyAlignment="1">
      <alignment vertical="center"/>
    </xf>
    <xf numFmtId="0" fontId="63" fillId="0" borderId="9" xfId="0" applyFont="1" applyBorder="1" applyAlignment="1">
      <alignment horizontal="left" vertical="center"/>
    </xf>
    <xf numFmtId="3" fontId="48" fillId="14" borderId="27" xfId="2" applyFont="1" applyFill="1" applyBorder="1" applyAlignment="1">
      <alignment horizontal="center" vertical="center"/>
    </xf>
    <xf numFmtId="3" fontId="48" fillId="14" borderId="2" xfId="2" applyFont="1" applyFill="1" applyBorder="1" applyAlignment="1">
      <alignment horizontal="right" vertical="center"/>
    </xf>
    <xf numFmtId="3" fontId="48" fillId="14" borderId="24" xfId="2" applyFont="1" applyFill="1" applyBorder="1" applyAlignment="1">
      <alignment horizontal="center" vertical="center"/>
    </xf>
    <xf numFmtId="3" fontId="48" fillId="14" borderId="25" xfId="2" applyFont="1" applyFill="1" applyBorder="1" applyAlignment="1">
      <alignment horizontal="center" vertical="center"/>
    </xf>
    <xf numFmtId="9" fontId="64" fillId="0" borderId="0" xfId="1" applyFont="1" applyBorder="1" applyAlignment="1">
      <alignment horizontal="center" vertical="center"/>
    </xf>
    <xf numFmtId="9" fontId="64" fillId="0" borderId="0" xfId="1" applyFont="1" applyFill="1" applyBorder="1" applyAlignment="1">
      <alignment horizontal="center" vertical="center"/>
    </xf>
    <xf numFmtId="9" fontId="64" fillId="0" borderId="0" xfId="1" applyFont="1" applyBorder="1" applyAlignment="1">
      <alignment horizontal="left" vertical="center"/>
    </xf>
    <xf numFmtId="180" fontId="65" fillId="22" borderId="0" xfId="1" applyNumberFormat="1" applyFont="1" applyFill="1" applyBorder="1" applyAlignment="1">
      <alignment horizontal="center" vertical="center"/>
    </xf>
    <xf numFmtId="3" fontId="6" fillId="13" borderId="2" xfId="2" applyFont="1" applyFill="1" applyBorder="1" applyAlignment="1">
      <alignment vertical="center" wrapText="1"/>
    </xf>
    <xf numFmtId="3" fontId="6" fillId="13" borderId="2" xfId="2" applyFont="1" applyFill="1" applyBorder="1" applyAlignment="1">
      <alignment horizontal="right" vertical="center" wrapText="1"/>
    </xf>
    <xf numFmtId="3" fontId="6" fillId="0" borderId="0" xfId="2" applyFont="1" applyBorder="1" applyAlignment="1">
      <alignment horizontal="right" vertical="center"/>
    </xf>
    <xf numFmtId="3" fontId="7" fillId="0" borderId="0" xfId="2" applyFont="1" applyBorder="1" applyAlignment="1">
      <alignment horizontal="left" vertical="center"/>
    </xf>
    <xf numFmtId="3" fontId="7" fillId="0" borderId="0" xfId="2" applyFont="1" applyBorder="1" applyAlignment="1">
      <alignment horizontal="center" vertical="center"/>
    </xf>
    <xf numFmtId="3" fontId="6" fillId="14" borderId="2" xfId="2" applyFont="1" applyFill="1" applyBorder="1" applyAlignment="1">
      <alignment horizontal="center" vertical="center"/>
    </xf>
    <xf numFmtId="3" fontId="6" fillId="15" borderId="2" xfId="2" applyFont="1" applyFill="1" applyBorder="1" applyAlignment="1">
      <alignment horizontal="right" vertical="center"/>
    </xf>
    <xf numFmtId="3" fontId="6" fillId="0" borderId="2" xfId="2" applyFont="1" applyBorder="1" applyAlignment="1">
      <alignment horizontal="center" vertical="center"/>
    </xf>
    <xf numFmtId="3" fontId="6" fillId="0" borderId="2" xfId="2" applyFont="1" applyBorder="1" applyAlignment="1">
      <alignment horizontal="right" vertical="center"/>
    </xf>
    <xf numFmtId="3" fontId="6" fillId="0" borderId="2" xfId="2" applyFont="1" applyFill="1" applyBorder="1" applyAlignment="1">
      <alignment horizontal="center" vertical="center"/>
    </xf>
    <xf numFmtId="0" fontId="36" fillId="12" borderId="19" xfId="0" applyFont="1" applyFill="1" applyBorder="1" applyAlignment="1">
      <alignment horizontal="left" vertical="center"/>
    </xf>
    <xf numFmtId="0" fontId="36" fillId="12" borderId="19" xfId="0" applyFont="1" applyFill="1" applyBorder="1" applyAlignment="1">
      <alignment horizontal="center" vertical="center"/>
    </xf>
    <xf numFmtId="0" fontId="36" fillId="12" borderId="20" xfId="0" applyFont="1" applyFill="1" applyBorder="1" applyAlignment="1">
      <alignment horizontal="center" vertical="center"/>
    </xf>
    <xf numFmtId="0" fontId="36" fillId="12" borderId="23" xfId="0" applyFont="1" applyFill="1" applyBorder="1" applyAlignment="1">
      <alignment horizontal="left" vertical="center"/>
    </xf>
    <xf numFmtId="177" fontId="36" fillId="12" borderId="19" xfId="0" applyNumberFormat="1" applyFont="1" applyFill="1" applyBorder="1" applyAlignment="1">
      <alignment horizontal="right" vertical="center"/>
    </xf>
    <xf numFmtId="177" fontId="36" fillId="12" borderId="19" xfId="0" applyNumberFormat="1" applyFont="1" applyFill="1" applyBorder="1" applyAlignment="1">
      <alignment horizontal="center" vertical="center"/>
    </xf>
    <xf numFmtId="178" fontId="36" fillId="12" borderId="19" xfId="0" applyNumberFormat="1" applyFont="1" applyFill="1" applyBorder="1" applyAlignment="1">
      <alignment horizontal="right" vertical="center"/>
    </xf>
    <xf numFmtId="3" fontId="34" fillId="0" borderId="0" xfId="0" applyNumberFormat="1" applyFont="1" applyAlignment="1">
      <alignment vertical="center"/>
    </xf>
    <xf numFmtId="3" fontId="6" fillId="0" borderId="35" xfId="2" applyFont="1" applyBorder="1" applyAlignment="1">
      <alignment horizontal="center" vertical="center"/>
    </xf>
    <xf numFmtId="3" fontId="15" fillId="0" borderId="0" xfId="2" applyFont="1" applyAlignment="1">
      <alignment horizontal="left" vertical="center"/>
    </xf>
    <xf numFmtId="3" fontId="6" fillId="0" borderId="0" xfId="2" applyFont="1" applyAlignment="1">
      <alignment vertical="center"/>
    </xf>
    <xf numFmtId="3" fontId="6" fillId="0" borderId="0" xfId="2" applyFont="1" applyAlignment="1">
      <alignment horizontal="center" vertical="center"/>
    </xf>
    <xf numFmtId="3" fontId="6" fillId="12" borderId="0" xfId="2" applyFont="1" applyFill="1" applyAlignment="1">
      <alignment vertical="center"/>
    </xf>
    <xf numFmtId="3" fontId="6" fillId="14" borderId="0" xfId="2" applyFont="1" applyFill="1" applyAlignment="1">
      <alignment vertical="center"/>
    </xf>
    <xf numFmtId="3" fontId="6" fillId="10" borderId="0" xfId="2" applyFont="1" applyFill="1" applyAlignment="1">
      <alignment vertical="center"/>
    </xf>
    <xf numFmtId="3" fontId="6" fillId="8" borderId="0" xfId="2" applyFont="1" applyFill="1" applyAlignment="1">
      <alignment vertical="center"/>
    </xf>
    <xf numFmtId="3" fontId="6" fillId="18" borderId="0" xfId="2" applyFont="1" applyFill="1" applyAlignment="1">
      <alignment vertical="center"/>
    </xf>
    <xf numFmtId="3" fontId="15" fillId="12" borderId="0" xfId="2" applyFont="1" applyFill="1" applyAlignment="1">
      <alignment vertical="center"/>
    </xf>
    <xf numFmtId="3" fontId="34" fillId="0" borderId="0" xfId="2" applyFont="1" applyAlignment="1">
      <alignment vertical="center"/>
    </xf>
    <xf numFmtId="3" fontId="27" fillId="12" borderId="0" xfId="0" applyNumberFormat="1" applyFont="1" applyFill="1" applyAlignment="1">
      <alignment vertical="center"/>
    </xf>
    <xf numFmtId="3" fontId="60" fillId="0" borderId="0" xfId="2" applyFont="1" applyFill="1" applyBorder="1" applyAlignment="1">
      <alignment horizontal="center" vertical="center"/>
    </xf>
    <xf numFmtId="3" fontId="60" fillId="0" borderId="0" xfId="2" applyFont="1" applyFill="1" applyBorder="1" applyAlignment="1">
      <alignment horizontal="left" vertical="center"/>
    </xf>
    <xf numFmtId="3" fontId="60" fillId="0" borderId="0" xfId="2" applyFont="1" applyFill="1" applyBorder="1" applyAlignment="1">
      <alignment horizontal="right" vertical="center"/>
    </xf>
    <xf numFmtId="3" fontId="27" fillId="0" borderId="0" xfId="0" applyNumberFormat="1" applyFont="1" applyAlignment="1">
      <alignment vertical="center"/>
    </xf>
    <xf numFmtId="0" fontId="58" fillId="0" borderId="0" xfId="0" applyFont="1" applyAlignment="1">
      <alignment horizontal="left" vertical="center"/>
    </xf>
    <xf numFmtId="0" fontId="58" fillId="0" borderId="0" xfId="0" applyFont="1" applyAlignment="1">
      <alignment vertical="center"/>
    </xf>
    <xf numFmtId="0" fontId="28" fillId="4" borderId="16" xfId="0" applyFont="1" applyFill="1" applyBorder="1" applyAlignment="1">
      <alignment horizontal="center" vertical="center"/>
    </xf>
    <xf numFmtId="0" fontId="28" fillId="4" borderId="5" xfId="0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50" fillId="2" borderId="16" xfId="0" applyFont="1" applyFill="1" applyBorder="1" applyAlignment="1">
      <alignment horizontal="left" vertical="center"/>
    </xf>
    <xf numFmtId="0" fontId="50" fillId="0" borderId="16" xfId="0" applyFont="1" applyBorder="1" applyAlignment="1">
      <alignment horizontal="left" vertical="center"/>
    </xf>
    <xf numFmtId="176" fontId="50" fillId="2" borderId="5" xfId="0" applyNumberFormat="1" applyFont="1" applyFill="1" applyBorder="1" applyAlignment="1">
      <alignment vertical="center"/>
    </xf>
    <xf numFmtId="179" fontId="28" fillId="4" borderId="108" xfId="0" applyNumberFormat="1" applyFont="1" applyFill="1" applyBorder="1" applyAlignment="1">
      <alignment horizontal="center" vertical="center"/>
    </xf>
    <xf numFmtId="0" fontId="56" fillId="0" borderId="16" xfId="0" applyFont="1" applyBorder="1" applyAlignment="1">
      <alignment horizontal="left" vertical="center" indent="2"/>
    </xf>
    <xf numFmtId="176" fontId="50" fillId="11" borderId="109" xfId="0" applyNumberFormat="1" applyFont="1" applyFill="1" applyBorder="1" applyAlignment="1">
      <alignment vertical="center"/>
    </xf>
    <xf numFmtId="0" fontId="50" fillId="23" borderId="16" xfId="0" applyFont="1" applyFill="1" applyBorder="1" applyAlignment="1">
      <alignment horizontal="left" vertical="center"/>
    </xf>
    <xf numFmtId="179" fontId="50" fillId="0" borderId="5" xfId="0" applyNumberFormat="1" applyFont="1" applyBorder="1" applyAlignment="1">
      <alignment vertical="center"/>
    </xf>
    <xf numFmtId="179" fontId="50" fillId="0" borderId="2" xfId="0" applyNumberFormat="1" applyFont="1" applyBorder="1" applyAlignment="1">
      <alignment vertical="center"/>
    </xf>
    <xf numFmtId="179" fontId="50" fillId="0" borderId="109" xfId="0" applyNumberFormat="1" applyFont="1" applyBorder="1" applyAlignment="1">
      <alignment vertical="center"/>
    </xf>
    <xf numFmtId="179" fontId="56" fillId="0" borderId="109" xfId="0" applyNumberFormat="1" applyFont="1" applyBorder="1" applyAlignment="1">
      <alignment horizontal="right" vertical="center"/>
    </xf>
    <xf numFmtId="179" fontId="56" fillId="0" borderId="5" xfId="0" applyNumberFormat="1" applyFont="1" applyBorder="1" applyAlignment="1">
      <alignment vertical="center"/>
    </xf>
    <xf numFmtId="179" fontId="56" fillId="0" borderId="2" xfId="0" applyNumberFormat="1" applyFont="1" applyBorder="1" applyAlignment="1">
      <alignment vertical="center"/>
    </xf>
    <xf numFmtId="179" fontId="50" fillId="23" borderId="110" xfId="0" applyNumberFormat="1" applyFont="1" applyFill="1" applyBorder="1" applyAlignment="1">
      <alignment vertical="center"/>
    </xf>
    <xf numFmtId="179" fontId="50" fillId="23" borderId="5" xfId="0" applyNumberFormat="1" applyFont="1" applyFill="1" applyBorder="1" applyAlignment="1">
      <alignment vertical="center"/>
    </xf>
    <xf numFmtId="179" fontId="50" fillId="23" borderId="2" xfId="0" applyNumberFormat="1" applyFont="1" applyFill="1" applyBorder="1" applyAlignment="1">
      <alignment vertical="center"/>
    </xf>
    <xf numFmtId="0" fontId="50" fillId="0" borderId="0" xfId="0" applyFont="1" applyAlignment="1">
      <alignment horizontal="left" vertical="center"/>
    </xf>
    <xf numFmtId="176" fontId="50" fillId="0" borderId="0" xfId="0" applyNumberFormat="1" applyFont="1" applyAlignment="1">
      <alignment vertical="center"/>
    </xf>
    <xf numFmtId="179" fontId="50" fillId="0" borderId="0" xfId="0" applyNumberFormat="1" applyFont="1" applyAlignment="1">
      <alignment vertical="center"/>
    </xf>
    <xf numFmtId="0" fontId="28" fillId="4" borderId="24" xfId="0" applyFont="1" applyFill="1" applyBorder="1" applyAlignment="1">
      <alignment horizontal="center" vertical="center"/>
    </xf>
    <xf numFmtId="179" fontId="28" fillId="4" borderId="25" xfId="0" applyNumberFormat="1" applyFont="1" applyFill="1" applyBorder="1" applyAlignment="1">
      <alignment horizontal="center" vertical="center"/>
    </xf>
    <xf numFmtId="0" fontId="28" fillId="4" borderId="25" xfId="0" applyFont="1" applyFill="1" applyBorder="1" applyAlignment="1">
      <alignment horizontal="center" vertical="center"/>
    </xf>
    <xf numFmtId="0" fontId="28" fillId="4" borderId="26" xfId="0" applyFont="1" applyFill="1" applyBorder="1" applyAlignment="1">
      <alignment horizontal="center" vertical="center"/>
    </xf>
    <xf numFmtId="179" fontId="50" fillId="0" borderId="35" xfId="0" applyNumberFormat="1" applyFont="1" applyBorder="1" applyAlignment="1">
      <alignment vertical="center"/>
    </xf>
    <xf numFmtId="179" fontId="58" fillId="14" borderId="2" xfId="2" applyNumberFormat="1" applyFont="1" applyFill="1" applyBorder="1" applyAlignment="1">
      <alignment horizontal="right" vertical="center"/>
    </xf>
    <xf numFmtId="179" fontId="58" fillId="14" borderId="35" xfId="2" applyNumberFormat="1" applyFont="1" applyFill="1" applyBorder="1" applyAlignment="1">
      <alignment horizontal="right" vertical="center"/>
    </xf>
    <xf numFmtId="176" fontId="50" fillId="2" borderId="16" xfId="0" applyNumberFormat="1" applyFont="1" applyFill="1" applyBorder="1" applyAlignment="1">
      <alignment vertical="center"/>
    </xf>
    <xf numFmtId="176" fontId="56" fillId="0" borderId="16" xfId="0" applyNumberFormat="1" applyFont="1" applyBorder="1" applyAlignment="1">
      <alignment vertical="center"/>
    </xf>
    <xf numFmtId="176" fontId="50" fillId="0" borderId="16" xfId="0" applyNumberFormat="1" applyFont="1" applyBorder="1" applyAlignment="1">
      <alignment vertical="center"/>
    </xf>
    <xf numFmtId="0" fontId="66" fillId="0" borderId="0" xfId="0" applyFont="1" applyAlignment="1">
      <alignment horizontal="left" vertical="center"/>
    </xf>
    <xf numFmtId="179" fontId="56" fillId="0" borderId="0" xfId="0" applyNumberFormat="1" applyFont="1" applyAlignment="1">
      <alignment horizontal="right" vertical="center"/>
    </xf>
    <xf numFmtId="10" fontId="27" fillId="0" borderId="0" xfId="1" applyNumberFormat="1" applyFont="1" applyBorder="1" applyAlignment="1">
      <alignment vertical="center" wrapText="1"/>
    </xf>
    <xf numFmtId="3" fontId="6" fillId="0" borderId="27" xfId="2" applyFont="1" applyFill="1" applyBorder="1" applyAlignment="1">
      <alignment horizontal="center" vertical="center" wrapText="1"/>
    </xf>
    <xf numFmtId="3" fontId="6" fillId="0" borderId="30" xfId="2" applyFont="1" applyFill="1" applyBorder="1" applyAlignment="1">
      <alignment horizontal="center" vertical="center" wrapText="1"/>
    </xf>
    <xf numFmtId="3" fontId="6" fillId="14" borderId="25" xfId="2" applyFont="1" applyFill="1" applyBorder="1" applyAlignment="1">
      <alignment horizontal="center" vertical="center"/>
    </xf>
    <xf numFmtId="3" fontId="7" fillId="0" borderId="0" xfId="2" applyFont="1" applyBorder="1" applyAlignment="1">
      <alignment horizontal="left" vertical="center" wrapText="1"/>
    </xf>
    <xf numFmtId="3" fontId="7" fillId="0" borderId="0" xfId="2" applyFont="1" applyFill="1" applyBorder="1" applyAlignment="1">
      <alignment horizontal="left" vertical="center"/>
    </xf>
    <xf numFmtId="3" fontId="7" fillId="0" borderId="0" xfId="2" applyFont="1" applyBorder="1" applyAlignment="1">
      <alignment horizontal="center" vertical="center" wrapText="1"/>
    </xf>
    <xf numFmtId="3" fontId="6" fillId="14" borderId="2" xfId="2" applyFont="1" applyFill="1" applyBorder="1" applyAlignment="1">
      <alignment horizontal="right" vertical="center" wrapText="1"/>
    </xf>
    <xf numFmtId="10" fontId="65" fillId="22" borderId="0" xfId="1" applyNumberFormat="1" applyFont="1" applyFill="1" applyBorder="1" applyAlignment="1">
      <alignment horizontal="center" vertical="center"/>
    </xf>
    <xf numFmtId="3" fontId="60" fillId="0" borderId="0" xfId="2" applyFont="1" applyAlignment="1">
      <alignment vertical="center"/>
    </xf>
    <xf numFmtId="3" fontId="6" fillId="0" borderId="0" xfId="2" applyFont="1" applyFill="1" applyAlignment="1">
      <alignment vertical="center"/>
    </xf>
    <xf numFmtId="3" fontId="60" fillId="16" borderId="0" xfId="2" applyFont="1" applyFill="1" applyAlignment="1">
      <alignment horizontal="center" vertical="center"/>
    </xf>
    <xf numFmtId="0" fontId="34" fillId="0" borderId="0" xfId="0" applyFont="1" applyAlignment="1">
      <alignment vertical="center" wrapText="1"/>
    </xf>
    <xf numFmtId="3" fontId="60" fillId="0" borderId="0" xfId="2" applyFont="1" applyFill="1" applyBorder="1" applyAlignment="1">
      <alignment horizontal="center" vertical="center" wrapText="1"/>
    </xf>
    <xf numFmtId="3" fontId="60" fillId="0" borderId="0" xfId="2" applyFont="1" applyFill="1" applyBorder="1" applyAlignment="1">
      <alignment horizontal="left" vertical="center" wrapText="1"/>
    </xf>
    <xf numFmtId="3" fontId="60" fillId="0" borderId="0" xfId="2" applyFont="1" applyFill="1" applyBorder="1" applyAlignment="1">
      <alignment horizontal="right" vertical="center" wrapText="1"/>
    </xf>
    <xf numFmtId="3" fontId="7" fillId="0" borderId="2" xfId="2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3" fontId="7" fillId="0" borderId="2" xfId="2" quotePrefix="1" applyFont="1" applyFill="1" applyBorder="1" applyAlignment="1">
      <alignment horizontal="right" vertical="center"/>
    </xf>
    <xf numFmtId="3" fontId="7" fillId="0" borderId="2" xfId="2" applyFont="1" applyFill="1" applyBorder="1" applyAlignment="1">
      <alignment horizontal="right" vertical="center"/>
    </xf>
    <xf numFmtId="3" fontId="7" fillId="0" borderId="2" xfId="2" applyFont="1" applyFill="1" applyBorder="1" applyAlignment="1">
      <alignment horizontal="center" vertical="center"/>
    </xf>
    <xf numFmtId="3" fontId="6" fillId="0" borderId="0" xfId="2" applyFont="1" applyFill="1" applyAlignment="1">
      <alignment horizontal="right" vertical="center"/>
    </xf>
    <xf numFmtId="3" fontId="7" fillId="12" borderId="2" xfId="2" quotePrefix="1" applyFont="1" applyFill="1" applyBorder="1" applyAlignment="1">
      <alignment horizontal="right" vertical="center"/>
    </xf>
    <xf numFmtId="0" fontId="67" fillId="2" borderId="0" xfId="0" applyFont="1" applyFill="1" applyAlignment="1">
      <alignment horizontal="center" vertical="center"/>
    </xf>
    <xf numFmtId="0" fontId="68" fillId="2" borderId="0" xfId="0" applyFont="1" applyFill="1" applyAlignment="1">
      <alignment horizontal="center" vertical="center"/>
    </xf>
    <xf numFmtId="0" fontId="69" fillId="2" borderId="0" xfId="0" applyFont="1" applyFill="1" applyAlignment="1">
      <alignment horizontal="left" vertical="center"/>
    </xf>
    <xf numFmtId="0" fontId="69" fillId="2" borderId="0" xfId="0" applyFont="1" applyFill="1" applyAlignment="1">
      <alignment horizontal="right" vertical="center"/>
    </xf>
    <xf numFmtId="0" fontId="70" fillId="3" borderId="9" xfId="0" applyFont="1" applyFill="1" applyBorder="1" applyAlignment="1">
      <alignment horizontal="center" vertical="center"/>
    </xf>
    <xf numFmtId="0" fontId="25" fillId="2" borderId="9" xfId="0" applyFont="1" applyFill="1" applyBorder="1" applyAlignment="1">
      <alignment horizontal="center" vertical="center"/>
    </xf>
    <xf numFmtId="0" fontId="25" fillId="2" borderId="9" xfId="0" applyFont="1" applyFill="1" applyBorder="1" applyAlignment="1">
      <alignment horizontal="left" vertical="center"/>
    </xf>
    <xf numFmtId="177" fontId="25" fillId="2" borderId="9" xfId="0" applyNumberFormat="1" applyFont="1" applyFill="1" applyBorder="1" applyAlignment="1">
      <alignment horizontal="right" vertical="center"/>
    </xf>
    <xf numFmtId="0" fontId="25" fillId="2" borderId="19" xfId="0" applyFont="1" applyFill="1" applyBorder="1" applyAlignment="1">
      <alignment horizontal="center" vertical="center"/>
    </xf>
    <xf numFmtId="0" fontId="25" fillId="2" borderId="19" xfId="0" applyFont="1" applyFill="1" applyBorder="1" applyAlignment="1">
      <alignment horizontal="left" vertical="center"/>
    </xf>
    <xf numFmtId="177" fontId="25" fillId="2" borderId="19" xfId="0" applyNumberFormat="1" applyFont="1" applyFill="1" applyBorder="1" applyAlignment="1">
      <alignment horizontal="right" vertical="center"/>
    </xf>
    <xf numFmtId="177" fontId="25" fillId="3" borderId="9" xfId="0" applyNumberFormat="1" applyFont="1" applyFill="1" applyBorder="1" applyAlignment="1">
      <alignment horizontal="right" vertical="center"/>
    </xf>
    <xf numFmtId="0" fontId="71" fillId="0" borderId="0" xfId="0" applyFont="1" applyAlignment="1">
      <alignment horizontal="center" vertical="center"/>
    </xf>
    <xf numFmtId="0" fontId="71" fillId="0" borderId="2" xfId="0" applyFont="1" applyBorder="1" applyAlignment="1">
      <alignment horizontal="center" vertical="center"/>
    </xf>
    <xf numFmtId="3" fontId="71" fillId="0" borderId="2" xfId="2" applyFont="1" applyBorder="1" applyAlignment="1">
      <alignment horizontal="center" vertical="center"/>
    </xf>
    <xf numFmtId="3" fontId="71" fillId="0" borderId="0" xfId="2" applyFont="1" applyAlignment="1">
      <alignment horizontal="center" vertical="center"/>
    </xf>
    <xf numFmtId="0" fontId="71" fillId="0" borderId="0" xfId="0" applyFont="1" applyAlignment="1">
      <alignment vertical="center"/>
    </xf>
    <xf numFmtId="3" fontId="71" fillId="0" borderId="0" xfId="2" applyFont="1" applyAlignment="1">
      <alignment vertical="center"/>
    </xf>
    <xf numFmtId="184" fontId="71" fillId="0" borderId="2" xfId="2" applyNumberFormat="1" applyFont="1" applyBorder="1" applyAlignment="1">
      <alignment horizontal="center" vertical="center"/>
    </xf>
    <xf numFmtId="3" fontId="71" fillId="0" borderId="2" xfId="2" applyFont="1" applyBorder="1" applyAlignment="1">
      <alignment vertical="center"/>
    </xf>
    <xf numFmtId="3" fontId="72" fillId="0" borderId="2" xfId="2" applyFont="1" applyBorder="1" applyAlignment="1">
      <alignment horizontal="right" vertical="center"/>
    </xf>
    <xf numFmtId="10" fontId="6" fillId="0" borderId="0" xfId="1" applyNumberFormat="1" applyFont="1" applyBorder="1" applyAlignment="1">
      <alignment horizontal="right" vertical="center"/>
    </xf>
    <xf numFmtId="179" fontId="61" fillId="24" borderId="2" xfId="2" applyNumberFormat="1" applyFont="1" applyFill="1" applyBorder="1" applyAlignment="1">
      <alignment horizontal="right" vertical="center"/>
    </xf>
    <xf numFmtId="0" fontId="72" fillId="0" borderId="2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3" fillId="0" borderId="0" xfId="0" applyFont="1"/>
    <xf numFmtId="179" fontId="8" fillId="0" borderId="30" xfId="0" applyNumberFormat="1" applyFont="1" applyBorder="1" applyAlignment="1">
      <alignment horizontal="center"/>
    </xf>
    <xf numFmtId="179" fontId="8" fillId="8" borderId="29" xfId="0" applyNumberFormat="1" applyFont="1" applyFill="1" applyBorder="1" applyAlignment="1">
      <alignment horizontal="right"/>
    </xf>
    <xf numFmtId="179" fontId="59" fillId="8" borderId="30" xfId="0" applyNumberFormat="1" applyFont="1" applyFill="1" applyBorder="1" applyAlignment="1">
      <alignment horizontal="right"/>
    </xf>
    <xf numFmtId="3" fontId="6" fillId="0" borderId="2" xfId="2" applyFont="1" applyFill="1" applyBorder="1" applyAlignment="1">
      <alignment vertical="center" wrapText="1"/>
    </xf>
    <xf numFmtId="3" fontId="6" fillId="23" borderId="2" xfId="2" applyFont="1" applyFill="1" applyBorder="1" applyAlignment="1">
      <alignment horizontal="center" vertical="center" wrapText="1"/>
    </xf>
    <xf numFmtId="9" fontId="73" fillId="0" borderId="0" xfId="1" applyFont="1" applyBorder="1" applyAlignment="1">
      <alignment horizontal="center" vertical="center"/>
    </xf>
    <xf numFmtId="3" fontId="6" fillId="8" borderId="2" xfId="2" applyFont="1" applyFill="1" applyBorder="1" applyAlignment="1">
      <alignment horizontal="right" vertical="center" wrapText="1"/>
    </xf>
    <xf numFmtId="0" fontId="74" fillId="0" borderId="0" xfId="0" applyFont="1" applyAlignment="1">
      <alignment vertical="center"/>
    </xf>
    <xf numFmtId="0" fontId="32" fillId="0" borderId="14" xfId="0" applyFont="1" applyBorder="1" applyAlignment="1">
      <alignment horizontal="center" vertical="center"/>
    </xf>
    <xf numFmtId="0" fontId="52" fillId="2" borderId="0" xfId="0" applyFont="1" applyFill="1" applyAlignment="1">
      <alignment horizontal="center" vertical="center" wrapText="1"/>
    </xf>
    <xf numFmtId="0" fontId="50" fillId="0" borderId="27" xfId="0" applyFont="1" applyBorder="1" applyAlignment="1">
      <alignment horizontal="left" vertical="center" wrapText="1"/>
    </xf>
    <xf numFmtId="0" fontId="58" fillId="14" borderId="27" xfId="0" applyFont="1" applyFill="1" applyBorder="1" applyAlignment="1">
      <alignment horizontal="left" vertical="center" wrapText="1" indent="2"/>
    </xf>
    <xf numFmtId="176" fontId="25" fillId="11" borderId="50" xfId="0" applyNumberFormat="1" applyFont="1" applyFill="1" applyBorder="1" applyAlignment="1">
      <alignment horizontal="right" vertical="center"/>
    </xf>
    <xf numFmtId="176" fontId="21" fillId="11" borderId="1" xfId="0" applyNumberFormat="1" applyFont="1" applyFill="1" applyBorder="1" applyAlignment="1">
      <alignment horizontal="right" vertical="center"/>
    </xf>
    <xf numFmtId="3" fontId="22" fillId="11" borderId="36" xfId="2" applyFont="1" applyFill="1" applyBorder="1" applyAlignment="1">
      <alignment horizontal="right" vertical="center"/>
    </xf>
    <xf numFmtId="0" fontId="25" fillId="25" borderId="48" xfId="0" applyFont="1" applyFill="1" applyBorder="1" applyAlignment="1">
      <alignment horizontal="center" vertical="center"/>
    </xf>
    <xf numFmtId="176" fontId="25" fillId="25" borderId="50" xfId="0" applyNumberFormat="1" applyFont="1" applyFill="1" applyBorder="1" applyAlignment="1">
      <alignment horizontal="right" vertical="center"/>
    </xf>
    <xf numFmtId="176" fontId="21" fillId="25" borderId="1" xfId="0" applyNumberFormat="1" applyFont="1" applyFill="1" applyBorder="1" applyAlignment="1">
      <alignment horizontal="right" vertical="center"/>
    </xf>
    <xf numFmtId="3" fontId="22" fillId="25" borderId="36" xfId="2" applyFont="1" applyFill="1" applyBorder="1" applyAlignment="1">
      <alignment horizontal="right" vertical="center"/>
    </xf>
    <xf numFmtId="176" fontId="24" fillId="25" borderId="50" xfId="0" applyNumberFormat="1" applyFont="1" applyFill="1" applyBorder="1" applyAlignment="1">
      <alignment horizontal="right" vertical="center"/>
    </xf>
    <xf numFmtId="176" fontId="23" fillId="25" borderId="1" xfId="0" applyNumberFormat="1" applyFont="1" applyFill="1" applyBorder="1" applyAlignment="1">
      <alignment horizontal="right" vertical="center"/>
    </xf>
    <xf numFmtId="0" fontId="0" fillId="25" borderId="0" xfId="0" applyFill="1" applyAlignment="1">
      <alignment vertical="center"/>
    </xf>
    <xf numFmtId="0" fontId="25" fillId="0" borderId="48" xfId="0" applyFont="1" applyBorder="1" applyAlignment="1">
      <alignment horizontal="center" vertical="center"/>
    </xf>
    <xf numFmtId="176" fontId="25" fillId="0" borderId="50" xfId="0" applyNumberFormat="1" applyFont="1" applyBorder="1" applyAlignment="1">
      <alignment horizontal="right" vertical="center"/>
    </xf>
    <xf numFmtId="176" fontId="21" fillId="0" borderId="1" xfId="0" applyNumberFormat="1" applyFont="1" applyBorder="1" applyAlignment="1">
      <alignment horizontal="right" vertical="center"/>
    </xf>
    <xf numFmtId="3" fontId="22" fillId="0" borderId="36" xfId="2" applyFont="1" applyFill="1" applyBorder="1" applyAlignment="1">
      <alignment horizontal="right" vertical="center"/>
    </xf>
    <xf numFmtId="176" fontId="24" fillId="0" borderId="50" xfId="0" applyNumberFormat="1" applyFont="1" applyBorder="1" applyAlignment="1">
      <alignment horizontal="right" vertical="center"/>
    </xf>
    <xf numFmtId="176" fontId="23" fillId="0" borderId="1" xfId="0" applyNumberFormat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" fontId="58" fillId="0" borderId="0" xfId="2" applyFont="1" applyAlignment="1">
      <alignment vertical="center"/>
    </xf>
    <xf numFmtId="3" fontId="15" fillId="0" borderId="0" xfId="2" applyFont="1" applyAlignment="1">
      <alignment horizontal="center" vertical="center"/>
    </xf>
    <xf numFmtId="176" fontId="58" fillId="0" borderId="2" xfId="0" applyNumberFormat="1" applyFont="1" applyBorder="1" applyAlignment="1">
      <alignment vertical="center"/>
    </xf>
    <xf numFmtId="176" fontId="58" fillId="0" borderId="16" xfId="0" applyNumberFormat="1" applyFont="1" applyBorder="1" applyAlignment="1">
      <alignment vertical="center"/>
    </xf>
    <xf numFmtId="3" fontId="56" fillId="0" borderId="109" xfId="0" applyNumberFormat="1" applyFont="1" applyBorder="1" applyAlignment="1">
      <alignment horizontal="right" vertical="center"/>
    </xf>
    <xf numFmtId="176" fontId="58" fillId="0" borderId="5" xfId="0" applyNumberFormat="1" applyFont="1" applyBorder="1" applyAlignment="1">
      <alignment vertical="center"/>
    </xf>
    <xf numFmtId="0" fontId="25" fillId="12" borderId="48" xfId="0" applyFont="1" applyFill="1" applyBorder="1" applyAlignment="1">
      <alignment horizontal="center" vertical="center"/>
    </xf>
    <xf numFmtId="176" fontId="24" fillId="12" borderId="50" xfId="0" applyNumberFormat="1" applyFont="1" applyFill="1" applyBorder="1" applyAlignment="1">
      <alignment horizontal="right" vertical="center"/>
    </xf>
    <xf numFmtId="176" fontId="23" fillId="12" borderId="1" xfId="0" applyNumberFormat="1" applyFont="1" applyFill="1" applyBorder="1" applyAlignment="1">
      <alignment horizontal="right" vertical="center"/>
    </xf>
    <xf numFmtId="176" fontId="25" fillId="12" borderId="50" xfId="0" applyNumberFormat="1" applyFont="1" applyFill="1" applyBorder="1" applyAlignment="1">
      <alignment horizontal="right" vertical="center"/>
    </xf>
    <xf numFmtId="176" fontId="21" fillId="12" borderId="1" xfId="0" applyNumberFormat="1" applyFont="1" applyFill="1" applyBorder="1" applyAlignment="1">
      <alignment horizontal="right" vertical="center"/>
    </xf>
    <xf numFmtId="3" fontId="22" fillId="12" borderId="36" xfId="2" applyFont="1" applyFill="1" applyBorder="1" applyAlignment="1">
      <alignment horizontal="right" vertical="center"/>
    </xf>
    <xf numFmtId="0" fontId="0" fillId="12" borderId="0" xfId="0" applyFill="1" applyAlignment="1">
      <alignment vertical="center"/>
    </xf>
    <xf numFmtId="180" fontId="22" fillId="12" borderId="51" xfId="1" applyNumberFormat="1" applyFont="1" applyFill="1" applyBorder="1" applyAlignment="1">
      <alignment horizontal="center" vertical="center"/>
    </xf>
    <xf numFmtId="180" fontId="24" fillId="12" borderId="51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8" borderId="24" xfId="0" applyFont="1" applyFill="1" applyBorder="1" applyAlignment="1">
      <alignment horizontal="center" vertical="center"/>
    </xf>
    <xf numFmtId="3" fontId="15" fillId="8" borderId="25" xfId="2" applyFont="1" applyFill="1" applyBorder="1" applyAlignment="1">
      <alignment horizontal="center" vertical="center"/>
    </xf>
    <xf numFmtId="0" fontId="15" fillId="8" borderId="25" xfId="0" applyFont="1" applyFill="1" applyBorder="1" applyAlignment="1">
      <alignment horizontal="center" vertical="center"/>
    </xf>
    <xf numFmtId="0" fontId="15" fillId="8" borderId="26" xfId="0" applyFont="1" applyFill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3" fontId="15" fillId="0" borderId="2" xfId="2" applyFont="1" applyBorder="1" applyAlignment="1">
      <alignment horizontal="right" vertical="center"/>
    </xf>
    <xf numFmtId="3" fontId="15" fillId="0" borderId="35" xfId="2" applyFont="1" applyBorder="1" applyAlignment="1">
      <alignment horizontal="right" vertical="center"/>
    </xf>
    <xf numFmtId="0" fontId="15" fillId="0" borderId="28" xfId="0" applyFont="1" applyBorder="1" applyAlignment="1">
      <alignment horizontal="center" vertical="center"/>
    </xf>
    <xf numFmtId="3" fontId="15" fillId="0" borderId="29" xfId="2" applyFont="1" applyBorder="1" applyAlignment="1">
      <alignment horizontal="right" vertical="center"/>
    </xf>
    <xf numFmtId="3" fontId="15" fillId="0" borderId="30" xfId="2" applyFont="1" applyBorder="1" applyAlignment="1">
      <alignment horizontal="right" vertical="center"/>
    </xf>
    <xf numFmtId="0" fontId="53" fillId="8" borderId="28" xfId="0" applyFont="1" applyFill="1" applyBorder="1" applyAlignment="1">
      <alignment horizontal="left" vertical="center" wrapText="1"/>
    </xf>
    <xf numFmtId="179" fontId="53" fillId="8" borderId="29" xfId="2" applyNumberFormat="1" applyFont="1" applyFill="1" applyBorder="1" applyAlignment="1">
      <alignment vertical="center"/>
    </xf>
    <xf numFmtId="179" fontId="53" fillId="8" borderId="30" xfId="2" applyNumberFormat="1" applyFont="1" applyFill="1" applyBorder="1" applyAlignment="1">
      <alignment vertical="center"/>
    </xf>
    <xf numFmtId="0" fontId="56" fillId="0" borderId="16" xfId="0" applyFont="1" applyBorder="1" applyAlignment="1">
      <alignment horizontal="left" vertical="center"/>
    </xf>
    <xf numFmtId="176" fontId="56" fillId="0" borderId="5" xfId="0" applyNumberFormat="1" applyFont="1" applyBorder="1" applyAlignment="1">
      <alignment vertical="center"/>
    </xf>
    <xf numFmtId="3" fontId="57" fillId="0" borderId="2" xfId="0" applyNumberFormat="1" applyFont="1" applyBorder="1" applyAlignment="1">
      <alignment vertical="center"/>
    </xf>
    <xf numFmtId="3" fontId="57" fillId="0" borderId="16" xfId="0" applyNumberFormat="1" applyFont="1" applyBorder="1" applyAlignment="1">
      <alignment vertical="center"/>
    </xf>
    <xf numFmtId="3" fontId="50" fillId="0" borderId="109" xfId="0" applyNumberFormat="1" applyFont="1" applyBorder="1" applyAlignment="1">
      <alignment horizontal="right" vertical="center"/>
    </xf>
    <xf numFmtId="176" fontId="50" fillId="0" borderId="5" xfId="0" applyNumberFormat="1" applyFont="1" applyBorder="1" applyAlignment="1">
      <alignment vertical="center"/>
    </xf>
    <xf numFmtId="176" fontId="50" fillId="0" borderId="109" xfId="0" applyNumberFormat="1" applyFont="1" applyBorder="1" applyAlignment="1">
      <alignment vertical="center"/>
    </xf>
    <xf numFmtId="0" fontId="50" fillId="0" borderId="16" xfId="0" applyFont="1" applyBorder="1" applyAlignment="1">
      <alignment horizontal="left" vertical="center" wrapText="1"/>
    </xf>
    <xf numFmtId="176" fontId="53" fillId="0" borderId="5" xfId="0" applyNumberFormat="1" applyFont="1" applyBorder="1" applyAlignment="1">
      <alignment vertical="center"/>
    </xf>
    <xf numFmtId="3" fontId="64" fillId="0" borderId="0" xfId="2" applyFont="1" applyAlignment="1">
      <alignment vertical="center"/>
    </xf>
    <xf numFmtId="0" fontId="64" fillId="0" borderId="0" xfId="0" applyFont="1" applyAlignment="1">
      <alignment vertical="center"/>
    </xf>
    <xf numFmtId="3" fontId="58" fillId="0" borderId="2" xfId="2" applyFont="1" applyBorder="1" applyAlignment="1">
      <alignment vertical="center"/>
    </xf>
    <xf numFmtId="0" fontId="58" fillId="0" borderId="2" xfId="0" applyFont="1" applyBorder="1" applyAlignment="1">
      <alignment vertical="center"/>
    </xf>
    <xf numFmtId="3" fontId="58" fillId="0" borderId="2" xfId="2" applyFont="1" applyFill="1" applyBorder="1" applyAlignment="1">
      <alignment vertical="center"/>
    </xf>
    <xf numFmtId="3" fontId="53" fillId="8" borderId="2" xfId="2" applyFont="1" applyFill="1" applyBorder="1" applyAlignment="1">
      <alignment horizontal="center" vertical="center"/>
    </xf>
    <xf numFmtId="0" fontId="58" fillId="8" borderId="2" xfId="0" applyFont="1" applyFill="1" applyBorder="1" applyAlignment="1">
      <alignment horizontal="center" vertical="center"/>
    </xf>
    <xf numFmtId="9" fontId="6" fillId="0" borderId="0" xfId="1" applyFont="1" applyBorder="1" applyAlignment="1">
      <alignment vertical="center" wrapText="1"/>
    </xf>
    <xf numFmtId="3" fontId="6" fillId="23" borderId="26" xfId="2" applyFont="1" applyFill="1" applyBorder="1" applyAlignment="1">
      <alignment horizontal="center" vertical="center" wrapText="1"/>
    </xf>
    <xf numFmtId="3" fontId="6" fillId="0" borderId="35" xfId="2" applyFont="1" applyBorder="1" applyAlignment="1">
      <alignment horizontal="center" vertical="center" wrapText="1"/>
    </xf>
    <xf numFmtId="3" fontId="6" fillId="0" borderId="35" xfId="2" applyFont="1" applyFill="1" applyBorder="1" applyAlignment="1">
      <alignment horizontal="center" vertical="center" wrapText="1"/>
    </xf>
    <xf numFmtId="3" fontId="27" fillId="0" borderId="2" xfId="2" applyFont="1" applyFill="1" applyBorder="1" applyAlignment="1">
      <alignment horizontal="center" vertical="center" wrapText="1"/>
    </xf>
    <xf numFmtId="3" fontId="6" fillId="0" borderId="2" xfId="2" applyFont="1" applyFill="1" applyBorder="1" applyAlignment="1">
      <alignment horizontal="right" vertical="center"/>
    </xf>
    <xf numFmtId="9" fontId="6" fillId="0" borderId="0" xfId="1" applyFont="1" applyBorder="1" applyAlignment="1">
      <alignment horizontal="left" vertical="center"/>
    </xf>
    <xf numFmtId="9" fontId="6" fillId="0" borderId="0" xfId="1" applyFont="1" applyBorder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180" fontId="6" fillId="0" borderId="0" xfId="1" applyNumberFormat="1" applyFont="1" applyBorder="1" applyAlignment="1">
      <alignment horizontal="right" vertical="center"/>
    </xf>
    <xf numFmtId="3" fontId="15" fillId="0" borderId="2" xfId="2" applyFont="1" applyFill="1" applyBorder="1" applyAlignment="1">
      <alignment horizontal="center" vertical="center" wrapText="1"/>
    </xf>
    <xf numFmtId="3" fontId="15" fillId="0" borderId="2" xfId="2" applyFont="1" applyFill="1" applyBorder="1" applyAlignment="1">
      <alignment horizontal="right" vertical="center" wrapText="1"/>
    </xf>
    <xf numFmtId="179" fontId="6" fillId="0" borderId="2" xfId="2" applyNumberFormat="1" applyFont="1" applyFill="1" applyBorder="1" applyAlignment="1">
      <alignment horizontal="right" vertical="center"/>
    </xf>
    <xf numFmtId="179" fontId="6" fillId="0" borderId="2" xfId="2" applyNumberFormat="1" applyFont="1" applyFill="1" applyBorder="1" applyAlignment="1">
      <alignment vertical="center" wrapText="1"/>
    </xf>
    <xf numFmtId="179" fontId="6" fillId="0" borderId="29" xfId="2" applyNumberFormat="1" applyFont="1" applyFill="1" applyBorder="1" applyAlignment="1">
      <alignment horizontal="right" vertical="center"/>
    </xf>
    <xf numFmtId="179" fontId="6" fillId="0" borderId="29" xfId="2" applyNumberFormat="1" applyFont="1" applyFill="1" applyBorder="1" applyAlignment="1">
      <alignment vertical="center" wrapText="1"/>
    </xf>
    <xf numFmtId="3" fontId="6" fillId="0" borderId="28" xfId="2" applyFont="1" applyFill="1" applyBorder="1" applyAlignment="1">
      <alignment horizontal="center" vertical="center" wrapText="1"/>
    </xf>
    <xf numFmtId="3" fontId="6" fillId="0" borderId="29" xfId="2" applyFont="1" applyFill="1" applyBorder="1" applyAlignment="1">
      <alignment horizontal="center" vertical="center" wrapText="1"/>
    </xf>
    <xf numFmtId="3" fontId="6" fillId="8" borderId="27" xfId="2" applyFont="1" applyFill="1" applyBorder="1" applyAlignment="1">
      <alignment horizontal="center" vertical="center"/>
    </xf>
    <xf numFmtId="3" fontId="6" fillId="8" borderId="2" xfId="2" applyFont="1" applyFill="1" applyBorder="1" applyAlignment="1">
      <alignment horizontal="center" vertical="center"/>
    </xf>
    <xf numFmtId="179" fontId="6" fillId="8" borderId="2" xfId="2" applyNumberFormat="1" applyFont="1" applyFill="1" applyBorder="1" applyAlignment="1">
      <alignment horizontal="right" vertical="center"/>
    </xf>
    <xf numFmtId="179" fontId="6" fillId="8" borderId="2" xfId="2" applyNumberFormat="1" applyFont="1" applyFill="1" applyBorder="1" applyAlignment="1">
      <alignment vertical="center" wrapText="1"/>
    </xf>
    <xf numFmtId="3" fontId="6" fillId="8" borderId="35" xfId="2" applyFont="1" applyFill="1" applyBorder="1" applyAlignment="1">
      <alignment horizontal="center" vertical="center" wrapText="1"/>
    </xf>
    <xf numFmtId="3" fontId="6" fillId="26" borderId="27" xfId="2" applyFont="1" applyFill="1" applyBorder="1" applyAlignment="1">
      <alignment horizontal="center" vertical="center" wrapText="1"/>
    </xf>
    <xf numFmtId="3" fontId="6" fillId="26" borderId="2" xfId="2" applyFont="1" applyFill="1" applyBorder="1" applyAlignment="1">
      <alignment horizontal="center" vertical="center" wrapText="1"/>
    </xf>
    <xf numFmtId="179" fontId="6" fillId="26" borderId="2" xfId="2" applyNumberFormat="1" applyFont="1" applyFill="1" applyBorder="1" applyAlignment="1">
      <alignment horizontal="right" vertical="center"/>
    </xf>
    <xf numFmtId="179" fontId="6" fillId="26" borderId="2" xfId="2" applyNumberFormat="1" applyFont="1" applyFill="1" applyBorder="1" applyAlignment="1">
      <alignment vertical="center" wrapText="1"/>
    </xf>
    <xf numFmtId="3" fontId="6" fillId="26" borderId="35" xfId="2" applyFont="1" applyFill="1" applyBorder="1" applyAlignment="1">
      <alignment horizontal="center" vertical="center" wrapText="1"/>
    </xf>
    <xf numFmtId="3" fontId="6" fillId="8" borderId="2" xfId="2" applyFont="1" applyFill="1" applyBorder="1" applyAlignment="1">
      <alignment horizontal="center" vertical="center" wrapText="1"/>
    </xf>
    <xf numFmtId="3" fontId="6" fillId="8" borderId="17" xfId="2" applyFont="1" applyFill="1" applyBorder="1" applyAlignment="1">
      <alignment vertical="center" wrapText="1"/>
    </xf>
    <xf numFmtId="3" fontId="6" fillId="8" borderId="3" xfId="2" applyFont="1" applyFill="1" applyBorder="1" applyAlignment="1">
      <alignment vertical="center" wrapText="1"/>
    </xf>
    <xf numFmtId="3" fontId="6" fillId="8" borderId="4" xfId="2" applyFont="1" applyFill="1" applyBorder="1" applyAlignment="1">
      <alignment vertical="center" wrapText="1"/>
    </xf>
    <xf numFmtId="3" fontId="6" fillId="8" borderId="2" xfId="2" applyFont="1" applyFill="1" applyBorder="1" applyAlignment="1">
      <alignment vertical="center" wrapText="1"/>
    </xf>
    <xf numFmtId="3" fontId="6" fillId="14" borderId="2" xfId="2" applyFont="1" applyFill="1" applyBorder="1" applyAlignment="1">
      <alignment vertical="center" wrapText="1"/>
    </xf>
    <xf numFmtId="41" fontId="8" fillId="0" borderId="0" xfId="11" applyFont="1" applyAlignment="1">
      <alignment horizontal="center" vertical="center"/>
    </xf>
    <xf numFmtId="41" fontId="8" fillId="9" borderId="24" xfId="11" applyFont="1" applyFill="1" applyBorder="1" applyAlignment="1">
      <alignment horizontal="center" vertical="center"/>
    </xf>
    <xf numFmtId="41" fontId="8" fillId="0" borderId="25" xfId="11" applyFont="1" applyBorder="1" applyAlignment="1">
      <alignment horizontal="center" vertical="center"/>
    </xf>
    <xf numFmtId="41" fontId="8" fillId="0" borderId="26" xfId="11" applyFont="1" applyBorder="1" applyAlignment="1">
      <alignment horizontal="center" vertical="center"/>
    </xf>
    <xf numFmtId="41" fontId="8" fillId="0" borderId="27" xfId="11" applyFont="1" applyBorder="1" applyAlignment="1">
      <alignment horizontal="center" vertical="center"/>
    </xf>
    <xf numFmtId="41" fontId="8" fillId="0" borderId="2" xfId="11" applyFont="1" applyBorder="1" applyAlignment="1">
      <alignment horizontal="center" vertical="center"/>
    </xf>
    <xf numFmtId="41" fontId="8" fillId="0" borderId="35" xfId="11" applyFont="1" applyBorder="1" applyAlignment="1">
      <alignment horizontal="center" vertical="center"/>
    </xf>
    <xf numFmtId="41" fontId="8" fillId="0" borderId="30" xfId="11" applyFont="1" applyBorder="1" applyAlignment="1">
      <alignment horizontal="center" vertical="center"/>
    </xf>
    <xf numFmtId="41" fontId="8" fillId="0" borderId="0" xfId="11" applyFont="1" applyBorder="1" applyAlignment="1">
      <alignment horizontal="center" vertical="center"/>
    </xf>
    <xf numFmtId="41" fontId="8" fillId="0" borderId="112" xfId="11" applyFont="1" applyBorder="1" applyAlignment="1">
      <alignment horizontal="center" vertical="center"/>
    </xf>
    <xf numFmtId="41" fontId="8" fillId="0" borderId="108" xfId="11" applyFont="1" applyBorder="1" applyAlignment="1">
      <alignment horizontal="center" vertical="center"/>
    </xf>
    <xf numFmtId="41" fontId="8" fillId="9" borderId="114" xfId="11" applyFont="1" applyFill="1" applyBorder="1" applyAlignment="1">
      <alignment horizontal="center" vertical="center"/>
    </xf>
    <xf numFmtId="9" fontId="77" fillId="0" borderId="0" xfId="11" applyNumberFormat="1" applyFont="1" applyAlignment="1">
      <alignment horizontal="center" vertical="center"/>
    </xf>
    <xf numFmtId="41" fontId="8" fillId="0" borderId="16" xfId="11" applyFont="1" applyBorder="1" applyAlignment="1">
      <alignment horizontal="center" vertical="center"/>
    </xf>
    <xf numFmtId="41" fontId="8" fillId="0" borderId="109" xfId="11" applyFont="1" applyBorder="1" applyAlignment="1">
      <alignment horizontal="center" vertical="center"/>
    </xf>
    <xf numFmtId="182" fontId="8" fillId="0" borderId="109" xfId="11" applyNumberFormat="1" applyFont="1" applyBorder="1" applyAlignment="1">
      <alignment horizontal="center" vertical="center"/>
    </xf>
    <xf numFmtId="182" fontId="8" fillId="0" borderId="113" xfId="11" applyNumberFormat="1" applyFont="1" applyBorder="1" applyAlignment="1">
      <alignment horizontal="center" vertical="center"/>
    </xf>
    <xf numFmtId="41" fontId="8" fillId="0" borderId="113" xfId="11" applyFont="1" applyBorder="1" applyAlignment="1">
      <alignment horizontal="center" vertical="center"/>
    </xf>
    <xf numFmtId="41" fontId="8" fillId="0" borderId="110" xfId="11" applyFont="1" applyBorder="1" applyAlignment="1">
      <alignment horizontal="center" vertical="center"/>
    </xf>
    <xf numFmtId="41" fontId="8" fillId="0" borderId="39" xfId="11" applyFont="1" applyBorder="1" applyAlignment="1">
      <alignment horizontal="center" vertical="center"/>
    </xf>
    <xf numFmtId="41" fontId="8" fillId="9" borderId="108" xfId="11" applyFont="1" applyFill="1" applyBorder="1" applyAlignment="1">
      <alignment horizontal="center" vertical="center"/>
    </xf>
    <xf numFmtId="41" fontId="78" fillId="0" borderId="0" xfId="11" applyFont="1" applyBorder="1" applyAlignment="1">
      <alignment horizontal="center" vertical="center"/>
    </xf>
    <xf numFmtId="41" fontId="12" fillId="0" borderId="35" xfId="11" applyFont="1" applyBorder="1" applyAlignment="1">
      <alignment horizontal="center" vertical="center"/>
    </xf>
    <xf numFmtId="41" fontId="12" fillId="0" borderId="30" xfId="11" applyFont="1" applyBorder="1" applyAlignment="1">
      <alignment horizontal="center" vertical="center"/>
    </xf>
    <xf numFmtId="41" fontId="8" fillId="0" borderId="0" xfId="11" applyFont="1" applyBorder="1" applyAlignment="1">
      <alignment horizontal="right" vertical="center"/>
    </xf>
    <xf numFmtId="3" fontId="56" fillId="8" borderId="109" xfId="0" applyNumberFormat="1" applyFont="1" applyFill="1" applyBorder="1" applyAlignment="1">
      <alignment horizontal="right" vertical="center"/>
    </xf>
    <xf numFmtId="0" fontId="55" fillId="0" borderId="108" xfId="0" applyFont="1" applyBorder="1" applyAlignment="1">
      <alignment vertical="center"/>
    </xf>
    <xf numFmtId="3" fontId="55" fillId="0" borderId="109" xfId="0" applyNumberFormat="1" applyFont="1" applyBorder="1" applyAlignment="1">
      <alignment vertical="center"/>
    </xf>
    <xf numFmtId="0" fontId="55" fillId="0" borderId="109" xfId="0" applyFont="1" applyBorder="1" applyAlignment="1">
      <alignment vertical="center"/>
    </xf>
    <xf numFmtId="10" fontId="55" fillId="0" borderId="110" xfId="1" applyNumberFormat="1" applyFont="1" applyBorder="1" applyAlignment="1">
      <alignment vertical="center"/>
    </xf>
    <xf numFmtId="3" fontId="6" fillId="9" borderId="25" xfId="2" applyFont="1" applyFill="1" applyBorder="1" applyAlignment="1">
      <alignment horizontal="center" vertical="center"/>
    </xf>
    <xf numFmtId="41" fontId="8" fillId="0" borderId="0" xfId="11" applyFont="1" applyFill="1" applyAlignment="1">
      <alignment horizontal="center" vertical="center"/>
    </xf>
    <xf numFmtId="41" fontId="77" fillId="0" borderId="0" xfId="11" applyFont="1" applyFill="1" applyAlignment="1">
      <alignment horizontal="left" vertical="center"/>
    </xf>
    <xf numFmtId="41" fontId="8" fillId="0" borderId="35" xfId="11" applyFont="1" applyFill="1" applyBorder="1" applyAlignment="1">
      <alignment horizontal="center" vertical="center"/>
    </xf>
    <xf numFmtId="41" fontId="8" fillId="0" borderId="109" xfId="11" applyFont="1" applyFill="1" applyBorder="1" applyAlignment="1">
      <alignment horizontal="center" vertical="center"/>
    </xf>
    <xf numFmtId="180" fontId="6" fillId="0" borderId="2" xfId="1" applyNumberFormat="1" applyFont="1" applyFill="1" applyBorder="1" applyAlignment="1">
      <alignment horizontal="center" vertical="center"/>
    </xf>
    <xf numFmtId="180" fontId="6" fillId="0" borderId="2" xfId="1" applyNumberFormat="1" applyFont="1" applyBorder="1" applyAlignment="1">
      <alignment horizontal="center" vertical="center"/>
    </xf>
    <xf numFmtId="3" fontId="6" fillId="0" borderId="29" xfId="2" applyFont="1" applyBorder="1" applyAlignment="1">
      <alignment horizontal="center" vertical="center"/>
    </xf>
    <xf numFmtId="41" fontId="12" fillId="0" borderId="35" xfId="11" applyFont="1" applyFill="1" applyBorder="1" applyAlignment="1">
      <alignment horizontal="left" vertical="center"/>
    </xf>
    <xf numFmtId="41" fontId="8" fillId="0" borderId="113" xfId="11" applyFont="1" applyFill="1" applyBorder="1" applyAlignment="1">
      <alignment horizontal="center" vertical="center"/>
    </xf>
    <xf numFmtId="41" fontId="6" fillId="0" borderId="27" xfId="11" applyFont="1" applyFill="1" applyBorder="1" applyAlignment="1">
      <alignment horizontal="center" vertical="center"/>
    </xf>
    <xf numFmtId="41" fontId="6" fillId="0" borderId="2" xfId="11" applyFont="1" applyFill="1" applyBorder="1" applyAlignment="1">
      <alignment horizontal="center" vertical="center"/>
    </xf>
    <xf numFmtId="41" fontId="6" fillId="0" borderId="16" xfId="11" applyFont="1" applyFill="1" applyBorder="1" applyAlignment="1">
      <alignment horizontal="center" vertical="center"/>
    </xf>
    <xf numFmtId="41" fontId="12" fillId="0" borderId="109" xfId="11" applyFont="1" applyFill="1" applyBorder="1" applyAlignment="1">
      <alignment horizontal="center" vertical="center"/>
    </xf>
    <xf numFmtId="41" fontId="12" fillId="0" borderId="27" xfId="11" applyFont="1" applyBorder="1" applyAlignment="1">
      <alignment horizontal="center" vertical="center"/>
    </xf>
    <xf numFmtId="41" fontId="12" fillId="0" borderId="2" xfId="11" applyFont="1" applyBorder="1" applyAlignment="1">
      <alignment horizontal="center" vertical="center"/>
    </xf>
    <xf numFmtId="41" fontId="12" fillId="0" borderId="16" xfId="11" applyFont="1" applyBorder="1" applyAlignment="1">
      <alignment horizontal="center" vertical="center"/>
    </xf>
    <xf numFmtId="41" fontId="12" fillId="0" borderId="109" xfId="11" applyFont="1" applyBorder="1" applyAlignment="1">
      <alignment horizontal="center" vertical="center"/>
    </xf>
    <xf numFmtId="41" fontId="12" fillId="0" borderId="28" xfId="11" applyFont="1" applyBorder="1" applyAlignment="1">
      <alignment horizontal="center" vertical="center"/>
    </xf>
    <xf numFmtId="41" fontId="12" fillId="0" borderId="29" xfId="11" applyFont="1" applyBorder="1" applyAlignment="1">
      <alignment horizontal="center" vertical="center"/>
    </xf>
    <xf numFmtId="41" fontId="12" fillId="0" borderId="37" xfId="11" applyFont="1" applyBorder="1" applyAlignment="1">
      <alignment horizontal="center" vertical="center"/>
    </xf>
    <xf numFmtId="41" fontId="12" fillId="0" borderId="110" xfId="11" applyFont="1" applyBorder="1" applyAlignment="1">
      <alignment horizontal="center" vertical="center"/>
    </xf>
    <xf numFmtId="41" fontId="12" fillId="0" borderId="0" xfId="11" applyFont="1" applyBorder="1" applyAlignment="1">
      <alignment horizontal="center" vertical="center"/>
    </xf>
    <xf numFmtId="41" fontId="7" fillId="0" borderId="0" xfId="11" applyFont="1" applyBorder="1" applyAlignment="1">
      <alignment horizontal="center" vertical="center"/>
    </xf>
    <xf numFmtId="41" fontId="12" fillId="9" borderId="24" xfId="11" applyFont="1" applyFill="1" applyBorder="1" applyAlignment="1">
      <alignment horizontal="center" vertical="center"/>
    </xf>
    <xf numFmtId="41" fontId="12" fillId="0" borderId="25" xfId="11" applyFont="1" applyBorder="1" applyAlignment="1">
      <alignment horizontal="center" vertical="center"/>
    </xf>
    <xf numFmtId="41" fontId="12" fillId="0" borderId="2" xfId="11" applyFont="1" applyFill="1" applyBorder="1" applyAlignment="1">
      <alignment horizontal="center" vertical="center"/>
    </xf>
    <xf numFmtId="41" fontId="12" fillId="0" borderId="0" xfId="11" applyFont="1" applyAlignment="1">
      <alignment horizontal="center" vertical="center"/>
    </xf>
    <xf numFmtId="41" fontId="7" fillId="0" borderId="0" xfId="11" applyFont="1" applyAlignment="1">
      <alignment horizontal="center" vertical="center"/>
    </xf>
    <xf numFmtId="41" fontId="12" fillId="0" borderId="0" xfId="11" applyFont="1" applyBorder="1" applyAlignment="1">
      <alignment horizontal="right" vertical="center"/>
    </xf>
    <xf numFmtId="3" fontId="12" fillId="9" borderId="24" xfId="2" applyFont="1" applyFill="1" applyBorder="1" applyAlignment="1">
      <alignment horizontal="center" vertical="center"/>
    </xf>
    <xf numFmtId="3" fontId="12" fillId="9" borderId="25" xfId="2" applyFont="1" applyFill="1" applyBorder="1" applyAlignment="1">
      <alignment horizontal="center" vertical="center" shrinkToFit="1"/>
    </xf>
    <xf numFmtId="41" fontId="12" fillId="0" borderId="26" xfId="11" applyFont="1" applyBorder="1" applyAlignment="1">
      <alignment horizontal="center" vertical="center"/>
    </xf>
    <xf numFmtId="3" fontId="12" fillId="0" borderId="27" xfId="2" applyFont="1" applyBorder="1" applyAlignment="1">
      <alignment horizontal="center" vertical="center"/>
    </xf>
    <xf numFmtId="3" fontId="12" fillId="0" borderId="2" xfId="2" applyFont="1" applyBorder="1" applyAlignment="1">
      <alignment horizontal="center" vertical="center"/>
    </xf>
    <xf numFmtId="180" fontId="12" fillId="0" borderId="2" xfId="1" applyNumberFormat="1" applyFont="1" applyBorder="1" applyAlignment="1">
      <alignment horizontal="center" vertical="center"/>
    </xf>
    <xf numFmtId="3" fontId="12" fillId="0" borderId="2" xfId="2" applyFont="1" applyBorder="1" applyAlignment="1">
      <alignment horizontal="center" vertical="center" shrinkToFit="1"/>
    </xf>
    <xf numFmtId="3" fontId="6" fillId="0" borderId="27" xfId="2" applyFont="1" applyFill="1" applyBorder="1" applyAlignment="1">
      <alignment horizontal="center" vertical="center"/>
    </xf>
    <xf numFmtId="3" fontId="12" fillId="0" borderId="2" xfId="2" applyFont="1" applyFill="1" applyBorder="1" applyAlignment="1">
      <alignment horizontal="center" vertical="center"/>
    </xf>
    <xf numFmtId="3" fontId="12" fillId="0" borderId="2" xfId="2" applyFont="1" applyFill="1" applyBorder="1" applyAlignment="1">
      <alignment horizontal="center" vertical="center" shrinkToFit="1"/>
    </xf>
    <xf numFmtId="41" fontId="12" fillId="0" borderId="35" xfId="11" applyFont="1" applyBorder="1" applyAlignment="1">
      <alignment horizontal="left" vertical="center"/>
    </xf>
    <xf numFmtId="3" fontId="12" fillId="0" borderId="28" xfId="2" applyFont="1" applyBorder="1" applyAlignment="1">
      <alignment horizontal="center" vertical="center"/>
    </xf>
    <xf numFmtId="3" fontId="12" fillId="0" borderId="29" xfId="2" applyFont="1" applyBorder="1" applyAlignment="1">
      <alignment horizontal="center" vertical="center"/>
    </xf>
    <xf numFmtId="180" fontId="12" fillId="0" borderId="29" xfId="1" applyNumberFormat="1" applyFont="1" applyBorder="1" applyAlignment="1">
      <alignment horizontal="center" vertical="center"/>
    </xf>
    <xf numFmtId="3" fontId="12" fillId="0" borderId="29" xfId="2" applyFont="1" applyBorder="1" applyAlignment="1">
      <alignment horizontal="center" vertical="center" shrinkToFit="1"/>
    </xf>
    <xf numFmtId="41" fontId="7" fillId="0" borderId="0" xfId="11" applyFont="1" applyAlignment="1">
      <alignment horizontal="left" vertical="center"/>
    </xf>
    <xf numFmtId="41" fontId="6" fillId="0" borderId="29" xfId="11" applyFont="1" applyBorder="1" applyAlignment="1">
      <alignment horizontal="left" vertical="center"/>
    </xf>
    <xf numFmtId="9" fontId="77" fillId="28" borderId="0" xfId="11" applyNumberFormat="1" applyFont="1" applyFill="1" applyAlignment="1">
      <alignment horizontal="center" vertical="center"/>
    </xf>
    <xf numFmtId="41" fontId="77" fillId="28" borderId="0" xfId="11" applyFont="1" applyFill="1" applyAlignment="1">
      <alignment horizontal="center" vertical="center"/>
    </xf>
    <xf numFmtId="10" fontId="6" fillId="0" borderId="0" xfId="1" applyNumberFormat="1" applyFont="1" applyFill="1" applyBorder="1" applyAlignment="1">
      <alignment horizontal="center" vertical="center" wrapText="1"/>
    </xf>
    <xf numFmtId="180" fontId="12" fillId="0" borderId="2" xfId="1" applyNumberFormat="1" applyFont="1" applyFill="1" applyBorder="1" applyAlignment="1">
      <alignment horizontal="center" vertical="center" wrapText="1"/>
    </xf>
    <xf numFmtId="0" fontId="56" fillId="6" borderId="2" xfId="0" applyFont="1" applyFill="1" applyBorder="1" applyAlignment="1">
      <alignment horizontal="left" vertical="center"/>
    </xf>
    <xf numFmtId="176" fontId="56" fillId="6" borderId="2" xfId="0" applyNumberFormat="1" applyFont="1" applyFill="1" applyBorder="1" applyAlignment="1">
      <alignment vertical="center"/>
    </xf>
    <xf numFmtId="176" fontId="56" fillId="6" borderId="16" xfId="0" applyNumberFormat="1" applyFont="1" applyFill="1" applyBorder="1" applyAlignment="1">
      <alignment vertical="center"/>
    </xf>
    <xf numFmtId="0" fontId="56" fillId="6" borderId="16" xfId="0" applyFont="1" applyFill="1" applyBorder="1" applyAlignment="1">
      <alignment horizontal="left" vertical="center" indent="2"/>
    </xf>
    <xf numFmtId="3" fontId="56" fillId="6" borderId="109" xfId="0" applyNumberFormat="1" applyFont="1" applyFill="1" applyBorder="1" applyAlignment="1">
      <alignment horizontal="right" vertical="center"/>
    </xf>
    <xf numFmtId="176" fontId="58" fillId="6" borderId="5" xfId="0" applyNumberFormat="1" applyFont="1" applyFill="1" applyBorder="1" applyAlignment="1">
      <alignment vertical="center"/>
    </xf>
    <xf numFmtId="176" fontId="58" fillId="6" borderId="2" xfId="0" applyNumberFormat="1" applyFont="1" applyFill="1" applyBorder="1" applyAlignment="1">
      <alignment vertical="center"/>
    </xf>
    <xf numFmtId="3" fontId="58" fillId="6" borderId="2" xfId="2" applyFont="1" applyFill="1" applyBorder="1" applyAlignment="1">
      <alignment vertical="center"/>
    </xf>
    <xf numFmtId="0" fontId="58" fillId="6" borderId="2" xfId="0" applyFont="1" applyFill="1" applyBorder="1" applyAlignment="1">
      <alignment vertical="center"/>
    </xf>
    <xf numFmtId="0" fontId="55" fillId="6" borderId="0" xfId="0" applyFont="1" applyFill="1" applyAlignment="1">
      <alignment vertical="center"/>
    </xf>
    <xf numFmtId="0" fontId="8" fillId="0" borderId="37" xfId="0" applyFont="1" applyBorder="1" applyAlignment="1">
      <alignment horizontal="left" vertical="center" wrapText="1"/>
    </xf>
    <xf numFmtId="0" fontId="8" fillId="0" borderId="38" xfId="0" applyFont="1" applyBorder="1" applyAlignment="1">
      <alignment horizontal="left" vertical="center" wrapText="1"/>
    </xf>
    <xf numFmtId="0" fontId="8" fillId="0" borderId="39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/>
    </xf>
    <xf numFmtId="179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3" fontId="12" fillId="0" borderId="40" xfId="2" applyFont="1" applyFill="1" applyBorder="1" applyAlignment="1">
      <alignment horizontal="center" vertical="center"/>
    </xf>
    <xf numFmtId="3" fontId="12" fillId="0" borderId="41" xfId="2" applyFont="1" applyFill="1" applyBorder="1" applyAlignment="1">
      <alignment horizontal="center" vertical="center"/>
    </xf>
    <xf numFmtId="3" fontId="12" fillId="0" borderId="111" xfId="2" applyFont="1" applyFill="1" applyBorder="1" applyAlignment="1">
      <alignment horizontal="center" vertical="center"/>
    </xf>
    <xf numFmtId="3" fontId="12" fillId="0" borderId="40" xfId="2" applyFont="1" applyFill="1" applyBorder="1" applyAlignment="1">
      <alignment horizontal="center" vertical="center" wrapText="1"/>
    </xf>
    <xf numFmtId="3" fontId="12" fillId="0" borderId="111" xfId="2" applyFont="1" applyFill="1" applyBorder="1" applyAlignment="1">
      <alignment horizontal="center" vertical="center" wrapText="1"/>
    </xf>
    <xf numFmtId="0" fontId="12" fillId="0" borderId="61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66" xfId="0" applyFont="1" applyBorder="1" applyAlignment="1">
      <alignment horizontal="center" vertical="center"/>
    </xf>
    <xf numFmtId="0" fontId="12" fillId="0" borderId="67" xfId="0" applyFont="1" applyBorder="1" applyAlignment="1">
      <alignment horizontal="center" vertical="center"/>
    </xf>
    <xf numFmtId="179" fontId="49" fillId="14" borderId="2" xfId="2" applyNumberFormat="1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37" fillId="3" borderId="9" xfId="0" applyFont="1" applyFill="1" applyBorder="1" applyAlignment="1">
      <alignment horizontal="center" vertical="center"/>
    </xf>
    <xf numFmtId="0" fontId="45" fillId="3" borderId="9" xfId="0" applyFont="1" applyFill="1" applyBorder="1" applyAlignment="1">
      <alignment horizontal="center" vertical="center"/>
    </xf>
    <xf numFmtId="0" fontId="44" fillId="3" borderId="9" xfId="0" applyFont="1" applyFill="1" applyBorder="1" applyAlignment="1">
      <alignment horizontal="center" vertical="center"/>
    </xf>
    <xf numFmtId="3" fontId="71" fillId="0" borderId="2" xfId="2" applyFont="1" applyBorder="1" applyAlignment="1">
      <alignment horizontal="center" vertical="center"/>
    </xf>
    <xf numFmtId="3" fontId="7" fillId="0" borderId="2" xfId="2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3" fontId="6" fillId="0" borderId="25" xfId="2" applyFont="1" applyBorder="1" applyAlignment="1">
      <alignment horizontal="center" vertical="center"/>
    </xf>
    <xf numFmtId="3" fontId="6" fillId="0" borderId="26" xfId="2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 wrapText="1"/>
    </xf>
    <xf numFmtId="0" fontId="52" fillId="2" borderId="0" xfId="0" applyFont="1" applyFill="1" applyAlignment="1">
      <alignment horizontal="center" vertical="center" wrapText="1"/>
    </xf>
    <xf numFmtId="3" fontId="58" fillId="8" borderId="2" xfId="2" applyFont="1" applyFill="1" applyBorder="1" applyAlignment="1">
      <alignment horizontal="center" vertical="center"/>
    </xf>
    <xf numFmtId="3" fontId="58" fillId="0" borderId="17" xfId="0" applyNumberFormat="1" applyFont="1" applyBorder="1" applyAlignment="1">
      <alignment horizontal="center" vertical="center"/>
    </xf>
    <xf numFmtId="0" fontId="58" fillId="0" borderId="3" xfId="0" applyFont="1" applyBorder="1" applyAlignment="1">
      <alignment horizontal="center" vertical="center"/>
    </xf>
    <xf numFmtId="0" fontId="58" fillId="0" borderId="4" xfId="0" applyFont="1" applyBorder="1" applyAlignment="1">
      <alignment horizontal="center" vertical="center"/>
    </xf>
    <xf numFmtId="0" fontId="55" fillId="0" borderId="18" xfId="0" applyFont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8" fillId="4" borderId="16" xfId="0" applyFont="1" applyFill="1" applyBorder="1" applyAlignment="1">
      <alignment horizontal="center" vertical="center"/>
    </xf>
    <xf numFmtId="0" fontId="28" fillId="4" borderId="44" xfId="0" applyFont="1" applyFill="1" applyBorder="1" applyAlignment="1">
      <alignment horizontal="center" vertical="center"/>
    </xf>
    <xf numFmtId="0" fontId="28" fillId="4" borderId="34" xfId="0" applyFont="1" applyFill="1" applyBorder="1" applyAlignment="1">
      <alignment horizontal="center" vertical="center"/>
    </xf>
    <xf numFmtId="0" fontId="28" fillId="4" borderId="5" xfId="0" applyFont="1" applyFill="1" applyBorder="1" applyAlignment="1">
      <alignment horizontal="center" vertical="center"/>
    </xf>
    <xf numFmtId="0" fontId="28" fillId="4" borderId="17" xfId="0" applyFont="1" applyFill="1" applyBorder="1" applyAlignment="1">
      <alignment horizontal="center" vertical="center"/>
    </xf>
    <xf numFmtId="0" fontId="28" fillId="4" borderId="4" xfId="0" applyFont="1" applyFill="1" applyBorder="1" applyAlignment="1">
      <alignment horizontal="center" vertical="center"/>
    </xf>
    <xf numFmtId="3" fontId="15" fillId="0" borderId="64" xfId="2" applyFont="1" applyBorder="1" applyAlignment="1">
      <alignment horizontal="center" vertical="center"/>
    </xf>
    <xf numFmtId="0" fontId="46" fillId="20" borderId="81" xfId="0" applyFont="1" applyFill="1" applyBorder="1" applyAlignment="1">
      <alignment horizontal="center" vertical="center"/>
    </xf>
    <xf numFmtId="0" fontId="46" fillId="20" borderId="80" xfId="0" applyFont="1" applyFill="1" applyBorder="1" applyAlignment="1">
      <alignment horizontal="left" vertical="center"/>
    </xf>
    <xf numFmtId="0" fontId="46" fillId="20" borderId="83" xfId="0" applyFont="1" applyFill="1" applyBorder="1" applyAlignment="1">
      <alignment horizontal="center" vertical="center"/>
    </xf>
    <xf numFmtId="0" fontId="46" fillId="20" borderId="82" xfId="0" applyFont="1" applyFill="1" applyBorder="1" applyAlignment="1">
      <alignment horizontal="center" vertical="center"/>
    </xf>
    <xf numFmtId="3" fontId="46" fillId="19" borderId="92" xfId="2" applyFont="1" applyFill="1" applyBorder="1" applyAlignment="1">
      <alignment horizontal="center" vertical="center"/>
    </xf>
    <xf numFmtId="0" fontId="46" fillId="19" borderId="92" xfId="0" applyFont="1" applyFill="1" applyBorder="1" applyAlignment="1">
      <alignment horizontal="center" vertical="center"/>
    </xf>
    <xf numFmtId="0" fontId="46" fillId="19" borderId="91" xfId="0" applyFont="1" applyFill="1" applyBorder="1" applyAlignment="1">
      <alignment horizontal="center" vertical="center"/>
    </xf>
    <xf numFmtId="3" fontId="46" fillId="19" borderId="91" xfId="2" applyFont="1" applyFill="1" applyBorder="1" applyAlignment="1">
      <alignment horizontal="center" vertical="center"/>
    </xf>
    <xf numFmtId="0" fontId="46" fillId="19" borderId="93" xfId="0" applyFont="1" applyFill="1" applyBorder="1" applyAlignment="1">
      <alignment horizontal="center" vertical="center"/>
    </xf>
    <xf numFmtId="0" fontId="46" fillId="19" borderId="104" xfId="0" applyFont="1" applyFill="1" applyBorder="1" applyAlignment="1">
      <alignment horizontal="center" vertical="center"/>
    </xf>
    <xf numFmtId="0" fontId="46" fillId="19" borderId="103" xfId="0" applyFont="1" applyFill="1" applyBorder="1" applyAlignment="1">
      <alignment horizontal="center" vertical="center"/>
    </xf>
    <xf numFmtId="0" fontId="46" fillId="19" borderId="102" xfId="0" applyFont="1" applyFill="1" applyBorder="1" applyAlignment="1">
      <alignment horizontal="center" vertical="center"/>
    </xf>
    <xf numFmtId="3" fontId="46" fillId="19" borderId="93" xfId="2" applyFont="1" applyFill="1" applyBorder="1" applyAlignment="1">
      <alignment horizontal="center" vertical="center"/>
    </xf>
    <xf numFmtId="3" fontId="6" fillId="0" borderId="0" xfId="2" applyFont="1" applyBorder="1" applyAlignment="1">
      <alignment horizontal="center" vertical="center" wrapText="1"/>
    </xf>
    <xf numFmtId="3" fontId="6" fillId="23" borderId="2" xfId="2" applyFont="1" applyFill="1" applyBorder="1" applyAlignment="1">
      <alignment horizontal="center" vertical="center" wrapText="1"/>
    </xf>
    <xf numFmtId="3" fontId="7" fillId="7" borderId="2" xfId="2" applyFont="1" applyFill="1" applyBorder="1" applyAlignment="1">
      <alignment horizontal="center" vertical="center" wrapText="1"/>
    </xf>
    <xf numFmtId="3" fontId="6" fillId="0" borderId="16" xfId="2" applyFont="1" applyFill="1" applyBorder="1" applyAlignment="1">
      <alignment horizontal="center" vertical="center" wrapText="1"/>
    </xf>
    <xf numFmtId="3" fontId="6" fillId="0" borderId="5" xfId="2" applyFont="1" applyFill="1" applyBorder="1" applyAlignment="1">
      <alignment horizontal="center" vertical="center" wrapText="1"/>
    </xf>
    <xf numFmtId="3" fontId="6" fillId="0" borderId="2" xfId="2" applyFont="1" applyFill="1" applyBorder="1" applyAlignment="1">
      <alignment horizontal="center" vertical="center" wrapText="1"/>
    </xf>
    <xf numFmtId="3" fontId="6" fillId="8" borderId="2" xfId="2" applyFont="1" applyFill="1" applyBorder="1" applyAlignment="1">
      <alignment horizontal="center" vertical="center" wrapText="1"/>
    </xf>
    <xf numFmtId="3" fontId="6" fillId="14" borderId="2" xfId="2" applyFont="1" applyFill="1" applyBorder="1" applyAlignment="1">
      <alignment horizontal="center" vertical="center" wrapText="1"/>
    </xf>
    <xf numFmtId="3" fontId="6" fillId="15" borderId="2" xfId="2" applyFont="1" applyFill="1" applyBorder="1" applyAlignment="1">
      <alignment horizontal="center" vertical="center"/>
    </xf>
    <xf numFmtId="3" fontId="6" fillId="0" borderId="2" xfId="2" applyFont="1" applyBorder="1" applyAlignment="1">
      <alignment horizontal="center" vertical="center"/>
    </xf>
    <xf numFmtId="3" fontId="6" fillId="8" borderId="27" xfId="2" applyFont="1" applyFill="1" applyBorder="1" applyAlignment="1">
      <alignment horizontal="center" vertical="center"/>
    </xf>
    <xf numFmtId="3" fontId="6" fillId="8" borderId="2" xfId="2" applyFont="1" applyFill="1" applyBorder="1" applyAlignment="1">
      <alignment horizontal="center" vertical="center"/>
    </xf>
    <xf numFmtId="3" fontId="6" fillId="14" borderId="2" xfId="2" applyFont="1" applyFill="1" applyBorder="1" applyAlignment="1">
      <alignment horizontal="center" vertical="center"/>
    </xf>
    <xf numFmtId="3" fontId="6" fillId="0" borderId="2" xfId="2" applyFont="1" applyFill="1" applyBorder="1" applyAlignment="1">
      <alignment horizontal="center" vertical="center"/>
    </xf>
    <xf numFmtId="3" fontId="6" fillId="15" borderId="2" xfId="2" applyFont="1" applyFill="1" applyBorder="1" applyAlignment="1">
      <alignment horizontal="center" vertical="center" wrapText="1"/>
    </xf>
    <xf numFmtId="3" fontId="6" fillId="0" borderId="2" xfId="2" applyFont="1" applyBorder="1" applyAlignment="1">
      <alignment horizontal="center" vertical="center" wrapText="1"/>
    </xf>
    <xf numFmtId="3" fontId="6" fillId="14" borderId="24" xfId="2" applyFont="1" applyFill="1" applyBorder="1" applyAlignment="1">
      <alignment horizontal="center" vertical="center"/>
    </xf>
    <xf numFmtId="3" fontId="6" fillId="14" borderId="25" xfId="2" applyFont="1" applyFill="1" applyBorder="1" applyAlignment="1">
      <alignment horizontal="center" vertical="center"/>
    </xf>
    <xf numFmtId="3" fontId="61" fillId="24" borderId="27" xfId="2" applyFont="1" applyFill="1" applyBorder="1" applyAlignment="1">
      <alignment horizontal="center" vertical="center"/>
    </xf>
    <xf numFmtId="3" fontId="61" fillId="24" borderId="2" xfId="2" applyFont="1" applyFill="1" applyBorder="1" applyAlignment="1">
      <alignment horizontal="center" vertical="center"/>
    </xf>
    <xf numFmtId="41" fontId="12" fillId="0" borderId="25" xfId="11" applyFont="1" applyBorder="1" applyAlignment="1">
      <alignment horizontal="center" vertical="center"/>
    </xf>
    <xf numFmtId="41" fontId="12" fillId="0" borderId="26" xfId="11" applyFont="1" applyBorder="1" applyAlignment="1">
      <alignment horizontal="center" vertical="center"/>
    </xf>
    <xf numFmtId="3" fontId="12" fillId="9" borderId="25" xfId="2" applyFont="1" applyFill="1" applyBorder="1" applyAlignment="1">
      <alignment horizontal="center" vertical="center"/>
    </xf>
    <xf numFmtId="3" fontId="6" fillId="9" borderId="25" xfId="2" applyFont="1" applyFill="1" applyBorder="1" applyAlignment="1">
      <alignment horizontal="center" vertical="center"/>
    </xf>
    <xf numFmtId="41" fontId="78" fillId="27" borderId="64" xfId="11" applyFont="1" applyFill="1" applyBorder="1" applyAlignment="1">
      <alignment horizontal="center" vertical="center"/>
    </xf>
    <xf numFmtId="41" fontId="7" fillId="27" borderId="64" xfId="11" applyFont="1" applyFill="1" applyBorder="1" applyAlignment="1">
      <alignment horizontal="center" vertical="center"/>
    </xf>
    <xf numFmtId="0" fontId="20" fillId="9" borderId="73" xfId="0" applyFont="1" applyFill="1" applyBorder="1" applyAlignment="1">
      <alignment horizontal="center" vertical="center"/>
    </xf>
    <xf numFmtId="0" fontId="20" fillId="9" borderId="71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72" xfId="0" applyFont="1" applyFill="1" applyBorder="1" applyAlignment="1">
      <alignment horizontal="center" vertical="center"/>
    </xf>
    <xf numFmtId="0" fontId="20" fillId="9" borderId="70" xfId="0" applyFont="1" applyFill="1" applyBorder="1" applyAlignment="1">
      <alignment horizontal="center" vertical="center"/>
    </xf>
    <xf numFmtId="0" fontId="20" fillId="9" borderId="69" xfId="0" applyFont="1" applyFill="1" applyBorder="1" applyAlignment="1">
      <alignment horizontal="center" vertical="center"/>
    </xf>
    <xf numFmtId="180" fontId="22" fillId="0" borderId="55" xfId="1" applyNumberFormat="1" applyFon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20" fillId="3" borderId="58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3" borderId="60" xfId="0" applyFont="1" applyFill="1" applyBorder="1" applyAlignment="1">
      <alignment horizontal="center" vertical="center"/>
    </xf>
    <xf numFmtId="0" fontId="20" fillId="3" borderId="59" xfId="0" applyFont="1" applyFill="1" applyBorder="1" applyAlignment="1">
      <alignment horizontal="center" vertical="center"/>
    </xf>
    <xf numFmtId="183" fontId="20" fillId="3" borderId="42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20" fillId="3" borderId="42" xfId="0" applyFont="1" applyFill="1" applyBorder="1" applyAlignment="1">
      <alignment horizontal="center" vertical="center"/>
    </xf>
    <xf numFmtId="0" fontId="70" fillId="3" borderId="9" xfId="0" applyFont="1" applyFill="1" applyBorder="1" applyAlignment="1">
      <alignment horizontal="center" vertical="center"/>
    </xf>
  </cellXfs>
  <cellStyles count="13">
    <cellStyle name="백분율" xfId="1" builtinId="5"/>
    <cellStyle name="백분율 2" xfId="5" xr:uid="{00000000-0005-0000-0000-000001000000}"/>
    <cellStyle name="백분율 3" xfId="6" xr:uid="{00000000-0005-0000-0000-000002000000}"/>
    <cellStyle name="백분율 4" xfId="10" xr:uid="{00000000-0005-0000-0000-000003000000}"/>
    <cellStyle name="쉼표 [0]" xfId="2" builtinId="6"/>
    <cellStyle name="쉼표 [0] 2" xfId="4" xr:uid="{00000000-0005-0000-0000-000005000000}"/>
    <cellStyle name="쉼표 [0] 3" xfId="7" xr:uid="{00000000-0005-0000-0000-000006000000}"/>
    <cellStyle name="쉼표 [0] 4" xfId="9" xr:uid="{00000000-0005-0000-0000-000007000000}"/>
    <cellStyle name="쉼표 [0] 5" xfId="11" xr:uid="{6C1974D2-19FF-413C-B762-72B94F05B238}"/>
    <cellStyle name="표준" xfId="0" builtinId="0"/>
    <cellStyle name="표준 2" xfId="3" xr:uid="{00000000-0005-0000-0000-000009000000}"/>
    <cellStyle name="표준 3" xfId="8" xr:uid="{00000000-0005-0000-0000-00000A000000}"/>
    <cellStyle name="표준 4" xfId="12" xr:uid="{B9A23B6E-4A61-4467-910C-9F2B7CA057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  <outlinePr summaryBelow="0" summaryRight="0"/>
    <pageSetUpPr autoPageBreaks="0"/>
  </sheetPr>
  <dimension ref="B1:H104"/>
  <sheetViews>
    <sheetView zoomScaleNormal="100" workbookViewId="0">
      <pane xSplit="2" ySplit="6" topLeftCell="C88" activePane="bottomRight" state="frozen"/>
      <selection activeCell="T198" sqref="T198"/>
      <selection pane="topRight" activeCell="T198" sqref="T198"/>
      <selection pane="bottomLeft" activeCell="T198" sqref="T198"/>
      <selection pane="bottomRight" activeCell="F104" sqref="F104"/>
    </sheetView>
  </sheetViews>
  <sheetFormatPr defaultColWidth="8.7109375" defaultRowHeight="13.5"/>
  <cols>
    <col min="1" max="1" width="3" style="2" customWidth="1"/>
    <col min="2" max="2" width="33" style="1" customWidth="1"/>
    <col min="3" max="3" width="21" style="2" customWidth="1"/>
    <col min="4" max="5" width="17.42578125" style="2" customWidth="1"/>
    <col min="6" max="6" width="18.42578125" style="6" customWidth="1"/>
    <col min="7" max="7" width="7.7109375" style="162" customWidth="1"/>
    <col min="8" max="16384" width="8.7109375" style="2"/>
  </cols>
  <sheetData>
    <row r="1" spans="2:7" ht="28.5" customHeight="1">
      <c r="C1" s="3" t="s">
        <v>0</v>
      </c>
    </row>
    <row r="2" spans="2:7" ht="19.350000000000001" customHeight="1">
      <c r="C2" s="4" t="s">
        <v>2383</v>
      </c>
    </row>
    <row r="3" spans="2:7" ht="19.350000000000001" customHeight="1">
      <c r="B3" s="5" t="s">
        <v>1</v>
      </c>
    </row>
    <row r="4" spans="2:7" ht="19.350000000000001" customHeight="1">
      <c r="F4" s="358" t="s">
        <v>2184</v>
      </c>
    </row>
    <row r="5" spans="2:7" ht="15" customHeight="1">
      <c r="B5" s="763" t="s">
        <v>903</v>
      </c>
      <c r="C5" s="765" t="s">
        <v>993</v>
      </c>
      <c r="D5" s="763" t="s">
        <v>328</v>
      </c>
      <c r="E5" s="763"/>
      <c r="F5" s="764" t="s">
        <v>329</v>
      </c>
      <c r="G5" s="763" t="s">
        <v>330</v>
      </c>
    </row>
    <row r="6" spans="2:7" ht="15" customHeight="1">
      <c r="B6" s="763"/>
      <c r="C6" s="763"/>
      <c r="D6" s="125" t="s">
        <v>907</v>
      </c>
      <c r="E6" s="125" t="s">
        <v>908</v>
      </c>
      <c r="F6" s="764"/>
      <c r="G6" s="763"/>
    </row>
    <row r="7" spans="2:7" ht="15.75" customHeight="1">
      <c r="B7" s="126" t="s">
        <v>3</v>
      </c>
      <c r="C7" s="127"/>
      <c r="D7" s="127"/>
      <c r="E7" s="127"/>
      <c r="F7" s="128"/>
      <c r="G7" s="163"/>
    </row>
    <row r="8" spans="2:7" ht="15.75" customHeight="1">
      <c r="B8" s="126" t="s">
        <v>4</v>
      </c>
      <c r="C8" s="127">
        <f>C9+C20</f>
        <v>19211712772</v>
      </c>
      <c r="D8" s="127">
        <f>D9+D20</f>
        <v>17270478924</v>
      </c>
      <c r="E8" s="127">
        <f>E9+E20</f>
        <v>1941233848</v>
      </c>
      <c r="F8" s="128"/>
      <c r="G8" s="163"/>
    </row>
    <row r="9" spans="2:7" ht="15.75" customHeight="1">
      <c r="B9" s="126" t="s">
        <v>5</v>
      </c>
      <c r="C9" s="127">
        <f>SUM(C10:C19)</f>
        <v>11358097491</v>
      </c>
      <c r="D9" s="127">
        <f>SUM(D10:D19)</f>
        <v>9456861065</v>
      </c>
      <c r="E9" s="127">
        <f>SUM(E10:E19)</f>
        <v>1901236426</v>
      </c>
      <c r="F9" s="128"/>
      <c r="G9" s="163"/>
    </row>
    <row r="10" spans="2:7" ht="15.75" customHeight="1">
      <c r="B10" s="129" t="s">
        <v>6</v>
      </c>
      <c r="C10" s="130">
        <v>2787570</v>
      </c>
      <c r="D10" s="131">
        <f>C10-E10</f>
        <v>781120</v>
      </c>
      <c r="E10" s="206">
        <f>별첨1_승계대상자산목록!D7</f>
        <v>2006450</v>
      </c>
      <c r="F10" s="132">
        <f t="shared" ref="F10:F20" si="0">D10+E10</f>
        <v>2787570</v>
      </c>
      <c r="G10" s="164" t="b">
        <f>F10=C10</f>
        <v>1</v>
      </c>
    </row>
    <row r="11" spans="2:7" ht="15.75" customHeight="1">
      <c r="B11" s="129" t="s">
        <v>7</v>
      </c>
      <c r="C11" s="130">
        <v>786626739</v>
      </c>
      <c r="D11" s="131">
        <f t="shared" ref="D11:D19" si="1">C11-E11</f>
        <v>573051418</v>
      </c>
      <c r="E11" s="206">
        <f>별첨1_승계대상자산목록!D8</f>
        <v>213575321</v>
      </c>
      <c r="F11" s="132">
        <f t="shared" si="0"/>
        <v>786626739</v>
      </c>
      <c r="G11" s="164" t="b">
        <f t="shared" ref="G11:G68" si="2">F11=C11</f>
        <v>1</v>
      </c>
    </row>
    <row r="12" spans="2:7" ht="15.75" customHeight="1">
      <c r="B12" s="129" t="s">
        <v>8</v>
      </c>
      <c r="C12" s="130">
        <v>102637709</v>
      </c>
      <c r="D12" s="131">
        <f t="shared" si="1"/>
        <v>102637709</v>
      </c>
      <c r="E12" s="131"/>
      <c r="F12" s="132">
        <f t="shared" si="0"/>
        <v>102637709</v>
      </c>
      <c r="G12" s="164" t="b">
        <f t="shared" si="2"/>
        <v>1</v>
      </c>
    </row>
    <row r="13" spans="2:7" ht="15.75" customHeight="1">
      <c r="B13" s="129" t="s">
        <v>9</v>
      </c>
      <c r="C13" s="130">
        <v>100791040</v>
      </c>
      <c r="D13" s="131">
        <f t="shared" si="1"/>
        <v>100791040</v>
      </c>
      <c r="E13" s="131"/>
      <c r="F13" s="132">
        <f t="shared" si="0"/>
        <v>100791040</v>
      </c>
      <c r="G13" s="164" t="b">
        <f t="shared" si="2"/>
        <v>1</v>
      </c>
    </row>
    <row r="14" spans="2:7" ht="15.75" customHeight="1">
      <c r="B14" s="129" t="s">
        <v>10</v>
      </c>
      <c r="C14" s="130">
        <v>4499690626</v>
      </c>
      <c r="D14" s="131">
        <f t="shared" si="1"/>
        <v>4499690626</v>
      </c>
      <c r="E14" s="131"/>
      <c r="F14" s="132">
        <f t="shared" si="0"/>
        <v>4499690626</v>
      </c>
      <c r="G14" s="164" t="b">
        <f t="shared" si="2"/>
        <v>1</v>
      </c>
    </row>
    <row r="15" spans="2:7" ht="15.75" customHeight="1">
      <c r="B15" s="129" t="s">
        <v>11</v>
      </c>
      <c r="C15" s="132">
        <v>-44996906</v>
      </c>
      <c r="D15" s="132">
        <f t="shared" si="1"/>
        <v>-44996906</v>
      </c>
      <c r="E15" s="132"/>
      <c r="F15" s="132">
        <f t="shared" si="0"/>
        <v>-44996906</v>
      </c>
      <c r="G15" s="164" t="b">
        <f t="shared" si="2"/>
        <v>1</v>
      </c>
    </row>
    <row r="16" spans="2:7" ht="15.75" customHeight="1">
      <c r="B16" s="129" t="s">
        <v>12</v>
      </c>
      <c r="C16" s="124">
        <v>5586531730</v>
      </c>
      <c r="D16" s="131">
        <f t="shared" si="1"/>
        <v>4132680612</v>
      </c>
      <c r="E16" s="205">
        <f>별첨1_승계대상자산목록!D9</f>
        <v>1453851118</v>
      </c>
      <c r="F16" s="132">
        <f t="shared" si="0"/>
        <v>5586531730</v>
      </c>
      <c r="G16" s="164" t="b">
        <f t="shared" si="2"/>
        <v>1</v>
      </c>
    </row>
    <row r="17" spans="2:7" ht="15.75" customHeight="1">
      <c r="B17" s="129" t="s">
        <v>13</v>
      </c>
      <c r="C17" s="124">
        <v>65964230</v>
      </c>
      <c r="D17" s="131">
        <f t="shared" si="1"/>
        <v>59718739</v>
      </c>
      <c r="E17" s="205">
        <f>별첨1_승계대상자산목록!D10</f>
        <v>6245491</v>
      </c>
      <c r="F17" s="132">
        <f t="shared" si="0"/>
        <v>65964230</v>
      </c>
      <c r="G17" s="164" t="b">
        <f t="shared" si="2"/>
        <v>1</v>
      </c>
    </row>
    <row r="18" spans="2:7" ht="15.75" customHeight="1">
      <c r="B18" s="129" t="s">
        <v>14</v>
      </c>
      <c r="C18" s="124">
        <v>241990073</v>
      </c>
      <c r="D18" s="131">
        <f t="shared" si="1"/>
        <v>16436227</v>
      </c>
      <c r="E18" s="205">
        <f>별첨1_승계대상자산목록!D11</f>
        <v>225553846</v>
      </c>
      <c r="F18" s="132">
        <f t="shared" si="0"/>
        <v>241990073</v>
      </c>
      <c r="G18" s="164" t="b">
        <f t="shared" si="2"/>
        <v>1</v>
      </c>
    </row>
    <row r="19" spans="2:7" ht="15.75" customHeight="1">
      <c r="B19" s="129" t="s">
        <v>15</v>
      </c>
      <c r="C19" s="124">
        <v>16074680</v>
      </c>
      <c r="D19" s="131">
        <f t="shared" si="1"/>
        <v>16070480</v>
      </c>
      <c r="E19" s="205">
        <f>별첨1_승계대상자산목록!D12</f>
        <v>4200</v>
      </c>
      <c r="F19" s="132">
        <f t="shared" si="0"/>
        <v>16074680</v>
      </c>
      <c r="G19" s="164" t="b">
        <f t="shared" si="2"/>
        <v>1</v>
      </c>
    </row>
    <row r="20" spans="2:7" ht="15.75" customHeight="1">
      <c r="B20" s="126" t="s">
        <v>16</v>
      </c>
      <c r="C20" s="128">
        <f>SUM(C21:C23)</f>
        <v>7853615281</v>
      </c>
      <c r="D20" s="128">
        <f>SUM(D21:D23)</f>
        <v>7813617859</v>
      </c>
      <c r="E20" s="128">
        <f>SUM(E21:E23)</f>
        <v>39997422</v>
      </c>
      <c r="F20" s="132">
        <f t="shared" si="0"/>
        <v>7853615281</v>
      </c>
      <c r="G20" s="164" t="b">
        <f t="shared" si="2"/>
        <v>1</v>
      </c>
    </row>
    <row r="21" spans="2:7" ht="15.75" customHeight="1">
      <c r="B21" s="129" t="s">
        <v>17</v>
      </c>
      <c r="C21" s="124">
        <v>7858797171</v>
      </c>
      <c r="D21" s="132">
        <f>C21-E21</f>
        <v>7858797171</v>
      </c>
      <c r="E21" s="132">
        <v>0</v>
      </c>
      <c r="F21" s="132">
        <f>D21+E21</f>
        <v>7858797171</v>
      </c>
      <c r="G21" s="164" t="b">
        <f t="shared" si="2"/>
        <v>1</v>
      </c>
    </row>
    <row r="22" spans="2:7" ht="15.75" customHeight="1">
      <c r="B22" s="129" t="s">
        <v>18</v>
      </c>
      <c r="C22" s="132">
        <v>-45179312</v>
      </c>
      <c r="D22" s="132">
        <f>C22-E22</f>
        <v>-45179312</v>
      </c>
      <c r="E22" s="132">
        <v>0</v>
      </c>
      <c r="F22" s="132">
        <f>D22+E22</f>
        <v>-45179312</v>
      </c>
      <c r="G22" s="164" t="b">
        <f t="shared" si="2"/>
        <v>1</v>
      </c>
    </row>
    <row r="23" spans="2:7" ht="15.75" customHeight="1">
      <c r="B23" s="129" t="s">
        <v>19</v>
      </c>
      <c r="C23" s="124">
        <v>39997422</v>
      </c>
      <c r="D23" s="132">
        <f>C23-E23</f>
        <v>0</v>
      </c>
      <c r="E23" s="205">
        <f>별첨1_승계대상자산목록!D13</f>
        <v>39997422</v>
      </c>
      <c r="F23" s="132">
        <f t="shared" ref="F23:F32" si="3">D23+E23</f>
        <v>39997422</v>
      </c>
      <c r="G23" s="164" t="b">
        <f t="shared" si="2"/>
        <v>1</v>
      </c>
    </row>
    <row r="24" spans="2:7" ht="15.75" customHeight="1">
      <c r="B24" s="126" t="s">
        <v>20</v>
      </c>
      <c r="C24" s="128">
        <f>C25+C27+C41+C46</f>
        <v>17933774937</v>
      </c>
      <c r="D24" s="128">
        <f>D25+D27+D41+D46</f>
        <v>10131858152</v>
      </c>
      <c r="E24" s="128">
        <f>E25+E27+E41+E46</f>
        <v>7801916785</v>
      </c>
      <c r="F24" s="132">
        <f t="shared" si="3"/>
        <v>17933774937</v>
      </c>
      <c r="G24" s="164" t="b">
        <f t="shared" si="2"/>
        <v>1</v>
      </c>
    </row>
    <row r="25" spans="2:7" ht="15.75" customHeight="1">
      <c r="B25" s="126" t="s">
        <v>21</v>
      </c>
      <c r="C25" s="128">
        <f>C26</f>
        <v>1271385</v>
      </c>
      <c r="D25" s="128">
        <f>D26</f>
        <v>1271385</v>
      </c>
      <c r="E25" s="128">
        <f>E26</f>
        <v>0</v>
      </c>
      <c r="F25" s="132">
        <f t="shared" si="3"/>
        <v>1271385</v>
      </c>
      <c r="G25" s="164" t="b">
        <f t="shared" si="2"/>
        <v>1</v>
      </c>
    </row>
    <row r="26" spans="2:7" ht="15.75" customHeight="1">
      <c r="B26" s="129" t="s">
        <v>22</v>
      </c>
      <c r="C26" s="124">
        <v>1271385</v>
      </c>
      <c r="D26" s="132">
        <f>C26-E26</f>
        <v>1271385</v>
      </c>
      <c r="E26" s="132">
        <v>0</v>
      </c>
      <c r="F26" s="132">
        <f t="shared" si="3"/>
        <v>1271385</v>
      </c>
      <c r="G26" s="164" t="b">
        <f t="shared" si="2"/>
        <v>1</v>
      </c>
    </row>
    <row r="27" spans="2:7" ht="15.75" customHeight="1">
      <c r="B27" s="126" t="s">
        <v>23</v>
      </c>
      <c r="C27" s="128">
        <f>SUM(C28:C40)</f>
        <v>15158744616</v>
      </c>
      <c r="D27" s="128">
        <f>SUM(D28:D40)</f>
        <v>9655104433</v>
      </c>
      <c r="E27" s="128">
        <f>SUM(E28:E40)</f>
        <v>5503640183</v>
      </c>
      <c r="F27" s="132">
        <f t="shared" si="3"/>
        <v>15158744616</v>
      </c>
      <c r="G27" s="164" t="b">
        <f t="shared" si="2"/>
        <v>1</v>
      </c>
    </row>
    <row r="28" spans="2:7" ht="15.75" customHeight="1">
      <c r="B28" s="129" t="s">
        <v>24</v>
      </c>
      <c r="C28" s="132">
        <v>3580484110</v>
      </c>
      <c r="D28" s="132">
        <f>C28-E28</f>
        <v>3580484110</v>
      </c>
      <c r="E28" s="132"/>
      <c r="F28" s="132">
        <f t="shared" si="3"/>
        <v>3580484110</v>
      </c>
      <c r="G28" s="164" t="b">
        <f t="shared" si="2"/>
        <v>1</v>
      </c>
    </row>
    <row r="29" spans="2:7" ht="15.75" customHeight="1">
      <c r="B29" s="129" t="s">
        <v>25</v>
      </c>
      <c r="C29" s="132">
        <v>6580879074</v>
      </c>
      <c r="D29" s="132">
        <f t="shared" ref="D29:D39" si="4">C29-E29</f>
        <v>6580879074</v>
      </c>
      <c r="E29" s="132"/>
      <c r="F29" s="132">
        <f t="shared" si="3"/>
        <v>6580879074</v>
      </c>
      <c r="G29" s="164" t="b">
        <f t="shared" si="2"/>
        <v>1</v>
      </c>
    </row>
    <row r="30" spans="2:7" ht="15.75" customHeight="1">
      <c r="B30" s="129" t="s">
        <v>26</v>
      </c>
      <c r="C30" s="132">
        <f>-'별첨4_분할명세(고정자산)'!P6</f>
        <v>-696335253</v>
      </c>
      <c r="D30" s="132">
        <f t="shared" si="4"/>
        <v>-696335253</v>
      </c>
      <c r="E30" s="132"/>
      <c r="F30" s="132">
        <f t="shared" si="3"/>
        <v>-696335253</v>
      </c>
      <c r="G30" s="164" t="b">
        <f t="shared" si="2"/>
        <v>1</v>
      </c>
    </row>
    <row r="31" spans="2:7" ht="15.75" customHeight="1">
      <c r="B31" s="129" t="s">
        <v>27</v>
      </c>
      <c r="C31" s="132">
        <v>8200000</v>
      </c>
      <c r="D31" s="132">
        <f t="shared" si="4"/>
        <v>8200000</v>
      </c>
      <c r="E31" s="132"/>
      <c r="F31" s="132">
        <f t="shared" si="3"/>
        <v>8200000</v>
      </c>
      <c r="G31" s="164" t="b">
        <f t="shared" si="2"/>
        <v>1</v>
      </c>
    </row>
    <row r="32" spans="2:7" ht="15.75" customHeight="1">
      <c r="B32" s="129" t="s">
        <v>26</v>
      </c>
      <c r="C32" s="132">
        <f>-'별첨4_분할명세(고정자산)'!P9</f>
        <v>-7954149</v>
      </c>
      <c r="D32" s="132">
        <f t="shared" si="4"/>
        <v>-7954149</v>
      </c>
      <c r="E32" s="132"/>
      <c r="F32" s="132">
        <f t="shared" si="3"/>
        <v>-7954149</v>
      </c>
      <c r="G32" s="164" t="b">
        <f t="shared" si="2"/>
        <v>1</v>
      </c>
    </row>
    <row r="33" spans="2:7" ht="15.75" customHeight="1">
      <c r="B33" s="129" t="s">
        <v>28</v>
      </c>
      <c r="C33" s="132">
        <v>340677154</v>
      </c>
      <c r="D33" s="132">
        <f t="shared" si="4"/>
        <v>340677154</v>
      </c>
      <c r="E33" s="132"/>
      <c r="F33" s="132">
        <f t="shared" ref="F33:F68" si="5">D33+E33</f>
        <v>340677154</v>
      </c>
      <c r="G33" s="164" t="b">
        <f t="shared" si="2"/>
        <v>1</v>
      </c>
    </row>
    <row r="34" spans="2:7" ht="15.75" customHeight="1">
      <c r="B34" s="129" t="s">
        <v>26</v>
      </c>
      <c r="C34" s="132">
        <f>-'별첨4_분할명세(고정자산)'!P22</f>
        <v>-300737962</v>
      </c>
      <c r="D34" s="132">
        <f t="shared" si="4"/>
        <v>-300737962</v>
      </c>
      <c r="E34" s="132"/>
      <c r="F34" s="132">
        <f t="shared" si="5"/>
        <v>-300737962</v>
      </c>
      <c r="G34" s="164" t="b">
        <f t="shared" si="2"/>
        <v>1</v>
      </c>
    </row>
    <row r="35" spans="2:7" ht="15.75" customHeight="1">
      <c r="B35" s="129" t="s">
        <v>29</v>
      </c>
      <c r="C35" s="124">
        <v>1330335527</v>
      </c>
      <c r="D35" s="132">
        <f t="shared" si="4"/>
        <v>0</v>
      </c>
      <c r="E35" s="205">
        <f>별첨1_승계대상자산목록!D22</f>
        <v>1330335527</v>
      </c>
      <c r="F35" s="132">
        <f t="shared" si="5"/>
        <v>1330335527</v>
      </c>
      <c r="G35" s="164" t="b">
        <f t="shared" si="2"/>
        <v>1</v>
      </c>
    </row>
    <row r="36" spans="2:7" ht="15.75" customHeight="1">
      <c r="B36" s="129" t="s">
        <v>26</v>
      </c>
      <c r="C36" s="132">
        <f>-'별첨4_분할명세(고정자산)'!P88</f>
        <v>-331537992</v>
      </c>
      <c r="D36" s="132">
        <f t="shared" si="4"/>
        <v>0</v>
      </c>
      <c r="E36" s="205">
        <f>별첨1_승계대상자산목록!D23</f>
        <v>-331537992</v>
      </c>
      <c r="F36" s="132">
        <f t="shared" si="5"/>
        <v>-331537992</v>
      </c>
      <c r="G36" s="164" t="b">
        <f t="shared" si="2"/>
        <v>1</v>
      </c>
    </row>
    <row r="37" spans="2:7" ht="15.75" customHeight="1">
      <c r="B37" s="129" t="s">
        <v>30</v>
      </c>
      <c r="C37" s="124">
        <v>177505614</v>
      </c>
      <c r="D37" s="132">
        <f t="shared" si="4"/>
        <v>68725732</v>
      </c>
      <c r="E37" s="205">
        <f>별첨1_승계대상자산목록!D24</f>
        <v>108779882</v>
      </c>
      <c r="F37" s="132">
        <f t="shared" si="5"/>
        <v>177505614</v>
      </c>
      <c r="G37" s="164" t="b">
        <f t="shared" si="2"/>
        <v>1</v>
      </c>
    </row>
    <row r="38" spans="2:7" ht="15.75" customHeight="1">
      <c r="B38" s="129" t="s">
        <v>26</v>
      </c>
      <c r="C38" s="132">
        <f>-'별첨4_분할명세(고정자산)'!P127</f>
        <v>-83393031</v>
      </c>
      <c r="D38" s="132">
        <f t="shared" si="4"/>
        <v>-57035685</v>
      </c>
      <c r="E38" s="205">
        <f>별첨1_승계대상자산목록!D25</f>
        <v>-26357346</v>
      </c>
      <c r="F38" s="132">
        <f t="shared" si="5"/>
        <v>-83393031</v>
      </c>
      <c r="G38" s="164" t="b">
        <f t="shared" si="2"/>
        <v>1</v>
      </c>
    </row>
    <row r="39" spans="2:7" ht="15.75" customHeight="1">
      <c r="B39" s="129" t="s">
        <v>31</v>
      </c>
      <c r="C39" s="124">
        <v>6683565844</v>
      </c>
      <c r="D39" s="132">
        <f t="shared" si="4"/>
        <v>472710000</v>
      </c>
      <c r="E39" s="205">
        <f>별첨1_승계대상자산목록!D26</f>
        <v>6210855844</v>
      </c>
      <c r="F39" s="132">
        <f t="shared" si="5"/>
        <v>6683565844</v>
      </c>
      <c r="G39" s="164" t="b">
        <f t="shared" si="2"/>
        <v>1</v>
      </c>
    </row>
    <row r="40" spans="2:7" ht="15.75" customHeight="1">
      <c r="B40" s="129" t="s">
        <v>26</v>
      </c>
      <c r="C40" s="132">
        <f>-'별첨4_분할명세(고정자산)'!P188</f>
        <v>-2122944320</v>
      </c>
      <c r="D40" s="132">
        <f>C40-E40</f>
        <v>-334508588</v>
      </c>
      <c r="E40" s="205">
        <f>별첨1_승계대상자산목록!D27</f>
        <v>-1788435732</v>
      </c>
      <c r="F40" s="132">
        <f t="shared" si="5"/>
        <v>-2122944320</v>
      </c>
      <c r="G40" s="164" t="b">
        <f t="shared" si="2"/>
        <v>1</v>
      </c>
    </row>
    <row r="41" spans="2:7" ht="15.75" customHeight="1">
      <c r="B41" s="126" t="s">
        <v>32</v>
      </c>
      <c r="C41" s="128">
        <f>SUM(C42:C45)</f>
        <v>1072237876</v>
      </c>
      <c r="D41" s="128">
        <f>SUM(D42:D45)</f>
        <v>24286334</v>
      </c>
      <c r="E41" s="128">
        <f>SUM(E42:E45)</f>
        <v>1047951542</v>
      </c>
      <c r="F41" s="132">
        <f t="shared" si="5"/>
        <v>1072237876</v>
      </c>
      <c r="G41" s="164" t="b">
        <f t="shared" si="2"/>
        <v>1</v>
      </c>
    </row>
    <row r="42" spans="2:7" ht="15.75" customHeight="1">
      <c r="B42" s="129" t="s">
        <v>1367</v>
      </c>
      <c r="C42" s="132">
        <v>1047951542</v>
      </c>
      <c r="D42" s="132">
        <f>C42-E42</f>
        <v>0</v>
      </c>
      <c r="E42" s="205">
        <f>별첨1_승계대상자산목록!D30</f>
        <v>1047951542</v>
      </c>
      <c r="F42" s="132">
        <f>D42+E42</f>
        <v>1047951542</v>
      </c>
      <c r="G42" s="164" t="b">
        <f>F42=C42</f>
        <v>1</v>
      </c>
    </row>
    <row r="43" spans="2:7" ht="15.75" customHeight="1">
      <c r="B43" s="129" t="s">
        <v>33</v>
      </c>
      <c r="C43" s="132">
        <v>1000</v>
      </c>
      <c r="D43" s="132">
        <f>C43-E43</f>
        <v>1000</v>
      </c>
      <c r="E43" s="132"/>
      <c r="F43" s="132">
        <f t="shared" si="5"/>
        <v>1000</v>
      </c>
      <c r="G43" s="164" t="b">
        <f t="shared" si="2"/>
        <v>1</v>
      </c>
    </row>
    <row r="44" spans="2:7" ht="15.75" customHeight="1">
      <c r="B44" s="129" t="s">
        <v>34</v>
      </c>
      <c r="C44" s="132">
        <v>2000</v>
      </c>
      <c r="D44" s="132">
        <f>C44-E44</f>
        <v>2000</v>
      </c>
      <c r="E44" s="132"/>
      <c r="F44" s="132">
        <f t="shared" si="5"/>
        <v>2000</v>
      </c>
      <c r="G44" s="164" t="b">
        <f t="shared" si="2"/>
        <v>1</v>
      </c>
    </row>
    <row r="45" spans="2:7" ht="15.75" customHeight="1">
      <c r="B45" s="129" t="s">
        <v>35</v>
      </c>
      <c r="C45" s="132">
        <v>24283334</v>
      </c>
      <c r="D45" s="132">
        <f>C45-E45</f>
        <v>24283334</v>
      </c>
      <c r="E45" s="132"/>
      <c r="F45" s="132">
        <f t="shared" si="5"/>
        <v>24283334</v>
      </c>
      <c r="G45" s="164" t="b">
        <f t="shared" si="2"/>
        <v>1</v>
      </c>
    </row>
    <row r="46" spans="2:7" ht="15.75" customHeight="1">
      <c r="B46" s="126" t="s">
        <v>36</v>
      </c>
      <c r="C46" s="128">
        <f>SUM(C47:C51)</f>
        <v>1701521060</v>
      </c>
      <c r="D46" s="128">
        <f>SUM(D47:D51)</f>
        <v>451196000</v>
      </c>
      <c r="E46" s="128">
        <f>SUM(E47:E51)</f>
        <v>1250325060</v>
      </c>
      <c r="F46" s="132">
        <f t="shared" si="5"/>
        <v>1701521060</v>
      </c>
      <c r="G46" s="164" t="b">
        <f t="shared" si="2"/>
        <v>1</v>
      </c>
    </row>
    <row r="47" spans="2:7" ht="15.75" customHeight="1">
      <c r="B47" s="129" t="s">
        <v>37</v>
      </c>
      <c r="C47" s="124">
        <v>899035060</v>
      </c>
      <c r="D47" s="132">
        <f>C47-E47</f>
        <v>100000000</v>
      </c>
      <c r="E47" s="205">
        <f>별첨1_승계대상자산목록!D32</f>
        <v>799035060</v>
      </c>
      <c r="F47" s="132">
        <f t="shared" si="5"/>
        <v>899035060</v>
      </c>
      <c r="G47" s="164" t="b">
        <f t="shared" si="2"/>
        <v>1</v>
      </c>
    </row>
    <row r="48" spans="2:7" ht="15.75" customHeight="1">
      <c r="B48" s="129" t="s">
        <v>38</v>
      </c>
      <c r="C48" s="124">
        <v>801886000</v>
      </c>
      <c r="D48" s="132">
        <f>C48-E48</f>
        <v>350596000</v>
      </c>
      <c r="E48" s="132">
        <f>별첨1_승계대상자산목록!D31</f>
        <v>451290000</v>
      </c>
      <c r="F48" s="132">
        <f t="shared" si="5"/>
        <v>801886000</v>
      </c>
      <c r="G48" s="164" t="b">
        <f t="shared" si="2"/>
        <v>1</v>
      </c>
    </row>
    <row r="49" spans="2:7" ht="15.75" customHeight="1">
      <c r="B49" s="129" t="s">
        <v>39</v>
      </c>
      <c r="C49" s="132">
        <v>0</v>
      </c>
      <c r="D49" s="132">
        <f>C49-E49</f>
        <v>0</v>
      </c>
      <c r="E49" s="132"/>
      <c r="F49" s="132">
        <f t="shared" si="5"/>
        <v>0</v>
      </c>
      <c r="G49" s="164" t="b">
        <f t="shared" si="2"/>
        <v>1</v>
      </c>
    </row>
    <row r="50" spans="2:7" ht="15.75" customHeight="1">
      <c r="B50" s="129" t="s">
        <v>11</v>
      </c>
      <c r="C50" s="132">
        <v>0</v>
      </c>
      <c r="D50" s="132">
        <f>C50-E50</f>
        <v>0</v>
      </c>
      <c r="E50" s="132"/>
      <c r="F50" s="132">
        <f t="shared" si="5"/>
        <v>0</v>
      </c>
      <c r="G50" s="164" t="b">
        <f t="shared" si="2"/>
        <v>1</v>
      </c>
    </row>
    <row r="51" spans="2:7" ht="15.75" customHeight="1">
      <c r="B51" s="129" t="s">
        <v>40</v>
      </c>
      <c r="C51" s="132">
        <v>600000</v>
      </c>
      <c r="D51" s="132">
        <f>C51-E51</f>
        <v>600000</v>
      </c>
      <c r="E51" s="132"/>
      <c r="F51" s="132">
        <f t="shared" si="5"/>
        <v>600000</v>
      </c>
      <c r="G51" s="164" t="b">
        <f t="shared" si="2"/>
        <v>1</v>
      </c>
    </row>
    <row r="52" spans="2:7" ht="15.75" customHeight="1">
      <c r="B52" s="125" t="s">
        <v>41</v>
      </c>
      <c r="C52" s="128">
        <f>C24+C8</f>
        <v>37145487709</v>
      </c>
      <c r="D52" s="128">
        <f>D24+D8</f>
        <v>27402337076</v>
      </c>
      <c r="E52" s="128">
        <f>E24+E8</f>
        <v>9743150633</v>
      </c>
      <c r="F52" s="132">
        <f t="shared" si="5"/>
        <v>37145487709</v>
      </c>
      <c r="G52" s="164" t="b">
        <f t="shared" si="2"/>
        <v>1</v>
      </c>
    </row>
    <row r="53" spans="2:7" ht="15.75" customHeight="1">
      <c r="B53" s="126" t="s">
        <v>42</v>
      </c>
      <c r="C53" s="128"/>
      <c r="D53" s="128"/>
      <c r="E53" s="128"/>
      <c r="F53" s="132">
        <f t="shared" si="5"/>
        <v>0</v>
      </c>
      <c r="G53" s="164" t="b">
        <f t="shared" si="2"/>
        <v>1</v>
      </c>
    </row>
    <row r="54" spans="2:7" ht="15.75" customHeight="1">
      <c r="B54" s="126" t="s">
        <v>43</v>
      </c>
      <c r="C54" s="128">
        <f>SUM(C55:C64)</f>
        <v>13589039636</v>
      </c>
      <c r="D54" s="128">
        <f>SUM(D55:D64)</f>
        <v>11623149544</v>
      </c>
      <c r="E54" s="128">
        <f>SUM(E55:E64)</f>
        <v>1965890092</v>
      </c>
      <c r="F54" s="132">
        <f t="shared" si="5"/>
        <v>13589039636</v>
      </c>
      <c r="G54" s="164" t="b">
        <f t="shared" si="2"/>
        <v>1</v>
      </c>
    </row>
    <row r="55" spans="2:7" ht="15.75" customHeight="1">
      <c r="B55" s="129" t="s">
        <v>44</v>
      </c>
      <c r="C55" s="132">
        <v>2320862827</v>
      </c>
      <c r="D55" s="132">
        <f>C55-E55</f>
        <v>1716751340</v>
      </c>
      <c r="E55" s="205">
        <f>별첨1_승계대상자산목록!D38</f>
        <v>604111487</v>
      </c>
      <c r="F55" s="132">
        <f t="shared" si="5"/>
        <v>2320862827</v>
      </c>
      <c r="G55" s="164" t="b">
        <f t="shared" si="2"/>
        <v>1</v>
      </c>
    </row>
    <row r="56" spans="2:7" ht="15.75" customHeight="1">
      <c r="B56" s="129" t="s">
        <v>45</v>
      </c>
      <c r="C56" s="132">
        <v>1222352515</v>
      </c>
      <c r="D56" s="132">
        <f t="shared" ref="D56:D62" si="6">C56-E56</f>
        <v>680453103</v>
      </c>
      <c r="E56" s="205">
        <f>별첨1_승계대상자산목록!D39</f>
        <v>541899412</v>
      </c>
      <c r="F56" s="132">
        <f t="shared" si="5"/>
        <v>1222352515</v>
      </c>
      <c r="G56" s="164" t="b">
        <f t="shared" si="2"/>
        <v>1</v>
      </c>
    </row>
    <row r="57" spans="2:7" ht="15.75" customHeight="1">
      <c r="B57" s="129" t="s">
        <v>46</v>
      </c>
      <c r="C57" s="132">
        <v>132114488</v>
      </c>
      <c r="D57" s="132">
        <f t="shared" si="6"/>
        <v>59660568</v>
      </c>
      <c r="E57" s="205">
        <f>별첨1_승계대상자산목록!D40</f>
        <v>72453920</v>
      </c>
      <c r="F57" s="132">
        <f t="shared" si="5"/>
        <v>132114488</v>
      </c>
      <c r="G57" s="164" t="b">
        <f t="shared" si="2"/>
        <v>1</v>
      </c>
    </row>
    <row r="58" spans="2:7" ht="15.75" customHeight="1">
      <c r="B58" s="129" t="s">
        <v>47</v>
      </c>
      <c r="C58" s="132">
        <v>385144740</v>
      </c>
      <c r="D58" s="132">
        <f t="shared" si="6"/>
        <v>334269250</v>
      </c>
      <c r="E58" s="205">
        <f>별첨1_승계대상자산목록!D41</f>
        <v>50875490</v>
      </c>
      <c r="F58" s="132">
        <f t="shared" si="5"/>
        <v>385144740</v>
      </c>
      <c r="G58" s="164" t="b">
        <f t="shared" si="2"/>
        <v>1</v>
      </c>
    </row>
    <row r="59" spans="2:7" ht="15.75" customHeight="1">
      <c r="B59" s="129" t="s">
        <v>48</v>
      </c>
      <c r="C59" s="132">
        <v>8900000</v>
      </c>
      <c r="D59" s="132">
        <f t="shared" si="6"/>
        <v>8900000</v>
      </c>
      <c r="E59" s="132"/>
      <c r="F59" s="132">
        <f t="shared" si="5"/>
        <v>8900000</v>
      </c>
      <c r="G59" s="164" t="b">
        <f t="shared" si="2"/>
        <v>1</v>
      </c>
    </row>
    <row r="60" spans="2:7" ht="15.75" customHeight="1">
      <c r="B60" s="129" t="s">
        <v>49</v>
      </c>
      <c r="C60" s="132">
        <v>8117328855</v>
      </c>
      <c r="D60" s="132">
        <f t="shared" si="6"/>
        <v>7877328855</v>
      </c>
      <c r="E60" s="205">
        <f>별첨1_승계대상자산목록!D43</f>
        <v>240000000</v>
      </c>
      <c r="F60" s="132">
        <f t="shared" si="5"/>
        <v>8117328855</v>
      </c>
      <c r="G60" s="164" t="b">
        <f t="shared" si="2"/>
        <v>1</v>
      </c>
    </row>
    <row r="61" spans="2:7" ht="15.75" customHeight="1">
      <c r="B61" s="129" t="s">
        <v>50</v>
      </c>
      <c r="C61" s="132">
        <v>146662483</v>
      </c>
      <c r="D61" s="132">
        <f t="shared" si="6"/>
        <v>86779368</v>
      </c>
      <c r="E61" s="205">
        <f>별첨1_승계대상자산목록!D42</f>
        <v>59883115</v>
      </c>
      <c r="F61" s="132">
        <f t="shared" si="5"/>
        <v>146662483</v>
      </c>
      <c r="G61" s="164" t="b">
        <f t="shared" si="2"/>
        <v>1</v>
      </c>
    </row>
    <row r="62" spans="2:7" ht="15.75" customHeight="1">
      <c r="B62" s="129" t="s">
        <v>51</v>
      </c>
      <c r="C62" s="132">
        <v>396666668</v>
      </c>
      <c r="D62" s="132">
        <f t="shared" si="6"/>
        <v>0</v>
      </c>
      <c r="E62" s="205">
        <f>별첨1_승계대상자산목록!D44</f>
        <v>396666668</v>
      </c>
      <c r="F62" s="132">
        <f t="shared" si="5"/>
        <v>396666668</v>
      </c>
      <c r="G62" s="164" t="b">
        <f t="shared" si="2"/>
        <v>1</v>
      </c>
    </row>
    <row r="63" spans="2:7" ht="15.75" customHeight="1">
      <c r="B63" s="129" t="s">
        <v>1368</v>
      </c>
      <c r="C63" s="132">
        <v>780000000</v>
      </c>
      <c r="D63" s="132">
        <f>C63-E63</f>
        <v>780000000</v>
      </c>
      <c r="E63" s="132">
        <v>0</v>
      </c>
      <c r="F63" s="132">
        <f>D63+E63</f>
        <v>780000000</v>
      </c>
      <c r="G63" s="164" t="b">
        <f>F63=C63</f>
        <v>1</v>
      </c>
    </row>
    <row r="64" spans="2:7" ht="15.75" customHeight="1">
      <c r="B64" s="129" t="s">
        <v>52</v>
      </c>
      <c r="C64" s="132">
        <v>79007060</v>
      </c>
      <c r="D64" s="132">
        <f>C64-E64</f>
        <v>79007060</v>
      </c>
      <c r="E64" s="132"/>
      <c r="F64" s="132">
        <f>D64+E64</f>
        <v>79007060</v>
      </c>
      <c r="G64" s="164" t="b">
        <f>F64=C64</f>
        <v>1</v>
      </c>
    </row>
    <row r="65" spans="2:7" ht="15.75" customHeight="1">
      <c r="B65" s="126" t="s">
        <v>53</v>
      </c>
      <c r="C65" s="128">
        <f>SUM(C66:C67)</f>
        <v>2770000000</v>
      </c>
      <c r="D65" s="128">
        <f>SUM(D66:D67)</f>
        <v>2770000000</v>
      </c>
      <c r="E65" s="128">
        <f>SUM(E66:E67)</f>
        <v>0</v>
      </c>
      <c r="F65" s="132">
        <f t="shared" si="5"/>
        <v>2770000000</v>
      </c>
      <c r="G65" s="164" t="b">
        <f t="shared" si="2"/>
        <v>1</v>
      </c>
    </row>
    <row r="66" spans="2:7" ht="15.75" customHeight="1">
      <c r="B66" s="129" t="s">
        <v>54</v>
      </c>
      <c r="C66" s="132">
        <v>1000000000</v>
      </c>
      <c r="D66" s="132">
        <f>C66-E66</f>
        <v>1000000000</v>
      </c>
      <c r="E66" s="132"/>
      <c r="F66" s="132">
        <f t="shared" si="5"/>
        <v>1000000000</v>
      </c>
      <c r="G66" s="164" t="b">
        <f t="shared" si="2"/>
        <v>1</v>
      </c>
    </row>
    <row r="67" spans="2:7" ht="15.75" customHeight="1">
      <c r="B67" s="129" t="s">
        <v>55</v>
      </c>
      <c r="C67" s="132">
        <v>1770000000</v>
      </c>
      <c r="D67" s="132">
        <f>C67-E67</f>
        <v>1770000000</v>
      </c>
      <c r="E67" s="128"/>
      <c r="F67" s="132">
        <f t="shared" si="5"/>
        <v>1770000000</v>
      </c>
      <c r="G67" s="164" t="b">
        <f t="shared" si="2"/>
        <v>1</v>
      </c>
    </row>
    <row r="68" spans="2:7" ht="15.75" customHeight="1">
      <c r="B68" s="126" t="s">
        <v>56</v>
      </c>
      <c r="C68" s="128">
        <f>C65+C54</f>
        <v>16359039636</v>
      </c>
      <c r="D68" s="128">
        <f>D65+D54</f>
        <v>14393149544</v>
      </c>
      <c r="E68" s="128">
        <f>E65+E54</f>
        <v>1965890092</v>
      </c>
      <c r="F68" s="132">
        <f t="shared" si="5"/>
        <v>16359039636</v>
      </c>
      <c r="G68" s="164" t="b">
        <f t="shared" si="2"/>
        <v>1</v>
      </c>
    </row>
    <row r="69" spans="2:7" ht="15.75" customHeight="1">
      <c r="B69" s="126" t="s">
        <v>57</v>
      </c>
      <c r="C69" s="128"/>
      <c r="D69" s="128"/>
      <c r="E69" s="128"/>
      <c r="F69" s="132" t="s">
        <v>994</v>
      </c>
      <c r="G69" s="164" t="s">
        <v>994</v>
      </c>
    </row>
    <row r="70" spans="2:7" ht="15.75" customHeight="1">
      <c r="B70" s="126" t="s">
        <v>58</v>
      </c>
      <c r="C70" s="128">
        <f>C71</f>
        <v>120000000</v>
      </c>
      <c r="D70" s="128">
        <f>D71</f>
        <v>120000000</v>
      </c>
      <c r="E70" s="128">
        <f>E71</f>
        <v>120000000</v>
      </c>
      <c r="F70" s="132"/>
      <c r="G70" s="164" t="s">
        <v>994</v>
      </c>
    </row>
    <row r="71" spans="2:7" ht="15.75" customHeight="1">
      <c r="B71" s="129" t="s">
        <v>59</v>
      </c>
      <c r="C71" s="132">
        <v>120000000</v>
      </c>
      <c r="D71" s="132">
        <f>C71</f>
        <v>120000000</v>
      </c>
      <c r="E71" s="132">
        <f>C71</f>
        <v>120000000</v>
      </c>
      <c r="F71" s="132"/>
      <c r="G71" s="164" t="s">
        <v>994</v>
      </c>
    </row>
    <row r="72" spans="2:7" ht="15.75" customHeight="1">
      <c r="B72" s="126" t="s">
        <v>60</v>
      </c>
      <c r="C72" s="127">
        <v>0</v>
      </c>
      <c r="D72" s="127">
        <v>0</v>
      </c>
      <c r="E72" s="127">
        <f>E52-E68-E70</f>
        <v>7657260541</v>
      </c>
      <c r="F72" s="132" t="s">
        <v>994</v>
      </c>
      <c r="G72" s="164" t="s">
        <v>994</v>
      </c>
    </row>
    <row r="73" spans="2:7" ht="15.75" customHeight="1">
      <c r="B73" s="126" t="s">
        <v>61</v>
      </c>
      <c r="C73" s="127">
        <v>0</v>
      </c>
      <c r="D73" s="127">
        <v>0</v>
      </c>
      <c r="E73" s="127">
        <v>0</v>
      </c>
      <c r="F73" s="132" t="s">
        <v>994</v>
      </c>
      <c r="G73" s="164"/>
    </row>
    <row r="74" spans="2:7" ht="15.75" customHeight="1">
      <c r="B74" s="126" t="s">
        <v>62</v>
      </c>
      <c r="C74" s="127">
        <v>0</v>
      </c>
      <c r="D74" s="127">
        <v>0</v>
      </c>
      <c r="E74" s="127">
        <v>0</v>
      </c>
      <c r="F74" s="132"/>
      <c r="G74" s="164"/>
    </row>
    <row r="75" spans="2:7" ht="15.75" customHeight="1">
      <c r="B75" s="126" t="s">
        <v>63</v>
      </c>
      <c r="C75" s="127">
        <f>C76</f>
        <v>20666448073</v>
      </c>
      <c r="D75" s="127">
        <f>D76</f>
        <v>12889187532</v>
      </c>
      <c r="E75" s="127">
        <v>0</v>
      </c>
      <c r="F75" s="132"/>
      <c r="G75" s="164"/>
    </row>
    <row r="76" spans="2:7" ht="15.75" customHeight="1">
      <c r="B76" s="126" t="s">
        <v>64</v>
      </c>
      <c r="C76" s="131">
        <v>20666448073</v>
      </c>
      <c r="D76" s="131">
        <f>C76-E77</f>
        <v>12889187532</v>
      </c>
      <c r="E76" s="131">
        <v>0</v>
      </c>
      <c r="F76" s="132"/>
      <c r="G76" s="164"/>
    </row>
    <row r="77" spans="2:7" ht="15.75" customHeight="1">
      <c r="B77" s="126" t="s">
        <v>65</v>
      </c>
      <c r="C77" s="127">
        <f>C70+C75</f>
        <v>20786448073</v>
      </c>
      <c r="D77" s="127">
        <f>D70+D75+D72</f>
        <v>13009187532</v>
      </c>
      <c r="E77" s="127">
        <f>E70+E75+E72</f>
        <v>7777260541</v>
      </c>
      <c r="F77" s="132"/>
      <c r="G77" s="164"/>
    </row>
    <row r="78" spans="2:7" ht="15.75" customHeight="1">
      <c r="B78" s="126" t="s">
        <v>66</v>
      </c>
      <c r="C78" s="127">
        <f>C77+C68</f>
        <v>37145487709</v>
      </c>
      <c r="D78" s="127">
        <f>D77+D68</f>
        <v>27402337076</v>
      </c>
      <c r="E78" s="127">
        <f>E77+E68</f>
        <v>9743150633</v>
      </c>
      <c r="F78" s="132"/>
      <c r="G78" s="164"/>
    </row>
    <row r="80" spans="2:7" hidden="1">
      <c r="B80" s="9" t="s">
        <v>330</v>
      </c>
      <c r="C80" s="7" t="b">
        <f>C78=C52</f>
        <v>1</v>
      </c>
      <c r="D80" s="7" t="b">
        <f>D78=D52</f>
        <v>1</v>
      </c>
      <c r="E80" s="7" t="b">
        <f>E78=E52</f>
        <v>1</v>
      </c>
    </row>
    <row r="81" spans="2:8" hidden="1">
      <c r="B81" s="9" t="s">
        <v>333</v>
      </c>
      <c r="C81" s="8">
        <f>C52-C78</f>
        <v>0</v>
      </c>
      <c r="D81" s="8">
        <f>D52-D78</f>
        <v>0</v>
      </c>
      <c r="E81" s="8">
        <f>E52-E78</f>
        <v>0</v>
      </c>
    </row>
    <row r="82" spans="2:8" hidden="1">
      <c r="C82" s="2" t="s">
        <v>904</v>
      </c>
    </row>
    <row r="83" spans="2:8" hidden="1">
      <c r="C83" s="2" t="s">
        <v>904</v>
      </c>
    </row>
    <row r="84" spans="2:8" ht="14.25" thickBot="1">
      <c r="C84" s="559" t="s">
        <v>2389</v>
      </c>
      <c r="F84" s="358" t="s">
        <v>2184</v>
      </c>
    </row>
    <row r="85" spans="2:8">
      <c r="C85" s="10" t="s">
        <v>903</v>
      </c>
      <c r="D85" s="11" t="s">
        <v>901</v>
      </c>
      <c r="E85" s="11" t="s">
        <v>900</v>
      </c>
      <c r="F85" s="12" t="s">
        <v>902</v>
      </c>
    </row>
    <row r="86" spans="2:8" ht="14.25" thickBot="1">
      <c r="C86" s="13" t="s">
        <v>899</v>
      </c>
      <c r="D86" s="59">
        <f>D52-D68</f>
        <v>13009187532</v>
      </c>
      <c r="E86" s="207">
        <f>E52-E68</f>
        <v>7777260541</v>
      </c>
      <c r="F86" s="343">
        <f>D86+E86</f>
        <v>20786448073</v>
      </c>
    </row>
    <row r="87" spans="2:8">
      <c r="E87" s="2" t="b">
        <f>E86=별첨1_승계대상자산목록!D47</f>
        <v>1</v>
      </c>
      <c r="F87" s="6" t="b">
        <f>F86=C77</f>
        <v>1</v>
      </c>
    </row>
    <row r="89" spans="2:8" ht="14.25" thickBot="1">
      <c r="C89" s="559" t="s">
        <v>2385</v>
      </c>
      <c r="F89" s="358" t="s">
        <v>2184</v>
      </c>
    </row>
    <row r="90" spans="2:8">
      <c r="C90" s="10" t="s">
        <v>903</v>
      </c>
      <c r="D90" s="11" t="s">
        <v>2177</v>
      </c>
      <c r="E90" s="11" t="s">
        <v>2178</v>
      </c>
      <c r="F90" s="345" t="s">
        <v>902</v>
      </c>
      <c r="G90" s="162" t="s">
        <v>2079</v>
      </c>
      <c r="H90" s="2" t="s">
        <v>2079</v>
      </c>
    </row>
    <row r="91" spans="2:8">
      <c r="C91" s="346" t="s">
        <v>905</v>
      </c>
      <c r="D91" s="344">
        <f>D100</f>
        <v>187978000.00000027</v>
      </c>
      <c r="E91" s="344">
        <f>E100</f>
        <v>198783381.83333355</v>
      </c>
      <c r="F91" s="347">
        <f>D91+E91</f>
        <v>386761381.83333385</v>
      </c>
    </row>
    <row r="92" spans="2:8" ht="18" customHeight="1" thickBot="1">
      <c r="C92" s="558" t="s">
        <v>2176</v>
      </c>
      <c r="D92" s="760" t="s">
        <v>2384</v>
      </c>
      <c r="E92" s="761"/>
      <c r="F92" s="762"/>
    </row>
    <row r="94" spans="2:8" ht="14.25" thickBot="1">
      <c r="C94" s="559" t="s">
        <v>2386</v>
      </c>
      <c r="F94" s="358" t="s">
        <v>2184</v>
      </c>
    </row>
    <row r="95" spans="2:8" ht="14.25" thickBot="1">
      <c r="C95" s="10" t="s">
        <v>903</v>
      </c>
      <c r="D95" s="11" t="s">
        <v>2177</v>
      </c>
      <c r="E95" s="11" t="s">
        <v>2178</v>
      </c>
      <c r="F95" s="345" t="s">
        <v>332</v>
      </c>
    </row>
    <row r="96" spans="2:8">
      <c r="C96" s="350" t="s">
        <v>2182</v>
      </c>
      <c r="D96" s="351">
        <v>388920000</v>
      </c>
      <c r="E96" s="351">
        <v>290902510</v>
      </c>
      <c r="F96" s="352"/>
    </row>
    <row r="97" spans="3:6">
      <c r="C97" s="353" t="s">
        <v>2183</v>
      </c>
      <c r="D97" s="348">
        <f>D96/5</f>
        <v>77784000</v>
      </c>
      <c r="E97" s="348">
        <f>E96/5</f>
        <v>58180502</v>
      </c>
      <c r="F97" s="354" t="s">
        <v>2179</v>
      </c>
    </row>
    <row r="98" spans="3:6">
      <c r="C98" s="353" t="s">
        <v>2180</v>
      </c>
      <c r="D98" s="349">
        <v>2.5833333333333299</v>
      </c>
      <c r="E98" s="349">
        <v>1.5833333333333299</v>
      </c>
      <c r="F98" s="354" t="s">
        <v>2179</v>
      </c>
    </row>
    <row r="99" spans="3:6">
      <c r="C99" s="353" t="s">
        <v>2181</v>
      </c>
      <c r="D99" s="348">
        <f>D97*D98</f>
        <v>200941999.99999973</v>
      </c>
      <c r="E99" s="348">
        <f>E97*E98</f>
        <v>92119128.166666463</v>
      </c>
      <c r="F99" s="355"/>
    </row>
    <row r="100" spans="3:6" ht="14.25" thickBot="1">
      <c r="C100" s="356" t="s">
        <v>2388</v>
      </c>
      <c r="D100" s="357">
        <f>D96-D99</f>
        <v>187978000.00000027</v>
      </c>
      <c r="E100" s="357">
        <f>E96-E99</f>
        <v>198783381.83333355</v>
      </c>
      <c r="F100" s="560" t="s">
        <v>2387</v>
      </c>
    </row>
    <row r="102" spans="3:6" ht="14.25" thickBot="1">
      <c r="C102" s="559" t="s">
        <v>2185</v>
      </c>
      <c r="F102" s="358" t="s">
        <v>2184</v>
      </c>
    </row>
    <row r="103" spans="3:6">
      <c r="C103" s="10" t="s">
        <v>903</v>
      </c>
      <c r="D103" s="11" t="s">
        <v>2175</v>
      </c>
      <c r="E103" s="11" t="s">
        <v>2186</v>
      </c>
      <c r="F103" s="345" t="s">
        <v>902</v>
      </c>
    </row>
    <row r="104" spans="3:6" ht="14.25" thickBot="1">
      <c r="C104" s="13" t="s">
        <v>905</v>
      </c>
      <c r="D104" s="561">
        <f>E86</f>
        <v>7777260541</v>
      </c>
      <c r="E104" s="561">
        <f>F91</f>
        <v>386761381.83333385</v>
      </c>
      <c r="F104" s="562">
        <f>D104+E104</f>
        <v>8164021922.833334</v>
      </c>
    </row>
  </sheetData>
  <mergeCells count="6">
    <mergeCell ref="D92:F92"/>
    <mergeCell ref="B5:B6"/>
    <mergeCell ref="D5:E5"/>
    <mergeCell ref="F5:F6"/>
    <mergeCell ref="G5:G6"/>
    <mergeCell ref="C5:C6"/>
  </mergeCells>
  <phoneticPr fontId="4" type="noConversion"/>
  <pageMargins left="0.47499999403953552" right="0" top="0.51458334922790527" bottom="0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1BD7-46B5-4BEC-8472-E086D786B4EB}">
  <dimension ref="A1"/>
  <sheetViews>
    <sheetView workbookViewId="0">
      <selection activeCell="F25" sqref="F25"/>
    </sheetView>
  </sheetViews>
  <sheetFormatPr defaultRowHeight="18.95" customHeight="1"/>
  <sheetData/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E2E8-C885-4989-82E5-1846176A4D1C}">
  <sheetPr>
    <tabColor theme="8" tint="0.59999389629810485"/>
  </sheetPr>
  <dimension ref="B1:N41"/>
  <sheetViews>
    <sheetView workbookViewId="0">
      <pane xSplit="2" topLeftCell="C1" activePane="topRight" state="frozen"/>
      <selection pane="topRight" activeCell="M12" sqref="M12"/>
    </sheetView>
  </sheetViews>
  <sheetFormatPr defaultColWidth="9" defaultRowHeight="13.5"/>
  <cols>
    <col min="1" max="1" width="5" style="669" customWidth="1"/>
    <col min="2" max="2" width="18.5703125" style="669" customWidth="1"/>
    <col min="3" max="6" width="15" style="669" customWidth="1"/>
    <col min="7" max="7" width="23" style="669" customWidth="1"/>
    <col min="8" max="8" width="21.28515625" style="669" customWidth="1"/>
    <col min="9" max="10" width="15" style="669" customWidth="1"/>
    <col min="11" max="11" width="21.5703125" style="669" customWidth="1"/>
    <col min="12" max="12" width="13.85546875" style="669" bestFit="1" customWidth="1"/>
    <col min="13" max="13" width="15" style="669" customWidth="1"/>
    <col min="14" max="14" width="16.5703125" style="669" customWidth="1"/>
    <col min="15" max="16384" width="9" style="669"/>
  </cols>
  <sheetData>
    <row r="1" spans="2:14">
      <c r="B1" s="677"/>
      <c r="C1" s="677"/>
      <c r="D1" s="677"/>
      <c r="E1" s="677"/>
      <c r="F1" s="677"/>
      <c r="G1" s="677"/>
      <c r="H1" s="677"/>
      <c r="I1" s="677"/>
      <c r="J1" s="677"/>
      <c r="K1" s="677"/>
      <c r="L1" s="677"/>
      <c r="M1" s="677"/>
      <c r="N1" s="677"/>
    </row>
    <row r="2" spans="2:14">
      <c r="B2" s="677"/>
      <c r="C2" s="677"/>
      <c r="D2" s="677"/>
      <c r="E2" s="677"/>
      <c r="F2" s="677"/>
      <c r="G2" s="677"/>
      <c r="H2" s="677"/>
      <c r="I2" s="677"/>
      <c r="J2" s="677"/>
      <c r="K2" s="677"/>
      <c r="L2" s="677"/>
      <c r="M2" s="677"/>
      <c r="N2" s="677"/>
    </row>
    <row r="3" spans="2:14" ht="17.25" thickBot="1">
      <c r="B3" s="690" t="s">
        <v>2472</v>
      </c>
      <c r="C3" s="840" t="s">
        <v>2232</v>
      </c>
      <c r="D3" s="840"/>
      <c r="E3" s="840"/>
      <c r="F3" s="840"/>
      <c r="G3" s="840"/>
      <c r="H3" s="677"/>
      <c r="I3" s="693" t="s">
        <v>906</v>
      </c>
      <c r="J3" s="677"/>
      <c r="L3" s="677"/>
      <c r="M3" s="677"/>
      <c r="N3" s="677"/>
    </row>
    <row r="4" spans="2:14" ht="16.5">
      <c r="B4" s="670" t="s">
        <v>2471</v>
      </c>
      <c r="C4" s="671" t="s">
        <v>2468</v>
      </c>
      <c r="D4" s="671" t="s">
        <v>2467</v>
      </c>
      <c r="E4" s="671" t="s">
        <v>2466</v>
      </c>
      <c r="F4" s="678" t="s">
        <v>2465</v>
      </c>
      <c r="G4" s="679" t="s">
        <v>2463</v>
      </c>
      <c r="H4" s="679" t="s">
        <v>2470</v>
      </c>
      <c r="I4" s="680" t="s">
        <v>2469</v>
      </c>
      <c r="J4" s="681" t="s">
        <v>2473</v>
      </c>
    </row>
    <row r="5" spans="2:14" ht="16.5">
      <c r="B5" s="673" t="s">
        <v>2474</v>
      </c>
      <c r="C5" s="674">
        <v>443367491</v>
      </c>
      <c r="D5" s="674">
        <v>435745236</v>
      </c>
      <c r="E5" s="674">
        <v>408694327</v>
      </c>
      <c r="F5" s="682">
        <v>416992900</v>
      </c>
      <c r="G5" s="683">
        <f>SUM(C5:F5)</f>
        <v>1704799954</v>
      </c>
      <c r="H5" s="684">
        <f>SUM(C5:F5)/4</f>
        <v>426199988.5</v>
      </c>
      <c r="I5" s="685">
        <f>H5*12*J5</f>
        <v>5114399862</v>
      </c>
      <c r="J5" s="746">
        <v>1</v>
      </c>
    </row>
    <row r="6" spans="2:14" s="700" customFormat="1" ht="16.5">
      <c r="B6" s="709" t="s">
        <v>2475</v>
      </c>
      <c r="C6" s="710">
        <v>70323400</v>
      </c>
      <c r="D6" s="710">
        <v>64420582</v>
      </c>
      <c r="E6" s="710">
        <v>73635184</v>
      </c>
      <c r="F6" s="711">
        <v>72756312</v>
      </c>
      <c r="G6" s="712">
        <f>SUM(C6:F6)</f>
        <v>281135478</v>
      </c>
      <c r="H6" s="703"/>
      <c r="I6" s="708">
        <f>SUM(C6:E6)/3*12*J6</f>
        <v>0</v>
      </c>
      <c r="J6" s="747"/>
    </row>
    <row r="7" spans="2:14" ht="16.5">
      <c r="B7" s="713" t="s">
        <v>2476</v>
      </c>
      <c r="C7" s="714">
        <v>194964610</v>
      </c>
      <c r="D7" s="714">
        <v>209276978</v>
      </c>
      <c r="E7" s="714">
        <v>205102209</v>
      </c>
      <c r="F7" s="715">
        <v>176986374</v>
      </c>
      <c r="G7" s="716">
        <f>SUM(C7:F7)</f>
        <v>786330171</v>
      </c>
      <c r="H7" s="683">
        <f>SUM(C7:F7)/4</f>
        <v>196582542.75</v>
      </c>
      <c r="I7" s="686">
        <f>H7*12*J7</f>
        <v>2358990513</v>
      </c>
      <c r="J7" s="746">
        <v>1</v>
      </c>
    </row>
    <row r="8" spans="2:14" ht="16.5">
      <c r="B8" s="713" t="s">
        <v>2477</v>
      </c>
      <c r="C8" s="714">
        <v>202380864</v>
      </c>
      <c r="D8" s="714">
        <v>185076727</v>
      </c>
      <c r="E8" s="714">
        <v>214789955</v>
      </c>
      <c r="F8" s="715">
        <v>177803300</v>
      </c>
      <c r="G8" s="716">
        <f>SUM(C8:F8)</f>
        <v>780050846</v>
      </c>
      <c r="H8" s="683">
        <f>SUM(C8:F8)/4</f>
        <v>195012711.5</v>
      </c>
      <c r="I8" s="686">
        <f>H8*12*J8</f>
        <v>2340152538</v>
      </c>
      <c r="J8" s="746">
        <v>1</v>
      </c>
    </row>
    <row r="9" spans="2:14" ht="16.5">
      <c r="B9" s="713" t="s">
        <v>2478</v>
      </c>
      <c r="C9" s="714">
        <v>381581127</v>
      </c>
      <c r="D9" s="714">
        <v>300275327</v>
      </c>
      <c r="E9" s="714">
        <v>261150427</v>
      </c>
      <c r="F9" s="715">
        <v>197619936</v>
      </c>
      <c r="G9" s="716">
        <f>SUM(C9:F9)</f>
        <v>1140626817</v>
      </c>
      <c r="H9" s="683">
        <f>F9</f>
        <v>197619936</v>
      </c>
      <c r="I9" s="685">
        <f>H9*12*J9</f>
        <v>2371439232</v>
      </c>
      <c r="J9" s="746">
        <v>1</v>
      </c>
    </row>
    <row r="10" spans="2:14" ht="14.25" thickBot="1">
      <c r="B10" s="717" t="s">
        <v>2463</v>
      </c>
      <c r="C10" s="718">
        <f>SUM(C5:C9)</f>
        <v>1292617492</v>
      </c>
      <c r="D10" s="718">
        <f>SUM(D5:D9)</f>
        <v>1194794850</v>
      </c>
      <c r="E10" s="718">
        <f>SUM(E5:E9)</f>
        <v>1163372102</v>
      </c>
      <c r="F10" s="719">
        <f>SUM(F5:F9)</f>
        <v>1042158822</v>
      </c>
      <c r="G10" s="720">
        <f>SUM(G5:G9)</f>
        <v>4692943266</v>
      </c>
      <c r="H10" s="687"/>
      <c r="I10" s="688"/>
    </row>
    <row r="11" spans="2:14">
      <c r="B11" s="721"/>
      <c r="C11" s="721"/>
      <c r="D11" s="721"/>
      <c r="E11" s="721"/>
      <c r="F11" s="721"/>
      <c r="G11" s="721"/>
      <c r="H11" s="677"/>
      <c r="I11" s="677"/>
      <c r="J11" s="677"/>
      <c r="K11" s="677"/>
      <c r="L11" s="677"/>
      <c r="M11" s="677"/>
      <c r="N11" s="677"/>
    </row>
    <row r="12" spans="2:14">
      <c r="B12" s="721"/>
      <c r="C12" s="721"/>
      <c r="D12" s="721"/>
      <c r="E12" s="721"/>
      <c r="F12" s="721"/>
      <c r="G12" s="721"/>
      <c r="H12" s="677"/>
      <c r="I12" s="677"/>
      <c r="J12" s="677"/>
      <c r="K12" s="677"/>
      <c r="L12" s="677"/>
      <c r="M12" s="677"/>
      <c r="N12" s="677"/>
    </row>
    <row r="13" spans="2:14" ht="17.25" thickBot="1">
      <c r="B13" s="722" t="s">
        <v>2481</v>
      </c>
      <c r="C13" s="841" t="s">
        <v>2232</v>
      </c>
      <c r="D13" s="841"/>
      <c r="E13" s="841"/>
      <c r="F13" s="841"/>
      <c r="G13" s="841"/>
      <c r="H13" s="677"/>
      <c r="I13" s="693" t="s">
        <v>906</v>
      </c>
      <c r="J13" s="677"/>
      <c r="L13" s="677"/>
      <c r="M13" s="677"/>
      <c r="N13" s="677"/>
    </row>
    <row r="14" spans="2:14" ht="16.5">
      <c r="B14" s="723" t="s">
        <v>2471</v>
      </c>
      <c r="C14" s="724" t="s">
        <v>2468</v>
      </c>
      <c r="D14" s="724" t="s">
        <v>2467</v>
      </c>
      <c r="E14" s="724" t="s">
        <v>2466</v>
      </c>
      <c r="F14" s="724" t="s">
        <v>2465</v>
      </c>
      <c r="G14" s="724" t="s">
        <v>2463</v>
      </c>
      <c r="H14" s="672" t="s">
        <v>332</v>
      </c>
      <c r="I14" s="689" t="s">
        <v>2464</v>
      </c>
      <c r="J14" s="681" t="s">
        <v>2473</v>
      </c>
      <c r="M14" s="700"/>
    </row>
    <row r="15" spans="2:14" ht="16.5">
      <c r="B15" s="713" t="s">
        <v>2474</v>
      </c>
      <c r="C15" s="714">
        <v>104385578</v>
      </c>
      <c r="D15" s="714">
        <v>97816697</v>
      </c>
      <c r="E15" s="714">
        <v>97395206</v>
      </c>
      <c r="F15" s="714">
        <v>92380256</v>
      </c>
      <c r="G15" s="714">
        <f>SUM(C15:F15)</f>
        <v>391977737</v>
      </c>
      <c r="H15" s="675"/>
      <c r="I15" s="684">
        <f>G15/4*12*J15</f>
        <v>1175933211</v>
      </c>
      <c r="J15" s="746">
        <f>J5</f>
        <v>1</v>
      </c>
      <c r="M15" s="701" t="s">
        <v>2456</v>
      </c>
    </row>
    <row r="16" spans="2:14" s="700" customFormat="1" ht="16.5">
      <c r="B16" s="709" t="s">
        <v>2475</v>
      </c>
      <c r="C16" s="725">
        <v>38874106</v>
      </c>
      <c r="D16" s="725">
        <v>29524268</v>
      </c>
      <c r="E16" s="725">
        <v>32053793</v>
      </c>
      <c r="F16" s="725">
        <v>30544787</v>
      </c>
      <c r="G16" s="725">
        <f>SUM(C16:F16)+12000000</f>
        <v>142996954</v>
      </c>
      <c r="H16" s="702" t="s">
        <v>2487</v>
      </c>
      <c r="I16" s="703"/>
      <c r="J16" s="747"/>
    </row>
    <row r="17" spans="2:13" ht="16.5">
      <c r="B17" s="713" t="s">
        <v>2476</v>
      </c>
      <c r="C17" s="714">
        <v>66967234</v>
      </c>
      <c r="D17" s="714">
        <v>55811008</v>
      </c>
      <c r="E17" s="714">
        <v>60388522</v>
      </c>
      <c r="F17" s="714">
        <v>54852463</v>
      </c>
      <c r="G17" s="714">
        <f>SUM(C17:F17)</f>
        <v>238019227</v>
      </c>
      <c r="H17" s="675"/>
      <c r="I17" s="683">
        <f>G17/4*12*J17</f>
        <v>714057681</v>
      </c>
      <c r="J17" s="746">
        <f>J7</f>
        <v>1</v>
      </c>
      <c r="M17" s="700"/>
    </row>
    <row r="18" spans="2:13" ht="16.5">
      <c r="B18" s="713" t="s">
        <v>2477</v>
      </c>
      <c r="C18" s="714">
        <v>97138942</v>
      </c>
      <c r="D18" s="714">
        <v>81996634</v>
      </c>
      <c r="E18" s="714">
        <v>82308062</v>
      </c>
      <c r="F18" s="714">
        <v>78987574</v>
      </c>
      <c r="G18" s="714">
        <f>SUM(C18:F18)</f>
        <v>340431212</v>
      </c>
      <c r="H18" s="675"/>
      <c r="I18" s="683">
        <f>G18/4*12*J18</f>
        <v>868099590.60000002</v>
      </c>
      <c r="J18" s="746">
        <v>0.85</v>
      </c>
      <c r="K18" s="669" t="s">
        <v>2490</v>
      </c>
      <c r="M18" s="700"/>
    </row>
    <row r="19" spans="2:13" ht="16.5">
      <c r="B19" s="713" t="s">
        <v>2478</v>
      </c>
      <c r="C19" s="714">
        <v>64738740</v>
      </c>
      <c r="D19" s="714">
        <v>77264291</v>
      </c>
      <c r="E19" s="714">
        <v>59991957</v>
      </c>
      <c r="F19" s="714">
        <v>55209734</v>
      </c>
      <c r="G19" s="714">
        <f>SUM(C19:F19)</f>
        <v>257204722</v>
      </c>
      <c r="H19" s="675"/>
      <c r="I19" s="683">
        <f>G19/4*12*J19</f>
        <v>771614166</v>
      </c>
      <c r="J19" s="746">
        <v>1</v>
      </c>
    </row>
    <row r="20" spans="2:13" ht="14.25" thickBot="1">
      <c r="B20" s="717" t="s">
        <v>2463</v>
      </c>
      <c r="C20" s="718">
        <f>SUM(C15:C19)</f>
        <v>372104600</v>
      </c>
      <c r="D20" s="718">
        <f>SUM(D15:D19)</f>
        <v>342412898</v>
      </c>
      <c r="E20" s="718">
        <f>SUM(E15:E19)</f>
        <v>332137540</v>
      </c>
      <c r="F20" s="718">
        <f>SUM(F15:F19)</f>
        <v>311974814</v>
      </c>
      <c r="G20" s="718">
        <f>SUM(G15:G19)</f>
        <v>1370629852</v>
      </c>
      <c r="H20" s="676"/>
      <c r="I20" s="687"/>
    </row>
    <row r="21" spans="2:13">
      <c r="B21" s="726"/>
      <c r="C21" s="726"/>
      <c r="D21" s="726"/>
      <c r="E21" s="726"/>
      <c r="F21" s="726"/>
      <c r="G21" s="726"/>
    </row>
    <row r="22" spans="2:13">
      <c r="B22" s="726"/>
      <c r="C22" s="726"/>
      <c r="D22" s="726"/>
      <c r="E22" s="726"/>
      <c r="F22" s="726"/>
      <c r="G22" s="726"/>
    </row>
    <row r="23" spans="2:13" ht="17.25" thickBot="1">
      <c r="B23" s="727" t="s">
        <v>2482</v>
      </c>
      <c r="C23" s="726"/>
      <c r="D23" s="726"/>
      <c r="E23" s="726"/>
      <c r="F23" s="728" t="s">
        <v>906</v>
      </c>
      <c r="G23" s="726"/>
    </row>
    <row r="24" spans="2:13" ht="16.5">
      <c r="B24" s="729" t="s">
        <v>2471</v>
      </c>
      <c r="C24" s="838" t="s">
        <v>2462</v>
      </c>
      <c r="D24" s="839"/>
      <c r="E24" s="730" t="s">
        <v>2461</v>
      </c>
      <c r="F24" s="699" t="s">
        <v>2460</v>
      </c>
      <c r="G24" s="731" t="s">
        <v>332</v>
      </c>
    </row>
    <row r="25" spans="2:13" ht="16.5">
      <c r="B25" s="732" t="s">
        <v>2474</v>
      </c>
      <c r="C25" s="733" t="s">
        <v>2458</v>
      </c>
      <c r="D25" s="734">
        <v>0.1</v>
      </c>
      <c r="E25" s="735">
        <v>5001350</v>
      </c>
      <c r="F25" s="448" t="s">
        <v>2457</v>
      </c>
      <c r="G25" s="691"/>
    </row>
    <row r="26" spans="2:13" s="700" customFormat="1" ht="16.5">
      <c r="B26" s="736" t="s">
        <v>2475</v>
      </c>
      <c r="C26" s="737">
        <v>57041514</v>
      </c>
      <c r="D26" s="704"/>
      <c r="E26" s="738">
        <v>26131980</v>
      </c>
      <c r="F26" s="450" t="s">
        <v>2457</v>
      </c>
      <c r="G26" s="707" t="s">
        <v>2488</v>
      </c>
    </row>
    <row r="27" spans="2:13" ht="16.5">
      <c r="B27" s="732" t="s">
        <v>2476</v>
      </c>
      <c r="C27" s="733">
        <v>2500000</v>
      </c>
      <c r="D27" s="705">
        <v>0.08</v>
      </c>
      <c r="E27" s="735" t="s">
        <v>2459</v>
      </c>
      <c r="F27" s="448" t="s">
        <v>2459</v>
      </c>
      <c r="G27" s="739" t="s">
        <v>2456</v>
      </c>
    </row>
    <row r="28" spans="2:13" ht="16.5">
      <c r="B28" s="732" t="s">
        <v>2477</v>
      </c>
      <c r="C28" s="733" t="s">
        <v>2458</v>
      </c>
      <c r="D28" s="734">
        <v>0.08</v>
      </c>
      <c r="E28" s="735">
        <v>4603720</v>
      </c>
      <c r="F28" s="448" t="s">
        <v>2457</v>
      </c>
      <c r="G28" s="691"/>
    </row>
    <row r="29" spans="2:13" ht="16.5">
      <c r="B29" s="732" t="s">
        <v>2478</v>
      </c>
      <c r="C29" s="733" t="s">
        <v>2458</v>
      </c>
      <c r="D29" s="734">
        <v>7.0000000000000007E-2</v>
      </c>
      <c r="E29" s="735" t="s">
        <v>2459</v>
      </c>
      <c r="F29" s="448" t="s">
        <v>2457</v>
      </c>
      <c r="G29" s="691"/>
    </row>
    <row r="30" spans="2:13" ht="16.5">
      <c r="B30" s="732" t="s">
        <v>2479</v>
      </c>
      <c r="C30" s="733" t="s">
        <v>2458</v>
      </c>
      <c r="D30" s="734">
        <v>7.0000000000000007E-2</v>
      </c>
      <c r="E30" s="735">
        <v>2000000</v>
      </c>
      <c r="F30" s="448" t="s">
        <v>2457</v>
      </c>
      <c r="G30" s="691"/>
    </row>
    <row r="31" spans="2:13" ht="17.25" thickBot="1">
      <c r="B31" s="740" t="s">
        <v>2480</v>
      </c>
      <c r="C31" s="741" t="s">
        <v>2456</v>
      </c>
      <c r="D31" s="742" t="s">
        <v>2456</v>
      </c>
      <c r="E31" s="743" t="s">
        <v>2456</v>
      </c>
      <c r="F31" s="706"/>
      <c r="G31" s="692"/>
    </row>
    <row r="32" spans="2:13">
      <c r="B32" s="726"/>
      <c r="C32" s="726"/>
      <c r="D32" s="726"/>
      <c r="E32" s="726"/>
      <c r="F32" s="726"/>
      <c r="G32" s="726"/>
    </row>
    <row r="33" spans="2:7">
      <c r="B33" s="726"/>
      <c r="C33" s="726"/>
      <c r="D33" s="726"/>
      <c r="E33" s="726"/>
      <c r="F33" s="726"/>
      <c r="G33" s="726"/>
    </row>
    <row r="34" spans="2:7" ht="17.25" thickBot="1">
      <c r="B34" s="744" t="s">
        <v>2489</v>
      </c>
      <c r="C34" s="726"/>
      <c r="D34" s="726"/>
      <c r="E34" s="726"/>
      <c r="F34" s="726"/>
      <c r="G34" s="726"/>
    </row>
    <row r="35" spans="2:7">
      <c r="B35" s="723" t="s">
        <v>2471</v>
      </c>
      <c r="C35" s="724" t="s">
        <v>905</v>
      </c>
      <c r="D35" s="836" t="s">
        <v>332</v>
      </c>
      <c r="E35" s="837"/>
      <c r="F35" s="726"/>
      <c r="G35" s="726"/>
    </row>
    <row r="36" spans="2:7" ht="17.25" thickBot="1">
      <c r="B36" s="717" t="s">
        <v>2475</v>
      </c>
      <c r="C36" s="718">
        <v>112500000</v>
      </c>
      <c r="D36" s="745" t="s">
        <v>2455</v>
      </c>
      <c r="E36" s="692"/>
      <c r="F36" s="726"/>
      <c r="G36" s="726"/>
    </row>
    <row r="37" spans="2:7">
      <c r="B37" s="726"/>
      <c r="C37" s="726"/>
      <c r="D37" s="726"/>
      <c r="E37" s="726"/>
      <c r="F37" s="726"/>
      <c r="G37" s="726"/>
    </row>
    <row r="38" spans="2:7">
      <c r="B38" s="726"/>
      <c r="C38" s="726"/>
      <c r="D38" s="726"/>
      <c r="E38" s="726"/>
      <c r="F38" s="726"/>
      <c r="G38" s="726"/>
    </row>
    <row r="39" spans="2:7">
      <c r="B39" s="726"/>
      <c r="C39" s="726"/>
      <c r="D39" s="726"/>
      <c r="E39" s="726"/>
      <c r="F39" s="726"/>
      <c r="G39" s="726"/>
    </row>
    <row r="40" spans="2:7">
      <c r="B40" s="726"/>
      <c r="C40" s="726"/>
      <c r="D40" s="726"/>
      <c r="E40" s="726"/>
      <c r="F40" s="726"/>
      <c r="G40" s="726"/>
    </row>
    <row r="41" spans="2:7">
      <c r="B41" s="726"/>
      <c r="C41" s="726"/>
      <c r="D41" s="726"/>
      <c r="E41" s="726"/>
      <c r="F41" s="726"/>
      <c r="G41" s="726"/>
    </row>
  </sheetData>
  <mergeCells count="4">
    <mergeCell ref="D35:E35"/>
    <mergeCell ref="C24:D24"/>
    <mergeCell ref="C3:G3"/>
    <mergeCell ref="C13:G13"/>
  </mergeCells>
  <phoneticPr fontId="4" type="noConversion"/>
  <pageMargins left="0.51181102362204722" right="0" top="0.74803149606299213" bottom="0.74803149606299213" header="0.31496062992125984" footer="0.31496062992125984"/>
  <pageSetup paperSize="9" scale="83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906CA-676A-483A-A2B0-AABA186E9A35}">
  <sheetPr>
    <tabColor theme="5" tint="0.79998168889431442"/>
    <outlinePr summaryBelow="0" summaryRight="0"/>
    <pageSetUpPr autoPageBreaks="0"/>
  </sheetPr>
  <dimension ref="A1:M55"/>
  <sheetViews>
    <sheetView zoomScale="110" zoomScaleNormal="110" workbookViewId="0">
      <pane xSplit="1" ySplit="5" topLeftCell="B6" activePane="bottomRight" state="frozen"/>
      <selection activeCell="R15" sqref="R15"/>
      <selection pane="topRight" activeCell="R15" sqref="R15"/>
      <selection pane="bottomLeft" activeCell="R15" sqref="R15"/>
      <selection pane="bottomRight" activeCell="C17" sqref="A17:C17"/>
    </sheetView>
  </sheetViews>
  <sheetFormatPr defaultColWidth="9.140625" defaultRowHeight="12.75"/>
  <cols>
    <col min="1" max="1" width="19" style="19" customWidth="1"/>
    <col min="2" max="3" width="17.7109375" style="19" customWidth="1"/>
    <col min="4" max="4" width="19" style="19" customWidth="1"/>
    <col min="5" max="5" width="15.7109375" style="19" customWidth="1"/>
    <col min="6" max="6" width="12.7109375" style="19" customWidth="1"/>
    <col min="7" max="7" width="15.7109375" style="19" customWidth="1"/>
    <col min="8" max="8" width="13.7109375" style="19" customWidth="1"/>
    <col min="9" max="11" width="15.7109375" style="19" customWidth="1"/>
    <col min="12" max="12" width="13.5703125" style="19" customWidth="1"/>
    <col min="13" max="13" width="14.42578125" style="19" customWidth="1"/>
    <col min="14" max="16384" width="9.140625" style="19"/>
  </cols>
  <sheetData>
    <row r="1" spans="1:13" ht="30.75" customHeight="1">
      <c r="A1" s="588" t="s">
        <v>255</v>
      </c>
      <c r="B1" s="588"/>
      <c r="C1" s="588"/>
      <c r="D1" s="588"/>
      <c r="E1" s="588"/>
      <c r="F1" s="588"/>
      <c r="G1" s="588"/>
      <c r="H1" s="588"/>
      <c r="I1" s="588"/>
      <c r="J1" s="588"/>
      <c r="K1" s="588"/>
      <c r="L1" s="588"/>
      <c r="M1" s="588"/>
    </row>
    <row r="2" spans="1:13" ht="15" customHeight="1">
      <c r="A2" s="589" t="s">
        <v>2087</v>
      </c>
      <c r="B2" s="589"/>
      <c r="C2" s="589"/>
      <c r="D2" s="589"/>
      <c r="E2" s="589"/>
      <c r="F2" s="589"/>
      <c r="G2" s="589"/>
      <c r="H2" s="589"/>
      <c r="I2" s="589"/>
      <c r="J2" s="589"/>
      <c r="K2" s="589"/>
      <c r="L2" s="589"/>
      <c r="M2" s="589"/>
    </row>
    <row r="3" spans="1:13" ht="15" customHeight="1" thickBot="1">
      <c r="A3" s="20" t="s">
        <v>2086</v>
      </c>
    </row>
    <row r="4" spans="1:13" ht="16.7" customHeight="1">
      <c r="A4" s="842" t="s">
        <v>919</v>
      </c>
      <c r="B4" s="844" t="s">
        <v>920</v>
      </c>
      <c r="C4" s="845"/>
      <c r="D4" s="844" t="s">
        <v>2085</v>
      </c>
      <c r="E4" s="845"/>
      <c r="F4" s="844" t="s">
        <v>2084</v>
      </c>
      <c r="G4" s="845"/>
      <c r="H4" s="844" t="s">
        <v>2083</v>
      </c>
      <c r="I4" s="845"/>
      <c r="J4" s="844" t="s">
        <v>2082</v>
      </c>
      <c r="K4" s="845"/>
      <c r="L4" s="844" t="s">
        <v>2081</v>
      </c>
      <c r="M4" s="845"/>
    </row>
    <row r="5" spans="1:13" ht="16.7" customHeight="1" thickBot="1">
      <c r="A5" s="843"/>
      <c r="B5" s="846" t="s">
        <v>256</v>
      </c>
      <c r="C5" s="847"/>
      <c r="D5" s="846" t="s">
        <v>256</v>
      </c>
      <c r="E5" s="847"/>
      <c r="F5" s="846" t="s">
        <v>256</v>
      </c>
      <c r="G5" s="847"/>
      <c r="H5" s="846" t="s">
        <v>256</v>
      </c>
      <c r="I5" s="847"/>
      <c r="J5" s="846" t="s">
        <v>256</v>
      </c>
      <c r="K5" s="847"/>
      <c r="L5" s="846" t="s">
        <v>256</v>
      </c>
      <c r="M5" s="847"/>
    </row>
    <row r="6" spans="1:13" ht="16.7" customHeight="1">
      <c r="A6" s="21" t="s">
        <v>922</v>
      </c>
      <c r="B6" s="24"/>
      <c r="C6" s="25">
        <f>SUM(B7:B8)</f>
        <v>13032465838</v>
      </c>
      <c r="D6" s="22"/>
      <c r="E6" s="250">
        <f>SUM(D7:D8)</f>
        <v>6651954576</v>
      </c>
      <c r="F6" s="22"/>
      <c r="G6" s="23">
        <f>SUM(F7:F8)</f>
        <v>1323358997</v>
      </c>
      <c r="H6" s="22"/>
      <c r="I6" s="23">
        <f>SUM(H7:H8)</f>
        <v>2345285192</v>
      </c>
      <c r="J6" s="22"/>
      <c r="K6" s="23">
        <f>SUM(J7:J8)</f>
        <v>2435826273</v>
      </c>
      <c r="L6" s="243"/>
      <c r="M6" s="23">
        <f>SUM(L7:L8)</f>
        <v>276040800</v>
      </c>
    </row>
    <row r="7" spans="1:13" ht="16.7" customHeight="1">
      <c r="A7" s="26" t="s">
        <v>923</v>
      </c>
      <c r="B7" s="28">
        <f>SUM(D7+F7+H7+J7+L7)</f>
        <v>13032465838</v>
      </c>
      <c r="C7" s="25"/>
      <c r="D7" s="572">
        <f>'1호점'!N7</f>
        <v>6651954576</v>
      </c>
      <c r="E7" s="573"/>
      <c r="F7" s="572">
        <f>'2호점'!N7</f>
        <v>1323358997</v>
      </c>
      <c r="G7" s="573"/>
      <c r="H7" s="572">
        <f>'3호점'!N7</f>
        <v>2345285192</v>
      </c>
      <c r="I7" s="573"/>
      <c r="J7" s="572">
        <f>'4호점'!N7</f>
        <v>2435826273</v>
      </c>
      <c r="K7" s="573"/>
      <c r="L7" s="574">
        <v>276040800</v>
      </c>
      <c r="M7" s="573"/>
    </row>
    <row r="8" spans="1:13" ht="16.7" customHeight="1">
      <c r="A8" s="26" t="s">
        <v>924</v>
      </c>
      <c r="B8" s="28">
        <f>SUM(D8+F8+H8+J8)</f>
        <v>0</v>
      </c>
      <c r="C8" s="25"/>
      <c r="D8" s="27">
        <f>'1호점'!N8</f>
        <v>0</v>
      </c>
      <c r="E8" s="23"/>
      <c r="F8" s="27">
        <f>'2호점'!N8</f>
        <v>0</v>
      </c>
      <c r="G8" s="23"/>
      <c r="H8" s="27">
        <f>'3호점'!N8</f>
        <v>0</v>
      </c>
      <c r="I8" s="23"/>
      <c r="J8" s="27">
        <f>'4호점'!N8</f>
        <v>0</v>
      </c>
      <c r="K8" s="23"/>
      <c r="L8" s="249"/>
      <c r="M8" s="23"/>
    </row>
    <row r="9" spans="1:13" ht="16.7" customHeight="1">
      <c r="A9" s="21" t="s">
        <v>925</v>
      </c>
      <c r="B9" s="30"/>
      <c r="C9" s="25">
        <f>C10</f>
        <v>4507776710</v>
      </c>
      <c r="D9" s="29" t="s">
        <v>904</v>
      </c>
      <c r="E9" s="23">
        <f>E10</f>
        <v>2298630375</v>
      </c>
      <c r="F9" s="29" t="s">
        <v>904</v>
      </c>
      <c r="G9" s="23">
        <f>G10</f>
        <v>437429276</v>
      </c>
      <c r="H9" s="29" t="s">
        <v>904</v>
      </c>
      <c r="I9" s="23">
        <f>I10</f>
        <v>929706124</v>
      </c>
      <c r="J9" s="29" t="s">
        <v>904</v>
      </c>
      <c r="K9" s="23">
        <f>K10</f>
        <v>698912728</v>
      </c>
      <c r="L9" s="244"/>
      <c r="M9" s="23">
        <f>M10</f>
        <v>143098207</v>
      </c>
    </row>
    <row r="10" spans="1:13" ht="16.7" customHeight="1">
      <c r="A10" s="21" t="s">
        <v>926</v>
      </c>
      <c r="B10" s="24"/>
      <c r="C10" s="25">
        <f>B11+B12-B13</f>
        <v>4507776710</v>
      </c>
      <c r="D10" s="22" t="s">
        <v>904</v>
      </c>
      <c r="E10" s="23">
        <f>D11+D12-D13</f>
        <v>2298630375</v>
      </c>
      <c r="F10" s="22" t="s">
        <v>904</v>
      </c>
      <c r="G10" s="23">
        <f>F11+F12-F13</f>
        <v>437429276</v>
      </c>
      <c r="H10" s="22" t="s">
        <v>904</v>
      </c>
      <c r="I10" s="23">
        <f>H11+H12-H13</f>
        <v>929706124</v>
      </c>
      <c r="J10" s="22" t="s">
        <v>904</v>
      </c>
      <c r="K10" s="23">
        <f>J11+J12-J13</f>
        <v>698912728</v>
      </c>
      <c r="L10" s="244"/>
      <c r="M10" s="23">
        <f>L11+L12-L13</f>
        <v>143098207</v>
      </c>
    </row>
    <row r="11" spans="1:13" ht="16.7" customHeight="1">
      <c r="A11" s="26" t="s">
        <v>927</v>
      </c>
      <c r="B11" s="28">
        <f>D11+F11</f>
        <v>13711156</v>
      </c>
      <c r="C11" s="25"/>
      <c r="D11" s="27">
        <f>'1호점'!B11</f>
        <v>7591164</v>
      </c>
      <c r="E11" s="23"/>
      <c r="F11" s="27">
        <f>'2호점'!B11</f>
        <v>6119992</v>
      </c>
      <c r="G11" s="23"/>
      <c r="H11" s="27">
        <f>'3호점'!N11</f>
        <v>0</v>
      </c>
      <c r="I11" s="23"/>
      <c r="J11" s="27">
        <f>'4호점'!N11</f>
        <v>0</v>
      </c>
      <c r="K11" s="23"/>
      <c r="L11" s="244"/>
      <c r="M11" s="23"/>
    </row>
    <row r="12" spans="1:13" s="581" customFormat="1" ht="16.7" customHeight="1">
      <c r="A12" s="575" t="s">
        <v>928</v>
      </c>
      <c r="B12" s="579">
        <f>SUM(D12+F12+H12+J12+L12)</f>
        <v>4534062975</v>
      </c>
      <c r="C12" s="580"/>
      <c r="D12" s="576">
        <f>'1호점'!N12</f>
        <v>2305403850</v>
      </c>
      <c r="E12" s="577"/>
      <c r="F12" s="576">
        <f>'2호점'!N12</f>
        <v>439711839</v>
      </c>
      <c r="G12" s="577"/>
      <c r="H12" s="576">
        <f>'3호점'!N12</f>
        <v>932616747</v>
      </c>
      <c r="I12" s="577"/>
      <c r="J12" s="576">
        <f>'4호점'!N12</f>
        <v>707302668</v>
      </c>
      <c r="K12" s="577"/>
      <c r="L12" s="578">
        <v>149027871</v>
      </c>
      <c r="M12" s="577"/>
    </row>
    <row r="13" spans="1:13" ht="16.7" customHeight="1">
      <c r="A13" s="26" t="s">
        <v>929</v>
      </c>
      <c r="B13" s="28">
        <f>SUM(D13+F13+H13+J13+L13)</f>
        <v>39997421</v>
      </c>
      <c r="C13" s="25"/>
      <c r="D13" s="27">
        <f>'1호점'!N13</f>
        <v>14364639</v>
      </c>
      <c r="E13" s="23"/>
      <c r="F13" s="31">
        <f>'2호점'!N13</f>
        <v>8402555</v>
      </c>
      <c r="G13" s="23"/>
      <c r="H13" s="31">
        <f>'3호점'!N13</f>
        <v>2910623</v>
      </c>
      <c r="I13" s="23"/>
      <c r="J13" s="31">
        <f>'4호점'!N13</f>
        <v>8389940</v>
      </c>
      <c r="K13" s="23"/>
      <c r="L13" s="248">
        <v>5929664</v>
      </c>
      <c r="M13" s="23"/>
    </row>
    <row r="14" spans="1:13" ht="16.7" customHeight="1">
      <c r="A14" s="21" t="s">
        <v>930</v>
      </c>
      <c r="B14" s="30"/>
      <c r="C14" s="33">
        <f>C6-C9</f>
        <v>8524689128</v>
      </c>
      <c r="D14" s="29" t="s">
        <v>904</v>
      </c>
      <c r="E14" s="32">
        <f>E6-E9</f>
        <v>4353324201</v>
      </c>
      <c r="F14" s="29" t="s">
        <v>904</v>
      </c>
      <c r="G14" s="32">
        <f>G6-G9</f>
        <v>885929721</v>
      </c>
      <c r="H14" s="29" t="s">
        <v>904</v>
      </c>
      <c r="I14" s="32">
        <f>I6-I9</f>
        <v>1415579068</v>
      </c>
      <c r="J14" s="29" t="s">
        <v>904</v>
      </c>
      <c r="K14" s="32">
        <f>K6-K9</f>
        <v>1736913545</v>
      </c>
      <c r="L14" s="244"/>
      <c r="M14" s="32">
        <f>M6-M9</f>
        <v>132942593</v>
      </c>
    </row>
    <row r="15" spans="1:13" ht="16.7" customHeight="1">
      <c r="A15" s="21" t="s">
        <v>931</v>
      </c>
      <c r="B15" s="24"/>
      <c r="C15" s="25">
        <f>SUM(B16:B52)</f>
        <v>9650373864</v>
      </c>
      <c r="D15" s="22" t="s">
        <v>904</v>
      </c>
      <c r="E15" s="23">
        <f>SUM(D16:D52)</f>
        <v>4013861075</v>
      </c>
      <c r="F15" s="22" t="s">
        <v>904</v>
      </c>
      <c r="G15" s="23">
        <f>SUM(F16:F52)</f>
        <v>2186828057</v>
      </c>
      <c r="H15" s="22" t="s">
        <v>904</v>
      </c>
      <c r="I15" s="23">
        <f>SUM(H16:H52)</f>
        <v>1307911633</v>
      </c>
      <c r="J15" s="22" t="s">
        <v>904</v>
      </c>
      <c r="K15" s="23">
        <f>SUM(J16:J52)</f>
        <v>1995445130</v>
      </c>
      <c r="L15" s="244"/>
      <c r="M15" s="23">
        <f>SUM(L16:L52)</f>
        <v>146327969</v>
      </c>
    </row>
    <row r="16" spans="1:13" ht="16.7" customHeight="1">
      <c r="A16" s="26" t="s">
        <v>932</v>
      </c>
      <c r="B16" s="28">
        <f>SUM(D16+F16+H16+J16+L16)</f>
        <v>3191338332</v>
      </c>
      <c r="C16" s="25"/>
      <c r="D16" s="27">
        <f>'1호점'!N16</f>
        <v>1076064918</v>
      </c>
      <c r="E16" s="23"/>
      <c r="F16" s="27">
        <f>'2호점'!N16</f>
        <v>897522964</v>
      </c>
      <c r="G16" s="23"/>
      <c r="H16" s="27">
        <f>'3호점'!N16</f>
        <v>341857630</v>
      </c>
      <c r="I16" s="23"/>
      <c r="J16" s="27">
        <f>'4호점'!N16</f>
        <v>826432509</v>
      </c>
      <c r="K16" s="23"/>
      <c r="L16" s="244">
        <v>49460311</v>
      </c>
      <c r="M16" s="23"/>
    </row>
    <row r="17" spans="1:13" ht="16.7" customHeight="1">
      <c r="A17" s="26" t="s">
        <v>933</v>
      </c>
      <c r="B17" s="28">
        <f>SUM(D17+F17+H17+J17+L17)</f>
        <v>16429000</v>
      </c>
      <c r="C17" s="25"/>
      <c r="D17" s="27">
        <f>'1호점'!N17</f>
        <v>7429000</v>
      </c>
      <c r="E17" s="23"/>
      <c r="F17" s="27">
        <f>'2호점'!N17</f>
        <v>1000000</v>
      </c>
      <c r="G17" s="23"/>
      <c r="H17" s="27">
        <f>'3호점'!N17</f>
        <v>5600000</v>
      </c>
      <c r="I17" s="23"/>
      <c r="J17" s="27">
        <f>'4호점'!N17</f>
        <v>2400000</v>
      </c>
      <c r="K17" s="23"/>
      <c r="L17" s="245"/>
      <c r="M17" s="23"/>
    </row>
    <row r="18" spans="1:13" ht="16.7" customHeight="1">
      <c r="A18" s="26" t="s">
        <v>2021</v>
      </c>
      <c r="B18" s="28"/>
      <c r="C18" s="25"/>
      <c r="D18" s="27"/>
      <c r="E18" s="23"/>
      <c r="F18" s="27"/>
      <c r="G18" s="23"/>
      <c r="H18" s="27"/>
      <c r="I18" s="23"/>
      <c r="J18" s="27"/>
      <c r="K18" s="23"/>
      <c r="L18" s="245"/>
      <c r="M18" s="23"/>
    </row>
    <row r="19" spans="1:13" ht="16.7" customHeight="1">
      <c r="A19" s="26" t="s">
        <v>2216</v>
      </c>
      <c r="B19" s="28">
        <f>SUM(D19+F19+H19+J19+L19)</f>
        <v>414868962</v>
      </c>
      <c r="C19" s="25"/>
      <c r="D19" s="27">
        <f>'1호점'!N18</f>
        <v>294473780</v>
      </c>
      <c r="E19" s="23"/>
      <c r="F19" s="27">
        <f>'2호점'!N18</f>
        <v>67517500</v>
      </c>
      <c r="G19" s="23"/>
      <c r="H19" s="27">
        <f>'3호점'!N18</f>
        <v>30027500</v>
      </c>
      <c r="I19" s="23"/>
      <c r="J19" s="27">
        <f>'4호점'!N18</f>
        <v>17541000</v>
      </c>
      <c r="K19" s="23"/>
      <c r="L19" s="245">
        <v>5309182</v>
      </c>
      <c r="M19" s="23"/>
    </row>
    <row r="20" spans="1:13" ht="16.7" customHeight="1">
      <c r="A20" s="26" t="s">
        <v>935</v>
      </c>
      <c r="B20" s="28">
        <f>SUM(D20+F20+H20+J20+L20)</f>
        <v>174925583</v>
      </c>
      <c r="C20" s="25"/>
      <c r="D20" s="27">
        <f>'1호점'!N19</f>
        <v>151765913</v>
      </c>
      <c r="E20" s="23"/>
      <c r="F20" s="27">
        <f>'2호점'!N19</f>
        <v>16290861</v>
      </c>
      <c r="G20" s="23"/>
      <c r="H20" s="27">
        <f>'3호점'!N19</f>
        <v>6496261</v>
      </c>
      <c r="I20" s="23"/>
      <c r="J20" s="27">
        <f>'4호점'!N19</f>
        <v>0</v>
      </c>
      <c r="K20" s="23"/>
      <c r="L20" s="244">
        <v>372548</v>
      </c>
      <c r="M20" s="23"/>
    </row>
    <row r="21" spans="1:13" ht="16.7" customHeight="1">
      <c r="A21" s="26" t="s">
        <v>2022</v>
      </c>
      <c r="B21" s="28"/>
      <c r="C21" s="25"/>
      <c r="D21" s="27"/>
      <c r="E21" s="23"/>
      <c r="F21" s="27"/>
      <c r="G21" s="23"/>
      <c r="H21" s="27"/>
      <c r="I21" s="23"/>
      <c r="J21" s="27"/>
      <c r="K21" s="23"/>
      <c r="L21" s="244"/>
      <c r="M21" s="23"/>
    </row>
    <row r="22" spans="1:13" ht="16.7" customHeight="1">
      <c r="A22" s="26" t="s">
        <v>936</v>
      </c>
      <c r="B22" s="28">
        <f t="shared" ref="B22:B32" si="0">SUM(D22+F22+H22+J22+L22)</f>
        <v>254318559</v>
      </c>
      <c r="C22" s="25"/>
      <c r="D22" s="27">
        <f>'1호점'!N20</f>
        <v>128553840</v>
      </c>
      <c r="E22" s="23"/>
      <c r="F22" s="27">
        <f>'2호점'!N20</f>
        <v>49437714</v>
      </c>
      <c r="G22" s="23"/>
      <c r="H22" s="27">
        <f>'3호점'!N20</f>
        <v>31439157</v>
      </c>
      <c r="I22" s="23"/>
      <c r="J22" s="27">
        <f>'4호점'!N20</f>
        <v>44316178</v>
      </c>
      <c r="K22" s="23"/>
      <c r="L22" s="244">
        <v>571670</v>
      </c>
      <c r="M22" s="23"/>
    </row>
    <row r="23" spans="1:13" ht="16.7" customHeight="1">
      <c r="A23" s="26" t="s">
        <v>937</v>
      </c>
      <c r="B23" s="28">
        <f t="shared" si="0"/>
        <v>1587507</v>
      </c>
      <c r="C23" s="25"/>
      <c r="D23" s="27">
        <f>'1호점'!N21</f>
        <v>450837</v>
      </c>
      <c r="E23" s="23"/>
      <c r="F23" s="27">
        <f>'2호점'!N21</f>
        <v>148900</v>
      </c>
      <c r="G23" s="23"/>
      <c r="H23" s="27">
        <f>'3호점'!N21</f>
        <v>272300</v>
      </c>
      <c r="I23" s="23"/>
      <c r="J23" s="27">
        <f>'4호점'!N21</f>
        <v>715470</v>
      </c>
      <c r="K23" s="23"/>
      <c r="L23" s="243"/>
      <c r="M23" s="23"/>
    </row>
    <row r="24" spans="1:13" ht="16.7" customHeight="1">
      <c r="A24" s="26" t="s">
        <v>938</v>
      </c>
      <c r="B24" s="28">
        <f t="shared" si="0"/>
        <v>471779</v>
      </c>
      <c r="C24" s="25"/>
      <c r="D24" s="27">
        <f>'1호점'!N22</f>
        <v>0</v>
      </c>
      <c r="E24" s="23"/>
      <c r="F24" s="27">
        <f>'2호점'!N22</f>
        <v>171779</v>
      </c>
      <c r="G24" s="23"/>
      <c r="H24" s="27">
        <f>'3호점'!N22</f>
        <v>0</v>
      </c>
      <c r="I24" s="23"/>
      <c r="J24" s="27">
        <f>'4호점'!N22</f>
        <v>300000</v>
      </c>
      <c r="K24" s="23"/>
      <c r="L24" s="243"/>
      <c r="M24" s="23"/>
    </row>
    <row r="25" spans="1:13" ht="16.7" customHeight="1">
      <c r="A25" s="26" t="s">
        <v>939</v>
      </c>
      <c r="B25" s="28">
        <f t="shared" si="0"/>
        <v>2887270</v>
      </c>
      <c r="C25" s="25"/>
      <c r="D25" s="27">
        <f>'1호점'!N23</f>
        <v>1044475</v>
      </c>
      <c r="E25" s="23"/>
      <c r="F25" s="27">
        <f>'2호점'!N23</f>
        <v>1050843</v>
      </c>
      <c r="G25" s="23"/>
      <c r="H25" s="27">
        <f>'3호점'!N23</f>
        <v>659552</v>
      </c>
      <c r="I25" s="23"/>
      <c r="J25" s="27">
        <f>'4호점'!N23</f>
        <v>132400</v>
      </c>
      <c r="K25" s="23"/>
      <c r="L25" s="243"/>
      <c r="M25" s="23"/>
    </row>
    <row r="26" spans="1:13" ht="16.7" customHeight="1">
      <c r="A26" s="26" t="s">
        <v>940</v>
      </c>
      <c r="B26" s="28">
        <f t="shared" si="0"/>
        <v>58905598</v>
      </c>
      <c r="C26" s="25"/>
      <c r="D26" s="27">
        <f>'1호점'!N24</f>
        <v>17445659</v>
      </c>
      <c r="E26" s="23"/>
      <c r="F26" s="27">
        <f>'2호점'!N24</f>
        <v>28258543</v>
      </c>
      <c r="G26" s="23"/>
      <c r="H26" s="27">
        <f>'3호점'!N24</f>
        <v>0</v>
      </c>
      <c r="I26" s="23"/>
      <c r="J26" s="27">
        <f>'4호점'!N24</f>
        <v>13201396</v>
      </c>
      <c r="K26" s="23"/>
      <c r="L26" s="243"/>
      <c r="M26" s="23"/>
    </row>
    <row r="27" spans="1:13" ht="16.7" customHeight="1">
      <c r="A27" s="26" t="s">
        <v>941</v>
      </c>
      <c r="B27" s="28">
        <f t="shared" si="0"/>
        <v>75984256</v>
      </c>
      <c r="C27" s="25"/>
      <c r="D27" s="27">
        <f>'1호점'!N25</f>
        <v>21296751</v>
      </c>
      <c r="E27" s="23"/>
      <c r="F27" s="27">
        <f>'2호점'!N25</f>
        <v>27886124</v>
      </c>
      <c r="G27" s="23"/>
      <c r="H27" s="27">
        <f>'3호점'!N25</f>
        <v>0</v>
      </c>
      <c r="I27" s="23"/>
      <c r="J27" s="27">
        <f>'4호점'!N25</f>
        <v>26502122</v>
      </c>
      <c r="K27" s="23"/>
      <c r="L27" s="243">
        <v>299259</v>
      </c>
      <c r="M27" s="23"/>
    </row>
    <row r="28" spans="1:13" ht="16.7" customHeight="1">
      <c r="A28" s="26" t="s">
        <v>2217</v>
      </c>
      <c r="B28" s="28">
        <f t="shared" si="0"/>
        <v>88198260</v>
      </c>
      <c r="C28" s="25"/>
      <c r="D28" s="27">
        <f>'1호점'!N26</f>
        <v>35443420</v>
      </c>
      <c r="E28" s="23"/>
      <c r="F28" s="27">
        <f>'2호점'!N26</f>
        <v>8589260</v>
      </c>
      <c r="G28" s="23"/>
      <c r="H28" s="27">
        <f>'3호점'!N26</f>
        <v>14602870</v>
      </c>
      <c r="I28" s="23"/>
      <c r="J28" s="27">
        <f>'4호점'!N26</f>
        <v>28527080</v>
      </c>
      <c r="K28" s="23"/>
      <c r="L28" s="243">
        <v>1035630</v>
      </c>
      <c r="M28" s="23"/>
    </row>
    <row r="29" spans="1:13" ht="16.7" customHeight="1">
      <c r="A29" s="582" t="s">
        <v>957</v>
      </c>
      <c r="B29" s="586">
        <f t="shared" si="0"/>
        <v>1463258254</v>
      </c>
      <c r="C29" s="587"/>
      <c r="D29" s="583">
        <f>'별첨4_분할명세(고정자산)'!Q205</f>
        <v>422731146</v>
      </c>
      <c r="E29" s="584"/>
      <c r="F29" s="583">
        <f>'별첨4_분할명세(고정자산)'!Q206</f>
        <v>411435269</v>
      </c>
      <c r="G29" s="584"/>
      <c r="H29" s="583">
        <f>'별첨4_분할명세(고정자산)'!Q207</f>
        <v>242854773</v>
      </c>
      <c r="I29" s="584"/>
      <c r="J29" s="583">
        <f>'별첨4_분할명세(고정자산)'!Q208</f>
        <v>358604550</v>
      </c>
      <c r="K29" s="584"/>
      <c r="L29" s="585">
        <f>'별첨4_분할명세(고정자산)'!Q209</f>
        <v>27632516</v>
      </c>
      <c r="M29" s="584"/>
    </row>
    <row r="30" spans="1:13" ht="16.7" customHeight="1">
      <c r="A30" s="26" t="s">
        <v>943</v>
      </c>
      <c r="B30" s="28">
        <f t="shared" si="0"/>
        <v>1027923486</v>
      </c>
      <c r="C30" s="25"/>
      <c r="D30" s="27">
        <f>'1호점'!N28</f>
        <v>688051610</v>
      </c>
      <c r="E30" s="23"/>
      <c r="F30" s="27">
        <f>'2호점'!N28</f>
        <v>109451225</v>
      </c>
      <c r="G30" s="23"/>
      <c r="H30" s="27">
        <f>'3호점'!N28</f>
        <v>16068219</v>
      </c>
      <c r="I30" s="23"/>
      <c r="J30" s="27">
        <f>'4호점'!N28</f>
        <v>195181757</v>
      </c>
      <c r="K30" s="23"/>
      <c r="L30" s="243">
        <v>19170675</v>
      </c>
      <c r="M30" s="23"/>
    </row>
    <row r="31" spans="1:13" ht="16.7" customHeight="1">
      <c r="A31" s="26" t="s">
        <v>944</v>
      </c>
      <c r="B31" s="28">
        <f t="shared" si="0"/>
        <v>17682913</v>
      </c>
      <c r="C31" s="25"/>
      <c r="D31" s="27">
        <f>'1호점'!N29</f>
        <v>5650640</v>
      </c>
      <c r="E31" s="23"/>
      <c r="F31" s="27">
        <f>'2호점'!N29</f>
        <v>5700000</v>
      </c>
      <c r="G31" s="23"/>
      <c r="H31" s="27">
        <f>'3호점'!N29</f>
        <v>760000</v>
      </c>
      <c r="I31" s="23"/>
      <c r="J31" s="27">
        <f>'4호점'!N29</f>
        <v>5572273</v>
      </c>
      <c r="K31" s="23"/>
      <c r="L31" s="243"/>
      <c r="M31" s="23"/>
    </row>
    <row r="32" spans="1:13" ht="16.7" customHeight="1">
      <c r="A32" s="26" t="s">
        <v>945</v>
      </c>
      <c r="B32" s="28">
        <f t="shared" si="0"/>
        <v>22631729</v>
      </c>
      <c r="C32" s="25"/>
      <c r="D32" s="27">
        <f>'1호점'!N30</f>
        <v>8807773</v>
      </c>
      <c r="E32" s="23"/>
      <c r="F32" s="27">
        <f>'2호점'!N30</f>
        <v>2765160</v>
      </c>
      <c r="G32" s="23"/>
      <c r="H32" s="27">
        <f>'3호점'!N30</f>
        <v>4776376</v>
      </c>
      <c r="I32" s="23"/>
      <c r="J32" s="27">
        <f>'4호점'!N30</f>
        <v>6061710</v>
      </c>
      <c r="K32" s="23"/>
      <c r="L32" s="243">
        <v>220710</v>
      </c>
      <c r="M32" s="23"/>
    </row>
    <row r="33" spans="1:13" ht="16.7" customHeight="1">
      <c r="A33" s="26" t="s">
        <v>963</v>
      </c>
      <c r="B33" s="28"/>
      <c r="C33" s="25"/>
      <c r="D33" s="27"/>
      <c r="E33" s="23"/>
      <c r="F33" s="27"/>
      <c r="G33" s="23"/>
      <c r="H33" s="27"/>
      <c r="I33" s="23"/>
      <c r="J33" s="27"/>
      <c r="K33" s="23"/>
      <c r="L33" s="243"/>
      <c r="M33" s="23"/>
    </row>
    <row r="34" spans="1:13" ht="16.7" customHeight="1">
      <c r="A34" s="26" t="s">
        <v>2018</v>
      </c>
      <c r="B34" s="28"/>
      <c r="C34" s="25"/>
      <c r="D34" s="27"/>
      <c r="E34" s="23"/>
      <c r="F34" s="27"/>
      <c r="G34" s="23"/>
      <c r="H34" s="27"/>
      <c r="I34" s="23"/>
      <c r="J34" s="27"/>
      <c r="K34" s="23"/>
      <c r="L34" s="243"/>
      <c r="M34" s="23"/>
    </row>
    <row r="35" spans="1:13" ht="16.7" customHeight="1">
      <c r="A35" s="26" t="s">
        <v>946</v>
      </c>
      <c r="B35" s="28">
        <f t="shared" ref="B35:B42" si="1">SUM(D35+F35+H35+J35+L35)</f>
        <v>1532375</v>
      </c>
      <c r="C35" s="25"/>
      <c r="D35" s="27">
        <f>'1호점'!N31</f>
        <v>1499184</v>
      </c>
      <c r="E35" s="23"/>
      <c r="F35" s="27">
        <f>'2호점'!N31</f>
        <v>12000</v>
      </c>
      <c r="G35" s="23"/>
      <c r="H35" s="27">
        <f>'3호점'!N31</f>
        <v>0</v>
      </c>
      <c r="I35" s="23"/>
      <c r="J35" s="27">
        <f>'4호점'!N31</f>
        <v>21191</v>
      </c>
      <c r="K35" s="23"/>
      <c r="L35" s="243"/>
      <c r="M35" s="23"/>
    </row>
    <row r="36" spans="1:13" ht="16.7" customHeight="1">
      <c r="A36" s="26" t="s">
        <v>947</v>
      </c>
      <c r="B36" s="28">
        <f t="shared" si="1"/>
        <v>12583000</v>
      </c>
      <c r="C36" s="25"/>
      <c r="D36" s="27">
        <f>'1호점'!N32</f>
        <v>6286000</v>
      </c>
      <c r="E36" s="23"/>
      <c r="F36" s="27">
        <f>'2호점'!N32</f>
        <v>3124000</v>
      </c>
      <c r="G36" s="23"/>
      <c r="H36" s="27">
        <f>'3호점'!N32</f>
        <v>3173000</v>
      </c>
      <c r="I36" s="23"/>
      <c r="J36" s="27">
        <f>'4호점'!N32</f>
        <v>0</v>
      </c>
      <c r="K36" s="23"/>
      <c r="L36" s="243"/>
      <c r="M36" s="23"/>
    </row>
    <row r="37" spans="1:13" ht="16.7" customHeight="1">
      <c r="A37" s="26" t="s">
        <v>948</v>
      </c>
      <c r="B37" s="28">
        <f t="shared" si="1"/>
        <v>8402574</v>
      </c>
      <c r="C37" s="25"/>
      <c r="D37" s="27">
        <f>'1호점'!N33</f>
        <v>3572674</v>
      </c>
      <c r="E37" s="23"/>
      <c r="F37" s="27">
        <f>'2호점'!N33</f>
        <v>336180</v>
      </c>
      <c r="G37" s="23"/>
      <c r="H37" s="27">
        <f>'3호점'!N33</f>
        <v>3783038</v>
      </c>
      <c r="I37" s="23"/>
      <c r="J37" s="27">
        <f>'4호점'!N33</f>
        <v>710682</v>
      </c>
      <c r="K37" s="23"/>
      <c r="L37" s="243"/>
      <c r="M37" s="23"/>
    </row>
    <row r="38" spans="1:13" ht="16.7" customHeight="1">
      <c r="A38" s="26" t="s">
        <v>949</v>
      </c>
      <c r="B38" s="28">
        <f t="shared" si="1"/>
        <v>69995158</v>
      </c>
      <c r="C38" s="25"/>
      <c r="D38" s="27">
        <f>'1호점'!N34</f>
        <v>4597200</v>
      </c>
      <c r="E38" s="23"/>
      <c r="F38" s="27">
        <f>'2호점'!N34</f>
        <v>3537900</v>
      </c>
      <c r="G38" s="23"/>
      <c r="H38" s="27">
        <f>'3호점'!N34</f>
        <v>58492591</v>
      </c>
      <c r="I38" s="23"/>
      <c r="J38" s="27">
        <f>'4호점'!N34</f>
        <v>3367467</v>
      </c>
      <c r="K38" s="23"/>
      <c r="L38" s="243"/>
      <c r="M38" s="23"/>
    </row>
    <row r="39" spans="1:13" ht="16.7" customHeight="1">
      <c r="A39" s="26" t="s">
        <v>950</v>
      </c>
      <c r="B39" s="28">
        <f t="shared" si="1"/>
        <v>607714</v>
      </c>
      <c r="C39" s="25"/>
      <c r="D39" s="27">
        <f>'1호점'!N35</f>
        <v>390393</v>
      </c>
      <c r="E39" s="23"/>
      <c r="F39" s="27">
        <f>'2호점'!N35</f>
        <v>150370</v>
      </c>
      <c r="G39" s="23"/>
      <c r="H39" s="27">
        <f>'3호점'!N35</f>
        <v>20907</v>
      </c>
      <c r="I39" s="23"/>
      <c r="J39" s="27">
        <f>'4호점'!N35</f>
        <v>46044</v>
      </c>
      <c r="K39" s="23"/>
      <c r="L39" s="243"/>
      <c r="M39" s="23"/>
    </row>
    <row r="40" spans="1:13" s="602" customFormat="1" ht="16.7" customHeight="1">
      <c r="A40" s="596" t="s">
        <v>951</v>
      </c>
      <c r="B40" s="597">
        <f t="shared" si="1"/>
        <v>196602987</v>
      </c>
      <c r="C40" s="598"/>
      <c r="D40" s="599">
        <f>'1호점'!N36</f>
        <v>93542411</v>
      </c>
      <c r="E40" s="600"/>
      <c r="F40" s="599">
        <f>'2호점'!N36</f>
        <v>19012918</v>
      </c>
      <c r="G40" s="600"/>
      <c r="H40" s="599">
        <f>'3호점'!N36</f>
        <v>42708323</v>
      </c>
      <c r="I40" s="600"/>
      <c r="J40" s="599">
        <f>'4호점'!N36</f>
        <v>38461314</v>
      </c>
      <c r="K40" s="600"/>
      <c r="L40" s="601">
        <f>880274+1997747</f>
        <v>2878021</v>
      </c>
      <c r="M40" s="600"/>
    </row>
    <row r="41" spans="1:13" ht="16.7" customHeight="1">
      <c r="A41" s="26" t="s">
        <v>952</v>
      </c>
      <c r="B41" s="28">
        <f t="shared" si="1"/>
        <v>1925016787</v>
      </c>
      <c r="C41" s="25"/>
      <c r="D41" s="27">
        <f>'1호점'!N37</f>
        <v>825442125</v>
      </c>
      <c r="E41" s="23"/>
      <c r="F41" s="27">
        <f>'2호점'!N37</f>
        <v>394547420</v>
      </c>
      <c r="G41" s="23"/>
      <c r="H41" s="27">
        <f>'3호점'!N37</f>
        <v>370704481</v>
      </c>
      <c r="I41" s="23"/>
      <c r="J41" s="27">
        <f>'4호점'!N37</f>
        <v>310426689</v>
      </c>
      <c r="K41" s="23"/>
      <c r="L41" s="243">
        <v>23896072</v>
      </c>
      <c r="M41" s="23"/>
    </row>
    <row r="42" spans="1:13" ht="16.7" customHeight="1">
      <c r="A42" s="26" t="s">
        <v>953</v>
      </c>
      <c r="B42" s="28">
        <f t="shared" si="1"/>
        <v>290874798</v>
      </c>
      <c r="C42" s="25"/>
      <c r="D42" s="27">
        <f>'1호점'!N38</f>
        <v>118459152</v>
      </c>
      <c r="E42" s="23"/>
      <c r="F42" s="27">
        <f>'2호점'!N38</f>
        <v>61629290</v>
      </c>
      <c r="G42" s="23"/>
      <c r="H42" s="27">
        <f>'3호점'!N38</f>
        <v>80364438</v>
      </c>
      <c r="I42" s="23"/>
      <c r="J42" s="27">
        <f>'4호점'!N38</f>
        <v>25221918</v>
      </c>
      <c r="K42" s="23"/>
      <c r="L42" s="243">
        <v>5200000</v>
      </c>
      <c r="M42" s="23"/>
    </row>
    <row r="43" spans="1:13" ht="16.7" customHeight="1">
      <c r="A43" s="26" t="s">
        <v>2019</v>
      </c>
      <c r="B43" s="28"/>
      <c r="C43" s="25"/>
      <c r="D43" s="27"/>
      <c r="E43" s="23"/>
      <c r="F43" s="27"/>
      <c r="G43" s="23"/>
      <c r="H43" s="27"/>
      <c r="I43" s="23"/>
      <c r="J43" s="27"/>
      <c r="K43" s="23"/>
      <c r="L43" s="243"/>
      <c r="M43" s="23"/>
    </row>
    <row r="44" spans="1:13" ht="16.7" customHeight="1">
      <c r="A44" s="26" t="s">
        <v>2023</v>
      </c>
      <c r="B44" s="28"/>
      <c r="C44" s="25"/>
      <c r="D44" s="27"/>
      <c r="E44" s="23"/>
      <c r="F44" s="27"/>
      <c r="G44" s="23"/>
      <c r="H44" s="27"/>
      <c r="I44" s="23"/>
      <c r="J44" s="27"/>
      <c r="K44" s="23"/>
      <c r="L44" s="243"/>
      <c r="M44" s="23"/>
    </row>
    <row r="45" spans="1:13" ht="16.7" customHeight="1">
      <c r="A45" s="26" t="s">
        <v>954</v>
      </c>
      <c r="B45" s="28">
        <f>SUM(D45+F45+H45+J45+L45)</f>
        <v>199119991</v>
      </c>
      <c r="C45" s="25"/>
      <c r="D45" s="27">
        <f>'1호점'!N39</f>
        <v>99781128</v>
      </c>
      <c r="E45" s="23"/>
      <c r="F45" s="27">
        <f>'2호점'!N39</f>
        <v>71886875</v>
      </c>
      <c r="G45" s="23"/>
      <c r="H45" s="27">
        <f>'3호점'!N39</f>
        <v>0</v>
      </c>
      <c r="I45" s="23"/>
      <c r="J45" s="27">
        <f>'4호점'!N39</f>
        <v>27451988</v>
      </c>
      <c r="K45" s="23"/>
      <c r="L45" s="243"/>
      <c r="M45" s="23"/>
    </row>
    <row r="46" spans="1:13" ht="16.7" customHeight="1">
      <c r="A46" s="26" t="s">
        <v>301</v>
      </c>
      <c r="B46" s="28"/>
      <c r="C46" s="25"/>
      <c r="D46" s="27"/>
      <c r="E46" s="23"/>
      <c r="F46" s="27"/>
      <c r="G46" s="23"/>
      <c r="H46" s="27"/>
      <c r="I46" s="23"/>
      <c r="J46" s="27"/>
      <c r="K46" s="23"/>
      <c r="L46" s="243"/>
      <c r="M46" s="23"/>
    </row>
    <row r="47" spans="1:13" ht="16.7" customHeight="1">
      <c r="A47" s="26" t="s">
        <v>302</v>
      </c>
      <c r="B47" s="28"/>
      <c r="C47" s="25"/>
      <c r="D47" s="27"/>
      <c r="E47" s="23"/>
      <c r="F47" s="27"/>
      <c r="G47" s="23"/>
      <c r="H47" s="27"/>
      <c r="I47" s="23"/>
      <c r="J47" s="27"/>
      <c r="K47" s="23"/>
      <c r="L47" s="243"/>
      <c r="M47" s="23"/>
    </row>
    <row r="48" spans="1:13" ht="16.7" customHeight="1">
      <c r="A48" s="582" t="s">
        <v>303</v>
      </c>
      <c r="B48" s="28">
        <f>SUM(D48+F48+H48+J48+L48)</f>
        <v>127325958</v>
      </c>
      <c r="C48" s="587"/>
      <c r="D48" s="583"/>
      <c r="E48" s="584"/>
      <c r="F48" s="583"/>
      <c r="G48" s="584"/>
      <c r="H48" s="583">
        <v>53045625</v>
      </c>
      <c r="I48" s="584"/>
      <c r="J48" s="583">
        <v>63998958</v>
      </c>
      <c r="K48" s="584"/>
      <c r="L48" s="585">
        <v>10281375</v>
      </c>
      <c r="M48" s="584"/>
    </row>
    <row r="49" spans="1:13" ht="16.7" customHeight="1">
      <c r="A49" s="26" t="s">
        <v>304</v>
      </c>
      <c r="B49" s="28"/>
      <c r="C49" s="25"/>
      <c r="D49" s="27"/>
      <c r="E49" s="23"/>
      <c r="F49" s="27"/>
      <c r="G49" s="23"/>
      <c r="H49" s="27"/>
      <c r="I49" s="23"/>
      <c r="J49" s="27"/>
      <c r="K49" s="23"/>
      <c r="L49" s="243"/>
      <c r="M49" s="23"/>
    </row>
    <row r="50" spans="1:13" ht="16.7" customHeight="1">
      <c r="A50" s="26" t="s">
        <v>305</v>
      </c>
      <c r="B50" s="28"/>
      <c r="C50" s="25"/>
      <c r="D50" s="27"/>
      <c r="E50" s="23"/>
      <c r="F50" s="27"/>
      <c r="G50" s="23"/>
      <c r="H50" s="27"/>
      <c r="I50" s="23"/>
      <c r="J50" s="27"/>
      <c r="K50" s="23"/>
      <c r="L50" s="243"/>
      <c r="M50" s="23"/>
    </row>
    <row r="51" spans="1:13" ht="16.7" customHeight="1">
      <c r="A51" s="26" t="s">
        <v>306</v>
      </c>
      <c r="B51" s="28"/>
      <c r="C51" s="25"/>
      <c r="D51" s="27"/>
      <c r="E51" s="23"/>
      <c r="F51" s="27"/>
      <c r="G51" s="23"/>
      <c r="H51" s="27"/>
      <c r="I51" s="23"/>
      <c r="J51" s="27"/>
      <c r="K51" s="23"/>
      <c r="L51" s="243"/>
      <c r="M51" s="23"/>
    </row>
    <row r="52" spans="1:13" ht="16.7" customHeight="1">
      <c r="A52" s="26" t="s">
        <v>307</v>
      </c>
      <c r="B52" s="28">
        <f>SUM(D52+F52+H52+J52+L52)</f>
        <v>6901034</v>
      </c>
      <c r="C52" s="25"/>
      <c r="D52" s="27">
        <f>'1호점'!N40</f>
        <v>1081046</v>
      </c>
      <c r="E52" s="23"/>
      <c r="F52" s="27">
        <f>'2호점'!N40</f>
        <v>5364962</v>
      </c>
      <c r="G52" s="23"/>
      <c r="H52" s="27">
        <f>'3호점'!N40</f>
        <v>204592</v>
      </c>
      <c r="I52" s="23"/>
      <c r="J52" s="27">
        <f>'4호점'!N40</f>
        <v>250434</v>
      </c>
      <c r="K52" s="23"/>
      <c r="L52" s="242"/>
      <c r="M52" s="23"/>
    </row>
    <row r="53" spans="1:13" ht="16.7" customHeight="1">
      <c r="A53" s="26" t="s">
        <v>308</v>
      </c>
    </row>
    <row r="54" spans="1:13" ht="16.7" customHeight="1" thickBot="1">
      <c r="A54" s="34" t="s">
        <v>956</v>
      </c>
      <c r="B54" s="37"/>
      <c r="C54" s="38">
        <f>C14-C15</f>
        <v>-1125684736</v>
      </c>
      <c r="D54" s="35" t="s">
        <v>904</v>
      </c>
      <c r="E54" s="36">
        <f>E14-E15</f>
        <v>339463126</v>
      </c>
      <c r="F54" s="35" t="s">
        <v>904</v>
      </c>
      <c r="G54" s="36">
        <f>G14-G15</f>
        <v>-1300898336</v>
      </c>
      <c r="H54" s="35" t="s">
        <v>904</v>
      </c>
      <c r="I54" s="36">
        <f>I14-I15</f>
        <v>107667435</v>
      </c>
      <c r="J54" s="35" t="s">
        <v>904</v>
      </c>
      <c r="K54" s="36">
        <f>K14-K15</f>
        <v>-258531585</v>
      </c>
      <c r="L54" s="239"/>
      <c r="M54" s="36">
        <f>M14-M15</f>
        <v>-13385376</v>
      </c>
    </row>
    <row r="55" spans="1:13" ht="16.7" customHeight="1"/>
  </sheetData>
  <mergeCells count="13">
    <mergeCell ref="A4:A5"/>
    <mergeCell ref="D4:E4"/>
    <mergeCell ref="F4:G4"/>
    <mergeCell ref="B4:C4"/>
    <mergeCell ref="L4:M4"/>
    <mergeCell ref="B5:C5"/>
    <mergeCell ref="L5:M5"/>
    <mergeCell ref="J4:K4"/>
    <mergeCell ref="F5:G5"/>
    <mergeCell ref="H5:I5"/>
    <mergeCell ref="J5:K5"/>
    <mergeCell ref="H4:I4"/>
    <mergeCell ref="D5:E5"/>
  </mergeCells>
  <phoneticPr fontId="4" type="noConversion"/>
  <pageMargins left="0.43307086614173229" right="0" top="0.31496062992125984" bottom="0" header="0.31496062992125984" footer="0"/>
  <pageSetup paperSize="9" scale="82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36659-564F-4257-9A72-8C8AC3BDB438}">
  <sheetPr>
    <outlinePr summaryBelow="0" summaryRight="0"/>
    <pageSetUpPr autoPageBreaks="0"/>
  </sheetPr>
  <dimension ref="A1:P44"/>
  <sheetViews>
    <sheetView zoomScale="120" zoomScaleNormal="120" workbookViewId="0">
      <selection activeCell="N16" sqref="N16"/>
    </sheetView>
  </sheetViews>
  <sheetFormatPr defaultColWidth="9.140625" defaultRowHeight="12.75"/>
  <cols>
    <col min="1" max="1" width="24.5703125" style="19" customWidth="1"/>
    <col min="2" max="2" width="13.7109375" style="19" customWidth="1"/>
    <col min="3" max="3" width="14.7109375" style="19" customWidth="1"/>
    <col min="4" max="4" width="7.7109375" style="236" customWidth="1"/>
    <col min="5" max="5" width="12.7109375" style="19" customWidth="1"/>
    <col min="6" max="6" width="17" style="19" customWidth="1"/>
    <col min="7" max="7" width="7.7109375" style="19" customWidth="1"/>
    <col min="8" max="8" width="13.7109375" style="19" customWidth="1"/>
    <col min="9" max="9" width="14.7109375" style="19" customWidth="1"/>
    <col min="10" max="10" width="7.7109375" style="19" customWidth="1"/>
    <col min="11" max="12" width="15.7109375" style="19" customWidth="1"/>
    <col min="13" max="13" width="7.7109375" style="19" customWidth="1"/>
    <col min="14" max="15" width="15.7109375" style="19" customWidth="1"/>
    <col min="16" max="16" width="7.7109375" style="19" customWidth="1"/>
    <col min="17" max="16384" width="9.140625" style="19"/>
  </cols>
  <sheetData>
    <row r="1" spans="1:16" ht="30.75" customHeight="1">
      <c r="A1" s="852" t="s">
        <v>255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  <c r="P1" s="852"/>
    </row>
    <row r="2" spans="1:16" ht="15" customHeight="1">
      <c r="A2" s="853" t="s">
        <v>2087</v>
      </c>
      <c r="B2" s="854"/>
      <c r="C2" s="854"/>
      <c r="D2" s="854"/>
      <c r="E2" s="854"/>
      <c r="F2" s="854"/>
      <c r="G2" s="854"/>
      <c r="H2" s="854"/>
      <c r="I2" s="854"/>
      <c r="J2" s="854"/>
      <c r="K2" s="854"/>
      <c r="L2" s="854"/>
      <c r="M2" s="854"/>
      <c r="N2" s="854"/>
      <c r="O2" s="854"/>
      <c r="P2" s="854"/>
    </row>
    <row r="3" spans="1:16" ht="15" customHeight="1" thickBot="1">
      <c r="A3" s="20" t="s">
        <v>960</v>
      </c>
    </row>
    <row r="4" spans="1:16" ht="16.7" customHeight="1" thickBot="1">
      <c r="A4" s="855" t="s">
        <v>919</v>
      </c>
      <c r="B4" s="857" t="s">
        <v>958</v>
      </c>
      <c r="C4" s="858"/>
      <c r="D4" s="859"/>
      <c r="E4" s="860" t="s">
        <v>2088</v>
      </c>
      <c r="F4" s="858"/>
      <c r="G4" s="859"/>
      <c r="H4" s="860"/>
      <c r="I4" s="858"/>
      <c r="J4" s="859"/>
      <c r="K4" s="860"/>
      <c r="L4" s="858"/>
      <c r="M4" s="859"/>
      <c r="N4" s="860" t="s">
        <v>920</v>
      </c>
      <c r="O4" s="858"/>
      <c r="P4" s="859"/>
    </row>
    <row r="5" spans="1:16" ht="16.7" customHeight="1" thickBot="1">
      <c r="A5" s="856"/>
      <c r="B5" s="850" t="s">
        <v>256</v>
      </c>
      <c r="C5" s="851"/>
      <c r="D5" s="252" t="s">
        <v>921</v>
      </c>
      <c r="E5" s="850" t="s">
        <v>256</v>
      </c>
      <c r="F5" s="851"/>
      <c r="G5" s="252" t="s">
        <v>921</v>
      </c>
      <c r="H5" s="850"/>
      <c r="I5" s="851"/>
      <c r="J5" s="252"/>
      <c r="K5" s="850"/>
      <c r="L5" s="851"/>
      <c r="M5" s="252"/>
      <c r="N5" s="850" t="s">
        <v>256</v>
      </c>
      <c r="O5" s="851"/>
      <c r="P5" s="252" t="s">
        <v>921</v>
      </c>
    </row>
    <row r="6" spans="1:16" ht="16.7" customHeight="1">
      <c r="A6" s="21" t="s">
        <v>922</v>
      </c>
      <c r="B6" s="22"/>
      <c r="C6" s="23">
        <f>SUM(B7:B8)</f>
        <v>3564412455</v>
      </c>
      <c r="D6" s="241"/>
      <c r="E6" s="22"/>
      <c r="F6" s="23">
        <f>SUM(E7:E8)</f>
        <v>3087542121</v>
      </c>
      <c r="G6" s="241"/>
      <c r="H6" s="22"/>
      <c r="I6" s="23"/>
      <c r="J6" s="241"/>
      <c r="K6" s="22"/>
      <c r="L6" s="23"/>
      <c r="M6" s="241"/>
      <c r="N6" s="24"/>
      <c r="O6" s="25">
        <f>SUM(N7:N8)</f>
        <v>6651954576</v>
      </c>
      <c r="P6" s="240"/>
    </row>
    <row r="7" spans="1:16" ht="16.7" customHeight="1">
      <c r="A7" s="26" t="s">
        <v>923</v>
      </c>
      <c r="B7" s="27">
        <v>3564412455</v>
      </c>
      <c r="C7" s="23"/>
      <c r="D7" s="241"/>
      <c r="E7" s="27">
        <v>3087542121</v>
      </c>
      <c r="F7" s="23"/>
      <c r="G7" s="241"/>
      <c r="H7" s="27"/>
      <c r="I7" s="23"/>
      <c r="J7" s="241"/>
      <c r="K7" s="27"/>
      <c r="L7" s="23"/>
      <c r="M7" s="241"/>
      <c r="N7" s="28">
        <f>SUM(B7+E7+H7+K7)</f>
        <v>6651954576</v>
      </c>
      <c r="O7" s="25"/>
      <c r="P7" s="240"/>
    </row>
    <row r="8" spans="1:16" ht="16.7" customHeight="1">
      <c r="A8" s="26" t="s">
        <v>924</v>
      </c>
      <c r="B8" s="27"/>
      <c r="C8" s="23"/>
      <c r="D8" s="241"/>
      <c r="E8" s="27">
        <v>0</v>
      </c>
      <c r="F8" s="23"/>
      <c r="G8" s="241"/>
      <c r="H8" s="27"/>
      <c r="I8" s="23"/>
      <c r="J8" s="241"/>
      <c r="K8" s="27"/>
      <c r="L8" s="23"/>
      <c r="M8" s="241"/>
      <c r="N8" s="28">
        <f>SUM(B8+E8+H8+K8)</f>
        <v>0</v>
      </c>
      <c r="O8" s="25"/>
      <c r="P8" s="240"/>
    </row>
    <row r="9" spans="1:16" ht="16.7" customHeight="1">
      <c r="A9" s="21" t="s">
        <v>925</v>
      </c>
      <c r="B9" s="29"/>
      <c r="C9" s="23">
        <f>C10</f>
        <v>1251991665</v>
      </c>
      <c r="D9" s="241">
        <f>C9/C6</f>
        <v>0.35124769672593908</v>
      </c>
      <c r="E9" s="29"/>
      <c r="F9" s="23">
        <f>F10</f>
        <v>1046638710</v>
      </c>
      <c r="G9" s="241">
        <f>F9/F6</f>
        <v>0.33898767012156983</v>
      </c>
      <c r="H9" s="29"/>
      <c r="I9" s="23"/>
      <c r="J9" s="241"/>
      <c r="K9" s="29"/>
      <c r="L9" s="23"/>
      <c r="M9" s="241"/>
      <c r="N9" s="30"/>
      <c r="O9" s="25">
        <f>O10</f>
        <v>2291039211</v>
      </c>
      <c r="P9" s="240">
        <f>O9/O6</f>
        <v>0.34441594343803589</v>
      </c>
    </row>
    <row r="10" spans="1:16" ht="16.7" customHeight="1">
      <c r="A10" s="21" t="s">
        <v>926</v>
      </c>
      <c r="B10" s="22"/>
      <c r="C10" s="23">
        <f>B11+B12-B13</f>
        <v>1251991665</v>
      </c>
      <c r="D10" s="241"/>
      <c r="E10" s="22"/>
      <c r="F10" s="23">
        <f>E11+E12-E13</f>
        <v>1046638710</v>
      </c>
      <c r="G10" s="241"/>
      <c r="H10" s="22"/>
      <c r="I10" s="23"/>
      <c r="J10" s="241"/>
      <c r="K10" s="22"/>
      <c r="L10" s="23"/>
      <c r="M10" s="241"/>
      <c r="N10" s="24"/>
      <c r="O10" s="25">
        <f>N11+N12-N13</f>
        <v>2291039211</v>
      </c>
      <c r="P10" s="240"/>
    </row>
    <row r="11" spans="1:16" ht="16.7" customHeight="1">
      <c r="A11" s="26" t="s">
        <v>927</v>
      </c>
      <c r="B11" s="27">
        <v>7591164</v>
      </c>
      <c r="C11" s="23"/>
      <c r="D11" s="241"/>
      <c r="E11" s="27"/>
      <c r="F11" s="23"/>
      <c r="G11" s="241"/>
      <c r="H11" s="27"/>
      <c r="I11" s="23"/>
      <c r="J11" s="241"/>
      <c r="K11" s="27"/>
      <c r="L11" s="23"/>
      <c r="M11" s="241"/>
      <c r="N11" s="28"/>
      <c r="O11" s="25"/>
      <c r="P11" s="240"/>
    </row>
    <row r="12" spans="1:16" ht="16.7" customHeight="1">
      <c r="A12" s="26" t="s">
        <v>928</v>
      </c>
      <c r="B12" s="27">
        <v>1244400501</v>
      </c>
      <c r="C12" s="23"/>
      <c r="D12" s="241">
        <f>B12/C6</f>
        <v>0.34911798696427798</v>
      </c>
      <c r="E12" s="27">
        <v>1061003349</v>
      </c>
      <c r="F12" s="23"/>
      <c r="G12" s="241">
        <f>E12/F6</f>
        <v>0.34364012130670457</v>
      </c>
      <c r="H12" s="27"/>
      <c r="I12" s="23"/>
      <c r="J12" s="241"/>
      <c r="K12" s="27"/>
      <c r="L12" s="23"/>
      <c r="M12" s="241"/>
      <c r="N12" s="28">
        <f>SUM(B12+E12+H12+K12)</f>
        <v>2305403850</v>
      </c>
      <c r="O12" s="25"/>
      <c r="P12" s="240"/>
    </row>
    <row r="13" spans="1:16" ht="16.7" customHeight="1">
      <c r="A13" s="26" t="s">
        <v>929</v>
      </c>
      <c r="B13" s="31"/>
      <c r="C13" s="23"/>
      <c r="D13" s="247"/>
      <c r="E13" s="31">
        <v>14364639</v>
      </c>
      <c r="F13" s="23"/>
      <c r="G13" s="247"/>
      <c r="H13" s="31"/>
      <c r="I13" s="23"/>
      <c r="J13" s="247"/>
      <c r="K13" s="31"/>
      <c r="L13" s="23"/>
      <c r="M13" s="247"/>
      <c r="N13" s="28">
        <f>SUM(B13+E13+H13+K13)</f>
        <v>14364639</v>
      </c>
      <c r="O13" s="25"/>
      <c r="P13" s="246"/>
    </row>
    <row r="14" spans="1:16" ht="16.7" customHeight="1">
      <c r="A14" s="21" t="s">
        <v>930</v>
      </c>
      <c r="B14" s="29"/>
      <c r="C14" s="32">
        <f>C6-C9</f>
        <v>2312420790</v>
      </c>
      <c r="D14" s="241">
        <f>C14/C6</f>
        <v>0.64875230327406086</v>
      </c>
      <c r="E14" s="29"/>
      <c r="F14" s="32">
        <f>F6-F9</f>
        <v>2040903411</v>
      </c>
      <c r="G14" s="241">
        <f>F14/F6</f>
        <v>0.66101232987843017</v>
      </c>
      <c r="H14" s="29"/>
      <c r="I14" s="32"/>
      <c r="J14" s="241"/>
      <c r="K14" s="29"/>
      <c r="L14" s="32"/>
      <c r="M14" s="241"/>
      <c r="N14" s="30"/>
      <c r="O14" s="33">
        <f>O6-O9</f>
        <v>4360915365</v>
      </c>
      <c r="P14" s="240">
        <f>O14/O6</f>
        <v>0.65558405656196406</v>
      </c>
    </row>
    <row r="15" spans="1:16" ht="16.7" customHeight="1">
      <c r="A15" s="21" t="s">
        <v>931</v>
      </c>
      <c r="B15" s="22"/>
      <c r="C15" s="23">
        <f>SUM(B16:B40)</f>
        <v>2248607573</v>
      </c>
      <c r="D15" s="241">
        <f>C15/C6</f>
        <v>0.63084943209805944</v>
      </c>
      <c r="E15" s="22"/>
      <c r="F15" s="23">
        <f>SUM(E16:E40)</f>
        <v>1865931588</v>
      </c>
      <c r="G15" s="241">
        <f>F15/F6</f>
        <v>0.60434206720899986</v>
      </c>
      <c r="H15" s="22"/>
      <c r="I15" s="23"/>
      <c r="J15" s="241"/>
      <c r="K15" s="22"/>
      <c r="L15" s="23"/>
      <c r="M15" s="241"/>
      <c r="N15" s="24"/>
      <c r="O15" s="25">
        <f>SUM(N16:N40)</f>
        <v>3591129929</v>
      </c>
      <c r="P15" s="240">
        <f>O15/O6</f>
        <v>0.53986086164157832</v>
      </c>
    </row>
    <row r="16" spans="1:16" ht="16.7" customHeight="1">
      <c r="A16" s="26" t="s">
        <v>932</v>
      </c>
      <c r="B16" s="27">
        <v>820183949</v>
      </c>
      <c r="C16" s="23"/>
      <c r="D16" s="848">
        <f>SUM(B16:B18)/C6</f>
        <v>0.27400517233351435</v>
      </c>
      <c r="E16" s="27">
        <v>779290201</v>
      </c>
      <c r="F16" s="23"/>
      <c r="G16" s="848">
        <f>SUM(E16:E18)/F6</f>
        <v>0.29949696061166708</v>
      </c>
      <c r="H16" s="27">
        <v>-523409232</v>
      </c>
      <c r="I16" s="23"/>
      <c r="J16" s="241"/>
      <c r="K16" s="27"/>
      <c r="L16" s="23"/>
      <c r="M16" s="241"/>
      <c r="N16" s="28">
        <f t="shared" ref="N16:N40" si="0">SUM(B16+E16+H16+K16)</f>
        <v>1076064918</v>
      </c>
      <c r="O16" s="25"/>
      <c r="P16" s="848">
        <f>SUM(N16:N18)/O6</f>
        <v>0.20715230121559386</v>
      </c>
    </row>
    <row r="17" spans="1:16" ht="16.7" customHeight="1">
      <c r="A17" s="26" t="s">
        <v>933</v>
      </c>
      <c r="B17" s="27"/>
      <c r="C17" s="23"/>
      <c r="D17" s="849"/>
      <c r="E17" s="27">
        <v>7429000</v>
      </c>
      <c r="F17" s="23"/>
      <c r="G17" s="849"/>
      <c r="H17" s="27"/>
      <c r="I17" s="23"/>
      <c r="J17" s="241"/>
      <c r="K17" s="27"/>
      <c r="L17" s="23"/>
      <c r="M17" s="241"/>
      <c r="N17" s="28">
        <f t="shared" si="0"/>
        <v>7429000</v>
      </c>
      <c r="O17" s="25"/>
      <c r="P17" s="849"/>
    </row>
    <row r="18" spans="1:16" ht="16.7" customHeight="1">
      <c r="A18" s="26" t="s">
        <v>934</v>
      </c>
      <c r="B18" s="27">
        <v>156483500</v>
      </c>
      <c r="C18" s="23"/>
      <c r="D18" s="849"/>
      <c r="E18" s="27">
        <v>137990280</v>
      </c>
      <c r="F18" s="23"/>
      <c r="G18" s="849"/>
      <c r="H18" s="27"/>
      <c r="I18" s="23"/>
      <c r="J18" s="241"/>
      <c r="K18" s="27"/>
      <c r="L18" s="23"/>
      <c r="M18" s="241"/>
      <c r="N18" s="28">
        <f t="shared" si="0"/>
        <v>294473780</v>
      </c>
      <c r="O18" s="25"/>
      <c r="P18" s="849"/>
    </row>
    <row r="19" spans="1:16" ht="16.7" customHeight="1">
      <c r="A19" s="26" t="s">
        <v>935</v>
      </c>
      <c r="B19" s="27">
        <v>71109759</v>
      </c>
      <c r="C19" s="23"/>
      <c r="D19" s="241"/>
      <c r="E19" s="27">
        <v>80656154</v>
      </c>
      <c r="F19" s="23"/>
      <c r="G19" s="241"/>
      <c r="H19" s="27"/>
      <c r="I19" s="23"/>
      <c r="J19" s="241"/>
      <c r="K19" s="27"/>
      <c r="L19" s="23"/>
      <c r="M19" s="241"/>
      <c r="N19" s="28">
        <f t="shared" si="0"/>
        <v>151765913</v>
      </c>
      <c r="O19" s="25"/>
      <c r="P19" s="240"/>
    </row>
    <row r="20" spans="1:16" ht="16.7" customHeight="1">
      <c r="A20" s="26" t="s">
        <v>936</v>
      </c>
      <c r="B20" s="27">
        <v>82018390</v>
      </c>
      <c r="C20" s="23"/>
      <c r="D20" s="241"/>
      <c r="E20" s="27">
        <v>46535450</v>
      </c>
      <c r="F20" s="23"/>
      <c r="G20" s="241"/>
      <c r="H20" s="27"/>
      <c r="I20" s="23"/>
      <c r="J20" s="241"/>
      <c r="K20" s="27"/>
      <c r="L20" s="23"/>
      <c r="M20" s="241"/>
      <c r="N20" s="28">
        <f t="shared" si="0"/>
        <v>128553840</v>
      </c>
      <c r="O20" s="25"/>
      <c r="P20" s="240"/>
    </row>
    <row r="21" spans="1:16" ht="16.7" customHeight="1">
      <c r="A21" s="26" t="s">
        <v>937</v>
      </c>
      <c r="B21" s="27"/>
      <c r="C21" s="23"/>
      <c r="D21" s="241"/>
      <c r="E21" s="27">
        <v>450837</v>
      </c>
      <c r="F21" s="23"/>
      <c r="G21" s="241"/>
      <c r="H21" s="27"/>
      <c r="I21" s="23"/>
      <c r="J21" s="241"/>
      <c r="K21" s="27"/>
      <c r="L21" s="23"/>
      <c r="M21" s="241"/>
      <c r="N21" s="28">
        <f t="shared" si="0"/>
        <v>450837</v>
      </c>
      <c r="O21" s="25"/>
      <c r="P21" s="240"/>
    </row>
    <row r="22" spans="1:16" ht="16.7" customHeight="1">
      <c r="A22" s="26" t="s">
        <v>938</v>
      </c>
      <c r="B22" s="27"/>
      <c r="C22" s="23"/>
      <c r="D22" s="241"/>
      <c r="E22" s="27"/>
      <c r="F22" s="23"/>
      <c r="G22" s="241"/>
      <c r="H22" s="27"/>
      <c r="I22" s="23"/>
      <c r="J22" s="241"/>
      <c r="K22" s="27"/>
      <c r="L22" s="23"/>
      <c r="M22" s="241"/>
      <c r="N22" s="28">
        <f t="shared" si="0"/>
        <v>0</v>
      </c>
      <c r="O22" s="25"/>
      <c r="P22" s="240"/>
    </row>
    <row r="23" spans="1:16" ht="16.7" customHeight="1">
      <c r="A23" s="26" t="s">
        <v>939</v>
      </c>
      <c r="B23" s="27"/>
      <c r="C23" s="23"/>
      <c r="D23" s="241"/>
      <c r="E23" s="27">
        <v>1044475</v>
      </c>
      <c r="F23" s="23"/>
      <c r="G23" s="241"/>
      <c r="H23" s="27"/>
      <c r="I23" s="23"/>
      <c r="J23" s="241"/>
      <c r="K23" s="27"/>
      <c r="L23" s="23"/>
      <c r="M23" s="241"/>
      <c r="N23" s="28">
        <f t="shared" si="0"/>
        <v>1044475</v>
      </c>
      <c r="O23" s="25"/>
      <c r="P23" s="240"/>
    </row>
    <row r="24" spans="1:16" ht="16.7" customHeight="1">
      <c r="A24" s="26" t="s">
        <v>940</v>
      </c>
      <c r="B24" s="27"/>
      <c r="C24" s="23"/>
      <c r="D24" s="241"/>
      <c r="E24" s="27">
        <v>17445659</v>
      </c>
      <c r="F24" s="23"/>
      <c r="G24" s="241"/>
      <c r="H24" s="27"/>
      <c r="I24" s="23"/>
      <c r="J24" s="241"/>
      <c r="K24" s="27"/>
      <c r="L24" s="23"/>
      <c r="M24" s="241"/>
      <c r="N24" s="28">
        <f t="shared" si="0"/>
        <v>17445659</v>
      </c>
      <c r="O24" s="25"/>
      <c r="P24" s="240"/>
    </row>
    <row r="25" spans="1:16" ht="16.7" customHeight="1">
      <c r="A25" s="26" t="s">
        <v>941</v>
      </c>
      <c r="B25" s="27"/>
      <c r="C25" s="23"/>
      <c r="D25" s="241"/>
      <c r="E25" s="27">
        <v>21296751</v>
      </c>
      <c r="F25" s="23"/>
      <c r="G25" s="241"/>
      <c r="H25" s="27"/>
      <c r="I25" s="23"/>
      <c r="J25" s="241"/>
      <c r="K25" s="27"/>
      <c r="L25" s="23"/>
      <c r="M25" s="241"/>
      <c r="N25" s="28">
        <f t="shared" si="0"/>
        <v>21296751</v>
      </c>
      <c r="O25" s="25"/>
      <c r="P25" s="240"/>
    </row>
    <row r="26" spans="1:16" ht="16.7" customHeight="1">
      <c r="A26" s="26" t="s">
        <v>942</v>
      </c>
      <c r="B26" s="27"/>
      <c r="C26" s="23"/>
      <c r="D26" s="241"/>
      <c r="E26" s="27">
        <v>35443420</v>
      </c>
      <c r="F26" s="23"/>
      <c r="G26" s="241"/>
      <c r="H26" s="27"/>
      <c r="I26" s="23"/>
      <c r="J26" s="241"/>
      <c r="K26" s="27"/>
      <c r="L26" s="23"/>
      <c r="M26" s="241"/>
      <c r="N26" s="28">
        <f t="shared" si="0"/>
        <v>35443420</v>
      </c>
      <c r="O26" s="25"/>
      <c r="P26" s="240"/>
    </row>
    <row r="27" spans="1:16" ht="16.7" customHeight="1">
      <c r="A27" s="26" t="s">
        <v>957</v>
      </c>
      <c r="B27" s="27"/>
      <c r="C27" s="23"/>
      <c r="D27" s="241"/>
      <c r="E27" s="27"/>
      <c r="F27" s="23"/>
      <c r="G27" s="241"/>
      <c r="H27" s="27"/>
      <c r="I27" s="23"/>
      <c r="J27" s="241"/>
      <c r="K27" s="27"/>
      <c r="L27" s="23"/>
      <c r="M27" s="241"/>
      <c r="N27" s="28">
        <f t="shared" si="0"/>
        <v>0</v>
      </c>
      <c r="O27" s="25"/>
      <c r="P27" s="240"/>
    </row>
    <row r="28" spans="1:16" ht="16.7" customHeight="1">
      <c r="A28" s="26" t="s">
        <v>943</v>
      </c>
      <c r="B28" s="27">
        <v>358504425</v>
      </c>
      <c r="C28" s="23"/>
      <c r="D28" s="241"/>
      <c r="E28" s="27">
        <v>329547185</v>
      </c>
      <c r="F28" s="23"/>
      <c r="G28" s="241"/>
      <c r="H28" s="27"/>
      <c r="I28" s="23"/>
      <c r="J28" s="241"/>
      <c r="K28" s="27"/>
      <c r="L28" s="23"/>
      <c r="M28" s="241"/>
      <c r="N28" s="28">
        <f t="shared" si="0"/>
        <v>688051610</v>
      </c>
      <c r="O28" s="25"/>
      <c r="P28" s="240"/>
    </row>
    <row r="29" spans="1:16" ht="16.7" customHeight="1">
      <c r="A29" s="26" t="s">
        <v>944</v>
      </c>
      <c r="B29" s="27">
        <v>1642275</v>
      </c>
      <c r="C29" s="23"/>
      <c r="D29" s="241"/>
      <c r="E29" s="27">
        <v>4008365</v>
      </c>
      <c r="F29" s="23"/>
      <c r="G29" s="241"/>
      <c r="H29" s="27"/>
      <c r="I29" s="23"/>
      <c r="J29" s="241"/>
      <c r="K29" s="27"/>
      <c r="L29" s="23"/>
      <c r="M29" s="241"/>
      <c r="N29" s="28">
        <f t="shared" si="0"/>
        <v>5650640</v>
      </c>
      <c r="O29" s="25"/>
      <c r="P29" s="240"/>
    </row>
    <row r="30" spans="1:16" ht="16.7" customHeight="1">
      <c r="A30" s="26" t="s">
        <v>945</v>
      </c>
      <c r="B30" s="27">
        <v>98183</v>
      </c>
      <c r="C30" s="23"/>
      <c r="D30" s="241"/>
      <c r="E30" s="27">
        <v>8709590</v>
      </c>
      <c r="F30" s="23"/>
      <c r="G30" s="241"/>
      <c r="H30" s="27"/>
      <c r="I30" s="23"/>
      <c r="J30" s="241"/>
      <c r="K30" s="27"/>
      <c r="L30" s="23"/>
      <c r="M30" s="241"/>
      <c r="N30" s="28">
        <f t="shared" si="0"/>
        <v>8807773</v>
      </c>
      <c r="O30" s="25"/>
      <c r="P30" s="240"/>
    </row>
    <row r="31" spans="1:16" ht="16.7" customHeight="1">
      <c r="A31" s="26" t="s">
        <v>946</v>
      </c>
      <c r="B31" s="27">
        <v>1050000</v>
      </c>
      <c r="C31" s="23"/>
      <c r="D31" s="241"/>
      <c r="E31" s="27">
        <v>449184</v>
      </c>
      <c r="F31" s="23"/>
      <c r="G31" s="241"/>
      <c r="H31" s="27"/>
      <c r="I31" s="23"/>
      <c r="J31" s="241"/>
      <c r="K31" s="27"/>
      <c r="L31" s="23"/>
      <c r="M31" s="241"/>
      <c r="N31" s="28">
        <f t="shared" si="0"/>
        <v>1499184</v>
      </c>
      <c r="O31" s="25"/>
      <c r="P31" s="240"/>
    </row>
    <row r="32" spans="1:16" ht="16.7" customHeight="1">
      <c r="A32" s="26" t="s">
        <v>947</v>
      </c>
      <c r="B32" s="27"/>
      <c r="C32" s="23"/>
      <c r="D32" s="241"/>
      <c r="E32" s="27">
        <v>6286000</v>
      </c>
      <c r="F32" s="23"/>
      <c r="G32" s="241"/>
      <c r="H32" s="27"/>
      <c r="I32" s="23"/>
      <c r="J32" s="241"/>
      <c r="K32" s="27"/>
      <c r="L32" s="23"/>
      <c r="M32" s="241"/>
      <c r="N32" s="28">
        <f t="shared" si="0"/>
        <v>6286000</v>
      </c>
      <c r="O32" s="25"/>
      <c r="P32" s="240"/>
    </row>
    <row r="33" spans="1:16" ht="16.7" customHeight="1">
      <c r="A33" s="26" t="s">
        <v>948</v>
      </c>
      <c r="B33" s="27"/>
      <c r="C33" s="23"/>
      <c r="D33" s="241"/>
      <c r="E33" s="27">
        <v>3572674</v>
      </c>
      <c r="F33" s="23"/>
      <c r="G33" s="241"/>
      <c r="H33" s="27"/>
      <c r="I33" s="23"/>
      <c r="J33" s="241"/>
      <c r="K33" s="27"/>
      <c r="L33" s="23"/>
      <c r="M33" s="241"/>
      <c r="N33" s="28">
        <f t="shared" si="0"/>
        <v>3572674</v>
      </c>
      <c r="O33" s="25"/>
      <c r="P33" s="240"/>
    </row>
    <row r="34" spans="1:16" ht="16.7" customHeight="1">
      <c r="A34" s="26" t="s">
        <v>949</v>
      </c>
      <c r="B34" s="27"/>
      <c r="C34" s="23"/>
      <c r="D34" s="241"/>
      <c r="E34" s="27">
        <v>4597200</v>
      </c>
      <c r="F34" s="23"/>
      <c r="G34" s="241"/>
      <c r="H34" s="27"/>
      <c r="I34" s="23"/>
      <c r="J34" s="241"/>
      <c r="K34" s="27"/>
      <c r="L34" s="23"/>
      <c r="M34" s="241"/>
      <c r="N34" s="28">
        <f t="shared" si="0"/>
        <v>4597200</v>
      </c>
      <c r="O34" s="25"/>
      <c r="P34" s="240"/>
    </row>
    <row r="35" spans="1:16" ht="16.7" customHeight="1">
      <c r="A35" s="26" t="s">
        <v>950</v>
      </c>
      <c r="B35" s="27"/>
      <c r="C35" s="23"/>
      <c r="D35" s="241"/>
      <c r="E35" s="27">
        <v>390393</v>
      </c>
      <c r="F35" s="23"/>
      <c r="G35" s="241"/>
      <c r="H35" s="27"/>
      <c r="I35" s="23"/>
      <c r="J35" s="241"/>
      <c r="K35" s="27"/>
      <c r="L35" s="23"/>
      <c r="M35" s="241"/>
      <c r="N35" s="28">
        <f t="shared" si="0"/>
        <v>390393</v>
      </c>
      <c r="O35" s="25"/>
      <c r="P35" s="240"/>
    </row>
    <row r="36" spans="1:16" s="602" customFormat="1" ht="16.7" customHeight="1">
      <c r="A36" s="596" t="s">
        <v>951</v>
      </c>
      <c r="B36" s="599">
        <v>52485143</v>
      </c>
      <c r="C36" s="600"/>
      <c r="D36" s="603"/>
      <c r="E36" s="599">
        <f>39457616+1599652</f>
        <v>41057268</v>
      </c>
      <c r="F36" s="600"/>
      <c r="G36" s="603"/>
      <c r="H36" s="599"/>
      <c r="I36" s="600"/>
      <c r="J36" s="603"/>
      <c r="K36" s="599"/>
      <c r="L36" s="600"/>
      <c r="M36" s="603"/>
      <c r="N36" s="597">
        <f t="shared" si="0"/>
        <v>93542411</v>
      </c>
      <c r="O36" s="598"/>
      <c r="P36" s="604"/>
    </row>
    <row r="37" spans="1:16" ht="16.7" customHeight="1">
      <c r="A37" s="26" t="s">
        <v>952</v>
      </c>
      <c r="B37" s="27">
        <v>555982144</v>
      </c>
      <c r="C37" s="23"/>
      <c r="D37" s="241"/>
      <c r="E37" s="27">
        <v>269459981</v>
      </c>
      <c r="F37" s="23"/>
      <c r="G37" s="241"/>
      <c r="H37" s="27"/>
      <c r="I37" s="23"/>
      <c r="J37" s="241"/>
      <c r="K37" s="27"/>
      <c r="L37" s="23"/>
      <c r="M37" s="241"/>
      <c r="N37" s="28">
        <f t="shared" si="0"/>
        <v>825442125</v>
      </c>
      <c r="O37" s="25"/>
      <c r="P37" s="240"/>
    </row>
    <row r="38" spans="1:16" ht="16.7" customHeight="1">
      <c r="A38" s="26" t="s">
        <v>953</v>
      </c>
      <c r="B38" s="27">
        <v>81021452</v>
      </c>
      <c r="C38" s="23"/>
      <c r="D38" s="241"/>
      <c r="E38" s="27">
        <v>37437700</v>
      </c>
      <c r="F38" s="23"/>
      <c r="G38" s="241"/>
      <c r="H38" s="27"/>
      <c r="I38" s="23"/>
      <c r="J38" s="241"/>
      <c r="K38" s="27"/>
      <c r="L38" s="23"/>
      <c r="M38" s="241"/>
      <c r="N38" s="28">
        <f t="shared" si="0"/>
        <v>118459152</v>
      </c>
      <c r="O38" s="25"/>
      <c r="P38" s="240"/>
    </row>
    <row r="39" spans="1:16" ht="16.7" customHeight="1">
      <c r="A39" s="26" t="s">
        <v>954</v>
      </c>
      <c r="B39" s="27">
        <v>67194532</v>
      </c>
      <c r="C39" s="23"/>
      <c r="D39" s="241"/>
      <c r="E39" s="27">
        <v>32586596</v>
      </c>
      <c r="F39" s="23"/>
      <c r="G39" s="241"/>
      <c r="H39" s="27"/>
      <c r="I39" s="23"/>
      <c r="J39" s="241"/>
      <c r="K39" s="27"/>
      <c r="L39" s="23"/>
      <c r="M39" s="241"/>
      <c r="N39" s="28">
        <f t="shared" si="0"/>
        <v>99781128</v>
      </c>
      <c r="O39" s="25"/>
      <c r="P39" s="240"/>
    </row>
    <row r="40" spans="1:16" ht="16.7" customHeight="1">
      <c r="A40" s="26" t="s">
        <v>955</v>
      </c>
      <c r="B40" s="27">
        <v>833821</v>
      </c>
      <c r="C40" s="23"/>
      <c r="D40" s="241"/>
      <c r="E40" s="27">
        <v>247225</v>
      </c>
      <c r="F40" s="23"/>
      <c r="G40" s="241"/>
      <c r="H40" s="27"/>
      <c r="I40" s="23"/>
      <c r="J40" s="241"/>
      <c r="K40" s="27"/>
      <c r="L40" s="23"/>
      <c r="M40" s="241"/>
      <c r="N40" s="28">
        <f t="shared" si="0"/>
        <v>1081046</v>
      </c>
      <c r="O40" s="25"/>
      <c r="P40" s="240"/>
    </row>
    <row r="41" spans="1:16" ht="16.7" customHeight="1" thickBot="1">
      <c r="A41" s="34" t="s">
        <v>956</v>
      </c>
      <c r="B41" s="35"/>
      <c r="C41" s="36">
        <f>C14-C15</f>
        <v>63813217</v>
      </c>
      <c r="D41" s="238">
        <f>C41/C6</f>
        <v>1.7902871176001433E-2</v>
      </c>
      <c r="E41" s="35"/>
      <c r="F41" s="36">
        <f>F14-F15</f>
        <v>174971823</v>
      </c>
      <c r="G41" s="238">
        <f>F41/F6</f>
        <v>5.6670262669430316E-2</v>
      </c>
      <c r="H41" s="35"/>
      <c r="I41" s="36"/>
      <c r="J41" s="238"/>
      <c r="K41" s="35"/>
      <c r="L41" s="36"/>
      <c r="M41" s="238"/>
      <c r="N41" s="37"/>
      <c r="O41" s="38">
        <f>O14-O15</f>
        <v>769785436</v>
      </c>
      <c r="P41" s="237">
        <f>O41/O6</f>
        <v>0.11572319492038576</v>
      </c>
    </row>
    <row r="44" spans="1:16">
      <c r="B44" s="251"/>
    </row>
  </sheetData>
  <mergeCells count="16">
    <mergeCell ref="A1:P1"/>
    <mergeCell ref="A2:P2"/>
    <mergeCell ref="A4:A5"/>
    <mergeCell ref="B4:D4"/>
    <mergeCell ref="E4:G4"/>
    <mergeCell ref="H4:J4"/>
    <mergeCell ref="K4:M4"/>
    <mergeCell ref="N4:P4"/>
    <mergeCell ref="B5:C5"/>
    <mergeCell ref="E5:F5"/>
    <mergeCell ref="D16:D18"/>
    <mergeCell ref="G16:G18"/>
    <mergeCell ref="P16:P18"/>
    <mergeCell ref="H5:I5"/>
    <mergeCell ref="K5:L5"/>
    <mergeCell ref="N5:O5"/>
  </mergeCells>
  <phoneticPr fontId="4" type="noConversion"/>
  <pageMargins left="0.23622047244094491" right="0" top="0.51181102362204722" bottom="0.27559055118110237" header="0.51181102362204722" footer="0.51181102362204722"/>
  <pageSetup paperSize="9" scale="7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FC68E-ED6C-46F2-9816-28C25C878028}">
  <sheetPr>
    <outlinePr summaryBelow="0" summaryRight="0"/>
    <pageSetUpPr autoPageBreaks="0"/>
  </sheetPr>
  <dimension ref="A1:P41"/>
  <sheetViews>
    <sheetView zoomScaleNormal="100" workbookViewId="0">
      <selection activeCell="E16" sqref="E16"/>
    </sheetView>
  </sheetViews>
  <sheetFormatPr defaultColWidth="9.140625" defaultRowHeight="12.75"/>
  <cols>
    <col min="1" max="1" width="24.5703125" style="19" customWidth="1"/>
    <col min="2" max="2" width="13.7109375" style="19" customWidth="1"/>
    <col min="3" max="3" width="14.7109375" style="19" customWidth="1"/>
    <col min="4" max="4" width="7.7109375" style="236" customWidth="1"/>
    <col min="5" max="5" width="12.7109375" style="19" customWidth="1"/>
    <col min="6" max="6" width="13.7109375" style="19" customWidth="1"/>
    <col min="7" max="7" width="7.7109375" style="19" customWidth="1"/>
    <col min="8" max="8" width="13.7109375" style="19" customWidth="1"/>
    <col min="9" max="9" width="14.7109375" style="19" customWidth="1"/>
    <col min="10" max="10" width="7.7109375" style="19" customWidth="1"/>
    <col min="11" max="12" width="15.7109375" style="19" customWidth="1"/>
    <col min="13" max="13" width="7.7109375" style="19" customWidth="1"/>
    <col min="14" max="15" width="15.7109375" style="19" customWidth="1"/>
    <col min="16" max="16" width="7.7109375" style="19" customWidth="1"/>
    <col min="17" max="16384" width="9.140625" style="19"/>
  </cols>
  <sheetData>
    <row r="1" spans="1:16" ht="30.75" customHeight="1">
      <c r="A1" s="852" t="s">
        <v>255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  <c r="P1" s="852"/>
    </row>
    <row r="2" spans="1:16" ht="15" customHeight="1">
      <c r="A2" s="853" t="str">
        <f>'1호점'!A2:P2</f>
        <v>제 25(당)기 2023년  1월  1일부터  2023년   12월   31일까지</v>
      </c>
      <c r="B2" s="854"/>
      <c r="C2" s="854"/>
      <c r="D2" s="854"/>
      <c r="E2" s="854"/>
      <c r="F2" s="854"/>
      <c r="G2" s="854"/>
      <c r="H2" s="854"/>
      <c r="I2" s="854"/>
      <c r="J2" s="854"/>
      <c r="K2" s="854"/>
      <c r="L2" s="854"/>
      <c r="M2" s="854"/>
      <c r="N2" s="854"/>
      <c r="O2" s="854"/>
      <c r="P2" s="854"/>
    </row>
    <row r="3" spans="1:16" ht="15" customHeight="1" thickBot="1">
      <c r="A3" s="20" t="s">
        <v>961</v>
      </c>
    </row>
    <row r="4" spans="1:16" ht="16.7" customHeight="1" thickBot="1">
      <c r="A4" s="855" t="s">
        <v>919</v>
      </c>
      <c r="B4" s="857" t="s">
        <v>958</v>
      </c>
      <c r="C4" s="858"/>
      <c r="D4" s="859"/>
      <c r="E4" s="860" t="str">
        <f>'1호점'!E4:G4</f>
        <v>7-12월</v>
      </c>
      <c r="F4" s="858"/>
      <c r="G4" s="859"/>
      <c r="H4" s="860"/>
      <c r="I4" s="858"/>
      <c r="J4" s="859"/>
      <c r="K4" s="860"/>
      <c r="L4" s="858"/>
      <c r="M4" s="859"/>
      <c r="N4" s="860" t="s">
        <v>920</v>
      </c>
      <c r="O4" s="858"/>
      <c r="P4" s="859"/>
    </row>
    <row r="5" spans="1:16" ht="16.7" customHeight="1" thickBot="1">
      <c r="A5" s="856"/>
      <c r="B5" s="850" t="s">
        <v>256</v>
      </c>
      <c r="C5" s="851"/>
      <c r="D5" s="252" t="s">
        <v>921</v>
      </c>
      <c r="E5" s="850" t="s">
        <v>256</v>
      </c>
      <c r="F5" s="851"/>
      <c r="G5" s="252" t="s">
        <v>921</v>
      </c>
      <c r="H5" s="850"/>
      <c r="I5" s="851"/>
      <c r="J5" s="252"/>
      <c r="K5" s="850"/>
      <c r="L5" s="851"/>
      <c r="M5" s="252"/>
      <c r="N5" s="850" t="s">
        <v>256</v>
      </c>
      <c r="O5" s="851"/>
      <c r="P5" s="252" t="s">
        <v>921</v>
      </c>
    </row>
    <row r="6" spans="1:16" ht="16.7" customHeight="1">
      <c r="A6" s="21" t="s">
        <v>922</v>
      </c>
      <c r="B6" s="22"/>
      <c r="C6" s="23">
        <f>SUM(B7:B8)</f>
        <v>888780790</v>
      </c>
      <c r="D6" s="241"/>
      <c r="E6" s="22"/>
      <c r="F6" s="23">
        <f>SUM(E7:E8)</f>
        <v>434578207</v>
      </c>
      <c r="G6" s="241"/>
      <c r="H6" s="22"/>
      <c r="I6" s="23"/>
      <c r="J6" s="241"/>
      <c r="K6" s="22"/>
      <c r="L6" s="23"/>
      <c r="M6" s="241"/>
      <c r="N6" s="24"/>
      <c r="O6" s="25">
        <f>SUM(N7:N8)</f>
        <v>1323358997</v>
      </c>
      <c r="P6" s="240"/>
    </row>
    <row r="7" spans="1:16" ht="16.7" customHeight="1">
      <c r="A7" s="26" t="s">
        <v>923</v>
      </c>
      <c r="B7" s="27">
        <v>888780790</v>
      </c>
      <c r="C7" s="23"/>
      <c r="D7" s="241"/>
      <c r="E7" s="27">
        <v>434578207</v>
      </c>
      <c r="F7" s="23"/>
      <c r="G7" s="241"/>
      <c r="H7" s="27"/>
      <c r="I7" s="23"/>
      <c r="J7" s="241"/>
      <c r="K7" s="27"/>
      <c r="L7" s="23"/>
      <c r="M7" s="241"/>
      <c r="N7" s="28">
        <f>SUM(B7+E7+H7+K7)</f>
        <v>1323358997</v>
      </c>
      <c r="O7" s="25"/>
      <c r="P7" s="240"/>
    </row>
    <row r="8" spans="1:16" ht="16.7" customHeight="1">
      <c r="A8" s="26" t="s">
        <v>924</v>
      </c>
      <c r="B8" s="27"/>
      <c r="C8" s="23"/>
      <c r="D8" s="241"/>
      <c r="E8" s="27"/>
      <c r="F8" s="23"/>
      <c r="G8" s="241"/>
      <c r="H8" s="27"/>
      <c r="I8" s="23"/>
      <c r="J8" s="241"/>
      <c r="K8" s="27"/>
      <c r="L8" s="23"/>
      <c r="M8" s="241"/>
      <c r="N8" s="28">
        <f>SUM(B8+E8+H8+K8)</f>
        <v>0</v>
      </c>
      <c r="O8" s="25"/>
      <c r="P8" s="240"/>
    </row>
    <row r="9" spans="1:16" ht="16.7" customHeight="1">
      <c r="A9" s="21" t="s">
        <v>925</v>
      </c>
      <c r="B9" s="29"/>
      <c r="C9" s="23">
        <f>C10</f>
        <v>279610569</v>
      </c>
      <c r="D9" s="241">
        <f>C9/C6</f>
        <v>0.31460014904237521</v>
      </c>
      <c r="E9" s="29"/>
      <c r="F9" s="23">
        <f>F10</f>
        <v>157818707</v>
      </c>
      <c r="G9" s="241">
        <f>F9/F6</f>
        <v>0.36315375335882871</v>
      </c>
      <c r="H9" s="29"/>
      <c r="I9" s="23"/>
      <c r="J9" s="241"/>
      <c r="K9" s="29"/>
      <c r="L9" s="23"/>
      <c r="M9" s="241"/>
      <c r="N9" s="30"/>
      <c r="O9" s="25">
        <f>O10</f>
        <v>431309284</v>
      </c>
      <c r="P9" s="240">
        <f>O9/O6</f>
        <v>0.32592009044995368</v>
      </c>
    </row>
    <row r="10" spans="1:16" ht="16.7" customHeight="1">
      <c r="A10" s="21" t="s">
        <v>926</v>
      </c>
      <c r="B10" s="22"/>
      <c r="C10" s="23">
        <f>B11+B12-B13</f>
        <v>279610569</v>
      </c>
      <c r="D10" s="241"/>
      <c r="E10" s="22"/>
      <c r="F10" s="23">
        <f>E11+E12-E13</f>
        <v>157818707</v>
      </c>
      <c r="G10" s="241"/>
      <c r="H10" s="22"/>
      <c r="I10" s="23"/>
      <c r="J10" s="241"/>
      <c r="K10" s="22"/>
      <c r="L10" s="23"/>
      <c r="M10" s="241"/>
      <c r="N10" s="24"/>
      <c r="O10" s="25">
        <f>N11+N12-N13</f>
        <v>431309284</v>
      </c>
      <c r="P10" s="240"/>
    </row>
    <row r="11" spans="1:16" ht="16.7" customHeight="1">
      <c r="A11" s="26" t="s">
        <v>927</v>
      </c>
      <c r="B11" s="27">
        <v>6119992</v>
      </c>
      <c r="C11" s="23"/>
      <c r="D11" s="241"/>
      <c r="E11" s="27"/>
      <c r="F11" s="23"/>
      <c r="G11" s="241"/>
      <c r="H11" s="27"/>
      <c r="I11" s="23"/>
      <c r="J11" s="241"/>
      <c r="K11" s="27"/>
      <c r="L11" s="23"/>
      <c r="M11" s="241"/>
      <c r="N11" s="28"/>
      <c r="O11" s="25"/>
      <c r="P11" s="240"/>
    </row>
    <row r="12" spans="1:16" ht="16.7" customHeight="1">
      <c r="A12" s="26" t="s">
        <v>928</v>
      </c>
      <c r="B12" s="27">
        <v>273490577</v>
      </c>
      <c r="C12" s="23"/>
      <c r="D12" s="241"/>
      <c r="E12" s="27">
        <v>166221262</v>
      </c>
      <c r="F12" s="23"/>
      <c r="G12" s="241"/>
      <c r="H12" s="27"/>
      <c r="I12" s="23"/>
      <c r="J12" s="241"/>
      <c r="K12" s="27"/>
      <c r="L12" s="23"/>
      <c r="M12" s="241"/>
      <c r="N12" s="28">
        <f>SUM(B12+E12+H12+K12)</f>
        <v>439711839</v>
      </c>
      <c r="O12" s="25"/>
      <c r="P12" s="240"/>
    </row>
    <row r="13" spans="1:16" ht="16.7" customHeight="1">
      <c r="A13" s="26" t="s">
        <v>929</v>
      </c>
      <c r="B13" s="31"/>
      <c r="C13" s="23"/>
      <c r="D13" s="247"/>
      <c r="E13" s="31">
        <v>8402555</v>
      </c>
      <c r="F13" s="23"/>
      <c r="G13" s="247"/>
      <c r="H13" s="31"/>
      <c r="I13" s="23"/>
      <c r="J13" s="247"/>
      <c r="K13" s="31"/>
      <c r="L13" s="23"/>
      <c r="M13" s="247"/>
      <c r="N13" s="28">
        <f>SUM(B13+E13+H13+K13)</f>
        <v>8402555</v>
      </c>
      <c r="O13" s="25"/>
      <c r="P13" s="246"/>
    </row>
    <row r="14" spans="1:16" ht="16.7" customHeight="1">
      <c r="A14" s="21" t="s">
        <v>930</v>
      </c>
      <c r="B14" s="29"/>
      <c r="C14" s="32">
        <f>C6-C9</f>
        <v>609170221</v>
      </c>
      <c r="D14" s="241">
        <f>C14/C6</f>
        <v>0.68539985095762479</v>
      </c>
      <c r="E14" s="29"/>
      <c r="F14" s="32">
        <f>F6-F9</f>
        <v>276759500</v>
      </c>
      <c r="G14" s="241">
        <f>F14/F6</f>
        <v>0.63684624664117129</v>
      </c>
      <c r="H14" s="29"/>
      <c r="I14" s="32"/>
      <c r="J14" s="241"/>
      <c r="K14" s="29"/>
      <c r="L14" s="32"/>
      <c r="M14" s="241"/>
      <c r="N14" s="30"/>
      <c r="O14" s="33">
        <f>O6-O9</f>
        <v>892049713</v>
      </c>
      <c r="P14" s="240">
        <f>O14/O6</f>
        <v>0.67407990955004626</v>
      </c>
    </row>
    <row r="15" spans="1:16" ht="16.7" customHeight="1">
      <c r="A15" s="21" t="s">
        <v>931</v>
      </c>
      <c r="B15" s="22"/>
      <c r="C15" s="23">
        <f>SUM(B16:B40)</f>
        <v>983881195</v>
      </c>
      <c r="D15" s="241">
        <f>C15/C6</f>
        <v>1.1070009681464874</v>
      </c>
      <c r="E15" s="22"/>
      <c r="F15" s="23">
        <f>SUM(E16:E40)</f>
        <v>791511593</v>
      </c>
      <c r="G15" s="241">
        <f>F15/F6</f>
        <v>1.8213329160336842</v>
      </c>
      <c r="H15" s="22"/>
      <c r="I15" s="23"/>
      <c r="J15" s="241"/>
      <c r="K15" s="22"/>
      <c r="L15" s="23"/>
      <c r="M15" s="241"/>
      <c r="N15" s="24"/>
      <c r="O15" s="25">
        <f>SUM(N16:N40)</f>
        <v>1775392788</v>
      </c>
      <c r="P15" s="240">
        <f>O15/O6</f>
        <v>1.3415806232660539</v>
      </c>
    </row>
    <row r="16" spans="1:16" ht="16.7" customHeight="1">
      <c r="A16" s="26" t="s">
        <v>932</v>
      </c>
      <c r="B16" s="27">
        <f>343594122+'3호점'!B16</f>
        <v>478955323</v>
      </c>
      <c r="C16" s="23"/>
      <c r="D16" s="848">
        <f>SUM(B16:B18)/C6</f>
        <v>0.59530913466300284</v>
      </c>
      <c r="E16" s="27">
        <f>212071212+'3호점'!E16</f>
        <v>418567641</v>
      </c>
      <c r="F16" s="23"/>
      <c r="G16" s="848">
        <f>SUM(E16:E18)/F6</f>
        <v>1.0054373044067533</v>
      </c>
      <c r="H16" s="27"/>
      <c r="I16" s="23"/>
      <c r="J16" s="241"/>
      <c r="K16" s="27"/>
      <c r="L16" s="23"/>
      <c r="M16" s="241"/>
      <c r="N16" s="28">
        <f t="shared" ref="N16:N40" si="0">SUM(B16+E16+H16+K16)</f>
        <v>897522964</v>
      </c>
      <c r="O16" s="25"/>
      <c r="P16" s="848">
        <f>SUM(N16:N18)/O6</f>
        <v>0.72999123154788204</v>
      </c>
    </row>
    <row r="17" spans="1:16" ht="16.7" customHeight="1">
      <c r="A17" s="26" t="s">
        <v>933</v>
      </c>
      <c r="B17" s="27"/>
      <c r="C17" s="23"/>
      <c r="D17" s="849"/>
      <c r="E17" s="27">
        <v>1000000</v>
      </c>
      <c r="F17" s="23"/>
      <c r="G17" s="849"/>
      <c r="H17" s="27"/>
      <c r="I17" s="23"/>
      <c r="J17" s="241"/>
      <c r="K17" s="27"/>
      <c r="L17" s="23"/>
      <c r="M17" s="241"/>
      <c r="N17" s="28">
        <f t="shared" si="0"/>
        <v>1000000</v>
      </c>
      <c r="O17" s="25"/>
      <c r="P17" s="849"/>
    </row>
    <row r="18" spans="1:16" s="602" customFormat="1" ht="16.7" customHeight="1">
      <c r="A18" s="596" t="s">
        <v>934</v>
      </c>
      <c r="B18" s="599">
        <v>50144000</v>
      </c>
      <c r="C18" s="600"/>
      <c r="D18" s="849"/>
      <c r="E18" s="599">
        <v>17373500</v>
      </c>
      <c r="F18" s="600"/>
      <c r="G18" s="849"/>
      <c r="H18" s="599"/>
      <c r="I18" s="600"/>
      <c r="J18" s="603"/>
      <c r="K18" s="599"/>
      <c r="L18" s="600"/>
      <c r="M18" s="603"/>
      <c r="N18" s="597">
        <f t="shared" si="0"/>
        <v>67517500</v>
      </c>
      <c r="O18" s="598"/>
      <c r="P18" s="849"/>
    </row>
    <row r="19" spans="1:16" ht="16.7" customHeight="1">
      <c r="A19" s="26" t="s">
        <v>935</v>
      </c>
      <c r="B19" s="27"/>
      <c r="C19" s="23"/>
      <c r="D19" s="241"/>
      <c r="E19" s="27">
        <v>16290861</v>
      </c>
      <c r="F19" s="23"/>
      <c r="G19" s="241"/>
      <c r="H19" s="27"/>
      <c r="I19" s="23"/>
      <c r="J19" s="241"/>
      <c r="K19" s="27"/>
      <c r="L19" s="23"/>
      <c r="M19" s="241"/>
      <c r="N19" s="28">
        <f t="shared" si="0"/>
        <v>16290861</v>
      </c>
      <c r="O19" s="25"/>
      <c r="P19" s="240"/>
    </row>
    <row r="20" spans="1:16" ht="16.7" customHeight="1">
      <c r="A20" s="26" t="s">
        <v>936</v>
      </c>
      <c r="B20" s="27">
        <v>37795350</v>
      </c>
      <c r="C20" s="23"/>
      <c r="D20" s="241"/>
      <c r="E20" s="27">
        <v>11642364</v>
      </c>
      <c r="F20" s="23"/>
      <c r="G20" s="241"/>
      <c r="H20" s="27"/>
      <c r="I20" s="23"/>
      <c r="J20" s="241"/>
      <c r="K20" s="27"/>
      <c r="L20" s="23"/>
      <c r="M20" s="241"/>
      <c r="N20" s="28">
        <f t="shared" si="0"/>
        <v>49437714</v>
      </c>
      <c r="O20" s="25"/>
      <c r="P20" s="240"/>
    </row>
    <row r="21" spans="1:16" ht="16.7" customHeight="1">
      <c r="A21" s="26" t="s">
        <v>937</v>
      </c>
      <c r="B21" s="27"/>
      <c r="C21" s="23"/>
      <c r="D21" s="241"/>
      <c r="E21" s="27">
        <v>148900</v>
      </c>
      <c r="F21" s="23"/>
      <c r="G21" s="241"/>
      <c r="H21" s="27"/>
      <c r="I21" s="23"/>
      <c r="J21" s="241"/>
      <c r="K21" s="27"/>
      <c r="L21" s="23"/>
      <c r="M21" s="241"/>
      <c r="N21" s="28">
        <f t="shared" si="0"/>
        <v>148900</v>
      </c>
      <c r="O21" s="25"/>
      <c r="P21" s="240"/>
    </row>
    <row r="22" spans="1:16" ht="16.7" customHeight="1">
      <c r="A22" s="26" t="s">
        <v>938</v>
      </c>
      <c r="B22" s="27"/>
      <c r="C22" s="23"/>
      <c r="D22" s="241"/>
      <c r="E22" s="27">
        <v>171779</v>
      </c>
      <c r="F22" s="23"/>
      <c r="G22" s="241"/>
      <c r="H22" s="27"/>
      <c r="I22" s="23"/>
      <c r="J22" s="241"/>
      <c r="K22" s="27"/>
      <c r="L22" s="23"/>
      <c r="M22" s="241"/>
      <c r="N22" s="28">
        <f t="shared" si="0"/>
        <v>171779</v>
      </c>
      <c r="O22" s="25"/>
      <c r="P22" s="240"/>
    </row>
    <row r="23" spans="1:16" ht="16.7" customHeight="1">
      <c r="A23" s="26" t="s">
        <v>939</v>
      </c>
      <c r="B23" s="27"/>
      <c r="C23" s="23"/>
      <c r="D23" s="241"/>
      <c r="E23" s="27">
        <v>1050843</v>
      </c>
      <c r="F23" s="23"/>
      <c r="G23" s="241"/>
      <c r="H23" s="27"/>
      <c r="I23" s="23"/>
      <c r="J23" s="241"/>
      <c r="K23" s="27"/>
      <c r="L23" s="23"/>
      <c r="M23" s="241"/>
      <c r="N23" s="28">
        <f t="shared" si="0"/>
        <v>1050843</v>
      </c>
      <c r="O23" s="25"/>
      <c r="P23" s="240"/>
    </row>
    <row r="24" spans="1:16" ht="16.7" customHeight="1">
      <c r="A24" s="26" t="s">
        <v>940</v>
      </c>
      <c r="B24" s="27">
        <v>15931860</v>
      </c>
      <c r="C24" s="23"/>
      <c r="D24" s="241"/>
      <c r="E24" s="27">
        <v>12326683</v>
      </c>
      <c r="F24" s="23"/>
      <c r="G24" s="241"/>
      <c r="H24" s="27"/>
      <c r="I24" s="23"/>
      <c r="J24" s="241"/>
      <c r="K24" s="27"/>
      <c r="L24" s="23"/>
      <c r="M24" s="241"/>
      <c r="N24" s="28">
        <f t="shared" si="0"/>
        <v>28258543</v>
      </c>
      <c r="O24" s="25"/>
      <c r="P24" s="240"/>
    </row>
    <row r="25" spans="1:16" ht="16.7" customHeight="1">
      <c r="A25" s="26" t="s">
        <v>941</v>
      </c>
      <c r="B25" s="27">
        <v>12069202</v>
      </c>
      <c r="C25" s="23"/>
      <c r="D25" s="241"/>
      <c r="E25" s="27">
        <v>15816922</v>
      </c>
      <c r="F25" s="23"/>
      <c r="G25" s="241"/>
      <c r="H25" s="27"/>
      <c r="I25" s="23"/>
      <c r="J25" s="241"/>
      <c r="K25" s="27"/>
      <c r="L25" s="23"/>
      <c r="M25" s="241"/>
      <c r="N25" s="28">
        <f t="shared" si="0"/>
        <v>27886124</v>
      </c>
      <c r="O25" s="25"/>
      <c r="P25" s="240"/>
    </row>
    <row r="26" spans="1:16" ht="16.7" customHeight="1">
      <c r="A26" s="26" t="s">
        <v>942</v>
      </c>
      <c r="B26" s="27"/>
      <c r="C26" s="23"/>
      <c r="D26" s="241"/>
      <c r="E26" s="27">
        <v>8589260</v>
      </c>
      <c r="F26" s="23"/>
      <c r="G26" s="241"/>
      <c r="H26" s="27"/>
      <c r="I26" s="23"/>
      <c r="J26" s="241"/>
      <c r="K26" s="27"/>
      <c r="L26" s="23"/>
      <c r="M26" s="241"/>
      <c r="N26" s="28">
        <f t="shared" si="0"/>
        <v>8589260</v>
      </c>
      <c r="O26" s="25"/>
      <c r="P26" s="240"/>
    </row>
    <row r="27" spans="1:16" ht="16.7" customHeight="1">
      <c r="A27" s="26" t="s">
        <v>957</v>
      </c>
      <c r="B27" s="27"/>
      <c r="C27" s="23"/>
      <c r="D27" s="241"/>
      <c r="E27" s="27"/>
      <c r="F27" s="23"/>
      <c r="G27" s="241"/>
      <c r="H27" s="27"/>
      <c r="I27" s="23"/>
      <c r="J27" s="241"/>
      <c r="K27" s="27"/>
      <c r="L27" s="23"/>
      <c r="M27" s="241"/>
      <c r="N27" s="28">
        <f t="shared" si="0"/>
        <v>0</v>
      </c>
      <c r="O27" s="25"/>
      <c r="P27" s="240"/>
    </row>
    <row r="28" spans="1:16" ht="16.7" customHeight="1">
      <c r="A28" s="26" t="s">
        <v>943</v>
      </c>
      <c r="B28" s="27">
        <v>73317237</v>
      </c>
      <c r="C28" s="23"/>
      <c r="D28" s="241"/>
      <c r="E28" s="27">
        <v>36133988</v>
      </c>
      <c r="F28" s="23"/>
      <c r="G28" s="241"/>
      <c r="H28" s="27"/>
      <c r="I28" s="23"/>
      <c r="J28" s="241"/>
      <c r="K28" s="27"/>
      <c r="L28" s="23"/>
      <c r="M28" s="241"/>
      <c r="N28" s="28">
        <f t="shared" si="0"/>
        <v>109451225</v>
      </c>
      <c r="O28" s="25"/>
      <c r="P28" s="240"/>
    </row>
    <row r="29" spans="1:16" ht="16.7" customHeight="1">
      <c r="A29" s="26" t="s">
        <v>944</v>
      </c>
      <c r="B29" s="27"/>
      <c r="C29" s="23"/>
      <c r="D29" s="241"/>
      <c r="E29" s="27">
        <v>5700000</v>
      </c>
      <c r="F29" s="23"/>
      <c r="G29" s="241"/>
      <c r="H29" s="27"/>
      <c r="I29" s="23"/>
      <c r="J29" s="241"/>
      <c r="K29" s="27"/>
      <c r="L29" s="23"/>
      <c r="M29" s="241"/>
      <c r="N29" s="28">
        <f t="shared" si="0"/>
        <v>5700000</v>
      </c>
      <c r="O29" s="25"/>
      <c r="P29" s="240"/>
    </row>
    <row r="30" spans="1:16" ht="16.7" customHeight="1">
      <c r="A30" s="26" t="s">
        <v>945</v>
      </c>
      <c r="B30" s="27"/>
      <c r="C30" s="23"/>
      <c r="D30" s="241"/>
      <c r="E30" s="27">
        <v>2765160</v>
      </c>
      <c r="F30" s="23"/>
      <c r="G30" s="241"/>
      <c r="H30" s="27"/>
      <c r="I30" s="23"/>
      <c r="J30" s="241"/>
      <c r="K30" s="27"/>
      <c r="L30" s="23"/>
      <c r="M30" s="241"/>
      <c r="N30" s="28">
        <f t="shared" si="0"/>
        <v>2765160</v>
      </c>
      <c r="O30" s="25"/>
      <c r="P30" s="240"/>
    </row>
    <row r="31" spans="1:16" ht="16.7" customHeight="1">
      <c r="A31" s="26" t="s">
        <v>946</v>
      </c>
      <c r="B31" s="27"/>
      <c r="C31" s="23"/>
      <c r="D31" s="241"/>
      <c r="E31" s="27">
        <v>12000</v>
      </c>
      <c r="F31" s="23"/>
      <c r="G31" s="241"/>
      <c r="H31" s="27"/>
      <c r="I31" s="23"/>
      <c r="J31" s="241"/>
      <c r="K31" s="27"/>
      <c r="L31" s="23"/>
      <c r="M31" s="241"/>
      <c r="N31" s="28">
        <f t="shared" si="0"/>
        <v>12000</v>
      </c>
      <c r="O31" s="25"/>
      <c r="P31" s="240"/>
    </row>
    <row r="32" spans="1:16" ht="16.7" customHeight="1">
      <c r="A32" s="26" t="s">
        <v>947</v>
      </c>
      <c r="B32" s="27"/>
      <c r="C32" s="23"/>
      <c r="D32" s="241"/>
      <c r="E32" s="27">
        <v>3124000</v>
      </c>
      <c r="F32" s="23"/>
      <c r="G32" s="241"/>
      <c r="H32" s="27"/>
      <c r="I32" s="23"/>
      <c r="J32" s="241"/>
      <c r="K32" s="27"/>
      <c r="L32" s="23"/>
      <c r="M32" s="241"/>
      <c r="N32" s="28">
        <f t="shared" si="0"/>
        <v>3124000</v>
      </c>
      <c r="O32" s="25"/>
      <c r="P32" s="240"/>
    </row>
    <row r="33" spans="1:16" ht="16.7" customHeight="1">
      <c r="A33" s="26" t="s">
        <v>948</v>
      </c>
      <c r="B33" s="27"/>
      <c r="C33" s="23"/>
      <c r="D33" s="241"/>
      <c r="E33" s="27">
        <v>336180</v>
      </c>
      <c r="F33" s="23"/>
      <c r="G33" s="241"/>
      <c r="H33" s="27"/>
      <c r="I33" s="23"/>
      <c r="J33" s="241"/>
      <c r="K33" s="27"/>
      <c r="L33" s="23"/>
      <c r="M33" s="241"/>
      <c r="N33" s="28">
        <f t="shared" si="0"/>
        <v>336180</v>
      </c>
      <c r="O33" s="25"/>
      <c r="P33" s="240"/>
    </row>
    <row r="34" spans="1:16" ht="16.7" customHeight="1">
      <c r="A34" s="26" t="s">
        <v>949</v>
      </c>
      <c r="B34" s="27">
        <v>3537900</v>
      </c>
      <c r="C34" s="23"/>
      <c r="D34" s="241"/>
      <c r="E34" s="27"/>
      <c r="F34" s="23"/>
      <c r="G34" s="241"/>
      <c r="H34" s="27"/>
      <c r="I34" s="23"/>
      <c r="J34" s="241"/>
      <c r="K34" s="27"/>
      <c r="L34" s="23"/>
      <c r="M34" s="241"/>
      <c r="N34" s="28">
        <f t="shared" si="0"/>
        <v>3537900</v>
      </c>
      <c r="O34" s="25"/>
      <c r="P34" s="240"/>
    </row>
    <row r="35" spans="1:16" ht="16.7" customHeight="1">
      <c r="A35" s="26" t="s">
        <v>950</v>
      </c>
      <c r="B35" s="27"/>
      <c r="C35" s="23"/>
      <c r="D35" s="241"/>
      <c r="E35" s="27">
        <v>150370</v>
      </c>
      <c r="F35" s="23"/>
      <c r="G35" s="241"/>
      <c r="H35" s="27"/>
      <c r="I35" s="23"/>
      <c r="J35" s="241"/>
      <c r="K35" s="27"/>
      <c r="L35" s="23"/>
      <c r="M35" s="241"/>
      <c r="N35" s="28">
        <f t="shared" si="0"/>
        <v>150370</v>
      </c>
      <c r="O35" s="25"/>
      <c r="P35" s="240"/>
    </row>
    <row r="36" spans="1:16" s="602" customFormat="1" ht="16.7" customHeight="1">
      <c r="A36" s="596" t="s">
        <v>951</v>
      </c>
      <c r="B36" s="599">
        <v>12401808</v>
      </c>
      <c r="C36" s="600"/>
      <c r="D36" s="603"/>
      <c r="E36" s="599">
        <f>2828161+3782949</f>
        <v>6611110</v>
      </c>
      <c r="F36" s="600"/>
      <c r="G36" s="603"/>
      <c r="H36" s="599"/>
      <c r="I36" s="600"/>
      <c r="J36" s="603"/>
      <c r="K36" s="599"/>
      <c r="L36" s="600"/>
      <c r="M36" s="603"/>
      <c r="N36" s="597">
        <f t="shared" si="0"/>
        <v>19012918</v>
      </c>
      <c r="O36" s="598"/>
      <c r="P36" s="604"/>
    </row>
    <row r="37" spans="1:16" ht="16.7" customHeight="1">
      <c r="A37" s="26" t="s">
        <v>952</v>
      </c>
      <c r="B37" s="27">
        <v>213056479</v>
      </c>
      <c r="C37" s="23"/>
      <c r="D37" s="241"/>
      <c r="E37" s="27">
        <v>181490941</v>
      </c>
      <c r="F37" s="23"/>
      <c r="G37" s="241"/>
      <c r="H37" s="27"/>
      <c r="I37" s="23"/>
      <c r="J37" s="241"/>
      <c r="K37" s="27"/>
      <c r="L37" s="23"/>
      <c r="M37" s="241"/>
      <c r="N37" s="28">
        <f t="shared" si="0"/>
        <v>394547420</v>
      </c>
      <c r="O37" s="25"/>
      <c r="P37" s="240"/>
    </row>
    <row r="38" spans="1:16" ht="16.7" customHeight="1">
      <c r="A38" s="26" t="s">
        <v>953</v>
      </c>
      <c r="B38" s="27">
        <v>46729290</v>
      </c>
      <c r="C38" s="23"/>
      <c r="D38" s="241"/>
      <c r="E38" s="27">
        <v>14900000</v>
      </c>
      <c r="F38" s="23"/>
      <c r="G38" s="241"/>
      <c r="H38" s="27"/>
      <c r="I38" s="23"/>
      <c r="J38" s="241"/>
      <c r="K38" s="27"/>
      <c r="L38" s="23"/>
      <c r="M38" s="241"/>
      <c r="N38" s="28">
        <f t="shared" si="0"/>
        <v>61629290</v>
      </c>
      <c r="O38" s="25"/>
      <c r="P38" s="240"/>
    </row>
    <row r="39" spans="1:16" ht="16.7" customHeight="1">
      <c r="A39" s="26" t="s">
        <v>954</v>
      </c>
      <c r="B39" s="27">
        <v>36340143</v>
      </c>
      <c r="C39" s="23"/>
      <c r="D39" s="241"/>
      <c r="E39" s="27">
        <v>35546732</v>
      </c>
      <c r="F39" s="23"/>
      <c r="G39" s="241"/>
      <c r="H39" s="27"/>
      <c r="I39" s="23"/>
      <c r="J39" s="241"/>
      <c r="K39" s="27"/>
      <c r="L39" s="23"/>
      <c r="M39" s="241"/>
      <c r="N39" s="28">
        <f t="shared" si="0"/>
        <v>71886875</v>
      </c>
      <c r="O39" s="25"/>
      <c r="P39" s="240"/>
    </row>
    <row r="40" spans="1:16" ht="16.7" customHeight="1">
      <c r="A40" s="26" t="s">
        <v>955</v>
      </c>
      <c r="B40" s="27">
        <v>3602603</v>
      </c>
      <c r="C40" s="23"/>
      <c r="D40" s="241"/>
      <c r="E40" s="27">
        <v>1762359</v>
      </c>
      <c r="F40" s="23"/>
      <c r="G40" s="241"/>
      <c r="H40" s="27"/>
      <c r="I40" s="23"/>
      <c r="J40" s="241"/>
      <c r="K40" s="27"/>
      <c r="L40" s="23"/>
      <c r="M40" s="241"/>
      <c r="N40" s="28">
        <f t="shared" si="0"/>
        <v>5364962</v>
      </c>
      <c r="O40" s="25"/>
      <c r="P40" s="240"/>
    </row>
    <row r="41" spans="1:16" ht="16.7" customHeight="1" thickBot="1">
      <c r="A41" s="34" t="s">
        <v>956</v>
      </c>
      <c r="B41" s="35"/>
      <c r="C41" s="36">
        <f>C14-C15</f>
        <v>-374710974</v>
      </c>
      <c r="D41" s="238">
        <f>C41/C6</f>
        <v>-0.42160111718886273</v>
      </c>
      <c r="E41" s="35"/>
      <c r="F41" s="36">
        <f>F14-F15</f>
        <v>-514752093</v>
      </c>
      <c r="G41" s="238">
        <f>F41/F6</f>
        <v>-1.1844866693925129</v>
      </c>
      <c r="H41" s="35"/>
      <c r="I41" s="36"/>
      <c r="J41" s="238"/>
      <c r="K41" s="35"/>
      <c r="L41" s="36"/>
      <c r="M41" s="238"/>
      <c r="N41" s="37"/>
      <c r="O41" s="38">
        <f>O14-O15</f>
        <v>-883343075</v>
      </c>
      <c r="P41" s="237">
        <f>O41/O6</f>
        <v>-0.66750071371600761</v>
      </c>
    </row>
  </sheetData>
  <mergeCells count="16">
    <mergeCell ref="A1:P1"/>
    <mergeCell ref="A2:P2"/>
    <mergeCell ref="A4:A5"/>
    <mergeCell ref="B4:D4"/>
    <mergeCell ref="E4:G4"/>
    <mergeCell ref="H4:J4"/>
    <mergeCell ref="K4:M4"/>
    <mergeCell ref="N4:P4"/>
    <mergeCell ref="B5:C5"/>
    <mergeCell ref="E5:F5"/>
    <mergeCell ref="D16:D18"/>
    <mergeCell ref="G16:G18"/>
    <mergeCell ref="P16:P18"/>
    <mergeCell ref="H5:I5"/>
    <mergeCell ref="K5:L5"/>
    <mergeCell ref="N5:O5"/>
  </mergeCells>
  <phoneticPr fontId="4" type="noConversion"/>
  <pageMargins left="0.23622047244094491" right="0" top="0.51181102362204722" bottom="0.27559055118110237" header="0.51181102362204722" footer="0.51181102362204722"/>
  <pageSetup paperSize="9" scale="7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22AA-0216-40BD-8224-6DB6804C2688}">
  <sheetPr>
    <outlinePr summaryBelow="0" summaryRight="0"/>
    <pageSetUpPr autoPageBreaks="0"/>
  </sheetPr>
  <dimension ref="A1:P49"/>
  <sheetViews>
    <sheetView zoomScale="110" zoomScaleNormal="110" workbookViewId="0">
      <selection activeCell="N16" sqref="N16"/>
    </sheetView>
  </sheetViews>
  <sheetFormatPr defaultColWidth="9.140625" defaultRowHeight="12.75"/>
  <cols>
    <col min="1" max="1" width="24.5703125" style="19" customWidth="1"/>
    <col min="2" max="2" width="13.7109375" style="19" customWidth="1"/>
    <col min="3" max="3" width="14.7109375" style="19" customWidth="1"/>
    <col min="4" max="4" width="7.7109375" style="236" customWidth="1"/>
    <col min="5" max="5" width="12.7109375" style="19" customWidth="1"/>
    <col min="6" max="6" width="16" style="19" customWidth="1"/>
    <col min="7" max="7" width="7.7109375" style="19" customWidth="1"/>
    <col min="8" max="8" width="13.7109375" style="19" customWidth="1"/>
    <col min="9" max="9" width="14.7109375" style="19" customWidth="1"/>
    <col min="10" max="10" width="7.7109375" style="19" customWidth="1"/>
    <col min="11" max="12" width="15.7109375" style="19" customWidth="1"/>
    <col min="13" max="13" width="7.7109375" style="19" customWidth="1"/>
    <col min="14" max="15" width="15.7109375" style="19" customWidth="1"/>
    <col min="16" max="16" width="7.7109375" style="19" customWidth="1"/>
    <col min="17" max="16384" width="9.140625" style="19"/>
  </cols>
  <sheetData>
    <row r="1" spans="1:16" ht="30.75" customHeight="1">
      <c r="A1" s="852" t="s">
        <v>255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  <c r="P1" s="852"/>
    </row>
    <row r="2" spans="1:16" ht="15" customHeight="1">
      <c r="A2" s="853" t="str">
        <f>'1호점'!A2:P2</f>
        <v>제 25(당)기 2023년  1월  1일부터  2023년   12월   31일까지</v>
      </c>
      <c r="B2" s="854"/>
      <c r="C2" s="854"/>
      <c r="D2" s="854"/>
      <c r="E2" s="854"/>
      <c r="F2" s="854"/>
      <c r="G2" s="854"/>
      <c r="H2" s="854"/>
      <c r="I2" s="854"/>
      <c r="J2" s="854"/>
      <c r="K2" s="854"/>
      <c r="L2" s="854"/>
      <c r="M2" s="854"/>
      <c r="N2" s="854"/>
      <c r="O2" s="854"/>
      <c r="P2" s="854"/>
    </row>
    <row r="3" spans="1:16" ht="15" customHeight="1" thickBot="1">
      <c r="A3" s="20" t="s">
        <v>959</v>
      </c>
    </row>
    <row r="4" spans="1:16" ht="16.7" customHeight="1" thickBot="1">
      <c r="A4" s="855" t="s">
        <v>919</v>
      </c>
      <c r="B4" s="857" t="s">
        <v>958</v>
      </c>
      <c r="C4" s="858"/>
      <c r="D4" s="859"/>
      <c r="E4" s="860" t="str">
        <f>'1호점'!E4:G4</f>
        <v>7-12월</v>
      </c>
      <c r="F4" s="858"/>
      <c r="G4" s="859"/>
      <c r="H4" s="860"/>
      <c r="I4" s="858"/>
      <c r="J4" s="859"/>
      <c r="K4" s="860"/>
      <c r="L4" s="858"/>
      <c r="M4" s="859"/>
      <c r="N4" s="860" t="s">
        <v>920</v>
      </c>
      <c r="O4" s="858"/>
      <c r="P4" s="859"/>
    </row>
    <row r="5" spans="1:16" ht="16.7" customHeight="1" thickBot="1">
      <c r="A5" s="856"/>
      <c r="B5" s="850" t="s">
        <v>256</v>
      </c>
      <c r="C5" s="851"/>
      <c r="D5" s="252" t="s">
        <v>921</v>
      </c>
      <c r="E5" s="850" t="s">
        <v>256</v>
      </c>
      <c r="F5" s="851"/>
      <c r="G5" s="252" t="s">
        <v>921</v>
      </c>
      <c r="H5" s="850"/>
      <c r="I5" s="851"/>
      <c r="J5" s="252"/>
      <c r="K5" s="850"/>
      <c r="L5" s="851"/>
      <c r="M5" s="252"/>
      <c r="N5" s="850" t="s">
        <v>256</v>
      </c>
      <c r="O5" s="851"/>
      <c r="P5" s="252" t="s">
        <v>921</v>
      </c>
    </row>
    <row r="6" spans="1:16" ht="16.7" customHeight="1">
      <c r="A6" s="21" t="s">
        <v>922</v>
      </c>
      <c r="B6" s="22"/>
      <c r="C6" s="23">
        <f>SUM(B7:B8)</f>
        <v>1007422993</v>
      </c>
      <c r="D6" s="241"/>
      <c r="E6" s="22"/>
      <c r="F6" s="23">
        <f>SUM(E7:E8)</f>
        <v>1337862199</v>
      </c>
      <c r="G6" s="241"/>
      <c r="H6" s="22"/>
      <c r="I6" s="23"/>
      <c r="J6" s="241"/>
      <c r="K6" s="22"/>
      <c r="L6" s="23"/>
      <c r="M6" s="241"/>
      <c r="N6" s="24"/>
      <c r="O6" s="25">
        <f>SUM(N7:N8)</f>
        <v>2345285192</v>
      </c>
      <c r="P6" s="240"/>
    </row>
    <row r="7" spans="1:16" ht="16.7" customHeight="1">
      <c r="A7" s="26" t="s">
        <v>923</v>
      </c>
      <c r="B7" s="27">
        <v>1007422993</v>
      </c>
      <c r="C7" s="23"/>
      <c r="D7" s="241"/>
      <c r="E7" s="27">
        <v>1337862199</v>
      </c>
      <c r="F7" s="23"/>
      <c r="G7" s="241"/>
      <c r="H7" s="27"/>
      <c r="I7" s="23"/>
      <c r="J7" s="241"/>
      <c r="K7" s="27"/>
      <c r="L7" s="23"/>
      <c r="M7" s="241"/>
      <c r="N7" s="28">
        <f>SUM(B7+E7+H7+K7)</f>
        <v>2345285192</v>
      </c>
      <c r="O7" s="25"/>
      <c r="P7" s="240"/>
    </row>
    <row r="8" spans="1:16" ht="16.7" customHeight="1">
      <c r="A8" s="26" t="s">
        <v>924</v>
      </c>
      <c r="B8" s="27"/>
      <c r="C8" s="23"/>
      <c r="D8" s="241"/>
      <c r="E8" s="27"/>
      <c r="F8" s="23"/>
      <c r="G8" s="241"/>
      <c r="H8" s="27"/>
      <c r="I8" s="23"/>
      <c r="J8" s="241"/>
      <c r="K8" s="27"/>
      <c r="L8" s="23"/>
      <c r="M8" s="241"/>
      <c r="N8" s="28">
        <f>SUM(B8+E8+H8+K8)</f>
        <v>0</v>
      </c>
      <c r="O8" s="25"/>
      <c r="P8" s="240"/>
    </row>
    <row r="9" spans="1:16" ht="16.7" customHeight="1">
      <c r="A9" s="21" t="s">
        <v>925</v>
      </c>
      <c r="B9" s="29"/>
      <c r="C9" s="23">
        <f>C10</f>
        <v>424596676</v>
      </c>
      <c r="D9" s="241">
        <f>C9/C6</f>
        <v>0.42146812108744475</v>
      </c>
      <c r="E9" s="29"/>
      <c r="F9" s="23">
        <f>F10</f>
        <v>505109448</v>
      </c>
      <c r="G9" s="241">
        <f>F9/F6</f>
        <v>0.37754968215526957</v>
      </c>
      <c r="H9" s="29"/>
      <c r="I9" s="23"/>
      <c r="J9" s="241"/>
      <c r="K9" s="29"/>
      <c r="L9" s="23"/>
      <c r="M9" s="241"/>
      <c r="N9" s="30"/>
      <c r="O9" s="25">
        <f>O10</f>
        <v>929706124</v>
      </c>
      <c r="P9" s="240">
        <f>O9/O6</f>
        <v>0.39641495506445001</v>
      </c>
    </row>
    <row r="10" spans="1:16" ht="16.7" customHeight="1">
      <c r="A10" s="21" t="s">
        <v>926</v>
      </c>
      <c r="B10" s="22"/>
      <c r="C10" s="23">
        <f>B11+B12-B13</f>
        <v>424596676</v>
      </c>
      <c r="D10" s="241"/>
      <c r="E10" s="22"/>
      <c r="F10" s="23">
        <f>E11+E12-E13</f>
        <v>505109448</v>
      </c>
      <c r="G10" s="241"/>
      <c r="H10" s="22"/>
      <c r="I10" s="23"/>
      <c r="J10" s="241"/>
      <c r="K10" s="22"/>
      <c r="L10" s="23"/>
      <c r="M10" s="241"/>
      <c r="N10" s="24"/>
      <c r="O10" s="25">
        <f>N11+N12-N13</f>
        <v>929706124</v>
      </c>
      <c r="P10" s="240"/>
    </row>
    <row r="11" spans="1:16" ht="16.7" customHeight="1">
      <c r="A11" s="26" t="s">
        <v>927</v>
      </c>
      <c r="B11" s="27"/>
      <c r="C11" s="23"/>
      <c r="D11" s="241"/>
      <c r="E11" s="27"/>
      <c r="F11" s="23"/>
      <c r="G11" s="241"/>
      <c r="H11" s="27"/>
      <c r="I11" s="23"/>
      <c r="J11" s="241"/>
      <c r="K11" s="27"/>
      <c r="L11" s="23"/>
      <c r="M11" s="241"/>
      <c r="N11" s="28"/>
      <c r="O11" s="25"/>
      <c r="P11" s="240"/>
    </row>
    <row r="12" spans="1:16" ht="16.7" customHeight="1">
      <c r="A12" s="26" t="s">
        <v>928</v>
      </c>
      <c r="B12" s="39">
        <v>424596676</v>
      </c>
      <c r="C12" s="23"/>
      <c r="D12" s="241"/>
      <c r="E12" s="27">
        <v>508020071</v>
      </c>
      <c r="F12" s="23"/>
      <c r="G12" s="241"/>
      <c r="H12" s="27"/>
      <c r="I12" s="23"/>
      <c r="J12" s="241"/>
      <c r="K12" s="27"/>
      <c r="L12" s="23"/>
      <c r="M12" s="241"/>
      <c r="N12" s="28">
        <f>SUM(B12+E12+H12+K12)</f>
        <v>932616747</v>
      </c>
      <c r="O12" s="25"/>
      <c r="P12" s="240"/>
    </row>
    <row r="13" spans="1:16" ht="16.7" customHeight="1">
      <c r="A13" s="26" t="s">
        <v>929</v>
      </c>
      <c r="B13" s="31"/>
      <c r="C13" s="23"/>
      <c r="D13" s="247"/>
      <c r="E13" s="31">
        <v>2910623</v>
      </c>
      <c r="F13" s="23"/>
      <c r="G13" s="247"/>
      <c r="H13" s="31"/>
      <c r="I13" s="23"/>
      <c r="J13" s="247"/>
      <c r="K13" s="31"/>
      <c r="L13" s="23"/>
      <c r="M13" s="247"/>
      <c r="N13" s="28">
        <f>SUM(B13+E13+H13+K13)</f>
        <v>2910623</v>
      </c>
      <c r="O13" s="25"/>
      <c r="P13" s="246"/>
    </row>
    <row r="14" spans="1:16" ht="16.7" customHeight="1">
      <c r="A14" s="21" t="s">
        <v>930</v>
      </c>
      <c r="B14" s="29"/>
      <c r="C14" s="32">
        <f>C6-C9</f>
        <v>582826317</v>
      </c>
      <c r="D14" s="241">
        <f>C14/C6</f>
        <v>0.57853187891255531</v>
      </c>
      <c r="E14" s="29"/>
      <c r="F14" s="32">
        <f>F6-F9</f>
        <v>832752751</v>
      </c>
      <c r="G14" s="241">
        <f>F14/F6</f>
        <v>0.62245031784473048</v>
      </c>
      <c r="H14" s="29"/>
      <c r="I14" s="32"/>
      <c r="J14" s="241"/>
      <c r="K14" s="29"/>
      <c r="L14" s="32"/>
      <c r="M14" s="241"/>
      <c r="N14" s="30"/>
      <c r="O14" s="33">
        <f>O6-O9</f>
        <v>1415579068</v>
      </c>
      <c r="P14" s="240">
        <f>O14/O6</f>
        <v>0.60358504493554999</v>
      </c>
    </row>
    <row r="15" spans="1:16" ht="16.7" customHeight="1">
      <c r="A15" s="21" t="s">
        <v>931</v>
      </c>
      <c r="B15" s="22"/>
      <c r="C15" s="23">
        <f>SUM(B16:B40)</f>
        <v>458844227</v>
      </c>
      <c r="D15" s="241">
        <f>C15/C6</f>
        <v>0.45546332591993954</v>
      </c>
      <c r="E15" s="22"/>
      <c r="F15" s="23">
        <f>SUM(E16:E40)</f>
        <v>553167008</v>
      </c>
      <c r="G15" s="241">
        <f>F15/F6</f>
        <v>0.41347084057944894</v>
      </c>
      <c r="H15" s="22"/>
      <c r="I15" s="23"/>
      <c r="J15" s="241"/>
      <c r="K15" s="22"/>
      <c r="L15" s="23"/>
      <c r="M15" s="241"/>
      <c r="N15" s="24"/>
      <c r="O15" s="25">
        <f>SUM(N16:N40)</f>
        <v>1012011235</v>
      </c>
      <c r="P15" s="240">
        <f>O15/O6</f>
        <v>0.43150881541062491</v>
      </c>
    </row>
    <row r="16" spans="1:16" ht="16.7" customHeight="1">
      <c r="A16" s="26" t="s">
        <v>932</v>
      </c>
      <c r="B16" s="27">
        <f>270722402*0.5</f>
        <v>135361201</v>
      </c>
      <c r="C16" s="23"/>
      <c r="D16" s="848">
        <f>SUM(B16:B18)/C6</f>
        <v>0.15338016113753719</v>
      </c>
      <c r="E16" s="27">
        <f>412992858*0.5</f>
        <v>206496429</v>
      </c>
      <c r="F16" s="23"/>
      <c r="G16" s="848">
        <f>SUM(E16:E18)/F6</f>
        <v>0.16665874046419635</v>
      </c>
      <c r="H16" s="27"/>
      <c r="I16" s="23"/>
      <c r="J16" s="241"/>
      <c r="K16" s="27"/>
      <c r="L16" s="23"/>
      <c r="M16" s="241"/>
      <c r="N16" s="28">
        <f t="shared" ref="N16:N40" si="0">SUM(B16+E16+H16+K16)</f>
        <v>341857630</v>
      </c>
      <c r="O16" s="25"/>
      <c r="P16" s="848">
        <f>SUM(N16:N18)/O6</f>
        <v>0.16095489422251893</v>
      </c>
    </row>
    <row r="17" spans="1:16" ht="16.7" customHeight="1">
      <c r="A17" s="26" t="s">
        <v>933</v>
      </c>
      <c r="B17" s="27"/>
      <c r="C17" s="23"/>
      <c r="D17" s="849"/>
      <c r="E17" s="27">
        <v>5600000</v>
      </c>
      <c r="F17" s="23"/>
      <c r="G17" s="849"/>
      <c r="H17" s="27"/>
      <c r="I17" s="23"/>
      <c r="J17" s="241"/>
      <c r="K17" s="27"/>
      <c r="L17" s="23"/>
      <c r="M17" s="241"/>
      <c r="N17" s="28">
        <f t="shared" si="0"/>
        <v>5600000</v>
      </c>
      <c r="O17" s="25"/>
      <c r="P17" s="849"/>
    </row>
    <row r="18" spans="1:16" ht="16.7" customHeight="1">
      <c r="A18" s="26" t="s">
        <v>934</v>
      </c>
      <c r="B18" s="27">
        <v>19157500</v>
      </c>
      <c r="C18" s="23"/>
      <c r="D18" s="849"/>
      <c r="E18" s="27">
        <v>10870000</v>
      </c>
      <c r="F18" s="23"/>
      <c r="G18" s="849"/>
      <c r="H18" s="27"/>
      <c r="I18" s="23"/>
      <c r="J18" s="241"/>
      <c r="K18" s="27"/>
      <c r="L18" s="23"/>
      <c r="M18" s="241"/>
      <c r="N18" s="28">
        <f t="shared" si="0"/>
        <v>30027500</v>
      </c>
      <c r="O18" s="25"/>
      <c r="P18" s="849"/>
    </row>
    <row r="19" spans="1:16" ht="16.7" customHeight="1">
      <c r="A19" s="26" t="s">
        <v>935</v>
      </c>
      <c r="B19" s="27"/>
      <c r="C19" s="23"/>
      <c r="D19" s="241"/>
      <c r="E19" s="27">
        <v>6496261</v>
      </c>
      <c r="F19" s="23"/>
      <c r="G19" s="241"/>
      <c r="H19" s="27"/>
      <c r="I19" s="23"/>
      <c r="J19" s="241"/>
      <c r="K19" s="27"/>
      <c r="L19" s="23"/>
      <c r="M19" s="241"/>
      <c r="N19" s="28">
        <f t="shared" si="0"/>
        <v>6496261</v>
      </c>
      <c r="O19" s="25"/>
      <c r="P19" s="240"/>
    </row>
    <row r="20" spans="1:16" ht="16.7" customHeight="1">
      <c r="A20" s="26" t="s">
        <v>936</v>
      </c>
      <c r="B20" s="27">
        <v>10292041</v>
      </c>
      <c r="C20" s="23"/>
      <c r="D20" s="241"/>
      <c r="E20" s="27">
        <v>21147116</v>
      </c>
      <c r="F20" s="23"/>
      <c r="G20" s="241"/>
      <c r="H20" s="27"/>
      <c r="I20" s="23"/>
      <c r="J20" s="241"/>
      <c r="K20" s="27"/>
      <c r="L20" s="23"/>
      <c r="M20" s="241"/>
      <c r="N20" s="28">
        <f t="shared" si="0"/>
        <v>31439157</v>
      </c>
      <c r="O20" s="25"/>
      <c r="P20" s="240"/>
    </row>
    <row r="21" spans="1:16" ht="16.7" customHeight="1">
      <c r="A21" s="26" t="s">
        <v>937</v>
      </c>
      <c r="B21" s="27"/>
      <c r="C21" s="23"/>
      <c r="D21" s="241"/>
      <c r="E21" s="27">
        <v>272300</v>
      </c>
      <c r="F21" s="23"/>
      <c r="G21" s="241"/>
      <c r="H21" s="27"/>
      <c r="I21" s="23"/>
      <c r="J21" s="241"/>
      <c r="K21" s="27"/>
      <c r="L21" s="23"/>
      <c r="M21" s="241"/>
      <c r="N21" s="28">
        <f t="shared" si="0"/>
        <v>272300</v>
      </c>
      <c r="O21" s="25"/>
      <c r="P21" s="240"/>
    </row>
    <row r="22" spans="1:16" ht="16.7" customHeight="1">
      <c r="A22" s="26" t="s">
        <v>938</v>
      </c>
      <c r="B22" s="27"/>
      <c r="C22" s="23"/>
      <c r="D22" s="241"/>
      <c r="E22" s="27"/>
      <c r="F22" s="23"/>
      <c r="G22" s="241"/>
      <c r="H22" s="27"/>
      <c r="I22" s="23"/>
      <c r="J22" s="241"/>
      <c r="K22" s="27"/>
      <c r="L22" s="23"/>
      <c r="M22" s="241"/>
      <c r="N22" s="28">
        <f t="shared" si="0"/>
        <v>0</v>
      </c>
      <c r="O22" s="25"/>
      <c r="P22" s="240"/>
    </row>
    <row r="23" spans="1:16" ht="16.7" customHeight="1">
      <c r="A23" s="26" t="s">
        <v>939</v>
      </c>
      <c r="B23" s="27"/>
      <c r="C23" s="23"/>
      <c r="D23" s="241"/>
      <c r="E23" s="27">
        <v>659552</v>
      </c>
      <c r="F23" s="23"/>
      <c r="G23" s="241"/>
      <c r="H23" s="27"/>
      <c r="I23" s="23"/>
      <c r="J23" s="241"/>
      <c r="K23" s="27"/>
      <c r="L23" s="23"/>
      <c r="M23" s="241"/>
      <c r="N23" s="28">
        <f t="shared" si="0"/>
        <v>659552</v>
      </c>
      <c r="O23" s="25"/>
      <c r="P23" s="240"/>
    </row>
    <row r="24" spans="1:16" ht="16.7" customHeight="1">
      <c r="A24" s="26" t="s">
        <v>940</v>
      </c>
      <c r="B24" s="27"/>
      <c r="C24" s="23"/>
      <c r="D24" s="241"/>
      <c r="E24" s="27"/>
      <c r="F24" s="23"/>
      <c r="G24" s="241"/>
      <c r="H24" s="27"/>
      <c r="I24" s="23"/>
      <c r="J24" s="241"/>
      <c r="K24" s="27"/>
      <c r="L24" s="23"/>
      <c r="M24" s="241"/>
      <c r="N24" s="28">
        <f t="shared" si="0"/>
        <v>0</v>
      </c>
      <c r="O24" s="25"/>
      <c r="P24" s="240"/>
    </row>
    <row r="25" spans="1:16" ht="16.7" customHeight="1">
      <c r="A25" s="26" t="s">
        <v>941</v>
      </c>
      <c r="B25" s="27"/>
      <c r="C25" s="23"/>
      <c r="D25" s="241"/>
      <c r="E25" s="27"/>
      <c r="F25" s="23"/>
      <c r="G25" s="241"/>
      <c r="H25" s="27"/>
      <c r="I25" s="23"/>
      <c r="J25" s="241"/>
      <c r="K25" s="27"/>
      <c r="L25" s="23"/>
      <c r="M25" s="241"/>
      <c r="N25" s="28">
        <f t="shared" si="0"/>
        <v>0</v>
      </c>
      <c r="O25" s="25"/>
      <c r="P25" s="240"/>
    </row>
    <row r="26" spans="1:16" ht="16.7" customHeight="1">
      <c r="A26" s="26" t="s">
        <v>942</v>
      </c>
      <c r="B26" s="27"/>
      <c r="C26" s="23"/>
      <c r="D26" s="241"/>
      <c r="E26" s="27">
        <v>14602870</v>
      </c>
      <c r="F26" s="23"/>
      <c r="G26" s="241"/>
      <c r="H26" s="27"/>
      <c r="I26" s="23"/>
      <c r="J26" s="241"/>
      <c r="K26" s="27"/>
      <c r="L26" s="23"/>
      <c r="M26" s="241"/>
      <c r="N26" s="28">
        <f t="shared" si="0"/>
        <v>14602870</v>
      </c>
      <c r="O26" s="25"/>
      <c r="P26" s="240"/>
    </row>
    <row r="27" spans="1:16" ht="16.7" customHeight="1">
      <c r="A27" s="26" t="s">
        <v>957</v>
      </c>
      <c r="B27" s="27"/>
      <c r="C27" s="23"/>
      <c r="D27" s="241"/>
      <c r="E27" s="27"/>
      <c r="F27" s="23"/>
      <c r="G27" s="241"/>
      <c r="H27" s="27"/>
      <c r="I27" s="23"/>
      <c r="J27" s="241"/>
      <c r="K27" s="27"/>
      <c r="L27" s="23"/>
      <c r="M27" s="241"/>
      <c r="N27" s="28">
        <f t="shared" si="0"/>
        <v>0</v>
      </c>
      <c r="O27" s="25"/>
      <c r="P27" s="240"/>
    </row>
    <row r="28" spans="1:16" ht="16.7" customHeight="1">
      <c r="A28" s="26" t="s">
        <v>943</v>
      </c>
      <c r="B28" s="27">
        <v>5497913</v>
      </c>
      <c r="C28" s="23"/>
      <c r="D28" s="241"/>
      <c r="E28" s="27">
        <v>10570306</v>
      </c>
      <c r="F28" s="23"/>
      <c r="G28" s="241"/>
      <c r="H28" s="27"/>
      <c r="I28" s="23"/>
      <c r="J28" s="241"/>
      <c r="K28" s="27"/>
      <c r="L28" s="23"/>
      <c r="M28" s="241"/>
      <c r="N28" s="28">
        <f t="shared" si="0"/>
        <v>16068219</v>
      </c>
      <c r="O28" s="25"/>
      <c r="P28" s="240"/>
    </row>
    <row r="29" spans="1:16" ht="16.7" customHeight="1">
      <c r="A29" s="26" t="s">
        <v>944</v>
      </c>
      <c r="B29" s="27">
        <v>230000</v>
      </c>
      <c r="C29" s="23"/>
      <c r="D29" s="241"/>
      <c r="E29" s="27">
        <v>530000</v>
      </c>
      <c r="F29" s="23"/>
      <c r="G29" s="241"/>
      <c r="H29" s="27"/>
      <c r="I29" s="23"/>
      <c r="J29" s="241"/>
      <c r="K29" s="27"/>
      <c r="L29" s="23"/>
      <c r="M29" s="241"/>
      <c r="N29" s="28">
        <f t="shared" si="0"/>
        <v>760000</v>
      </c>
      <c r="O29" s="25"/>
      <c r="P29" s="240"/>
    </row>
    <row r="30" spans="1:16" ht="16.7" customHeight="1">
      <c r="A30" s="26" t="s">
        <v>945</v>
      </c>
      <c r="B30" s="27"/>
      <c r="C30" s="23"/>
      <c r="D30" s="241"/>
      <c r="E30" s="27">
        <v>4776376</v>
      </c>
      <c r="F30" s="23"/>
      <c r="G30" s="241"/>
      <c r="H30" s="27"/>
      <c r="I30" s="23"/>
      <c r="J30" s="241"/>
      <c r="K30" s="27"/>
      <c r="L30" s="23"/>
      <c r="M30" s="241"/>
      <c r="N30" s="28">
        <f t="shared" si="0"/>
        <v>4776376</v>
      </c>
      <c r="O30" s="25"/>
      <c r="P30" s="240"/>
    </row>
    <row r="31" spans="1:16" ht="16.7" customHeight="1">
      <c r="A31" s="26" t="s">
        <v>946</v>
      </c>
      <c r="B31" s="27"/>
      <c r="C31" s="23"/>
      <c r="D31" s="241"/>
      <c r="E31" s="27"/>
      <c r="F31" s="23"/>
      <c r="G31" s="241"/>
      <c r="H31" s="27"/>
      <c r="I31" s="23"/>
      <c r="J31" s="241"/>
      <c r="K31" s="27"/>
      <c r="L31" s="23"/>
      <c r="M31" s="241"/>
      <c r="N31" s="28">
        <f t="shared" si="0"/>
        <v>0</v>
      </c>
      <c r="O31" s="25"/>
      <c r="P31" s="240"/>
    </row>
    <row r="32" spans="1:16" ht="16.7" customHeight="1">
      <c r="A32" s="26" t="s">
        <v>947</v>
      </c>
      <c r="B32" s="27"/>
      <c r="C32" s="23"/>
      <c r="D32" s="241"/>
      <c r="E32" s="27">
        <v>3173000</v>
      </c>
      <c r="F32" s="23"/>
      <c r="G32" s="241"/>
      <c r="H32" s="27"/>
      <c r="I32" s="23"/>
      <c r="J32" s="241"/>
      <c r="K32" s="27"/>
      <c r="L32" s="23"/>
      <c r="M32" s="241"/>
      <c r="N32" s="28">
        <f t="shared" si="0"/>
        <v>3173000</v>
      </c>
      <c r="O32" s="25"/>
      <c r="P32" s="240"/>
    </row>
    <row r="33" spans="1:16" ht="16.7" customHeight="1">
      <c r="A33" s="26" t="s">
        <v>948</v>
      </c>
      <c r="B33" s="27"/>
      <c r="C33" s="23"/>
      <c r="D33" s="241"/>
      <c r="E33" s="27">
        <v>3783038</v>
      </c>
      <c r="F33" s="23"/>
      <c r="G33" s="241"/>
      <c r="H33" s="27"/>
      <c r="I33" s="23"/>
      <c r="J33" s="241"/>
      <c r="K33" s="27"/>
      <c r="L33" s="23"/>
      <c r="M33" s="241"/>
      <c r="N33" s="28">
        <f t="shared" si="0"/>
        <v>3783038</v>
      </c>
      <c r="O33" s="25"/>
      <c r="P33" s="240"/>
    </row>
    <row r="34" spans="1:16" ht="16.7" customHeight="1">
      <c r="A34" s="26" t="s">
        <v>949</v>
      </c>
      <c r="B34" s="27">
        <v>44954413</v>
      </c>
      <c r="C34" s="23"/>
      <c r="D34" s="241"/>
      <c r="E34" s="27">
        <v>13538178</v>
      </c>
      <c r="F34" s="23"/>
      <c r="G34" s="241"/>
      <c r="H34" s="27"/>
      <c r="I34" s="23"/>
      <c r="J34" s="241"/>
      <c r="K34" s="27"/>
      <c r="L34" s="23"/>
      <c r="M34" s="241"/>
      <c r="N34" s="28">
        <f t="shared" si="0"/>
        <v>58492591</v>
      </c>
      <c r="O34" s="25"/>
      <c r="P34" s="240"/>
    </row>
    <row r="35" spans="1:16" ht="16.7" customHeight="1">
      <c r="A35" s="26" t="s">
        <v>950</v>
      </c>
      <c r="B35" s="27"/>
      <c r="C35" s="23"/>
      <c r="D35" s="241"/>
      <c r="E35" s="27">
        <v>20907</v>
      </c>
      <c r="F35" s="23"/>
      <c r="G35" s="241"/>
      <c r="H35" s="27"/>
      <c r="I35" s="23"/>
      <c r="J35" s="241"/>
      <c r="K35" s="27"/>
      <c r="L35" s="23"/>
      <c r="M35" s="241"/>
      <c r="N35" s="28">
        <f t="shared" si="0"/>
        <v>20907</v>
      </c>
      <c r="O35" s="25"/>
      <c r="P35" s="240"/>
    </row>
    <row r="36" spans="1:16" s="602" customFormat="1" ht="16.7" customHeight="1">
      <c r="A36" s="596" t="s">
        <v>951</v>
      </c>
      <c r="B36" s="599">
        <v>39970487</v>
      </c>
      <c r="C36" s="600"/>
      <c r="D36" s="603"/>
      <c r="E36" s="599">
        <f>1331455+1406381</f>
        <v>2737836</v>
      </c>
      <c r="F36" s="600"/>
      <c r="G36" s="603"/>
      <c r="H36" s="599"/>
      <c r="I36" s="600"/>
      <c r="J36" s="603"/>
      <c r="K36" s="599"/>
      <c r="L36" s="600"/>
      <c r="M36" s="603"/>
      <c r="N36" s="597">
        <f t="shared" si="0"/>
        <v>42708323</v>
      </c>
      <c r="O36" s="598"/>
      <c r="P36" s="604"/>
    </row>
    <row r="37" spans="1:16" ht="16.7" customHeight="1">
      <c r="A37" s="26" t="s">
        <v>952</v>
      </c>
      <c r="B37" s="27">
        <v>165301161</v>
      </c>
      <c r="C37" s="23"/>
      <c r="D37" s="241"/>
      <c r="E37" s="27">
        <v>205403320</v>
      </c>
      <c r="F37" s="23"/>
      <c r="G37" s="241"/>
      <c r="H37" s="27"/>
      <c r="I37" s="23"/>
      <c r="J37" s="241"/>
      <c r="K37" s="27"/>
      <c r="L37" s="23"/>
      <c r="M37" s="241"/>
      <c r="N37" s="28">
        <f t="shared" si="0"/>
        <v>370704481</v>
      </c>
      <c r="O37" s="25"/>
      <c r="P37" s="240"/>
    </row>
    <row r="38" spans="1:16" ht="16.7" customHeight="1">
      <c r="A38" s="26" t="s">
        <v>953</v>
      </c>
      <c r="B38" s="27">
        <v>37888529</v>
      </c>
      <c r="C38" s="23"/>
      <c r="D38" s="241"/>
      <c r="E38" s="27">
        <v>42475909</v>
      </c>
      <c r="F38" s="23"/>
      <c r="G38" s="241"/>
      <c r="H38" s="27"/>
      <c r="I38" s="23"/>
      <c r="J38" s="241"/>
      <c r="K38" s="27"/>
      <c r="L38" s="23"/>
      <c r="M38" s="241"/>
      <c r="N38" s="28">
        <f t="shared" si="0"/>
        <v>80364438</v>
      </c>
      <c r="O38" s="25"/>
      <c r="P38" s="240"/>
    </row>
    <row r="39" spans="1:16" ht="16.7" customHeight="1">
      <c r="A39" s="26" t="s">
        <v>954</v>
      </c>
      <c r="B39" s="27"/>
      <c r="C39" s="23"/>
      <c r="D39" s="241"/>
      <c r="E39" s="27"/>
      <c r="F39" s="23"/>
      <c r="G39" s="241"/>
      <c r="H39" s="27"/>
      <c r="I39" s="23"/>
      <c r="J39" s="241"/>
      <c r="K39" s="27"/>
      <c r="L39" s="23"/>
      <c r="M39" s="241"/>
      <c r="N39" s="28">
        <f t="shared" si="0"/>
        <v>0</v>
      </c>
      <c r="O39" s="25"/>
      <c r="P39" s="240"/>
    </row>
    <row r="40" spans="1:16" ht="16.7" customHeight="1">
      <c r="A40" s="26" t="s">
        <v>955</v>
      </c>
      <c r="B40" s="27">
        <v>190982</v>
      </c>
      <c r="C40" s="23"/>
      <c r="D40" s="241"/>
      <c r="E40" s="27">
        <v>13610</v>
      </c>
      <c r="F40" s="23"/>
      <c r="G40" s="241"/>
      <c r="H40" s="27"/>
      <c r="I40" s="23"/>
      <c r="J40" s="241"/>
      <c r="K40" s="27"/>
      <c r="L40" s="23"/>
      <c r="M40" s="241"/>
      <c r="N40" s="28">
        <f t="shared" si="0"/>
        <v>204592</v>
      </c>
      <c r="O40" s="25"/>
      <c r="P40" s="240"/>
    </row>
    <row r="41" spans="1:16" ht="16.7" customHeight="1" thickBot="1">
      <c r="A41" s="34" t="s">
        <v>956</v>
      </c>
      <c r="B41" s="35"/>
      <c r="C41" s="36">
        <f>C14-C15</f>
        <v>123982090</v>
      </c>
      <c r="D41" s="238">
        <f>C41/C6</f>
        <v>0.12306855299261568</v>
      </c>
      <c r="E41" s="35"/>
      <c r="F41" s="36">
        <f>F14-F15</f>
        <v>279585743</v>
      </c>
      <c r="G41" s="238">
        <f>F41/F6</f>
        <v>0.20897947726528149</v>
      </c>
      <c r="H41" s="35"/>
      <c r="I41" s="36"/>
      <c r="J41" s="238"/>
      <c r="K41" s="35"/>
      <c r="L41" s="36"/>
      <c r="M41" s="238"/>
      <c r="N41" s="37"/>
      <c r="O41" s="38">
        <f>O14-O15</f>
        <v>403567833</v>
      </c>
      <c r="P41" s="237">
        <f>O41/O6</f>
        <v>0.17207622952492507</v>
      </c>
    </row>
    <row r="43" spans="1:16">
      <c r="B43" s="251" t="s">
        <v>2089</v>
      </c>
      <c r="C43" s="19">
        <v>49294553</v>
      </c>
    </row>
    <row r="47" spans="1:16">
      <c r="F47" s="235"/>
    </row>
    <row r="48" spans="1:16">
      <c r="F48" s="235"/>
    </row>
    <row r="49" spans="6:6">
      <c r="F49" s="235"/>
    </row>
  </sheetData>
  <mergeCells count="16">
    <mergeCell ref="A1:P1"/>
    <mergeCell ref="A2:P2"/>
    <mergeCell ref="A4:A5"/>
    <mergeCell ref="B4:D4"/>
    <mergeCell ref="E4:G4"/>
    <mergeCell ref="H4:J4"/>
    <mergeCell ref="K4:M4"/>
    <mergeCell ref="N4:P4"/>
    <mergeCell ref="B5:C5"/>
    <mergeCell ref="E5:F5"/>
    <mergeCell ref="D16:D18"/>
    <mergeCell ref="G16:G18"/>
    <mergeCell ref="P16:P18"/>
    <mergeCell ref="H5:I5"/>
    <mergeCell ref="K5:L5"/>
    <mergeCell ref="N5:O5"/>
  </mergeCells>
  <phoneticPr fontId="4" type="noConversion"/>
  <pageMargins left="0.23622047244094491" right="0" top="0.51181102362204722" bottom="0.27559055118110237" header="0.51181102362204722" footer="0.51181102362204722"/>
  <pageSetup paperSize="9" scale="7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7CA0E-1BF7-4769-9B2C-FDCD77EF02BB}">
  <sheetPr>
    <outlinePr summaryBelow="0" summaryRight="0"/>
    <pageSetUpPr autoPageBreaks="0"/>
  </sheetPr>
  <dimension ref="A1:P41"/>
  <sheetViews>
    <sheetView zoomScaleNormal="100" workbookViewId="0">
      <selection activeCell="B13" sqref="B13"/>
    </sheetView>
  </sheetViews>
  <sheetFormatPr defaultColWidth="9.140625" defaultRowHeight="12.75"/>
  <cols>
    <col min="1" max="1" width="24.5703125" style="19" customWidth="1"/>
    <col min="2" max="2" width="13.7109375" style="19" customWidth="1"/>
    <col min="3" max="3" width="14.7109375" style="19" customWidth="1"/>
    <col min="4" max="4" width="7.7109375" style="236" customWidth="1"/>
    <col min="5" max="5" width="12.7109375" style="19" customWidth="1"/>
    <col min="6" max="6" width="16.140625" style="19" customWidth="1"/>
    <col min="7" max="7" width="7.7109375" style="19" customWidth="1"/>
    <col min="8" max="8" width="13.7109375" style="19" customWidth="1"/>
    <col min="9" max="9" width="14.7109375" style="19" customWidth="1"/>
    <col min="10" max="10" width="7.7109375" style="19" customWidth="1"/>
    <col min="11" max="12" width="15.7109375" style="19" customWidth="1"/>
    <col min="13" max="13" width="7.7109375" style="19" customWidth="1"/>
    <col min="14" max="15" width="15.7109375" style="19" customWidth="1"/>
    <col min="16" max="16" width="7.7109375" style="19" customWidth="1"/>
    <col min="17" max="16384" width="9.140625" style="19"/>
  </cols>
  <sheetData>
    <row r="1" spans="1:16" ht="30.75" customHeight="1">
      <c r="A1" s="852" t="s">
        <v>255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  <c r="P1" s="852"/>
    </row>
    <row r="2" spans="1:16" ht="15" customHeight="1">
      <c r="A2" s="853" t="str">
        <f>'1호점'!A2:P2</f>
        <v>제 25(당)기 2023년  1월  1일부터  2023년   12월   31일까지</v>
      </c>
      <c r="B2" s="854"/>
      <c r="C2" s="854"/>
      <c r="D2" s="854"/>
      <c r="E2" s="854"/>
      <c r="F2" s="854"/>
      <c r="G2" s="854"/>
      <c r="H2" s="854"/>
      <c r="I2" s="854"/>
      <c r="J2" s="854"/>
      <c r="K2" s="854"/>
      <c r="L2" s="854"/>
      <c r="M2" s="854"/>
      <c r="N2" s="854"/>
      <c r="O2" s="854"/>
      <c r="P2" s="854"/>
    </row>
    <row r="3" spans="1:16" ht="15" customHeight="1" thickBot="1">
      <c r="A3" s="20" t="s">
        <v>962</v>
      </c>
    </row>
    <row r="4" spans="1:16" ht="16.7" customHeight="1" thickBot="1">
      <c r="A4" s="855" t="s">
        <v>919</v>
      </c>
      <c r="B4" s="857" t="s">
        <v>958</v>
      </c>
      <c r="C4" s="858"/>
      <c r="D4" s="859"/>
      <c r="E4" s="860" t="str">
        <f>'1호점'!E4:G4</f>
        <v>7-12월</v>
      </c>
      <c r="F4" s="858"/>
      <c r="G4" s="859"/>
      <c r="H4" s="860"/>
      <c r="I4" s="858"/>
      <c r="J4" s="859"/>
      <c r="K4" s="860"/>
      <c r="L4" s="858"/>
      <c r="M4" s="859"/>
      <c r="N4" s="860" t="s">
        <v>920</v>
      </c>
      <c r="O4" s="858"/>
      <c r="P4" s="859"/>
    </row>
    <row r="5" spans="1:16" ht="16.7" customHeight="1" thickBot="1">
      <c r="A5" s="856"/>
      <c r="B5" s="850" t="s">
        <v>256</v>
      </c>
      <c r="C5" s="851"/>
      <c r="D5" s="252" t="s">
        <v>921</v>
      </c>
      <c r="E5" s="850" t="s">
        <v>256</v>
      </c>
      <c r="F5" s="851"/>
      <c r="G5" s="252" t="s">
        <v>921</v>
      </c>
      <c r="H5" s="850"/>
      <c r="I5" s="851"/>
      <c r="J5" s="252"/>
      <c r="K5" s="850"/>
      <c r="L5" s="851"/>
      <c r="M5" s="252"/>
      <c r="N5" s="850" t="s">
        <v>256</v>
      </c>
      <c r="O5" s="851"/>
      <c r="P5" s="252" t="s">
        <v>921</v>
      </c>
    </row>
    <row r="6" spans="1:16" ht="16.7" customHeight="1">
      <c r="A6" s="21" t="s">
        <v>922</v>
      </c>
      <c r="B6" s="22"/>
      <c r="C6" s="23">
        <f>SUM(B7:B8)</f>
        <v>39786455</v>
      </c>
      <c r="D6" s="241"/>
      <c r="E6" s="22"/>
      <c r="F6" s="23">
        <f>SUM(E7:E8)</f>
        <v>2396039818</v>
      </c>
      <c r="G6" s="241"/>
      <c r="H6" s="22"/>
      <c r="I6" s="23"/>
      <c r="J6" s="241"/>
      <c r="K6" s="22"/>
      <c r="L6" s="23"/>
      <c r="M6" s="241"/>
      <c r="N6" s="24"/>
      <c r="O6" s="25">
        <f>SUM(N7:N8)</f>
        <v>2435826273</v>
      </c>
      <c r="P6" s="240"/>
    </row>
    <row r="7" spans="1:16" ht="16.7" customHeight="1">
      <c r="A7" s="26" t="s">
        <v>923</v>
      </c>
      <c r="B7" s="27">
        <v>39786455</v>
      </c>
      <c r="C7" s="23"/>
      <c r="D7" s="241"/>
      <c r="E7" s="27">
        <v>2396039818</v>
      </c>
      <c r="F7" s="23"/>
      <c r="G7" s="241"/>
      <c r="H7" s="27"/>
      <c r="I7" s="23"/>
      <c r="J7" s="241"/>
      <c r="K7" s="27"/>
      <c r="L7" s="23"/>
      <c r="M7" s="241"/>
      <c r="N7" s="28">
        <f>SUM(B7+E7+H7+K7)</f>
        <v>2435826273</v>
      </c>
      <c r="O7" s="25"/>
      <c r="P7" s="240"/>
    </row>
    <row r="8" spans="1:16" ht="16.7" customHeight="1">
      <c r="A8" s="26" t="s">
        <v>924</v>
      </c>
      <c r="B8" s="27"/>
      <c r="C8" s="23"/>
      <c r="D8" s="241"/>
      <c r="E8" s="27"/>
      <c r="F8" s="23"/>
      <c r="G8" s="241"/>
      <c r="H8" s="27"/>
      <c r="I8" s="23"/>
      <c r="J8" s="241"/>
      <c r="K8" s="27"/>
      <c r="L8" s="23"/>
      <c r="M8" s="241"/>
      <c r="N8" s="28">
        <f>SUM(B8+E8+H8+K8)</f>
        <v>0</v>
      </c>
      <c r="O8" s="25"/>
      <c r="P8" s="240"/>
    </row>
    <row r="9" spans="1:16" ht="16.7" customHeight="1">
      <c r="A9" s="21" t="s">
        <v>925</v>
      </c>
      <c r="B9" s="29"/>
      <c r="C9" s="23">
        <f>C10</f>
        <v>80548351</v>
      </c>
      <c r="D9" s="241">
        <f>C9/C6</f>
        <v>2.0245169115971753</v>
      </c>
      <c r="E9" s="29"/>
      <c r="F9" s="23">
        <f>F10</f>
        <v>618364377</v>
      </c>
      <c r="G9" s="241">
        <f>F9/F6</f>
        <v>0.25807767147883015</v>
      </c>
      <c r="H9" s="29"/>
      <c r="I9" s="23"/>
      <c r="J9" s="241"/>
      <c r="K9" s="29"/>
      <c r="L9" s="23"/>
      <c r="M9" s="241"/>
      <c r="N9" s="30"/>
      <c r="O9" s="25">
        <f>O10</f>
        <v>698912728</v>
      </c>
      <c r="P9" s="240">
        <f>O9/O6</f>
        <v>0.28693044973983661</v>
      </c>
    </row>
    <row r="10" spans="1:16" ht="16.7" customHeight="1">
      <c r="A10" s="21" t="s">
        <v>926</v>
      </c>
      <c r="B10" s="22"/>
      <c r="C10" s="23">
        <f>B11+B12-B13</f>
        <v>80548351</v>
      </c>
      <c r="D10" s="241"/>
      <c r="E10" s="22"/>
      <c r="F10" s="23">
        <f>E11+E12-E13</f>
        <v>618364377</v>
      </c>
      <c r="G10" s="241"/>
      <c r="H10" s="22"/>
      <c r="I10" s="23"/>
      <c r="J10" s="241"/>
      <c r="K10" s="22"/>
      <c r="L10" s="23"/>
      <c r="M10" s="241"/>
      <c r="N10" s="24"/>
      <c r="O10" s="25">
        <f>N11+N12-N13</f>
        <v>698912728</v>
      </c>
      <c r="P10" s="240"/>
    </row>
    <row r="11" spans="1:16" ht="16.7" customHeight="1">
      <c r="A11" s="26" t="s">
        <v>927</v>
      </c>
      <c r="B11" s="27"/>
      <c r="C11" s="23"/>
      <c r="D11" s="241"/>
      <c r="E11" s="27"/>
      <c r="F11" s="23"/>
      <c r="G11" s="241"/>
      <c r="H11" s="27"/>
      <c r="I11" s="23"/>
      <c r="J11" s="241"/>
      <c r="K11" s="27"/>
      <c r="L11" s="23"/>
      <c r="M11" s="241"/>
      <c r="N11" s="28"/>
      <c r="O11" s="25"/>
      <c r="P11" s="240"/>
    </row>
    <row r="12" spans="1:16" ht="16.7" customHeight="1">
      <c r="A12" s="26" t="s">
        <v>928</v>
      </c>
      <c r="B12" s="27">
        <v>80548351</v>
      </c>
      <c r="C12" s="23"/>
      <c r="D12" s="241"/>
      <c r="E12" s="27">
        <v>626754317</v>
      </c>
      <c r="F12" s="23"/>
      <c r="G12" s="241"/>
      <c r="H12" s="27"/>
      <c r="I12" s="23"/>
      <c r="J12" s="241"/>
      <c r="K12" s="27"/>
      <c r="L12" s="23"/>
      <c r="M12" s="241"/>
      <c r="N12" s="28">
        <f>SUM(B12+E12+H12+K12)</f>
        <v>707302668</v>
      </c>
      <c r="O12" s="25"/>
      <c r="P12" s="240"/>
    </row>
    <row r="13" spans="1:16" ht="16.7" customHeight="1">
      <c r="A13" s="26" t="s">
        <v>929</v>
      </c>
      <c r="B13" s="31"/>
      <c r="C13" s="23"/>
      <c r="D13" s="247"/>
      <c r="E13" s="31">
        <v>8389940</v>
      </c>
      <c r="F13" s="23"/>
      <c r="G13" s="247"/>
      <c r="H13" s="31"/>
      <c r="I13" s="23"/>
      <c r="J13" s="247"/>
      <c r="K13" s="31"/>
      <c r="L13" s="23"/>
      <c r="M13" s="247"/>
      <c r="N13" s="28">
        <f>SUM(B13+E13+H13+K13)</f>
        <v>8389940</v>
      </c>
      <c r="O13" s="25"/>
      <c r="P13" s="246"/>
    </row>
    <row r="14" spans="1:16" ht="16.7" customHeight="1">
      <c r="A14" s="21" t="s">
        <v>930</v>
      </c>
      <c r="B14" s="29"/>
      <c r="C14" s="32">
        <f>C6-C9</f>
        <v>-40761896</v>
      </c>
      <c r="D14" s="241">
        <f>C14/C6</f>
        <v>-1.0245169115971755</v>
      </c>
      <c r="E14" s="29"/>
      <c r="F14" s="32">
        <f>F6-F9</f>
        <v>1777675441</v>
      </c>
      <c r="G14" s="241">
        <f>F14/F6</f>
        <v>0.74192232852116979</v>
      </c>
      <c r="H14" s="29"/>
      <c r="I14" s="32"/>
      <c r="J14" s="241"/>
      <c r="K14" s="29"/>
      <c r="L14" s="32"/>
      <c r="M14" s="241"/>
      <c r="N14" s="30"/>
      <c r="O14" s="33">
        <f>O6-O9</f>
        <v>1736913545</v>
      </c>
      <c r="P14" s="240">
        <f>O14/O6</f>
        <v>0.71306955026016339</v>
      </c>
    </row>
    <row r="15" spans="1:16" ht="16.7" customHeight="1">
      <c r="A15" s="21" t="s">
        <v>931</v>
      </c>
      <c r="B15" s="22"/>
      <c r="C15" s="23">
        <f>SUM(B16:B40)</f>
        <v>210409791</v>
      </c>
      <c r="D15" s="241">
        <f>C15/C6</f>
        <v>5.2884779757331986</v>
      </c>
      <c r="E15" s="22"/>
      <c r="F15" s="23">
        <f>SUM(E16:E40)</f>
        <v>1362431831</v>
      </c>
      <c r="G15" s="241">
        <f>F15/F6</f>
        <v>0.5686181927215368</v>
      </c>
      <c r="H15" s="22"/>
      <c r="I15" s="23"/>
      <c r="J15" s="241"/>
      <c r="K15" s="22"/>
      <c r="L15" s="23"/>
      <c r="M15" s="241"/>
      <c r="N15" s="24"/>
      <c r="O15" s="25">
        <f>SUM(N16:N40)</f>
        <v>1572841622</v>
      </c>
      <c r="P15" s="240">
        <f>O15/O6</f>
        <v>0.64571174037911361</v>
      </c>
    </row>
    <row r="16" spans="1:16" ht="16.7" customHeight="1">
      <c r="A16" s="26" t="s">
        <v>932</v>
      </c>
      <c r="B16" s="27">
        <v>85149874</v>
      </c>
      <c r="C16" s="23"/>
      <c r="D16" s="848">
        <f>SUM(B16:B18)/C6</f>
        <v>2.1401724280285843</v>
      </c>
      <c r="E16" s="27">
        <v>741282635</v>
      </c>
      <c r="F16" s="23"/>
      <c r="G16" s="848">
        <f>SUM(E16:E18)/F6</f>
        <v>0.31770074490473266</v>
      </c>
      <c r="H16" s="27"/>
      <c r="I16" s="23"/>
      <c r="J16" s="241"/>
      <c r="K16" s="27"/>
      <c r="L16" s="23"/>
      <c r="M16" s="241"/>
      <c r="N16" s="28">
        <f t="shared" ref="N16:N40" si="0">SUM(B16+E16+H16+K16)</f>
        <v>826432509</v>
      </c>
      <c r="O16" s="25"/>
      <c r="P16" s="848">
        <f>SUM(N16:N18)/O6</f>
        <v>0.34746874946774992</v>
      </c>
    </row>
    <row r="17" spans="1:16" ht="16.7" customHeight="1">
      <c r="A17" s="26" t="s">
        <v>933</v>
      </c>
      <c r="B17" s="27"/>
      <c r="C17" s="23"/>
      <c r="D17" s="849"/>
      <c r="E17" s="27">
        <v>2400000</v>
      </c>
      <c r="F17" s="23"/>
      <c r="G17" s="849"/>
      <c r="H17" s="27"/>
      <c r="I17" s="23"/>
      <c r="J17" s="241"/>
      <c r="K17" s="27"/>
      <c r="L17" s="23"/>
      <c r="M17" s="241"/>
      <c r="N17" s="28">
        <f t="shared" si="0"/>
        <v>2400000</v>
      </c>
      <c r="O17" s="25"/>
      <c r="P17" s="849"/>
    </row>
    <row r="18" spans="1:16" ht="16.7" customHeight="1">
      <c r="A18" s="26" t="s">
        <v>934</v>
      </c>
      <c r="B18" s="27"/>
      <c r="C18" s="23"/>
      <c r="D18" s="849"/>
      <c r="E18" s="27">
        <v>17541000</v>
      </c>
      <c r="F18" s="23"/>
      <c r="G18" s="849"/>
      <c r="H18" s="27"/>
      <c r="I18" s="23"/>
      <c r="J18" s="241"/>
      <c r="K18" s="27"/>
      <c r="L18" s="23"/>
      <c r="M18" s="241"/>
      <c r="N18" s="28">
        <f t="shared" si="0"/>
        <v>17541000</v>
      </c>
      <c r="O18" s="25"/>
      <c r="P18" s="849"/>
    </row>
    <row r="19" spans="1:16" ht="16.7" customHeight="1">
      <c r="A19" s="26" t="s">
        <v>935</v>
      </c>
      <c r="B19" s="27"/>
      <c r="C19" s="23"/>
      <c r="D19" s="241"/>
      <c r="E19" s="27"/>
      <c r="F19" s="23"/>
      <c r="G19" s="241"/>
      <c r="H19" s="27"/>
      <c r="I19" s="23"/>
      <c r="J19" s="241"/>
      <c r="K19" s="27"/>
      <c r="L19" s="23"/>
      <c r="M19" s="241"/>
      <c r="N19" s="28">
        <f t="shared" si="0"/>
        <v>0</v>
      </c>
      <c r="O19" s="25"/>
      <c r="P19" s="240"/>
    </row>
    <row r="20" spans="1:16" ht="16.7" customHeight="1">
      <c r="A20" s="26" t="s">
        <v>936</v>
      </c>
      <c r="B20" s="27">
        <v>8514000</v>
      </c>
      <c r="C20" s="23"/>
      <c r="D20" s="241"/>
      <c r="E20" s="27">
        <v>35802178</v>
      </c>
      <c r="F20" s="23"/>
      <c r="G20" s="241"/>
      <c r="H20" s="27"/>
      <c r="I20" s="23"/>
      <c r="J20" s="241"/>
      <c r="K20" s="27"/>
      <c r="L20" s="23"/>
      <c r="M20" s="241"/>
      <c r="N20" s="28">
        <f t="shared" si="0"/>
        <v>44316178</v>
      </c>
      <c r="O20" s="25"/>
      <c r="P20" s="240"/>
    </row>
    <row r="21" spans="1:16" ht="16.7" customHeight="1">
      <c r="A21" s="26" t="s">
        <v>937</v>
      </c>
      <c r="B21" s="27"/>
      <c r="C21" s="23"/>
      <c r="D21" s="241"/>
      <c r="E21" s="27">
        <v>715470</v>
      </c>
      <c r="F21" s="23"/>
      <c r="G21" s="241"/>
      <c r="H21" s="27"/>
      <c r="I21" s="23"/>
      <c r="J21" s="241"/>
      <c r="K21" s="27"/>
      <c r="L21" s="23"/>
      <c r="M21" s="241"/>
      <c r="N21" s="28">
        <f t="shared" si="0"/>
        <v>715470</v>
      </c>
      <c r="O21" s="25"/>
      <c r="P21" s="240"/>
    </row>
    <row r="22" spans="1:16" ht="16.7" customHeight="1">
      <c r="A22" s="26" t="s">
        <v>938</v>
      </c>
      <c r="B22" s="27"/>
      <c r="C22" s="23"/>
      <c r="D22" s="241"/>
      <c r="E22" s="27">
        <v>300000</v>
      </c>
      <c r="F22" s="23"/>
      <c r="G22" s="241"/>
      <c r="H22" s="27"/>
      <c r="I22" s="23"/>
      <c r="J22" s="241"/>
      <c r="K22" s="27"/>
      <c r="L22" s="23"/>
      <c r="M22" s="241"/>
      <c r="N22" s="28">
        <f t="shared" si="0"/>
        <v>300000</v>
      </c>
      <c r="O22" s="25"/>
      <c r="P22" s="240"/>
    </row>
    <row r="23" spans="1:16" ht="16.7" customHeight="1">
      <c r="A23" s="26" t="s">
        <v>939</v>
      </c>
      <c r="B23" s="27"/>
      <c r="C23" s="23"/>
      <c r="D23" s="241"/>
      <c r="E23" s="27">
        <v>132400</v>
      </c>
      <c r="F23" s="23"/>
      <c r="G23" s="241"/>
      <c r="H23" s="27"/>
      <c r="I23" s="23"/>
      <c r="J23" s="241"/>
      <c r="K23" s="27"/>
      <c r="L23" s="23"/>
      <c r="M23" s="241"/>
      <c r="N23" s="28">
        <f t="shared" si="0"/>
        <v>132400</v>
      </c>
      <c r="O23" s="25"/>
      <c r="P23" s="240"/>
    </row>
    <row r="24" spans="1:16" ht="16.7" customHeight="1">
      <c r="A24" s="26" t="s">
        <v>940</v>
      </c>
      <c r="B24" s="27"/>
      <c r="C24" s="23"/>
      <c r="D24" s="241"/>
      <c r="E24" s="27">
        <v>13201396</v>
      </c>
      <c r="F24" s="23"/>
      <c r="G24" s="241"/>
      <c r="H24" s="27"/>
      <c r="I24" s="23"/>
      <c r="J24" s="241"/>
      <c r="K24" s="27"/>
      <c r="L24" s="23"/>
      <c r="M24" s="241"/>
      <c r="N24" s="28">
        <f t="shared" si="0"/>
        <v>13201396</v>
      </c>
      <c r="O24" s="25"/>
      <c r="P24" s="240"/>
    </row>
    <row r="25" spans="1:16" ht="16.7" customHeight="1">
      <c r="A25" s="26" t="s">
        <v>941</v>
      </c>
      <c r="B25" s="27"/>
      <c r="C25" s="23"/>
      <c r="D25" s="241"/>
      <c r="E25" s="27">
        <v>26502122</v>
      </c>
      <c r="F25" s="23"/>
      <c r="G25" s="241"/>
      <c r="H25" s="27"/>
      <c r="I25" s="23"/>
      <c r="J25" s="241"/>
      <c r="K25" s="27"/>
      <c r="L25" s="23"/>
      <c r="M25" s="241"/>
      <c r="N25" s="28">
        <f t="shared" si="0"/>
        <v>26502122</v>
      </c>
      <c r="O25" s="25"/>
      <c r="P25" s="240"/>
    </row>
    <row r="26" spans="1:16" ht="16.7" customHeight="1">
      <c r="A26" s="26" t="s">
        <v>942</v>
      </c>
      <c r="B26" s="27"/>
      <c r="C26" s="23"/>
      <c r="D26" s="241"/>
      <c r="E26" s="27">
        <v>28527080</v>
      </c>
      <c r="F26" s="23"/>
      <c r="G26" s="241"/>
      <c r="H26" s="27"/>
      <c r="I26" s="23"/>
      <c r="J26" s="241"/>
      <c r="K26" s="27"/>
      <c r="L26" s="23"/>
      <c r="M26" s="241"/>
      <c r="N26" s="28">
        <f t="shared" si="0"/>
        <v>28527080</v>
      </c>
      <c r="O26" s="25"/>
      <c r="P26" s="240"/>
    </row>
    <row r="27" spans="1:16" ht="16.7" customHeight="1">
      <c r="A27" s="26" t="s">
        <v>957</v>
      </c>
      <c r="B27" s="27"/>
      <c r="C27" s="23"/>
      <c r="D27" s="241"/>
      <c r="E27" s="27"/>
      <c r="F27" s="23"/>
      <c r="G27" s="241"/>
      <c r="H27" s="27"/>
      <c r="I27" s="23"/>
      <c r="J27" s="241"/>
      <c r="K27" s="27"/>
      <c r="L27" s="23"/>
      <c r="M27" s="241"/>
      <c r="N27" s="28">
        <f t="shared" si="0"/>
        <v>0</v>
      </c>
      <c r="O27" s="25"/>
      <c r="P27" s="240"/>
    </row>
    <row r="28" spans="1:16" ht="16.7" customHeight="1">
      <c r="A28" s="26" t="s">
        <v>943</v>
      </c>
      <c r="B28" s="27">
        <v>3498575</v>
      </c>
      <c r="C28" s="23"/>
      <c r="D28" s="241"/>
      <c r="E28" s="27">
        <v>191683182</v>
      </c>
      <c r="F28" s="23"/>
      <c r="G28" s="241"/>
      <c r="H28" s="27"/>
      <c r="I28" s="23"/>
      <c r="J28" s="241"/>
      <c r="K28" s="27"/>
      <c r="L28" s="23"/>
      <c r="M28" s="241"/>
      <c r="N28" s="28">
        <f t="shared" si="0"/>
        <v>195181757</v>
      </c>
      <c r="O28" s="25"/>
      <c r="P28" s="240"/>
    </row>
    <row r="29" spans="1:16" ht="16.7" customHeight="1">
      <c r="A29" s="26" t="s">
        <v>944</v>
      </c>
      <c r="B29" s="27"/>
      <c r="C29" s="23"/>
      <c r="D29" s="241"/>
      <c r="E29" s="27">
        <v>5572273</v>
      </c>
      <c r="F29" s="23"/>
      <c r="G29" s="241"/>
      <c r="H29" s="27"/>
      <c r="I29" s="23"/>
      <c r="J29" s="241"/>
      <c r="K29" s="27"/>
      <c r="L29" s="23"/>
      <c r="M29" s="241"/>
      <c r="N29" s="28">
        <f t="shared" si="0"/>
        <v>5572273</v>
      </c>
      <c r="O29" s="25"/>
      <c r="P29" s="240"/>
    </row>
    <row r="30" spans="1:16" ht="16.7" customHeight="1">
      <c r="A30" s="26" t="s">
        <v>945</v>
      </c>
      <c r="B30" s="27"/>
      <c r="C30" s="23"/>
      <c r="D30" s="241"/>
      <c r="E30" s="27">
        <v>6061710</v>
      </c>
      <c r="F30" s="23"/>
      <c r="G30" s="241"/>
      <c r="H30" s="27"/>
      <c r="I30" s="23"/>
      <c r="J30" s="241"/>
      <c r="K30" s="27"/>
      <c r="L30" s="23"/>
      <c r="M30" s="241"/>
      <c r="N30" s="28">
        <f t="shared" si="0"/>
        <v>6061710</v>
      </c>
      <c r="O30" s="25"/>
      <c r="P30" s="240"/>
    </row>
    <row r="31" spans="1:16" ht="16.7" customHeight="1">
      <c r="A31" s="26" t="s">
        <v>946</v>
      </c>
      <c r="B31" s="27"/>
      <c r="C31" s="23"/>
      <c r="D31" s="241"/>
      <c r="E31" s="27">
        <v>21191</v>
      </c>
      <c r="F31" s="23"/>
      <c r="G31" s="241"/>
      <c r="H31" s="27"/>
      <c r="I31" s="23"/>
      <c r="J31" s="241"/>
      <c r="K31" s="27"/>
      <c r="L31" s="23"/>
      <c r="M31" s="241"/>
      <c r="N31" s="28">
        <f t="shared" si="0"/>
        <v>21191</v>
      </c>
      <c r="O31" s="25"/>
      <c r="P31" s="240"/>
    </row>
    <row r="32" spans="1:16" ht="16.7" customHeight="1">
      <c r="A32" s="26" t="s">
        <v>947</v>
      </c>
      <c r="B32" s="27"/>
      <c r="C32" s="23"/>
      <c r="D32" s="241"/>
      <c r="E32" s="27"/>
      <c r="F32" s="23"/>
      <c r="G32" s="241"/>
      <c r="H32" s="27"/>
      <c r="I32" s="23"/>
      <c r="J32" s="241"/>
      <c r="K32" s="27"/>
      <c r="L32" s="23"/>
      <c r="M32" s="241"/>
      <c r="N32" s="28">
        <f t="shared" si="0"/>
        <v>0</v>
      </c>
      <c r="O32" s="25"/>
      <c r="P32" s="240"/>
    </row>
    <row r="33" spans="1:16" ht="16.7" customHeight="1">
      <c r="A33" s="26" t="s">
        <v>948</v>
      </c>
      <c r="B33" s="27"/>
      <c r="C33" s="23"/>
      <c r="D33" s="241"/>
      <c r="E33" s="27">
        <v>710682</v>
      </c>
      <c r="F33" s="23"/>
      <c r="G33" s="241"/>
      <c r="H33" s="27"/>
      <c r="I33" s="23"/>
      <c r="J33" s="241"/>
      <c r="K33" s="27"/>
      <c r="L33" s="23"/>
      <c r="M33" s="241"/>
      <c r="N33" s="28">
        <f t="shared" si="0"/>
        <v>710682</v>
      </c>
      <c r="O33" s="25"/>
      <c r="P33" s="240"/>
    </row>
    <row r="34" spans="1:16" ht="16.7" customHeight="1">
      <c r="A34" s="26" t="s">
        <v>949</v>
      </c>
      <c r="B34" s="27"/>
      <c r="C34" s="23"/>
      <c r="D34" s="241"/>
      <c r="E34" s="27">
        <v>3367467</v>
      </c>
      <c r="F34" s="23"/>
      <c r="G34" s="241"/>
      <c r="H34" s="27"/>
      <c r="I34" s="23"/>
      <c r="J34" s="241"/>
      <c r="K34" s="27"/>
      <c r="L34" s="23"/>
      <c r="M34" s="241"/>
      <c r="N34" s="28">
        <f t="shared" si="0"/>
        <v>3367467</v>
      </c>
      <c r="O34" s="25"/>
      <c r="P34" s="240"/>
    </row>
    <row r="35" spans="1:16" ht="16.7" customHeight="1">
      <c r="A35" s="26" t="s">
        <v>950</v>
      </c>
      <c r="B35" s="27"/>
      <c r="C35" s="23"/>
      <c r="D35" s="241"/>
      <c r="E35" s="27">
        <v>46044</v>
      </c>
      <c r="F35" s="23"/>
      <c r="G35" s="241"/>
      <c r="H35" s="27"/>
      <c r="I35" s="23"/>
      <c r="J35" s="241"/>
      <c r="K35" s="27"/>
      <c r="L35" s="23"/>
      <c r="M35" s="241"/>
      <c r="N35" s="28">
        <f t="shared" si="0"/>
        <v>46044</v>
      </c>
      <c r="O35" s="25"/>
      <c r="P35" s="240"/>
    </row>
    <row r="36" spans="1:16" s="602" customFormat="1" ht="16.7" customHeight="1">
      <c r="A36" s="596" t="s">
        <v>951</v>
      </c>
      <c r="B36" s="599">
        <v>10533024</v>
      </c>
      <c r="C36" s="600"/>
      <c r="D36" s="603"/>
      <c r="E36" s="599">
        <f>6120613+21807677</f>
        <v>27928290</v>
      </c>
      <c r="F36" s="600"/>
      <c r="G36" s="603"/>
      <c r="H36" s="599"/>
      <c r="I36" s="600"/>
      <c r="J36" s="603"/>
      <c r="K36" s="599"/>
      <c r="L36" s="600"/>
      <c r="M36" s="603"/>
      <c r="N36" s="597">
        <f t="shared" si="0"/>
        <v>38461314</v>
      </c>
      <c r="O36" s="598"/>
      <c r="P36" s="604"/>
    </row>
    <row r="37" spans="1:16" ht="16.7" customHeight="1">
      <c r="A37" s="26" t="s">
        <v>952</v>
      </c>
      <c r="B37" s="27">
        <v>90142500</v>
      </c>
      <c r="C37" s="23"/>
      <c r="D37" s="241"/>
      <c r="E37" s="27">
        <v>220284189</v>
      </c>
      <c r="F37" s="23"/>
      <c r="G37" s="241"/>
      <c r="H37" s="27"/>
      <c r="I37" s="23"/>
      <c r="J37" s="241"/>
      <c r="K37" s="27"/>
      <c r="L37" s="23"/>
      <c r="M37" s="241"/>
      <c r="N37" s="28">
        <f t="shared" si="0"/>
        <v>310426689</v>
      </c>
      <c r="O37" s="25"/>
      <c r="P37" s="240"/>
    </row>
    <row r="38" spans="1:16" ht="16.7" customHeight="1">
      <c r="A38" s="26" t="s">
        <v>953</v>
      </c>
      <c r="B38" s="27">
        <v>12571818</v>
      </c>
      <c r="C38" s="23"/>
      <c r="D38" s="241"/>
      <c r="E38" s="27">
        <v>12650100</v>
      </c>
      <c r="F38" s="23"/>
      <c r="G38" s="241"/>
      <c r="H38" s="27"/>
      <c r="I38" s="23"/>
      <c r="J38" s="241"/>
      <c r="K38" s="27"/>
      <c r="L38" s="23"/>
      <c r="M38" s="241"/>
      <c r="N38" s="28">
        <f t="shared" si="0"/>
        <v>25221918</v>
      </c>
      <c r="O38" s="25"/>
      <c r="P38" s="240"/>
    </row>
    <row r="39" spans="1:16" ht="16.7" customHeight="1">
      <c r="A39" s="26" t="s">
        <v>954</v>
      </c>
      <c r="B39" s="27"/>
      <c r="C39" s="23"/>
      <c r="D39" s="241"/>
      <c r="E39" s="27">
        <v>27451988</v>
      </c>
      <c r="F39" s="23"/>
      <c r="G39" s="241"/>
      <c r="H39" s="27"/>
      <c r="I39" s="23"/>
      <c r="J39" s="241"/>
      <c r="K39" s="27"/>
      <c r="L39" s="23"/>
      <c r="M39" s="241"/>
      <c r="N39" s="28">
        <f t="shared" si="0"/>
        <v>27451988</v>
      </c>
      <c r="O39" s="25"/>
      <c r="P39" s="240"/>
    </row>
    <row r="40" spans="1:16" ht="16.7" customHeight="1">
      <c r="A40" s="26" t="s">
        <v>955</v>
      </c>
      <c r="B40" s="27"/>
      <c r="C40" s="23"/>
      <c r="D40" s="241"/>
      <c r="E40" s="27">
        <v>250434</v>
      </c>
      <c r="F40" s="23"/>
      <c r="G40" s="241"/>
      <c r="H40" s="27"/>
      <c r="I40" s="23"/>
      <c r="J40" s="241"/>
      <c r="K40" s="27"/>
      <c r="L40" s="23"/>
      <c r="M40" s="241"/>
      <c r="N40" s="28">
        <f t="shared" si="0"/>
        <v>250434</v>
      </c>
      <c r="O40" s="25"/>
      <c r="P40" s="240"/>
    </row>
    <row r="41" spans="1:16" ht="16.7" customHeight="1" thickBot="1">
      <c r="A41" s="34" t="s">
        <v>956</v>
      </c>
      <c r="B41" s="35"/>
      <c r="C41" s="36">
        <f>C14-C15</f>
        <v>-251171687</v>
      </c>
      <c r="D41" s="238">
        <f>C41/C6</f>
        <v>-6.3129948873303743</v>
      </c>
      <c r="E41" s="35"/>
      <c r="F41" s="36">
        <f>F14-F15</f>
        <v>415243610</v>
      </c>
      <c r="G41" s="238">
        <f>F41/F6</f>
        <v>0.17330413579963302</v>
      </c>
      <c r="H41" s="35"/>
      <c r="I41" s="36"/>
      <c r="J41" s="238"/>
      <c r="K41" s="35"/>
      <c r="L41" s="36"/>
      <c r="M41" s="238"/>
      <c r="N41" s="37"/>
      <c r="O41" s="38">
        <f>O14-O15</f>
        <v>164071923</v>
      </c>
      <c r="P41" s="237">
        <f>O41/O6</f>
        <v>6.7357809881049752E-2</v>
      </c>
    </row>
  </sheetData>
  <mergeCells count="16">
    <mergeCell ref="A1:P1"/>
    <mergeCell ref="A2:P2"/>
    <mergeCell ref="A4:A5"/>
    <mergeCell ref="B4:D4"/>
    <mergeCell ref="E4:G4"/>
    <mergeCell ref="H4:J4"/>
    <mergeCell ref="K4:M4"/>
    <mergeCell ref="N4:P4"/>
    <mergeCell ref="B5:C5"/>
    <mergeCell ref="E5:F5"/>
    <mergeCell ref="D16:D18"/>
    <mergeCell ref="G16:G18"/>
    <mergeCell ref="P16:P18"/>
    <mergeCell ref="H5:I5"/>
    <mergeCell ref="K5:L5"/>
    <mergeCell ref="N5:O5"/>
  </mergeCells>
  <phoneticPr fontId="4" type="noConversion"/>
  <pageMargins left="0.23622047244094491" right="0" top="0.51181102362204722" bottom="0.27559055118110237" header="0.51181102362204722" footer="0.51181102362204722"/>
  <pageSetup paperSize="9" scale="7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5EA3-6C70-4430-9385-60FE9B54A8E6}">
  <dimension ref="A1:M157"/>
  <sheetViews>
    <sheetView workbookViewId="0">
      <pane xSplit="2" ySplit="7" topLeftCell="C149" activePane="bottomRight" state="frozen"/>
      <selection pane="topRight" activeCell="C1" sqref="C1"/>
      <selection pane="bottomLeft" activeCell="A8" sqref="A8"/>
      <selection pane="bottomRight" activeCell="N161" sqref="N161"/>
    </sheetView>
  </sheetViews>
  <sheetFormatPr defaultRowHeight="12.75"/>
  <cols>
    <col min="1" max="1" width="7" customWidth="1"/>
    <col min="2" max="2" width="13" customWidth="1"/>
    <col min="3" max="6" width="10" customWidth="1"/>
    <col min="7" max="7" width="13.28515625" customWidth="1"/>
    <col min="8" max="8" width="12.85546875" customWidth="1"/>
    <col min="9" max="9" width="12.140625" customWidth="1"/>
    <col min="10" max="10" width="15.5703125" customWidth="1"/>
    <col min="11" max="11" width="12.7109375" customWidth="1"/>
    <col min="12" max="12" width="13" customWidth="1"/>
    <col min="13" max="13" width="13.42578125" customWidth="1"/>
    <col min="257" max="257" width="7" customWidth="1"/>
    <col min="258" max="258" width="13" customWidth="1"/>
    <col min="259" max="262" width="10" customWidth="1"/>
    <col min="263" max="263" width="13.28515625" customWidth="1"/>
    <col min="264" max="264" width="12.85546875" customWidth="1"/>
    <col min="265" max="265" width="12.140625" customWidth="1"/>
    <col min="266" max="266" width="15.5703125" customWidth="1"/>
    <col min="267" max="267" width="12.7109375" customWidth="1"/>
    <col min="268" max="268" width="13" customWidth="1"/>
    <col min="269" max="269" width="13.42578125" customWidth="1"/>
    <col min="513" max="513" width="7" customWidth="1"/>
    <col min="514" max="514" width="13" customWidth="1"/>
    <col min="515" max="518" width="10" customWidth="1"/>
    <col min="519" max="519" width="13.28515625" customWidth="1"/>
    <col min="520" max="520" width="12.85546875" customWidth="1"/>
    <col min="521" max="521" width="12.140625" customWidth="1"/>
    <col min="522" max="522" width="15.5703125" customWidth="1"/>
    <col min="523" max="523" width="12.7109375" customWidth="1"/>
    <col min="524" max="524" width="13" customWidth="1"/>
    <col min="525" max="525" width="13.42578125" customWidth="1"/>
    <col min="769" max="769" width="7" customWidth="1"/>
    <col min="770" max="770" width="13" customWidth="1"/>
    <col min="771" max="774" width="10" customWidth="1"/>
    <col min="775" max="775" width="13.28515625" customWidth="1"/>
    <col min="776" max="776" width="12.85546875" customWidth="1"/>
    <col min="777" max="777" width="12.140625" customWidth="1"/>
    <col min="778" max="778" width="15.5703125" customWidth="1"/>
    <col min="779" max="779" width="12.7109375" customWidth="1"/>
    <col min="780" max="780" width="13" customWidth="1"/>
    <col min="781" max="781" width="13.42578125" customWidth="1"/>
    <col min="1025" max="1025" width="7" customWidth="1"/>
    <col min="1026" max="1026" width="13" customWidth="1"/>
    <col min="1027" max="1030" width="10" customWidth="1"/>
    <col min="1031" max="1031" width="13.28515625" customWidth="1"/>
    <col min="1032" max="1032" width="12.85546875" customWidth="1"/>
    <col min="1033" max="1033" width="12.140625" customWidth="1"/>
    <col min="1034" max="1034" width="15.5703125" customWidth="1"/>
    <col min="1035" max="1035" width="12.7109375" customWidth="1"/>
    <col min="1036" max="1036" width="13" customWidth="1"/>
    <col min="1037" max="1037" width="13.42578125" customWidth="1"/>
    <col min="1281" max="1281" width="7" customWidth="1"/>
    <col min="1282" max="1282" width="13" customWidth="1"/>
    <col min="1283" max="1286" width="10" customWidth="1"/>
    <col min="1287" max="1287" width="13.28515625" customWidth="1"/>
    <col min="1288" max="1288" width="12.85546875" customWidth="1"/>
    <col min="1289" max="1289" width="12.140625" customWidth="1"/>
    <col min="1290" max="1290" width="15.5703125" customWidth="1"/>
    <col min="1291" max="1291" width="12.7109375" customWidth="1"/>
    <col min="1292" max="1292" width="13" customWidth="1"/>
    <col min="1293" max="1293" width="13.42578125" customWidth="1"/>
    <col min="1537" max="1537" width="7" customWidth="1"/>
    <col min="1538" max="1538" width="13" customWidth="1"/>
    <col min="1539" max="1542" width="10" customWidth="1"/>
    <col min="1543" max="1543" width="13.28515625" customWidth="1"/>
    <col min="1544" max="1544" width="12.85546875" customWidth="1"/>
    <col min="1545" max="1545" width="12.140625" customWidth="1"/>
    <col min="1546" max="1546" width="15.5703125" customWidth="1"/>
    <col min="1547" max="1547" width="12.7109375" customWidth="1"/>
    <col min="1548" max="1548" width="13" customWidth="1"/>
    <col min="1549" max="1549" width="13.42578125" customWidth="1"/>
    <col min="1793" max="1793" width="7" customWidth="1"/>
    <col min="1794" max="1794" width="13" customWidth="1"/>
    <col min="1795" max="1798" width="10" customWidth="1"/>
    <col min="1799" max="1799" width="13.28515625" customWidth="1"/>
    <col min="1800" max="1800" width="12.85546875" customWidth="1"/>
    <col min="1801" max="1801" width="12.140625" customWidth="1"/>
    <col min="1802" max="1802" width="15.5703125" customWidth="1"/>
    <col min="1803" max="1803" width="12.7109375" customWidth="1"/>
    <col min="1804" max="1804" width="13" customWidth="1"/>
    <col min="1805" max="1805" width="13.42578125" customWidth="1"/>
    <col min="2049" max="2049" width="7" customWidth="1"/>
    <col min="2050" max="2050" width="13" customWidth="1"/>
    <col min="2051" max="2054" width="10" customWidth="1"/>
    <col min="2055" max="2055" width="13.28515625" customWidth="1"/>
    <col min="2056" max="2056" width="12.85546875" customWidth="1"/>
    <col min="2057" max="2057" width="12.140625" customWidth="1"/>
    <col min="2058" max="2058" width="15.5703125" customWidth="1"/>
    <col min="2059" max="2059" width="12.7109375" customWidth="1"/>
    <col min="2060" max="2060" width="13" customWidth="1"/>
    <col min="2061" max="2061" width="13.42578125" customWidth="1"/>
    <col min="2305" max="2305" width="7" customWidth="1"/>
    <col min="2306" max="2306" width="13" customWidth="1"/>
    <col min="2307" max="2310" width="10" customWidth="1"/>
    <col min="2311" max="2311" width="13.28515625" customWidth="1"/>
    <col min="2312" max="2312" width="12.85546875" customWidth="1"/>
    <col min="2313" max="2313" width="12.140625" customWidth="1"/>
    <col min="2314" max="2314" width="15.5703125" customWidth="1"/>
    <col min="2315" max="2315" width="12.7109375" customWidth="1"/>
    <col min="2316" max="2316" width="13" customWidth="1"/>
    <col min="2317" max="2317" width="13.42578125" customWidth="1"/>
    <col min="2561" max="2561" width="7" customWidth="1"/>
    <col min="2562" max="2562" width="13" customWidth="1"/>
    <col min="2563" max="2566" width="10" customWidth="1"/>
    <col min="2567" max="2567" width="13.28515625" customWidth="1"/>
    <col min="2568" max="2568" width="12.85546875" customWidth="1"/>
    <col min="2569" max="2569" width="12.140625" customWidth="1"/>
    <col min="2570" max="2570" width="15.5703125" customWidth="1"/>
    <col min="2571" max="2571" width="12.7109375" customWidth="1"/>
    <col min="2572" max="2572" width="13" customWidth="1"/>
    <col min="2573" max="2573" width="13.42578125" customWidth="1"/>
    <col min="2817" max="2817" width="7" customWidth="1"/>
    <col min="2818" max="2818" width="13" customWidth="1"/>
    <col min="2819" max="2822" width="10" customWidth="1"/>
    <col min="2823" max="2823" width="13.28515625" customWidth="1"/>
    <col min="2824" max="2824" width="12.85546875" customWidth="1"/>
    <col min="2825" max="2825" width="12.140625" customWidth="1"/>
    <col min="2826" max="2826" width="15.5703125" customWidth="1"/>
    <col min="2827" max="2827" width="12.7109375" customWidth="1"/>
    <col min="2828" max="2828" width="13" customWidth="1"/>
    <col min="2829" max="2829" width="13.42578125" customWidth="1"/>
    <col min="3073" max="3073" width="7" customWidth="1"/>
    <col min="3074" max="3074" width="13" customWidth="1"/>
    <col min="3075" max="3078" width="10" customWidth="1"/>
    <col min="3079" max="3079" width="13.28515625" customWidth="1"/>
    <col min="3080" max="3080" width="12.85546875" customWidth="1"/>
    <col min="3081" max="3081" width="12.140625" customWidth="1"/>
    <col min="3082" max="3082" width="15.5703125" customWidth="1"/>
    <col min="3083" max="3083" width="12.7109375" customWidth="1"/>
    <col min="3084" max="3084" width="13" customWidth="1"/>
    <col min="3085" max="3085" width="13.42578125" customWidth="1"/>
    <col min="3329" max="3329" width="7" customWidth="1"/>
    <col min="3330" max="3330" width="13" customWidth="1"/>
    <col min="3331" max="3334" width="10" customWidth="1"/>
    <col min="3335" max="3335" width="13.28515625" customWidth="1"/>
    <col min="3336" max="3336" width="12.85546875" customWidth="1"/>
    <col min="3337" max="3337" width="12.140625" customWidth="1"/>
    <col min="3338" max="3338" width="15.5703125" customWidth="1"/>
    <col min="3339" max="3339" width="12.7109375" customWidth="1"/>
    <col min="3340" max="3340" width="13" customWidth="1"/>
    <col min="3341" max="3341" width="13.42578125" customWidth="1"/>
    <col min="3585" max="3585" width="7" customWidth="1"/>
    <col min="3586" max="3586" width="13" customWidth="1"/>
    <col min="3587" max="3590" width="10" customWidth="1"/>
    <col min="3591" max="3591" width="13.28515625" customWidth="1"/>
    <col min="3592" max="3592" width="12.85546875" customWidth="1"/>
    <col min="3593" max="3593" width="12.140625" customWidth="1"/>
    <col min="3594" max="3594" width="15.5703125" customWidth="1"/>
    <col min="3595" max="3595" width="12.7109375" customWidth="1"/>
    <col min="3596" max="3596" width="13" customWidth="1"/>
    <col min="3597" max="3597" width="13.42578125" customWidth="1"/>
    <col min="3841" max="3841" width="7" customWidth="1"/>
    <col min="3842" max="3842" width="13" customWidth="1"/>
    <col min="3843" max="3846" width="10" customWidth="1"/>
    <col min="3847" max="3847" width="13.28515625" customWidth="1"/>
    <col min="3848" max="3848" width="12.85546875" customWidth="1"/>
    <col min="3849" max="3849" width="12.140625" customWidth="1"/>
    <col min="3850" max="3850" width="15.5703125" customWidth="1"/>
    <col min="3851" max="3851" width="12.7109375" customWidth="1"/>
    <col min="3852" max="3852" width="13" customWidth="1"/>
    <col min="3853" max="3853" width="13.42578125" customWidth="1"/>
    <col min="4097" max="4097" width="7" customWidth="1"/>
    <col min="4098" max="4098" width="13" customWidth="1"/>
    <col min="4099" max="4102" width="10" customWidth="1"/>
    <col min="4103" max="4103" width="13.28515625" customWidth="1"/>
    <col min="4104" max="4104" width="12.85546875" customWidth="1"/>
    <col min="4105" max="4105" width="12.140625" customWidth="1"/>
    <col min="4106" max="4106" width="15.5703125" customWidth="1"/>
    <col min="4107" max="4107" width="12.7109375" customWidth="1"/>
    <col min="4108" max="4108" width="13" customWidth="1"/>
    <col min="4109" max="4109" width="13.42578125" customWidth="1"/>
    <col min="4353" max="4353" width="7" customWidth="1"/>
    <col min="4354" max="4354" width="13" customWidth="1"/>
    <col min="4355" max="4358" width="10" customWidth="1"/>
    <col min="4359" max="4359" width="13.28515625" customWidth="1"/>
    <col min="4360" max="4360" width="12.85546875" customWidth="1"/>
    <col min="4361" max="4361" width="12.140625" customWidth="1"/>
    <col min="4362" max="4362" width="15.5703125" customWidth="1"/>
    <col min="4363" max="4363" width="12.7109375" customWidth="1"/>
    <col min="4364" max="4364" width="13" customWidth="1"/>
    <col min="4365" max="4365" width="13.42578125" customWidth="1"/>
    <col min="4609" max="4609" width="7" customWidth="1"/>
    <col min="4610" max="4610" width="13" customWidth="1"/>
    <col min="4611" max="4614" width="10" customWidth="1"/>
    <col min="4615" max="4615" width="13.28515625" customWidth="1"/>
    <col min="4616" max="4616" width="12.85546875" customWidth="1"/>
    <col min="4617" max="4617" width="12.140625" customWidth="1"/>
    <col min="4618" max="4618" width="15.5703125" customWidth="1"/>
    <col min="4619" max="4619" width="12.7109375" customWidth="1"/>
    <col min="4620" max="4620" width="13" customWidth="1"/>
    <col min="4621" max="4621" width="13.42578125" customWidth="1"/>
    <col min="4865" max="4865" width="7" customWidth="1"/>
    <col min="4866" max="4866" width="13" customWidth="1"/>
    <col min="4867" max="4870" width="10" customWidth="1"/>
    <col min="4871" max="4871" width="13.28515625" customWidth="1"/>
    <col min="4872" max="4872" width="12.85546875" customWidth="1"/>
    <col min="4873" max="4873" width="12.140625" customWidth="1"/>
    <col min="4874" max="4874" width="15.5703125" customWidth="1"/>
    <col min="4875" max="4875" width="12.7109375" customWidth="1"/>
    <col min="4876" max="4876" width="13" customWidth="1"/>
    <col min="4877" max="4877" width="13.42578125" customWidth="1"/>
    <col min="5121" max="5121" width="7" customWidth="1"/>
    <col min="5122" max="5122" width="13" customWidth="1"/>
    <col min="5123" max="5126" width="10" customWidth="1"/>
    <col min="5127" max="5127" width="13.28515625" customWidth="1"/>
    <col min="5128" max="5128" width="12.85546875" customWidth="1"/>
    <col min="5129" max="5129" width="12.140625" customWidth="1"/>
    <col min="5130" max="5130" width="15.5703125" customWidth="1"/>
    <col min="5131" max="5131" width="12.7109375" customWidth="1"/>
    <col min="5132" max="5132" width="13" customWidth="1"/>
    <col min="5133" max="5133" width="13.42578125" customWidth="1"/>
    <col min="5377" max="5377" width="7" customWidth="1"/>
    <col min="5378" max="5378" width="13" customWidth="1"/>
    <col min="5379" max="5382" width="10" customWidth="1"/>
    <col min="5383" max="5383" width="13.28515625" customWidth="1"/>
    <col min="5384" max="5384" width="12.85546875" customWidth="1"/>
    <col min="5385" max="5385" width="12.140625" customWidth="1"/>
    <col min="5386" max="5386" width="15.5703125" customWidth="1"/>
    <col min="5387" max="5387" width="12.7109375" customWidth="1"/>
    <col min="5388" max="5388" width="13" customWidth="1"/>
    <col min="5389" max="5389" width="13.42578125" customWidth="1"/>
    <col min="5633" max="5633" width="7" customWidth="1"/>
    <col min="5634" max="5634" width="13" customWidth="1"/>
    <col min="5635" max="5638" width="10" customWidth="1"/>
    <col min="5639" max="5639" width="13.28515625" customWidth="1"/>
    <col min="5640" max="5640" width="12.85546875" customWidth="1"/>
    <col min="5641" max="5641" width="12.140625" customWidth="1"/>
    <col min="5642" max="5642" width="15.5703125" customWidth="1"/>
    <col min="5643" max="5643" width="12.7109375" customWidth="1"/>
    <col min="5644" max="5644" width="13" customWidth="1"/>
    <col min="5645" max="5645" width="13.42578125" customWidth="1"/>
    <col min="5889" max="5889" width="7" customWidth="1"/>
    <col min="5890" max="5890" width="13" customWidth="1"/>
    <col min="5891" max="5894" width="10" customWidth="1"/>
    <col min="5895" max="5895" width="13.28515625" customWidth="1"/>
    <col min="5896" max="5896" width="12.85546875" customWidth="1"/>
    <col min="5897" max="5897" width="12.140625" customWidth="1"/>
    <col min="5898" max="5898" width="15.5703125" customWidth="1"/>
    <col min="5899" max="5899" width="12.7109375" customWidth="1"/>
    <col min="5900" max="5900" width="13" customWidth="1"/>
    <col min="5901" max="5901" width="13.42578125" customWidth="1"/>
    <col min="6145" max="6145" width="7" customWidth="1"/>
    <col min="6146" max="6146" width="13" customWidth="1"/>
    <col min="6147" max="6150" width="10" customWidth="1"/>
    <col min="6151" max="6151" width="13.28515625" customWidth="1"/>
    <col min="6152" max="6152" width="12.85546875" customWidth="1"/>
    <col min="6153" max="6153" width="12.140625" customWidth="1"/>
    <col min="6154" max="6154" width="15.5703125" customWidth="1"/>
    <col min="6155" max="6155" width="12.7109375" customWidth="1"/>
    <col min="6156" max="6156" width="13" customWidth="1"/>
    <col min="6157" max="6157" width="13.42578125" customWidth="1"/>
    <col min="6401" max="6401" width="7" customWidth="1"/>
    <col min="6402" max="6402" width="13" customWidth="1"/>
    <col min="6403" max="6406" width="10" customWidth="1"/>
    <col min="6407" max="6407" width="13.28515625" customWidth="1"/>
    <col min="6408" max="6408" width="12.85546875" customWidth="1"/>
    <col min="6409" max="6409" width="12.140625" customWidth="1"/>
    <col min="6410" max="6410" width="15.5703125" customWidth="1"/>
    <col min="6411" max="6411" width="12.7109375" customWidth="1"/>
    <col min="6412" max="6412" width="13" customWidth="1"/>
    <col min="6413" max="6413" width="13.42578125" customWidth="1"/>
    <col min="6657" max="6657" width="7" customWidth="1"/>
    <col min="6658" max="6658" width="13" customWidth="1"/>
    <col min="6659" max="6662" width="10" customWidth="1"/>
    <col min="6663" max="6663" width="13.28515625" customWidth="1"/>
    <col min="6664" max="6664" width="12.85546875" customWidth="1"/>
    <col min="6665" max="6665" width="12.140625" customWidth="1"/>
    <col min="6666" max="6666" width="15.5703125" customWidth="1"/>
    <col min="6667" max="6667" width="12.7109375" customWidth="1"/>
    <col min="6668" max="6668" width="13" customWidth="1"/>
    <col min="6669" max="6669" width="13.42578125" customWidth="1"/>
    <col min="6913" max="6913" width="7" customWidth="1"/>
    <col min="6914" max="6914" width="13" customWidth="1"/>
    <col min="6915" max="6918" width="10" customWidth="1"/>
    <col min="6919" max="6919" width="13.28515625" customWidth="1"/>
    <col min="6920" max="6920" width="12.85546875" customWidth="1"/>
    <col min="6921" max="6921" width="12.140625" customWidth="1"/>
    <col min="6922" max="6922" width="15.5703125" customWidth="1"/>
    <col min="6923" max="6923" width="12.7109375" customWidth="1"/>
    <col min="6924" max="6924" width="13" customWidth="1"/>
    <col min="6925" max="6925" width="13.42578125" customWidth="1"/>
    <col min="7169" max="7169" width="7" customWidth="1"/>
    <col min="7170" max="7170" width="13" customWidth="1"/>
    <col min="7171" max="7174" width="10" customWidth="1"/>
    <col min="7175" max="7175" width="13.28515625" customWidth="1"/>
    <col min="7176" max="7176" width="12.85546875" customWidth="1"/>
    <col min="7177" max="7177" width="12.140625" customWidth="1"/>
    <col min="7178" max="7178" width="15.5703125" customWidth="1"/>
    <col min="7179" max="7179" width="12.7109375" customWidth="1"/>
    <col min="7180" max="7180" width="13" customWidth="1"/>
    <col min="7181" max="7181" width="13.42578125" customWidth="1"/>
    <col min="7425" max="7425" width="7" customWidth="1"/>
    <col min="7426" max="7426" width="13" customWidth="1"/>
    <col min="7427" max="7430" width="10" customWidth="1"/>
    <col min="7431" max="7431" width="13.28515625" customWidth="1"/>
    <col min="7432" max="7432" width="12.85546875" customWidth="1"/>
    <col min="7433" max="7433" width="12.140625" customWidth="1"/>
    <col min="7434" max="7434" width="15.5703125" customWidth="1"/>
    <col min="7435" max="7435" width="12.7109375" customWidth="1"/>
    <col min="7436" max="7436" width="13" customWidth="1"/>
    <col min="7437" max="7437" width="13.42578125" customWidth="1"/>
    <col min="7681" max="7681" width="7" customWidth="1"/>
    <col min="7682" max="7682" width="13" customWidth="1"/>
    <col min="7683" max="7686" width="10" customWidth="1"/>
    <col min="7687" max="7687" width="13.28515625" customWidth="1"/>
    <col min="7688" max="7688" width="12.85546875" customWidth="1"/>
    <col min="7689" max="7689" width="12.140625" customWidth="1"/>
    <col min="7690" max="7690" width="15.5703125" customWidth="1"/>
    <col min="7691" max="7691" width="12.7109375" customWidth="1"/>
    <col min="7692" max="7692" width="13" customWidth="1"/>
    <col min="7693" max="7693" width="13.42578125" customWidth="1"/>
    <col min="7937" max="7937" width="7" customWidth="1"/>
    <col min="7938" max="7938" width="13" customWidth="1"/>
    <col min="7939" max="7942" width="10" customWidth="1"/>
    <col min="7943" max="7943" width="13.28515625" customWidth="1"/>
    <col min="7944" max="7944" width="12.85546875" customWidth="1"/>
    <col min="7945" max="7945" width="12.140625" customWidth="1"/>
    <col min="7946" max="7946" width="15.5703125" customWidth="1"/>
    <col min="7947" max="7947" width="12.7109375" customWidth="1"/>
    <col min="7948" max="7948" width="13" customWidth="1"/>
    <col min="7949" max="7949" width="13.42578125" customWidth="1"/>
    <col min="8193" max="8193" width="7" customWidth="1"/>
    <col min="8194" max="8194" width="13" customWidth="1"/>
    <col min="8195" max="8198" width="10" customWidth="1"/>
    <col min="8199" max="8199" width="13.28515625" customWidth="1"/>
    <col min="8200" max="8200" width="12.85546875" customWidth="1"/>
    <col min="8201" max="8201" width="12.140625" customWidth="1"/>
    <col min="8202" max="8202" width="15.5703125" customWidth="1"/>
    <col min="8203" max="8203" width="12.7109375" customWidth="1"/>
    <col min="8204" max="8204" width="13" customWidth="1"/>
    <col min="8205" max="8205" width="13.42578125" customWidth="1"/>
    <col min="8449" max="8449" width="7" customWidth="1"/>
    <col min="8450" max="8450" width="13" customWidth="1"/>
    <col min="8451" max="8454" width="10" customWidth="1"/>
    <col min="8455" max="8455" width="13.28515625" customWidth="1"/>
    <col min="8456" max="8456" width="12.85546875" customWidth="1"/>
    <col min="8457" max="8457" width="12.140625" customWidth="1"/>
    <col min="8458" max="8458" width="15.5703125" customWidth="1"/>
    <col min="8459" max="8459" width="12.7109375" customWidth="1"/>
    <col min="8460" max="8460" width="13" customWidth="1"/>
    <col min="8461" max="8461" width="13.42578125" customWidth="1"/>
    <col min="8705" max="8705" width="7" customWidth="1"/>
    <col min="8706" max="8706" width="13" customWidth="1"/>
    <col min="8707" max="8710" width="10" customWidth="1"/>
    <col min="8711" max="8711" width="13.28515625" customWidth="1"/>
    <col min="8712" max="8712" width="12.85546875" customWidth="1"/>
    <col min="8713" max="8713" width="12.140625" customWidth="1"/>
    <col min="8714" max="8714" width="15.5703125" customWidth="1"/>
    <col min="8715" max="8715" width="12.7109375" customWidth="1"/>
    <col min="8716" max="8716" width="13" customWidth="1"/>
    <col min="8717" max="8717" width="13.42578125" customWidth="1"/>
    <col min="8961" max="8961" width="7" customWidth="1"/>
    <col min="8962" max="8962" width="13" customWidth="1"/>
    <col min="8963" max="8966" width="10" customWidth="1"/>
    <col min="8967" max="8967" width="13.28515625" customWidth="1"/>
    <col min="8968" max="8968" width="12.85546875" customWidth="1"/>
    <col min="8969" max="8969" width="12.140625" customWidth="1"/>
    <col min="8970" max="8970" width="15.5703125" customWidth="1"/>
    <col min="8971" max="8971" width="12.7109375" customWidth="1"/>
    <col min="8972" max="8972" width="13" customWidth="1"/>
    <col min="8973" max="8973" width="13.42578125" customWidth="1"/>
    <col min="9217" max="9217" width="7" customWidth="1"/>
    <col min="9218" max="9218" width="13" customWidth="1"/>
    <col min="9219" max="9222" width="10" customWidth="1"/>
    <col min="9223" max="9223" width="13.28515625" customWidth="1"/>
    <col min="9224" max="9224" width="12.85546875" customWidth="1"/>
    <col min="9225" max="9225" width="12.140625" customWidth="1"/>
    <col min="9226" max="9226" width="15.5703125" customWidth="1"/>
    <col min="9227" max="9227" width="12.7109375" customWidth="1"/>
    <col min="9228" max="9228" width="13" customWidth="1"/>
    <col min="9229" max="9229" width="13.42578125" customWidth="1"/>
    <col min="9473" max="9473" width="7" customWidth="1"/>
    <col min="9474" max="9474" width="13" customWidth="1"/>
    <col min="9475" max="9478" width="10" customWidth="1"/>
    <col min="9479" max="9479" width="13.28515625" customWidth="1"/>
    <col min="9480" max="9480" width="12.85546875" customWidth="1"/>
    <col min="9481" max="9481" width="12.140625" customWidth="1"/>
    <col min="9482" max="9482" width="15.5703125" customWidth="1"/>
    <col min="9483" max="9483" width="12.7109375" customWidth="1"/>
    <col min="9484" max="9484" width="13" customWidth="1"/>
    <col min="9485" max="9485" width="13.42578125" customWidth="1"/>
    <col min="9729" max="9729" width="7" customWidth="1"/>
    <col min="9730" max="9730" width="13" customWidth="1"/>
    <col min="9731" max="9734" width="10" customWidth="1"/>
    <col min="9735" max="9735" width="13.28515625" customWidth="1"/>
    <col min="9736" max="9736" width="12.85546875" customWidth="1"/>
    <col min="9737" max="9737" width="12.140625" customWidth="1"/>
    <col min="9738" max="9738" width="15.5703125" customWidth="1"/>
    <col min="9739" max="9739" width="12.7109375" customWidth="1"/>
    <col min="9740" max="9740" width="13" customWidth="1"/>
    <col min="9741" max="9741" width="13.42578125" customWidth="1"/>
    <col min="9985" max="9985" width="7" customWidth="1"/>
    <col min="9986" max="9986" width="13" customWidth="1"/>
    <col min="9987" max="9990" width="10" customWidth="1"/>
    <col min="9991" max="9991" width="13.28515625" customWidth="1"/>
    <col min="9992" max="9992" width="12.85546875" customWidth="1"/>
    <col min="9993" max="9993" width="12.140625" customWidth="1"/>
    <col min="9994" max="9994" width="15.5703125" customWidth="1"/>
    <col min="9995" max="9995" width="12.7109375" customWidth="1"/>
    <col min="9996" max="9996" width="13" customWidth="1"/>
    <col min="9997" max="9997" width="13.42578125" customWidth="1"/>
    <col min="10241" max="10241" width="7" customWidth="1"/>
    <col min="10242" max="10242" width="13" customWidth="1"/>
    <col min="10243" max="10246" width="10" customWidth="1"/>
    <col min="10247" max="10247" width="13.28515625" customWidth="1"/>
    <col min="10248" max="10248" width="12.85546875" customWidth="1"/>
    <col min="10249" max="10249" width="12.140625" customWidth="1"/>
    <col min="10250" max="10250" width="15.5703125" customWidth="1"/>
    <col min="10251" max="10251" width="12.7109375" customWidth="1"/>
    <col min="10252" max="10252" width="13" customWidth="1"/>
    <col min="10253" max="10253" width="13.42578125" customWidth="1"/>
    <col min="10497" max="10497" width="7" customWidth="1"/>
    <col min="10498" max="10498" width="13" customWidth="1"/>
    <col min="10499" max="10502" width="10" customWidth="1"/>
    <col min="10503" max="10503" width="13.28515625" customWidth="1"/>
    <col min="10504" max="10504" width="12.85546875" customWidth="1"/>
    <col min="10505" max="10505" width="12.140625" customWidth="1"/>
    <col min="10506" max="10506" width="15.5703125" customWidth="1"/>
    <col min="10507" max="10507" width="12.7109375" customWidth="1"/>
    <col min="10508" max="10508" width="13" customWidth="1"/>
    <col min="10509" max="10509" width="13.42578125" customWidth="1"/>
    <col min="10753" max="10753" width="7" customWidth="1"/>
    <col min="10754" max="10754" width="13" customWidth="1"/>
    <col min="10755" max="10758" width="10" customWidth="1"/>
    <col min="10759" max="10759" width="13.28515625" customWidth="1"/>
    <col min="10760" max="10760" width="12.85546875" customWidth="1"/>
    <col min="10761" max="10761" width="12.140625" customWidth="1"/>
    <col min="10762" max="10762" width="15.5703125" customWidth="1"/>
    <col min="10763" max="10763" width="12.7109375" customWidth="1"/>
    <col min="10764" max="10764" width="13" customWidth="1"/>
    <col min="10765" max="10765" width="13.42578125" customWidth="1"/>
    <col min="11009" max="11009" width="7" customWidth="1"/>
    <col min="11010" max="11010" width="13" customWidth="1"/>
    <col min="11011" max="11014" width="10" customWidth="1"/>
    <col min="11015" max="11015" width="13.28515625" customWidth="1"/>
    <col min="11016" max="11016" width="12.85546875" customWidth="1"/>
    <col min="11017" max="11017" width="12.140625" customWidth="1"/>
    <col min="11018" max="11018" width="15.5703125" customWidth="1"/>
    <col min="11019" max="11019" width="12.7109375" customWidth="1"/>
    <col min="11020" max="11020" width="13" customWidth="1"/>
    <col min="11021" max="11021" width="13.42578125" customWidth="1"/>
    <col min="11265" max="11265" width="7" customWidth="1"/>
    <col min="11266" max="11266" width="13" customWidth="1"/>
    <col min="11267" max="11270" width="10" customWidth="1"/>
    <col min="11271" max="11271" width="13.28515625" customWidth="1"/>
    <col min="11272" max="11272" width="12.85546875" customWidth="1"/>
    <col min="11273" max="11273" width="12.140625" customWidth="1"/>
    <col min="11274" max="11274" width="15.5703125" customWidth="1"/>
    <col min="11275" max="11275" width="12.7109375" customWidth="1"/>
    <col min="11276" max="11276" width="13" customWidth="1"/>
    <col min="11277" max="11277" width="13.42578125" customWidth="1"/>
    <col min="11521" max="11521" width="7" customWidth="1"/>
    <col min="11522" max="11522" width="13" customWidth="1"/>
    <col min="11523" max="11526" width="10" customWidth="1"/>
    <col min="11527" max="11527" width="13.28515625" customWidth="1"/>
    <col min="11528" max="11528" width="12.85546875" customWidth="1"/>
    <col min="11529" max="11529" width="12.140625" customWidth="1"/>
    <col min="11530" max="11530" width="15.5703125" customWidth="1"/>
    <col min="11531" max="11531" width="12.7109375" customWidth="1"/>
    <col min="11532" max="11532" width="13" customWidth="1"/>
    <col min="11533" max="11533" width="13.42578125" customWidth="1"/>
    <col min="11777" max="11777" width="7" customWidth="1"/>
    <col min="11778" max="11778" width="13" customWidth="1"/>
    <col min="11779" max="11782" width="10" customWidth="1"/>
    <col min="11783" max="11783" width="13.28515625" customWidth="1"/>
    <col min="11784" max="11784" width="12.85546875" customWidth="1"/>
    <col min="11785" max="11785" width="12.140625" customWidth="1"/>
    <col min="11786" max="11786" width="15.5703125" customWidth="1"/>
    <col min="11787" max="11787" width="12.7109375" customWidth="1"/>
    <col min="11788" max="11788" width="13" customWidth="1"/>
    <col min="11789" max="11789" width="13.42578125" customWidth="1"/>
    <col min="12033" max="12033" width="7" customWidth="1"/>
    <col min="12034" max="12034" width="13" customWidth="1"/>
    <col min="12035" max="12038" width="10" customWidth="1"/>
    <col min="12039" max="12039" width="13.28515625" customWidth="1"/>
    <col min="12040" max="12040" width="12.85546875" customWidth="1"/>
    <col min="12041" max="12041" width="12.140625" customWidth="1"/>
    <col min="12042" max="12042" width="15.5703125" customWidth="1"/>
    <col min="12043" max="12043" width="12.7109375" customWidth="1"/>
    <col min="12044" max="12044" width="13" customWidth="1"/>
    <col min="12045" max="12045" width="13.42578125" customWidth="1"/>
    <col min="12289" max="12289" width="7" customWidth="1"/>
    <col min="12290" max="12290" width="13" customWidth="1"/>
    <col min="12291" max="12294" width="10" customWidth="1"/>
    <col min="12295" max="12295" width="13.28515625" customWidth="1"/>
    <col min="12296" max="12296" width="12.85546875" customWidth="1"/>
    <col min="12297" max="12297" width="12.140625" customWidth="1"/>
    <col min="12298" max="12298" width="15.5703125" customWidth="1"/>
    <col min="12299" max="12299" width="12.7109375" customWidth="1"/>
    <col min="12300" max="12300" width="13" customWidth="1"/>
    <col min="12301" max="12301" width="13.42578125" customWidth="1"/>
    <col min="12545" max="12545" width="7" customWidth="1"/>
    <col min="12546" max="12546" width="13" customWidth="1"/>
    <col min="12547" max="12550" width="10" customWidth="1"/>
    <col min="12551" max="12551" width="13.28515625" customWidth="1"/>
    <col min="12552" max="12552" width="12.85546875" customWidth="1"/>
    <col min="12553" max="12553" width="12.140625" customWidth="1"/>
    <col min="12554" max="12554" width="15.5703125" customWidth="1"/>
    <col min="12555" max="12555" width="12.7109375" customWidth="1"/>
    <col min="12556" max="12556" width="13" customWidth="1"/>
    <col min="12557" max="12557" width="13.42578125" customWidth="1"/>
    <col min="12801" max="12801" width="7" customWidth="1"/>
    <col min="12802" max="12802" width="13" customWidth="1"/>
    <col min="12803" max="12806" width="10" customWidth="1"/>
    <col min="12807" max="12807" width="13.28515625" customWidth="1"/>
    <col min="12808" max="12808" width="12.85546875" customWidth="1"/>
    <col min="12809" max="12809" width="12.140625" customWidth="1"/>
    <col min="12810" max="12810" width="15.5703125" customWidth="1"/>
    <col min="12811" max="12811" width="12.7109375" customWidth="1"/>
    <col min="12812" max="12812" width="13" customWidth="1"/>
    <col min="12813" max="12813" width="13.42578125" customWidth="1"/>
    <col min="13057" max="13057" width="7" customWidth="1"/>
    <col min="13058" max="13058" width="13" customWidth="1"/>
    <col min="13059" max="13062" width="10" customWidth="1"/>
    <col min="13063" max="13063" width="13.28515625" customWidth="1"/>
    <col min="13064" max="13064" width="12.85546875" customWidth="1"/>
    <col min="13065" max="13065" width="12.140625" customWidth="1"/>
    <col min="13066" max="13066" width="15.5703125" customWidth="1"/>
    <col min="13067" max="13067" width="12.7109375" customWidth="1"/>
    <col min="13068" max="13068" width="13" customWidth="1"/>
    <col min="13069" max="13069" width="13.42578125" customWidth="1"/>
    <col min="13313" max="13313" width="7" customWidth="1"/>
    <col min="13314" max="13314" width="13" customWidth="1"/>
    <col min="13315" max="13318" width="10" customWidth="1"/>
    <col min="13319" max="13319" width="13.28515625" customWidth="1"/>
    <col min="13320" max="13320" width="12.85546875" customWidth="1"/>
    <col min="13321" max="13321" width="12.140625" customWidth="1"/>
    <col min="13322" max="13322" width="15.5703125" customWidth="1"/>
    <col min="13323" max="13323" width="12.7109375" customWidth="1"/>
    <col min="13324" max="13324" width="13" customWidth="1"/>
    <col min="13325" max="13325" width="13.42578125" customWidth="1"/>
    <col min="13569" max="13569" width="7" customWidth="1"/>
    <col min="13570" max="13570" width="13" customWidth="1"/>
    <col min="13571" max="13574" width="10" customWidth="1"/>
    <col min="13575" max="13575" width="13.28515625" customWidth="1"/>
    <col min="13576" max="13576" width="12.85546875" customWidth="1"/>
    <col min="13577" max="13577" width="12.140625" customWidth="1"/>
    <col min="13578" max="13578" width="15.5703125" customWidth="1"/>
    <col min="13579" max="13579" width="12.7109375" customWidth="1"/>
    <col min="13580" max="13580" width="13" customWidth="1"/>
    <col min="13581" max="13581" width="13.42578125" customWidth="1"/>
    <col min="13825" max="13825" width="7" customWidth="1"/>
    <col min="13826" max="13826" width="13" customWidth="1"/>
    <col min="13827" max="13830" width="10" customWidth="1"/>
    <col min="13831" max="13831" width="13.28515625" customWidth="1"/>
    <col min="13832" max="13832" width="12.85546875" customWidth="1"/>
    <col min="13833" max="13833" width="12.140625" customWidth="1"/>
    <col min="13834" max="13834" width="15.5703125" customWidth="1"/>
    <col min="13835" max="13835" width="12.7109375" customWidth="1"/>
    <col min="13836" max="13836" width="13" customWidth="1"/>
    <col min="13837" max="13837" width="13.42578125" customWidth="1"/>
    <col min="14081" max="14081" width="7" customWidth="1"/>
    <col min="14082" max="14082" width="13" customWidth="1"/>
    <col min="14083" max="14086" width="10" customWidth="1"/>
    <col min="14087" max="14087" width="13.28515625" customWidth="1"/>
    <col min="14088" max="14088" width="12.85546875" customWidth="1"/>
    <col min="14089" max="14089" width="12.140625" customWidth="1"/>
    <col min="14090" max="14090" width="15.5703125" customWidth="1"/>
    <col min="14091" max="14091" width="12.7109375" customWidth="1"/>
    <col min="14092" max="14092" width="13" customWidth="1"/>
    <col min="14093" max="14093" width="13.42578125" customWidth="1"/>
    <col min="14337" max="14337" width="7" customWidth="1"/>
    <col min="14338" max="14338" width="13" customWidth="1"/>
    <col min="14339" max="14342" width="10" customWidth="1"/>
    <col min="14343" max="14343" width="13.28515625" customWidth="1"/>
    <col min="14344" max="14344" width="12.85546875" customWidth="1"/>
    <col min="14345" max="14345" width="12.140625" customWidth="1"/>
    <col min="14346" max="14346" width="15.5703125" customWidth="1"/>
    <col min="14347" max="14347" width="12.7109375" customWidth="1"/>
    <col min="14348" max="14348" width="13" customWidth="1"/>
    <col min="14349" max="14349" width="13.42578125" customWidth="1"/>
    <col min="14593" max="14593" width="7" customWidth="1"/>
    <col min="14594" max="14594" width="13" customWidth="1"/>
    <col min="14595" max="14598" width="10" customWidth="1"/>
    <col min="14599" max="14599" width="13.28515625" customWidth="1"/>
    <col min="14600" max="14600" width="12.85546875" customWidth="1"/>
    <col min="14601" max="14601" width="12.140625" customWidth="1"/>
    <col min="14602" max="14602" width="15.5703125" customWidth="1"/>
    <col min="14603" max="14603" width="12.7109375" customWidth="1"/>
    <col min="14604" max="14604" width="13" customWidth="1"/>
    <col min="14605" max="14605" width="13.42578125" customWidth="1"/>
    <col min="14849" max="14849" width="7" customWidth="1"/>
    <col min="14850" max="14850" width="13" customWidth="1"/>
    <col min="14851" max="14854" width="10" customWidth="1"/>
    <col min="14855" max="14855" width="13.28515625" customWidth="1"/>
    <col min="14856" max="14856" width="12.85546875" customWidth="1"/>
    <col min="14857" max="14857" width="12.140625" customWidth="1"/>
    <col min="14858" max="14858" width="15.5703125" customWidth="1"/>
    <col min="14859" max="14859" width="12.7109375" customWidth="1"/>
    <col min="14860" max="14860" width="13" customWidth="1"/>
    <col min="14861" max="14861" width="13.42578125" customWidth="1"/>
    <col min="15105" max="15105" width="7" customWidth="1"/>
    <col min="15106" max="15106" width="13" customWidth="1"/>
    <col min="15107" max="15110" width="10" customWidth="1"/>
    <col min="15111" max="15111" width="13.28515625" customWidth="1"/>
    <col min="15112" max="15112" width="12.85546875" customWidth="1"/>
    <col min="15113" max="15113" width="12.140625" customWidth="1"/>
    <col min="15114" max="15114" width="15.5703125" customWidth="1"/>
    <col min="15115" max="15115" width="12.7109375" customWidth="1"/>
    <col min="15116" max="15116" width="13" customWidth="1"/>
    <col min="15117" max="15117" width="13.42578125" customWidth="1"/>
    <col min="15361" max="15361" width="7" customWidth="1"/>
    <col min="15362" max="15362" width="13" customWidth="1"/>
    <col min="15363" max="15366" width="10" customWidth="1"/>
    <col min="15367" max="15367" width="13.28515625" customWidth="1"/>
    <col min="15368" max="15368" width="12.85546875" customWidth="1"/>
    <col min="15369" max="15369" width="12.140625" customWidth="1"/>
    <col min="15370" max="15370" width="15.5703125" customWidth="1"/>
    <col min="15371" max="15371" width="12.7109375" customWidth="1"/>
    <col min="15372" max="15372" width="13" customWidth="1"/>
    <col min="15373" max="15373" width="13.42578125" customWidth="1"/>
    <col min="15617" max="15617" width="7" customWidth="1"/>
    <col min="15618" max="15618" width="13" customWidth="1"/>
    <col min="15619" max="15622" width="10" customWidth="1"/>
    <col min="15623" max="15623" width="13.28515625" customWidth="1"/>
    <col min="15624" max="15624" width="12.85546875" customWidth="1"/>
    <col min="15625" max="15625" width="12.140625" customWidth="1"/>
    <col min="15626" max="15626" width="15.5703125" customWidth="1"/>
    <col min="15627" max="15627" width="12.7109375" customWidth="1"/>
    <col min="15628" max="15628" width="13" customWidth="1"/>
    <col min="15629" max="15629" width="13.42578125" customWidth="1"/>
    <col min="15873" max="15873" width="7" customWidth="1"/>
    <col min="15874" max="15874" width="13" customWidth="1"/>
    <col min="15875" max="15878" width="10" customWidth="1"/>
    <col min="15879" max="15879" width="13.28515625" customWidth="1"/>
    <col min="15880" max="15880" width="12.85546875" customWidth="1"/>
    <col min="15881" max="15881" width="12.140625" customWidth="1"/>
    <col min="15882" max="15882" width="15.5703125" customWidth="1"/>
    <col min="15883" max="15883" width="12.7109375" customWidth="1"/>
    <col min="15884" max="15884" width="13" customWidth="1"/>
    <col min="15885" max="15885" width="13.42578125" customWidth="1"/>
    <col min="16129" max="16129" width="7" customWidth="1"/>
    <col min="16130" max="16130" width="13" customWidth="1"/>
    <col min="16131" max="16134" width="10" customWidth="1"/>
    <col min="16135" max="16135" width="13.28515625" customWidth="1"/>
    <col min="16136" max="16136" width="12.85546875" customWidth="1"/>
    <col min="16137" max="16137" width="12.140625" customWidth="1"/>
    <col min="16138" max="16138" width="15.5703125" customWidth="1"/>
    <col min="16139" max="16139" width="12.7109375" customWidth="1"/>
    <col min="16140" max="16140" width="13" customWidth="1"/>
    <col min="16141" max="16141" width="13.42578125" customWidth="1"/>
  </cols>
  <sheetData>
    <row r="1" spans="1:13" ht="21.6" customHeight="1">
      <c r="G1" s="534" t="s">
        <v>2253</v>
      </c>
    </row>
    <row r="2" spans="1:13" ht="8.4499999999999993" customHeight="1"/>
    <row r="3" spans="1:13" ht="10.15" customHeight="1">
      <c r="G3" s="535" t="s">
        <v>2254</v>
      </c>
    </row>
    <row r="4" spans="1:13" ht="25.7" customHeight="1"/>
    <row r="5" spans="1:13" ht="10.15" customHeight="1">
      <c r="A5" s="536" t="s">
        <v>2255</v>
      </c>
      <c r="M5" s="537" t="s">
        <v>2230</v>
      </c>
    </row>
    <row r="6" spans="1:13" ht="22.5" customHeight="1">
      <c r="A6" s="538" t="s">
        <v>2256</v>
      </c>
      <c r="B6" s="538" t="s">
        <v>2257</v>
      </c>
      <c r="C6" s="538" t="s">
        <v>2258</v>
      </c>
      <c r="D6" s="538" t="s">
        <v>70</v>
      </c>
      <c r="E6" s="538" t="s">
        <v>2259</v>
      </c>
      <c r="F6" s="538" t="s">
        <v>71</v>
      </c>
      <c r="G6" s="538" t="s">
        <v>73</v>
      </c>
      <c r="H6" s="538" t="s">
        <v>997</v>
      </c>
      <c r="I6" s="538" t="s">
        <v>998</v>
      </c>
      <c r="J6" s="538" t="s">
        <v>75</v>
      </c>
      <c r="K6" s="538" t="s">
        <v>81</v>
      </c>
      <c r="L6" s="538" t="s">
        <v>2260</v>
      </c>
      <c r="M6" s="538" t="s">
        <v>84</v>
      </c>
    </row>
    <row r="7" spans="1:13" ht="409.6" hidden="1" customHeight="1"/>
    <row r="8" spans="1:13" ht="22.5" customHeight="1">
      <c r="A8" s="539" t="s">
        <v>1192</v>
      </c>
      <c r="B8" s="540" t="s">
        <v>25</v>
      </c>
      <c r="C8" s="539" t="s">
        <v>2261</v>
      </c>
      <c r="D8" s="540" t="s">
        <v>85</v>
      </c>
      <c r="E8" s="539" t="s">
        <v>90</v>
      </c>
      <c r="F8" s="539" t="s">
        <v>86</v>
      </c>
      <c r="G8" s="541">
        <v>6580879074</v>
      </c>
      <c r="H8" s="541"/>
      <c r="I8" s="541"/>
      <c r="J8" s="541">
        <v>6580879074</v>
      </c>
      <c r="K8" s="541">
        <v>164521976</v>
      </c>
      <c r="L8" s="541">
        <v>696335253</v>
      </c>
      <c r="M8" s="541">
        <v>5884543821</v>
      </c>
    </row>
    <row r="9" spans="1:13" ht="22.5" customHeight="1">
      <c r="A9" s="539" t="s">
        <v>1202</v>
      </c>
      <c r="B9" s="540" t="s">
        <v>27</v>
      </c>
      <c r="C9" s="539" t="s">
        <v>2262</v>
      </c>
      <c r="D9" s="540" t="s">
        <v>91</v>
      </c>
      <c r="E9" s="539" t="s">
        <v>90</v>
      </c>
      <c r="F9" s="539" t="s">
        <v>92</v>
      </c>
      <c r="G9" s="541">
        <v>6600000</v>
      </c>
      <c r="H9" s="541"/>
      <c r="I9" s="541"/>
      <c r="J9" s="541">
        <v>6600000</v>
      </c>
      <c r="K9" s="541"/>
      <c r="L9" s="541">
        <v>6599000</v>
      </c>
      <c r="M9" s="541">
        <v>1000</v>
      </c>
    </row>
    <row r="10" spans="1:13" ht="22.5" customHeight="1">
      <c r="A10" s="539" t="s">
        <v>1202</v>
      </c>
      <c r="B10" s="540" t="s">
        <v>27</v>
      </c>
      <c r="C10" s="539" t="s">
        <v>2263</v>
      </c>
      <c r="D10" s="540" t="s">
        <v>95</v>
      </c>
      <c r="E10" s="539" t="s">
        <v>90</v>
      </c>
      <c r="F10" s="539" t="s">
        <v>96</v>
      </c>
      <c r="G10" s="541">
        <v>1600000</v>
      </c>
      <c r="H10" s="541"/>
      <c r="I10" s="541"/>
      <c r="J10" s="541">
        <v>1600000</v>
      </c>
      <c r="K10" s="541">
        <v>201143</v>
      </c>
      <c r="L10" s="541">
        <v>1355149</v>
      </c>
      <c r="M10" s="541">
        <v>244851</v>
      </c>
    </row>
    <row r="11" spans="1:13" ht="22.5" customHeight="1">
      <c r="A11" s="539" t="s">
        <v>1207</v>
      </c>
      <c r="B11" s="540" t="s">
        <v>28</v>
      </c>
      <c r="C11" s="539" t="s">
        <v>2263</v>
      </c>
      <c r="D11" s="540" t="s">
        <v>99</v>
      </c>
      <c r="E11" s="539" t="s">
        <v>90</v>
      </c>
      <c r="F11" s="539" t="s">
        <v>100</v>
      </c>
      <c r="G11" s="541">
        <v>24261810</v>
      </c>
      <c r="H11" s="541"/>
      <c r="I11" s="541"/>
      <c r="J11" s="541">
        <v>24261810</v>
      </c>
      <c r="K11" s="541">
        <v>4852362</v>
      </c>
      <c r="L11" s="541">
        <v>22239992</v>
      </c>
      <c r="M11" s="541">
        <v>2021818</v>
      </c>
    </row>
    <row r="12" spans="1:13" ht="22.5" customHeight="1">
      <c r="A12" s="539" t="s">
        <v>1207</v>
      </c>
      <c r="B12" s="540" t="s">
        <v>28</v>
      </c>
      <c r="C12" s="539" t="s">
        <v>2264</v>
      </c>
      <c r="D12" s="540" t="s">
        <v>101</v>
      </c>
      <c r="E12" s="539" t="s">
        <v>90</v>
      </c>
      <c r="F12" s="539" t="s">
        <v>100</v>
      </c>
      <c r="G12" s="541">
        <v>24793630</v>
      </c>
      <c r="H12" s="541"/>
      <c r="I12" s="541"/>
      <c r="J12" s="541">
        <v>24793630</v>
      </c>
      <c r="K12" s="541">
        <v>4958726</v>
      </c>
      <c r="L12" s="541">
        <v>22727494</v>
      </c>
      <c r="M12" s="541">
        <v>2066136</v>
      </c>
    </row>
    <row r="13" spans="1:13" ht="22.5" customHeight="1">
      <c r="A13" s="539" t="s">
        <v>1207</v>
      </c>
      <c r="B13" s="540" t="s">
        <v>28</v>
      </c>
      <c r="C13" s="539" t="s">
        <v>2265</v>
      </c>
      <c r="D13" s="540" t="s">
        <v>102</v>
      </c>
      <c r="E13" s="539" t="s">
        <v>90</v>
      </c>
      <c r="F13" s="539" t="s">
        <v>103</v>
      </c>
      <c r="G13" s="541">
        <v>19562740</v>
      </c>
      <c r="H13" s="541"/>
      <c r="I13" s="541"/>
      <c r="J13" s="541">
        <v>19562740</v>
      </c>
      <c r="K13" s="541"/>
      <c r="L13" s="541">
        <v>19561740</v>
      </c>
      <c r="M13" s="541">
        <v>1000</v>
      </c>
    </row>
    <row r="14" spans="1:13" ht="22.5" customHeight="1">
      <c r="A14" s="539" t="s">
        <v>1207</v>
      </c>
      <c r="B14" s="540" t="s">
        <v>28</v>
      </c>
      <c r="C14" s="539" t="s">
        <v>2266</v>
      </c>
      <c r="D14" s="540" t="s">
        <v>104</v>
      </c>
      <c r="E14" s="539" t="s">
        <v>90</v>
      </c>
      <c r="F14" s="539" t="s">
        <v>105</v>
      </c>
      <c r="G14" s="541">
        <v>24331221</v>
      </c>
      <c r="H14" s="541"/>
      <c r="I14" s="541"/>
      <c r="J14" s="541">
        <v>24331221</v>
      </c>
      <c r="K14" s="541"/>
      <c r="L14" s="541">
        <v>24330221</v>
      </c>
      <c r="M14" s="541">
        <v>1000</v>
      </c>
    </row>
    <row r="15" spans="1:13" ht="22.5" customHeight="1">
      <c r="A15" s="539" t="s">
        <v>1207</v>
      </c>
      <c r="B15" s="540" t="s">
        <v>28</v>
      </c>
      <c r="C15" s="539" t="s">
        <v>2267</v>
      </c>
      <c r="D15" s="540" t="s">
        <v>106</v>
      </c>
      <c r="E15" s="539" t="s">
        <v>90</v>
      </c>
      <c r="F15" s="539" t="s">
        <v>107</v>
      </c>
      <c r="G15" s="541">
        <v>10606363</v>
      </c>
      <c r="H15" s="541"/>
      <c r="I15" s="541"/>
      <c r="J15" s="541">
        <v>10606363</v>
      </c>
      <c r="K15" s="541"/>
      <c r="L15" s="541">
        <v>10605363</v>
      </c>
      <c r="M15" s="541">
        <v>1000</v>
      </c>
    </row>
    <row r="16" spans="1:13" ht="22.5" customHeight="1">
      <c r="A16" s="539" t="s">
        <v>1207</v>
      </c>
      <c r="B16" s="540" t="s">
        <v>28</v>
      </c>
      <c r="C16" s="539" t="s">
        <v>2268</v>
      </c>
      <c r="D16" s="540" t="s">
        <v>108</v>
      </c>
      <c r="E16" s="539" t="s">
        <v>90</v>
      </c>
      <c r="F16" s="539" t="s">
        <v>109</v>
      </c>
      <c r="G16" s="541">
        <v>3545050</v>
      </c>
      <c r="H16" s="541"/>
      <c r="I16" s="541"/>
      <c r="J16" s="541">
        <v>3545050</v>
      </c>
      <c r="K16" s="541"/>
      <c r="L16" s="541">
        <v>3544050</v>
      </c>
      <c r="M16" s="541">
        <v>1000</v>
      </c>
    </row>
    <row r="17" spans="1:13" ht="22.5" customHeight="1">
      <c r="A17" s="539" t="s">
        <v>1207</v>
      </c>
      <c r="B17" s="540" t="s">
        <v>28</v>
      </c>
      <c r="C17" s="539" t="s">
        <v>2269</v>
      </c>
      <c r="D17" s="540" t="s">
        <v>110</v>
      </c>
      <c r="E17" s="539" t="s">
        <v>90</v>
      </c>
      <c r="F17" s="539" t="s">
        <v>111</v>
      </c>
      <c r="G17" s="541">
        <v>18787158</v>
      </c>
      <c r="H17" s="541"/>
      <c r="I17" s="541"/>
      <c r="J17" s="541">
        <v>18787158</v>
      </c>
      <c r="K17" s="541"/>
      <c r="L17" s="541">
        <v>18786158</v>
      </c>
      <c r="M17" s="541">
        <v>1000</v>
      </c>
    </row>
    <row r="18" spans="1:13" ht="22.5" customHeight="1">
      <c r="A18" s="539" t="s">
        <v>1207</v>
      </c>
      <c r="B18" s="540" t="s">
        <v>28</v>
      </c>
      <c r="C18" s="539" t="s">
        <v>2270</v>
      </c>
      <c r="D18" s="540" t="s">
        <v>112</v>
      </c>
      <c r="E18" s="539" t="s">
        <v>90</v>
      </c>
      <c r="F18" s="539" t="s">
        <v>113</v>
      </c>
      <c r="G18" s="541">
        <v>19195840</v>
      </c>
      <c r="H18" s="541"/>
      <c r="I18" s="541"/>
      <c r="J18" s="541">
        <v>19195840</v>
      </c>
      <c r="K18" s="541"/>
      <c r="L18" s="541">
        <v>19194840</v>
      </c>
      <c r="M18" s="541">
        <v>1000</v>
      </c>
    </row>
    <row r="19" spans="1:13" ht="22.5" customHeight="1">
      <c r="A19" s="539" t="s">
        <v>1207</v>
      </c>
      <c r="B19" s="540" t="s">
        <v>28</v>
      </c>
      <c r="C19" s="539" t="s">
        <v>2271</v>
      </c>
      <c r="D19" s="540" t="s">
        <v>114</v>
      </c>
      <c r="E19" s="539" t="s">
        <v>90</v>
      </c>
      <c r="F19" s="539" t="s">
        <v>115</v>
      </c>
      <c r="G19" s="541">
        <v>19195840</v>
      </c>
      <c r="H19" s="541"/>
      <c r="I19" s="541"/>
      <c r="J19" s="541">
        <v>19195840</v>
      </c>
      <c r="K19" s="541"/>
      <c r="L19" s="541">
        <v>19194840</v>
      </c>
      <c r="M19" s="541">
        <v>1000</v>
      </c>
    </row>
    <row r="20" spans="1:13" ht="22.5" customHeight="1">
      <c r="A20" s="539" t="s">
        <v>1207</v>
      </c>
      <c r="B20" s="540" t="s">
        <v>28</v>
      </c>
      <c r="C20" s="539" t="s">
        <v>2272</v>
      </c>
      <c r="D20" s="540" t="s">
        <v>116</v>
      </c>
      <c r="E20" s="539" t="s">
        <v>90</v>
      </c>
      <c r="F20" s="539" t="s">
        <v>117</v>
      </c>
      <c r="G20" s="541">
        <v>71714000</v>
      </c>
      <c r="H20" s="541"/>
      <c r="I20" s="541"/>
      <c r="J20" s="541">
        <v>71714000</v>
      </c>
      <c r="K20" s="541"/>
      <c r="L20" s="541">
        <v>71713000</v>
      </c>
      <c r="M20" s="541">
        <v>1000</v>
      </c>
    </row>
    <row r="21" spans="1:13" ht="22.5" customHeight="1">
      <c r="A21" s="539" t="s">
        <v>1207</v>
      </c>
      <c r="B21" s="540" t="s">
        <v>28</v>
      </c>
      <c r="C21" s="539" t="s">
        <v>2273</v>
      </c>
      <c r="D21" s="540" t="s">
        <v>118</v>
      </c>
      <c r="E21" s="539" t="s">
        <v>90</v>
      </c>
      <c r="F21" s="539" t="s">
        <v>119</v>
      </c>
      <c r="G21" s="541">
        <v>39515799</v>
      </c>
      <c r="H21" s="541"/>
      <c r="I21" s="541"/>
      <c r="J21" s="541">
        <v>39515799</v>
      </c>
      <c r="K21" s="541"/>
      <c r="L21" s="541">
        <v>39514799</v>
      </c>
      <c r="M21" s="541">
        <v>1000</v>
      </c>
    </row>
    <row r="22" spans="1:13" ht="22.5" customHeight="1">
      <c r="A22" s="539" t="s">
        <v>1207</v>
      </c>
      <c r="B22" s="540" t="s">
        <v>28</v>
      </c>
      <c r="C22" s="539" t="s">
        <v>2274</v>
      </c>
      <c r="D22" s="540" t="s">
        <v>2275</v>
      </c>
      <c r="E22" s="539" t="s">
        <v>90</v>
      </c>
      <c r="F22" s="539" t="s">
        <v>120</v>
      </c>
      <c r="G22" s="541">
        <v>65167703</v>
      </c>
      <c r="H22" s="541"/>
      <c r="I22" s="541"/>
      <c r="J22" s="541">
        <v>65167703</v>
      </c>
      <c r="K22" s="541">
        <v>13033540</v>
      </c>
      <c r="L22" s="541">
        <v>29325465</v>
      </c>
      <c r="M22" s="541">
        <v>35842238</v>
      </c>
    </row>
    <row r="23" spans="1:13" ht="22.5" customHeight="1">
      <c r="A23" s="539" t="s">
        <v>1242</v>
      </c>
      <c r="B23" s="540" t="s">
        <v>29</v>
      </c>
      <c r="C23" s="539" t="s">
        <v>2276</v>
      </c>
      <c r="D23" s="540" t="s">
        <v>1341</v>
      </c>
      <c r="E23" s="539" t="s">
        <v>90</v>
      </c>
      <c r="F23" s="539" t="s">
        <v>1342</v>
      </c>
      <c r="G23" s="541"/>
      <c r="H23" s="541">
        <v>2200000</v>
      </c>
      <c r="I23" s="541"/>
      <c r="J23" s="541">
        <v>2200000</v>
      </c>
      <c r="K23" s="541">
        <v>229533</v>
      </c>
      <c r="L23" s="541">
        <v>229533</v>
      </c>
      <c r="M23" s="541">
        <v>1970467</v>
      </c>
    </row>
    <row r="24" spans="1:13" ht="22.5" customHeight="1">
      <c r="A24" s="539" t="s">
        <v>1242</v>
      </c>
      <c r="B24" s="540" t="s">
        <v>29</v>
      </c>
      <c r="C24" s="539" t="s">
        <v>2277</v>
      </c>
      <c r="D24" s="540" t="s">
        <v>1341</v>
      </c>
      <c r="E24" s="539" t="s">
        <v>90</v>
      </c>
      <c r="F24" s="539" t="s">
        <v>1343</v>
      </c>
      <c r="G24" s="541"/>
      <c r="H24" s="541">
        <v>2200000</v>
      </c>
      <c r="I24" s="541"/>
      <c r="J24" s="541">
        <v>2200000</v>
      </c>
      <c r="K24" s="541">
        <v>114766</v>
      </c>
      <c r="L24" s="541">
        <v>114766</v>
      </c>
      <c r="M24" s="541">
        <v>2085234</v>
      </c>
    </row>
    <row r="25" spans="1:13" ht="22.5" customHeight="1">
      <c r="A25" s="542" t="s">
        <v>1247</v>
      </c>
      <c r="B25" s="543" t="s">
        <v>30</v>
      </c>
      <c r="C25" s="542" t="s">
        <v>2262</v>
      </c>
      <c r="D25" s="543" t="s">
        <v>156</v>
      </c>
      <c r="E25" s="542" t="s">
        <v>90</v>
      </c>
      <c r="F25" s="542" t="s">
        <v>157</v>
      </c>
      <c r="G25" s="544">
        <v>6070000</v>
      </c>
      <c r="H25" s="544"/>
      <c r="I25" s="544"/>
      <c r="J25" s="544">
        <v>6070000</v>
      </c>
      <c r="K25" s="544">
        <v>1164016</v>
      </c>
      <c r="L25" s="544">
        <v>4653048</v>
      </c>
      <c r="M25" s="544">
        <v>1416952</v>
      </c>
    </row>
    <row r="26" spans="1:13" ht="22.5" customHeight="1">
      <c r="A26" s="539" t="s">
        <v>1247</v>
      </c>
      <c r="B26" s="540" t="s">
        <v>30</v>
      </c>
      <c r="C26" s="539" t="s">
        <v>2261</v>
      </c>
      <c r="D26" s="540" t="s">
        <v>2278</v>
      </c>
      <c r="E26" s="539" t="s">
        <v>90</v>
      </c>
      <c r="F26" s="539" t="s">
        <v>2279</v>
      </c>
      <c r="G26" s="541">
        <v>3948637</v>
      </c>
      <c r="H26" s="541"/>
      <c r="I26" s="541">
        <v>3948637</v>
      </c>
      <c r="J26" s="541"/>
      <c r="K26" s="541">
        <v>37404</v>
      </c>
      <c r="L26" s="541">
        <v>3654298</v>
      </c>
      <c r="M26" s="541"/>
    </row>
    <row r="27" spans="1:13" ht="22.5" customHeight="1">
      <c r="A27" s="539" t="s">
        <v>1247</v>
      </c>
      <c r="B27" s="540" t="s">
        <v>30</v>
      </c>
      <c r="C27" s="539" t="s">
        <v>2280</v>
      </c>
      <c r="D27" s="540" t="s">
        <v>1348</v>
      </c>
      <c r="E27" s="539" t="s">
        <v>90</v>
      </c>
      <c r="F27" s="539" t="s">
        <v>1349</v>
      </c>
      <c r="G27" s="541"/>
      <c r="H27" s="541">
        <v>1750000</v>
      </c>
      <c r="I27" s="541"/>
      <c r="J27" s="541">
        <v>1750000</v>
      </c>
      <c r="K27" s="541">
        <v>197312</v>
      </c>
      <c r="L27" s="541">
        <v>197312</v>
      </c>
      <c r="M27" s="541">
        <v>1552688</v>
      </c>
    </row>
    <row r="28" spans="1:13" ht="22.5" customHeight="1">
      <c r="A28" s="539" t="s">
        <v>1247</v>
      </c>
      <c r="B28" s="540" t="s">
        <v>30</v>
      </c>
      <c r="C28" s="539" t="s">
        <v>2281</v>
      </c>
      <c r="D28" s="540" t="s">
        <v>1350</v>
      </c>
      <c r="E28" s="539" t="s">
        <v>90</v>
      </c>
      <c r="F28" s="539" t="s">
        <v>1349</v>
      </c>
      <c r="G28" s="541"/>
      <c r="H28" s="541">
        <v>1700000</v>
      </c>
      <c r="I28" s="541"/>
      <c r="J28" s="541">
        <v>1700000</v>
      </c>
      <c r="K28" s="541">
        <v>191675</v>
      </c>
      <c r="L28" s="541">
        <v>191675</v>
      </c>
      <c r="M28" s="541">
        <v>1508325</v>
      </c>
    </row>
    <row r="29" spans="1:13" ht="22.5" customHeight="1">
      <c r="A29" s="539" t="s">
        <v>1247</v>
      </c>
      <c r="B29" s="540" t="s">
        <v>30</v>
      </c>
      <c r="C29" s="539" t="s">
        <v>2282</v>
      </c>
      <c r="D29" s="540" t="s">
        <v>1351</v>
      </c>
      <c r="E29" s="539" t="s">
        <v>90</v>
      </c>
      <c r="F29" s="539" t="s">
        <v>1349</v>
      </c>
      <c r="G29" s="541"/>
      <c r="H29" s="541">
        <v>9866182</v>
      </c>
      <c r="I29" s="541"/>
      <c r="J29" s="541">
        <v>9866182</v>
      </c>
      <c r="K29" s="541">
        <v>1112412</v>
      </c>
      <c r="L29" s="541">
        <v>1112412</v>
      </c>
      <c r="M29" s="541">
        <v>8753770</v>
      </c>
    </row>
    <row r="30" spans="1:13" ht="22.5" customHeight="1">
      <c r="A30" s="539" t="s">
        <v>1247</v>
      </c>
      <c r="B30" s="540" t="s">
        <v>30</v>
      </c>
      <c r="C30" s="539" t="s">
        <v>2269</v>
      </c>
      <c r="D30" s="540" t="s">
        <v>164</v>
      </c>
      <c r="E30" s="539" t="s">
        <v>90</v>
      </c>
      <c r="F30" s="539" t="s">
        <v>165</v>
      </c>
      <c r="G30" s="541">
        <v>9618000</v>
      </c>
      <c r="H30" s="541"/>
      <c r="I30" s="541"/>
      <c r="J30" s="541">
        <v>9618000</v>
      </c>
      <c r="K30" s="541"/>
      <c r="L30" s="541">
        <v>9617000</v>
      </c>
      <c r="M30" s="541">
        <v>1000</v>
      </c>
    </row>
    <row r="31" spans="1:13" ht="22.5" customHeight="1">
      <c r="A31" s="539" t="s">
        <v>1247</v>
      </c>
      <c r="B31" s="540" t="s">
        <v>30</v>
      </c>
      <c r="C31" s="539" t="s">
        <v>2271</v>
      </c>
      <c r="D31" s="540" t="s">
        <v>166</v>
      </c>
      <c r="E31" s="539" t="s">
        <v>90</v>
      </c>
      <c r="F31" s="539" t="s">
        <v>167</v>
      </c>
      <c r="G31" s="541">
        <v>5312000</v>
      </c>
      <c r="H31" s="541"/>
      <c r="I31" s="541"/>
      <c r="J31" s="541">
        <v>5312000</v>
      </c>
      <c r="K31" s="541"/>
      <c r="L31" s="541">
        <v>5311000</v>
      </c>
      <c r="M31" s="541">
        <v>1000</v>
      </c>
    </row>
    <row r="32" spans="1:13" ht="22.5" customHeight="1">
      <c r="A32" s="539" t="s">
        <v>1247</v>
      </c>
      <c r="B32" s="540" t="s">
        <v>30</v>
      </c>
      <c r="C32" s="539" t="s">
        <v>2273</v>
      </c>
      <c r="D32" s="540" t="s">
        <v>168</v>
      </c>
      <c r="E32" s="539" t="s">
        <v>90</v>
      </c>
      <c r="F32" s="539" t="s">
        <v>169</v>
      </c>
      <c r="G32" s="541">
        <v>1859000</v>
      </c>
      <c r="H32" s="541"/>
      <c r="I32" s="541"/>
      <c r="J32" s="541">
        <v>1859000</v>
      </c>
      <c r="K32" s="541"/>
      <c r="L32" s="541">
        <v>1858000</v>
      </c>
      <c r="M32" s="541">
        <v>1000</v>
      </c>
    </row>
    <row r="33" spans="1:13" ht="22.5" customHeight="1">
      <c r="A33" s="539" t="s">
        <v>1247</v>
      </c>
      <c r="B33" s="540" t="s">
        <v>30</v>
      </c>
      <c r="C33" s="539" t="s">
        <v>2274</v>
      </c>
      <c r="D33" s="540" t="s">
        <v>170</v>
      </c>
      <c r="E33" s="539" t="s">
        <v>90</v>
      </c>
      <c r="F33" s="539" t="s">
        <v>171</v>
      </c>
      <c r="G33" s="541">
        <v>1750000</v>
      </c>
      <c r="H33" s="541"/>
      <c r="I33" s="541"/>
      <c r="J33" s="541">
        <v>1750000</v>
      </c>
      <c r="K33" s="541"/>
      <c r="L33" s="541">
        <v>1749000</v>
      </c>
      <c r="M33" s="541">
        <v>1000</v>
      </c>
    </row>
    <row r="34" spans="1:13" ht="22.5" customHeight="1">
      <c r="A34" s="539" t="s">
        <v>1247</v>
      </c>
      <c r="B34" s="540" t="s">
        <v>30</v>
      </c>
      <c r="C34" s="539" t="s">
        <v>2283</v>
      </c>
      <c r="D34" s="540" t="s">
        <v>172</v>
      </c>
      <c r="E34" s="539" t="s">
        <v>90</v>
      </c>
      <c r="F34" s="539" t="s">
        <v>173</v>
      </c>
      <c r="G34" s="541">
        <v>17047400</v>
      </c>
      <c r="H34" s="541"/>
      <c r="I34" s="541"/>
      <c r="J34" s="541">
        <v>17047400</v>
      </c>
      <c r="K34" s="541"/>
      <c r="L34" s="541">
        <v>17046400</v>
      </c>
      <c r="M34" s="541">
        <v>1000</v>
      </c>
    </row>
    <row r="35" spans="1:13" ht="22.5" customHeight="1">
      <c r="A35" s="539" t="s">
        <v>1247</v>
      </c>
      <c r="B35" s="540" t="s">
        <v>30</v>
      </c>
      <c r="C35" s="539" t="s">
        <v>2284</v>
      </c>
      <c r="D35" s="540" t="s">
        <v>174</v>
      </c>
      <c r="E35" s="539" t="s">
        <v>90</v>
      </c>
      <c r="F35" s="539" t="s">
        <v>175</v>
      </c>
      <c r="G35" s="541">
        <v>1900000</v>
      </c>
      <c r="H35" s="541"/>
      <c r="I35" s="541"/>
      <c r="J35" s="541">
        <v>1900000</v>
      </c>
      <c r="K35" s="541"/>
      <c r="L35" s="541">
        <v>1899000</v>
      </c>
      <c r="M35" s="541">
        <v>1000</v>
      </c>
    </row>
    <row r="36" spans="1:13" ht="22.5" customHeight="1">
      <c r="A36" s="539" t="s">
        <v>1247</v>
      </c>
      <c r="B36" s="540" t="s">
        <v>30</v>
      </c>
      <c r="C36" s="539" t="s">
        <v>2285</v>
      </c>
      <c r="D36" s="540" t="s">
        <v>176</v>
      </c>
      <c r="E36" s="539" t="s">
        <v>90</v>
      </c>
      <c r="F36" s="539" t="s">
        <v>177</v>
      </c>
      <c r="G36" s="541">
        <v>1856000</v>
      </c>
      <c r="H36" s="541"/>
      <c r="I36" s="541"/>
      <c r="J36" s="541">
        <v>1856000</v>
      </c>
      <c r="K36" s="541"/>
      <c r="L36" s="541">
        <v>1855000</v>
      </c>
      <c r="M36" s="541">
        <v>1000</v>
      </c>
    </row>
    <row r="37" spans="1:13" ht="22.5" customHeight="1">
      <c r="A37" s="539" t="s">
        <v>1247</v>
      </c>
      <c r="B37" s="540" t="s">
        <v>30</v>
      </c>
      <c r="C37" s="539" t="s">
        <v>2286</v>
      </c>
      <c r="D37" s="540" t="s">
        <v>178</v>
      </c>
      <c r="E37" s="539" t="s">
        <v>90</v>
      </c>
      <c r="F37" s="539" t="s">
        <v>179</v>
      </c>
      <c r="G37" s="541">
        <v>1359150</v>
      </c>
      <c r="H37" s="541"/>
      <c r="I37" s="541"/>
      <c r="J37" s="541">
        <v>1359150</v>
      </c>
      <c r="K37" s="541"/>
      <c r="L37" s="541">
        <v>1358150</v>
      </c>
      <c r="M37" s="541">
        <v>1000</v>
      </c>
    </row>
    <row r="38" spans="1:13" ht="22.5" customHeight="1">
      <c r="A38" s="539" t="s">
        <v>1247</v>
      </c>
      <c r="B38" s="540" t="s">
        <v>30</v>
      </c>
      <c r="C38" s="539" t="s">
        <v>2287</v>
      </c>
      <c r="D38" s="540" t="s">
        <v>180</v>
      </c>
      <c r="E38" s="539" t="s">
        <v>90</v>
      </c>
      <c r="F38" s="539" t="s">
        <v>181</v>
      </c>
      <c r="G38" s="541">
        <v>960000</v>
      </c>
      <c r="H38" s="541"/>
      <c r="I38" s="541"/>
      <c r="J38" s="541">
        <v>960000</v>
      </c>
      <c r="K38" s="541"/>
      <c r="L38" s="541">
        <v>959000</v>
      </c>
      <c r="M38" s="541">
        <v>1000</v>
      </c>
    </row>
    <row r="39" spans="1:13" ht="22.5" customHeight="1">
      <c r="A39" s="539" t="s">
        <v>1247</v>
      </c>
      <c r="B39" s="540" t="s">
        <v>30</v>
      </c>
      <c r="C39" s="539" t="s">
        <v>2288</v>
      </c>
      <c r="D39" s="540" t="s">
        <v>2289</v>
      </c>
      <c r="E39" s="539" t="s">
        <v>90</v>
      </c>
      <c r="F39" s="539" t="s">
        <v>182</v>
      </c>
      <c r="G39" s="541">
        <v>1428000</v>
      </c>
      <c r="H39" s="541"/>
      <c r="I39" s="541"/>
      <c r="J39" s="541">
        <v>1428000</v>
      </c>
      <c r="K39" s="541"/>
      <c r="L39" s="541">
        <v>1427000</v>
      </c>
      <c r="M39" s="541">
        <v>1000</v>
      </c>
    </row>
    <row r="40" spans="1:13" ht="22.5" customHeight="1">
      <c r="A40" s="539" t="s">
        <v>1247</v>
      </c>
      <c r="B40" s="540" t="s">
        <v>30</v>
      </c>
      <c r="C40" s="539" t="s">
        <v>2290</v>
      </c>
      <c r="D40" s="540" t="s">
        <v>183</v>
      </c>
      <c r="E40" s="539" t="s">
        <v>90</v>
      </c>
      <c r="F40" s="539" t="s">
        <v>184</v>
      </c>
      <c r="G40" s="541">
        <v>8000000</v>
      </c>
      <c r="H40" s="541"/>
      <c r="I40" s="541"/>
      <c r="J40" s="541">
        <v>8000000</v>
      </c>
      <c r="K40" s="541"/>
      <c r="L40" s="541">
        <v>7999000</v>
      </c>
      <c r="M40" s="541">
        <v>1000</v>
      </c>
    </row>
    <row r="41" spans="1:13" ht="22.5" customHeight="1">
      <c r="A41" s="539" t="s">
        <v>1262</v>
      </c>
      <c r="B41" s="540" t="s">
        <v>31</v>
      </c>
      <c r="C41" s="539" t="s">
        <v>2262</v>
      </c>
      <c r="D41" s="540" t="s">
        <v>2291</v>
      </c>
      <c r="E41" s="539" t="s">
        <v>90</v>
      </c>
      <c r="F41" s="539" t="s">
        <v>186</v>
      </c>
      <c r="G41" s="541">
        <v>29400000</v>
      </c>
      <c r="H41" s="541"/>
      <c r="I41" s="541"/>
      <c r="J41" s="541">
        <v>29400000</v>
      </c>
      <c r="K41" s="541">
        <v>8276075</v>
      </c>
      <c r="L41" s="541">
        <v>19325575</v>
      </c>
      <c r="M41" s="541">
        <v>10074425</v>
      </c>
    </row>
    <row r="42" spans="1:13" ht="22.5" customHeight="1">
      <c r="A42" s="539" t="s">
        <v>1262</v>
      </c>
      <c r="B42" s="540" t="s">
        <v>31</v>
      </c>
      <c r="C42" s="539" t="s">
        <v>2261</v>
      </c>
      <c r="D42" s="540" t="s">
        <v>191</v>
      </c>
      <c r="E42" s="539" t="s">
        <v>90</v>
      </c>
      <c r="F42" s="539" t="s">
        <v>192</v>
      </c>
      <c r="G42" s="541">
        <v>17800000</v>
      </c>
      <c r="H42" s="541"/>
      <c r="I42" s="541"/>
      <c r="J42" s="541">
        <v>17800000</v>
      </c>
      <c r="K42" s="541">
        <v>2750866</v>
      </c>
      <c r="L42" s="541">
        <v>14451384</v>
      </c>
      <c r="M42" s="541">
        <v>3348616</v>
      </c>
    </row>
    <row r="43" spans="1:13" ht="22.5" customHeight="1">
      <c r="A43" s="542" t="s">
        <v>1262</v>
      </c>
      <c r="B43" s="543" t="s">
        <v>31</v>
      </c>
      <c r="C43" s="542" t="s">
        <v>2264</v>
      </c>
      <c r="D43" s="543" t="s">
        <v>1352</v>
      </c>
      <c r="E43" s="542" t="s">
        <v>90</v>
      </c>
      <c r="F43" s="542" t="s">
        <v>1353</v>
      </c>
      <c r="G43" s="544"/>
      <c r="H43" s="544">
        <v>6500000</v>
      </c>
      <c r="I43" s="544"/>
      <c r="J43" s="544">
        <v>6500000</v>
      </c>
      <c r="K43" s="544">
        <v>2931500</v>
      </c>
      <c r="L43" s="544">
        <v>2931500</v>
      </c>
      <c r="M43" s="544">
        <v>3568500</v>
      </c>
    </row>
    <row r="44" spans="1:13" ht="22.5" customHeight="1">
      <c r="A44" s="539" t="s">
        <v>1262</v>
      </c>
      <c r="B44" s="540" t="s">
        <v>31</v>
      </c>
      <c r="C44" s="539" t="s">
        <v>2281</v>
      </c>
      <c r="D44" s="540" t="s">
        <v>1355</v>
      </c>
      <c r="E44" s="539" t="s">
        <v>90</v>
      </c>
      <c r="F44" s="539" t="s">
        <v>1356</v>
      </c>
      <c r="G44" s="541"/>
      <c r="H44" s="541">
        <v>6800000</v>
      </c>
      <c r="I44" s="541"/>
      <c r="J44" s="541">
        <v>6800000</v>
      </c>
      <c r="K44" s="541">
        <v>2811233</v>
      </c>
      <c r="L44" s="541">
        <v>2811233</v>
      </c>
      <c r="M44" s="541">
        <v>3988767</v>
      </c>
    </row>
    <row r="45" spans="1:13" ht="22.5" customHeight="1">
      <c r="A45" s="539" t="s">
        <v>1262</v>
      </c>
      <c r="B45" s="540" t="s">
        <v>31</v>
      </c>
      <c r="C45" s="539" t="s">
        <v>2269</v>
      </c>
      <c r="D45" s="540" t="s">
        <v>1357</v>
      </c>
      <c r="E45" s="539" t="s">
        <v>90</v>
      </c>
      <c r="F45" s="539" t="s">
        <v>1358</v>
      </c>
      <c r="G45" s="541"/>
      <c r="H45" s="541">
        <v>2690000</v>
      </c>
      <c r="I45" s="541"/>
      <c r="J45" s="541">
        <v>2690000</v>
      </c>
      <c r="K45" s="541">
        <v>1010991</v>
      </c>
      <c r="L45" s="541">
        <v>1010991</v>
      </c>
      <c r="M45" s="541">
        <v>1679009</v>
      </c>
    </row>
    <row r="46" spans="1:13" ht="22.5" customHeight="1">
      <c r="A46" s="539" t="s">
        <v>1262</v>
      </c>
      <c r="B46" s="540" t="s">
        <v>31</v>
      </c>
      <c r="C46" s="539" t="s">
        <v>2292</v>
      </c>
      <c r="D46" s="540" t="s">
        <v>1359</v>
      </c>
      <c r="E46" s="539" t="s">
        <v>90</v>
      </c>
      <c r="F46" s="539" t="s">
        <v>1360</v>
      </c>
      <c r="G46" s="541"/>
      <c r="H46" s="541">
        <v>12500000</v>
      </c>
      <c r="I46" s="541"/>
      <c r="J46" s="541">
        <v>12500000</v>
      </c>
      <c r="K46" s="541">
        <v>4228125</v>
      </c>
      <c r="L46" s="541">
        <v>4228125</v>
      </c>
      <c r="M46" s="541">
        <v>8271875</v>
      </c>
    </row>
    <row r="47" spans="1:13" ht="22.5" customHeight="1">
      <c r="A47" s="539" t="s">
        <v>1262</v>
      </c>
      <c r="B47" s="540" t="s">
        <v>31</v>
      </c>
      <c r="C47" s="539" t="s">
        <v>2272</v>
      </c>
      <c r="D47" s="540" t="s">
        <v>1361</v>
      </c>
      <c r="E47" s="539" t="s">
        <v>90</v>
      </c>
      <c r="F47" s="539" t="s">
        <v>1362</v>
      </c>
      <c r="G47" s="541"/>
      <c r="H47" s="541">
        <v>36000000</v>
      </c>
      <c r="I47" s="541"/>
      <c r="J47" s="541">
        <v>36000000</v>
      </c>
      <c r="K47" s="541">
        <v>12177000</v>
      </c>
      <c r="L47" s="541">
        <v>12177000</v>
      </c>
      <c r="M47" s="541">
        <v>23823000</v>
      </c>
    </row>
    <row r="48" spans="1:13" ht="22.5" customHeight="1">
      <c r="A48" s="539" t="s">
        <v>1262</v>
      </c>
      <c r="B48" s="540" t="s">
        <v>31</v>
      </c>
      <c r="C48" s="539" t="s">
        <v>2293</v>
      </c>
      <c r="D48" s="540" t="s">
        <v>1363</v>
      </c>
      <c r="E48" s="539" t="s">
        <v>90</v>
      </c>
      <c r="F48" s="539" t="s">
        <v>1364</v>
      </c>
      <c r="G48" s="541"/>
      <c r="H48" s="541">
        <v>52700000</v>
      </c>
      <c r="I48" s="541"/>
      <c r="J48" s="541">
        <v>52700000</v>
      </c>
      <c r="K48" s="541">
        <v>3961283</v>
      </c>
      <c r="L48" s="541">
        <v>3961283</v>
      </c>
      <c r="M48" s="541">
        <v>48738717</v>
      </c>
    </row>
    <row r="49" spans="1:13" ht="22.5" customHeight="1">
      <c r="A49" s="539" t="s">
        <v>1262</v>
      </c>
      <c r="B49" s="540" t="s">
        <v>31</v>
      </c>
      <c r="C49" s="539" t="s">
        <v>2294</v>
      </c>
      <c r="D49" s="540" t="s">
        <v>2295</v>
      </c>
      <c r="E49" s="539" t="s">
        <v>90</v>
      </c>
      <c r="F49" s="539" t="s">
        <v>2296</v>
      </c>
      <c r="G49" s="541">
        <v>22200000</v>
      </c>
      <c r="H49" s="541"/>
      <c r="I49" s="541">
        <v>22200000</v>
      </c>
      <c r="J49" s="541"/>
      <c r="K49" s="541">
        <v>141925</v>
      </c>
      <c r="L49" s="541">
        <v>21083164</v>
      </c>
      <c r="M49" s="541"/>
    </row>
    <row r="50" spans="1:13" ht="22.5" customHeight="1">
      <c r="A50" s="539" t="s">
        <v>1262</v>
      </c>
      <c r="B50" s="540" t="s">
        <v>31</v>
      </c>
      <c r="C50" s="539" t="s">
        <v>2297</v>
      </c>
      <c r="D50" s="540" t="s">
        <v>2298</v>
      </c>
      <c r="E50" s="539" t="s">
        <v>90</v>
      </c>
      <c r="F50" s="539" t="s">
        <v>2299</v>
      </c>
      <c r="G50" s="541">
        <v>29400000</v>
      </c>
      <c r="H50" s="541"/>
      <c r="I50" s="541">
        <v>29400000</v>
      </c>
      <c r="J50" s="541"/>
      <c r="K50" s="541">
        <v>244542</v>
      </c>
      <c r="L50" s="541">
        <v>27475652</v>
      </c>
      <c r="M50" s="541"/>
    </row>
    <row r="51" spans="1:13" ht="22.5" customHeight="1">
      <c r="A51" s="539" t="s">
        <v>1262</v>
      </c>
      <c r="B51" s="540" t="s">
        <v>31</v>
      </c>
      <c r="C51" s="539" t="s">
        <v>2273</v>
      </c>
      <c r="D51" s="540" t="s">
        <v>2300</v>
      </c>
      <c r="E51" s="539" t="s">
        <v>90</v>
      </c>
      <c r="F51" s="539" t="s">
        <v>2301</v>
      </c>
      <c r="G51" s="541">
        <v>18230000</v>
      </c>
      <c r="H51" s="541"/>
      <c r="I51" s="541">
        <v>18230000</v>
      </c>
      <c r="J51" s="541"/>
      <c r="K51" s="541">
        <v>158650</v>
      </c>
      <c r="L51" s="541">
        <v>16981550</v>
      </c>
      <c r="M51" s="541"/>
    </row>
    <row r="52" spans="1:13" ht="22.5" customHeight="1">
      <c r="A52" s="539" t="s">
        <v>1262</v>
      </c>
      <c r="B52" s="540" t="s">
        <v>31</v>
      </c>
      <c r="C52" s="539" t="s">
        <v>2274</v>
      </c>
      <c r="D52" s="540" t="s">
        <v>2302</v>
      </c>
      <c r="E52" s="539" t="s">
        <v>90</v>
      </c>
      <c r="F52" s="539" t="s">
        <v>2303</v>
      </c>
      <c r="G52" s="541">
        <v>10000000</v>
      </c>
      <c r="H52" s="541"/>
      <c r="I52" s="541">
        <v>10000000</v>
      </c>
      <c r="J52" s="541"/>
      <c r="K52" s="541">
        <v>87027</v>
      </c>
      <c r="L52" s="541">
        <v>9315167</v>
      </c>
      <c r="M52" s="541"/>
    </row>
    <row r="53" spans="1:13" ht="22.5" customHeight="1">
      <c r="A53" s="539" t="s">
        <v>1262</v>
      </c>
      <c r="B53" s="540" t="s">
        <v>31</v>
      </c>
      <c r="C53" s="539" t="s">
        <v>2304</v>
      </c>
      <c r="D53" s="540" t="s">
        <v>2305</v>
      </c>
      <c r="E53" s="539" t="s">
        <v>90</v>
      </c>
      <c r="F53" s="539" t="s">
        <v>2306</v>
      </c>
      <c r="G53" s="541">
        <v>9200000</v>
      </c>
      <c r="H53" s="541"/>
      <c r="I53" s="541">
        <v>9200000</v>
      </c>
      <c r="J53" s="541"/>
      <c r="K53" s="541">
        <v>83606</v>
      </c>
      <c r="L53" s="541">
        <v>8542084</v>
      </c>
      <c r="M53" s="541"/>
    </row>
    <row r="54" spans="1:13" ht="22.5" customHeight="1">
      <c r="A54" s="539" t="s">
        <v>1262</v>
      </c>
      <c r="B54" s="540" t="s">
        <v>31</v>
      </c>
      <c r="C54" s="539" t="s">
        <v>2307</v>
      </c>
      <c r="D54" s="540" t="s">
        <v>2308</v>
      </c>
      <c r="E54" s="539" t="s">
        <v>90</v>
      </c>
      <c r="F54" s="539" t="s">
        <v>2309</v>
      </c>
      <c r="G54" s="541">
        <v>40000000</v>
      </c>
      <c r="H54" s="541"/>
      <c r="I54" s="541">
        <v>40000000</v>
      </c>
      <c r="J54" s="541"/>
      <c r="K54" s="541">
        <v>363506</v>
      </c>
      <c r="L54" s="541">
        <v>37139502</v>
      </c>
      <c r="M54" s="541"/>
    </row>
    <row r="55" spans="1:13" ht="22.5" customHeight="1">
      <c r="A55" s="539" t="s">
        <v>1262</v>
      </c>
      <c r="B55" s="540" t="s">
        <v>31</v>
      </c>
      <c r="C55" s="539" t="s">
        <v>2283</v>
      </c>
      <c r="D55" s="540" t="s">
        <v>2310</v>
      </c>
      <c r="E55" s="539" t="s">
        <v>90</v>
      </c>
      <c r="F55" s="539" t="s">
        <v>2311</v>
      </c>
      <c r="G55" s="541">
        <v>9900000</v>
      </c>
      <c r="H55" s="541"/>
      <c r="I55" s="541">
        <v>9900000</v>
      </c>
      <c r="J55" s="541"/>
      <c r="K55" s="541">
        <v>89967</v>
      </c>
      <c r="L55" s="541">
        <v>9192025</v>
      </c>
      <c r="M55" s="541"/>
    </row>
    <row r="56" spans="1:13" ht="22.5" customHeight="1">
      <c r="A56" s="539" t="s">
        <v>1262</v>
      </c>
      <c r="B56" s="540" t="s">
        <v>31</v>
      </c>
      <c r="C56" s="539" t="s">
        <v>2284</v>
      </c>
      <c r="D56" s="540" t="s">
        <v>2312</v>
      </c>
      <c r="E56" s="539" t="s">
        <v>90</v>
      </c>
      <c r="F56" s="539" t="s">
        <v>2313</v>
      </c>
      <c r="G56" s="541">
        <v>13000000</v>
      </c>
      <c r="H56" s="541"/>
      <c r="I56" s="541">
        <v>13000000</v>
      </c>
      <c r="J56" s="541"/>
      <c r="K56" s="541">
        <v>123143</v>
      </c>
      <c r="L56" s="541">
        <v>12030957</v>
      </c>
      <c r="M56" s="541"/>
    </row>
    <row r="57" spans="1:13" ht="22.5" customHeight="1">
      <c r="A57" s="539" t="s">
        <v>1262</v>
      </c>
      <c r="B57" s="540" t="s">
        <v>31</v>
      </c>
      <c r="C57" s="539" t="s">
        <v>2285</v>
      </c>
      <c r="D57" s="540" t="s">
        <v>2314</v>
      </c>
      <c r="E57" s="539" t="s">
        <v>90</v>
      </c>
      <c r="F57" s="539" t="s">
        <v>2315</v>
      </c>
      <c r="G57" s="541">
        <v>3800000</v>
      </c>
      <c r="H57" s="541"/>
      <c r="I57" s="541">
        <v>3800000</v>
      </c>
      <c r="J57" s="541"/>
      <c r="K57" s="541">
        <v>35996</v>
      </c>
      <c r="L57" s="541">
        <v>3516740</v>
      </c>
      <c r="M57" s="541"/>
    </row>
    <row r="58" spans="1:13" ht="22.5" customHeight="1">
      <c r="A58" s="539" t="s">
        <v>1262</v>
      </c>
      <c r="B58" s="540" t="s">
        <v>31</v>
      </c>
      <c r="C58" s="539" t="s">
        <v>2316</v>
      </c>
      <c r="D58" s="540" t="s">
        <v>2317</v>
      </c>
      <c r="E58" s="539" t="s">
        <v>90</v>
      </c>
      <c r="F58" s="539" t="s">
        <v>2318</v>
      </c>
      <c r="G58" s="541">
        <v>9400000</v>
      </c>
      <c r="H58" s="541"/>
      <c r="I58" s="541">
        <v>9400000</v>
      </c>
      <c r="J58" s="541"/>
      <c r="K58" s="541">
        <v>89042</v>
      </c>
      <c r="L58" s="541">
        <v>8699307</v>
      </c>
      <c r="M58" s="541"/>
    </row>
    <row r="59" spans="1:13" ht="22.5" customHeight="1">
      <c r="A59" s="539" t="s">
        <v>1262</v>
      </c>
      <c r="B59" s="540" t="s">
        <v>31</v>
      </c>
      <c r="C59" s="539" t="s">
        <v>2319</v>
      </c>
      <c r="D59" s="540" t="s">
        <v>2320</v>
      </c>
      <c r="E59" s="539" t="s">
        <v>90</v>
      </c>
      <c r="F59" s="539" t="s">
        <v>2321</v>
      </c>
      <c r="G59" s="541">
        <v>18100000</v>
      </c>
      <c r="H59" s="541"/>
      <c r="I59" s="541">
        <v>18100000</v>
      </c>
      <c r="J59" s="541"/>
      <c r="K59" s="541">
        <v>178421</v>
      </c>
      <c r="L59" s="541">
        <v>16695966</v>
      </c>
      <c r="M59" s="541"/>
    </row>
    <row r="60" spans="1:13" ht="22.5" customHeight="1">
      <c r="A60" s="539" t="s">
        <v>1262</v>
      </c>
      <c r="B60" s="540" t="s">
        <v>31</v>
      </c>
      <c r="C60" s="539" t="s">
        <v>2322</v>
      </c>
      <c r="D60" s="540" t="s">
        <v>195</v>
      </c>
      <c r="E60" s="539" t="s">
        <v>90</v>
      </c>
      <c r="F60" s="539" t="s">
        <v>196</v>
      </c>
      <c r="G60" s="541">
        <v>18000000</v>
      </c>
      <c r="H60" s="541"/>
      <c r="I60" s="541"/>
      <c r="J60" s="541">
        <v>18000000</v>
      </c>
      <c r="K60" s="541">
        <v>838430</v>
      </c>
      <c r="L60" s="541">
        <v>16979383</v>
      </c>
      <c r="M60" s="541">
        <v>1020617</v>
      </c>
    </row>
    <row r="61" spans="1:13" ht="22.5" customHeight="1">
      <c r="A61" s="542" t="s">
        <v>1262</v>
      </c>
      <c r="B61" s="543" t="s">
        <v>31</v>
      </c>
      <c r="C61" s="542" t="s">
        <v>2286</v>
      </c>
      <c r="D61" s="543" t="s">
        <v>197</v>
      </c>
      <c r="E61" s="542" t="s">
        <v>90</v>
      </c>
      <c r="F61" s="542" t="s">
        <v>198</v>
      </c>
      <c r="G61" s="544">
        <v>21500000</v>
      </c>
      <c r="H61" s="544"/>
      <c r="I61" s="544"/>
      <c r="J61" s="544">
        <v>21500000</v>
      </c>
      <c r="K61" s="544">
        <v>1001458</v>
      </c>
      <c r="L61" s="544">
        <v>20280930</v>
      </c>
      <c r="M61" s="544">
        <v>1219070</v>
      </c>
    </row>
    <row r="62" spans="1:13" ht="22.5" customHeight="1">
      <c r="A62" s="539" t="s">
        <v>1262</v>
      </c>
      <c r="B62" s="540" t="s">
        <v>31</v>
      </c>
      <c r="C62" s="539" t="s">
        <v>2323</v>
      </c>
      <c r="D62" s="540" t="s">
        <v>2324</v>
      </c>
      <c r="E62" s="539" t="s">
        <v>90</v>
      </c>
      <c r="F62" s="539" t="s">
        <v>2325</v>
      </c>
      <c r="G62" s="541">
        <v>2240000</v>
      </c>
      <c r="H62" s="541"/>
      <c r="I62" s="541">
        <v>2240000</v>
      </c>
      <c r="J62" s="541"/>
      <c r="K62" s="541">
        <v>26084</v>
      </c>
      <c r="L62" s="541">
        <v>2034735</v>
      </c>
      <c r="M62" s="541"/>
    </row>
    <row r="63" spans="1:13" ht="22.5" customHeight="1">
      <c r="A63" s="539" t="s">
        <v>1262</v>
      </c>
      <c r="B63" s="540" t="s">
        <v>31</v>
      </c>
      <c r="C63" s="539" t="s">
        <v>2287</v>
      </c>
      <c r="D63" s="540" t="s">
        <v>199</v>
      </c>
      <c r="E63" s="539" t="s">
        <v>90</v>
      </c>
      <c r="F63" s="539" t="s">
        <v>200</v>
      </c>
      <c r="G63" s="541">
        <v>6200000</v>
      </c>
      <c r="H63" s="541"/>
      <c r="I63" s="541"/>
      <c r="J63" s="541">
        <v>6200000</v>
      </c>
      <c r="K63" s="541">
        <v>306182</v>
      </c>
      <c r="L63" s="541">
        <v>5827286</v>
      </c>
      <c r="M63" s="541">
        <v>372714</v>
      </c>
    </row>
    <row r="64" spans="1:13" ht="22.5" customHeight="1">
      <c r="A64" s="539" t="s">
        <v>1262</v>
      </c>
      <c r="B64" s="540" t="s">
        <v>31</v>
      </c>
      <c r="C64" s="539" t="s">
        <v>2326</v>
      </c>
      <c r="D64" s="540" t="s">
        <v>201</v>
      </c>
      <c r="E64" s="539" t="s">
        <v>90</v>
      </c>
      <c r="F64" s="539" t="s">
        <v>202</v>
      </c>
      <c r="G64" s="541">
        <v>19000000</v>
      </c>
      <c r="H64" s="541"/>
      <c r="I64" s="541"/>
      <c r="J64" s="541">
        <v>19000000</v>
      </c>
      <c r="K64" s="541">
        <v>2936318</v>
      </c>
      <c r="L64" s="541">
        <v>15425635</v>
      </c>
      <c r="M64" s="541">
        <v>3574365</v>
      </c>
    </row>
    <row r="65" spans="1:13" ht="22.5" customHeight="1">
      <c r="A65" s="539" t="s">
        <v>1262</v>
      </c>
      <c r="B65" s="540" t="s">
        <v>31</v>
      </c>
      <c r="C65" s="539" t="s">
        <v>2327</v>
      </c>
      <c r="D65" s="540" t="s">
        <v>203</v>
      </c>
      <c r="E65" s="539" t="s">
        <v>90</v>
      </c>
      <c r="F65" s="539" t="s">
        <v>204</v>
      </c>
      <c r="G65" s="541">
        <v>4500000</v>
      </c>
      <c r="H65" s="541"/>
      <c r="I65" s="541"/>
      <c r="J65" s="541">
        <v>4500000</v>
      </c>
      <c r="K65" s="541">
        <v>272713</v>
      </c>
      <c r="L65" s="541">
        <v>4168026</v>
      </c>
      <c r="M65" s="541">
        <v>331974</v>
      </c>
    </row>
    <row r="66" spans="1:13" ht="22.5" customHeight="1">
      <c r="A66" s="539" t="s">
        <v>1262</v>
      </c>
      <c r="B66" s="540" t="s">
        <v>31</v>
      </c>
      <c r="C66" s="539" t="s">
        <v>2328</v>
      </c>
      <c r="D66" s="540" t="s">
        <v>205</v>
      </c>
      <c r="E66" s="539" t="s">
        <v>90</v>
      </c>
      <c r="F66" s="539" t="s">
        <v>206</v>
      </c>
      <c r="G66" s="541">
        <v>18000000</v>
      </c>
      <c r="H66" s="541"/>
      <c r="I66" s="541"/>
      <c r="J66" s="541">
        <v>18000000</v>
      </c>
      <c r="K66" s="541">
        <v>1090854</v>
      </c>
      <c r="L66" s="541">
        <v>16672108</v>
      </c>
      <c r="M66" s="541">
        <v>1327892</v>
      </c>
    </row>
    <row r="67" spans="1:13" ht="22.5" customHeight="1">
      <c r="A67" s="539" t="s">
        <v>1262</v>
      </c>
      <c r="B67" s="540" t="s">
        <v>31</v>
      </c>
      <c r="C67" s="539" t="s">
        <v>2288</v>
      </c>
      <c r="D67" s="540" t="s">
        <v>207</v>
      </c>
      <c r="E67" s="539" t="s">
        <v>90</v>
      </c>
      <c r="F67" s="539" t="s">
        <v>208</v>
      </c>
      <c r="G67" s="541">
        <v>6000000</v>
      </c>
      <c r="H67" s="541"/>
      <c r="I67" s="541"/>
      <c r="J67" s="541">
        <v>6000000</v>
      </c>
      <c r="K67" s="541">
        <v>363618</v>
      </c>
      <c r="L67" s="541">
        <v>5557369</v>
      </c>
      <c r="M67" s="541">
        <v>442631</v>
      </c>
    </row>
    <row r="68" spans="1:13" ht="22.5" customHeight="1">
      <c r="A68" s="539" t="s">
        <v>1262</v>
      </c>
      <c r="B68" s="540" t="s">
        <v>31</v>
      </c>
      <c r="C68" s="539" t="s">
        <v>2290</v>
      </c>
      <c r="D68" s="540" t="s">
        <v>209</v>
      </c>
      <c r="E68" s="539" t="s">
        <v>90</v>
      </c>
      <c r="F68" s="539" t="s">
        <v>210</v>
      </c>
      <c r="G68" s="541">
        <v>27500000</v>
      </c>
      <c r="H68" s="541"/>
      <c r="I68" s="541"/>
      <c r="J68" s="541">
        <v>27500000</v>
      </c>
      <c r="K68" s="541">
        <v>1743712</v>
      </c>
      <c r="L68" s="541">
        <v>25377387</v>
      </c>
      <c r="M68" s="541">
        <v>2122613</v>
      </c>
    </row>
    <row r="69" spans="1:13" ht="22.5" customHeight="1">
      <c r="A69" s="539" t="s">
        <v>1262</v>
      </c>
      <c r="B69" s="540" t="s">
        <v>31</v>
      </c>
      <c r="C69" s="539" t="s">
        <v>2329</v>
      </c>
      <c r="D69" s="540" t="s">
        <v>211</v>
      </c>
      <c r="E69" s="539" t="s">
        <v>90</v>
      </c>
      <c r="F69" s="539" t="s">
        <v>212</v>
      </c>
      <c r="G69" s="541">
        <v>7500000</v>
      </c>
      <c r="H69" s="541"/>
      <c r="I69" s="541"/>
      <c r="J69" s="541">
        <v>7500000</v>
      </c>
      <c r="K69" s="541">
        <v>496593</v>
      </c>
      <c r="L69" s="541">
        <v>6895498</v>
      </c>
      <c r="M69" s="541">
        <v>604502</v>
      </c>
    </row>
    <row r="70" spans="1:13" ht="22.5" customHeight="1">
      <c r="A70" s="539" t="s">
        <v>1262</v>
      </c>
      <c r="B70" s="540" t="s">
        <v>31</v>
      </c>
      <c r="C70" s="539" t="s">
        <v>2330</v>
      </c>
      <c r="D70" s="540" t="s">
        <v>213</v>
      </c>
      <c r="E70" s="539" t="s">
        <v>90</v>
      </c>
      <c r="F70" s="539" t="s">
        <v>214</v>
      </c>
      <c r="G70" s="541">
        <v>7000000</v>
      </c>
      <c r="H70" s="541"/>
      <c r="I70" s="541"/>
      <c r="J70" s="541">
        <v>7000000</v>
      </c>
      <c r="K70" s="541">
        <v>463487</v>
      </c>
      <c r="L70" s="541">
        <v>6435799</v>
      </c>
      <c r="M70" s="541">
        <v>564201</v>
      </c>
    </row>
    <row r="71" spans="1:13" ht="22.5" customHeight="1">
      <c r="A71" s="539" t="s">
        <v>1262</v>
      </c>
      <c r="B71" s="540" t="s">
        <v>31</v>
      </c>
      <c r="C71" s="539" t="s">
        <v>2331</v>
      </c>
      <c r="D71" s="540" t="s">
        <v>213</v>
      </c>
      <c r="E71" s="539" t="s">
        <v>90</v>
      </c>
      <c r="F71" s="539" t="s">
        <v>214</v>
      </c>
      <c r="G71" s="541">
        <v>7000000</v>
      </c>
      <c r="H71" s="541"/>
      <c r="I71" s="541"/>
      <c r="J71" s="541">
        <v>7000000</v>
      </c>
      <c r="K71" s="541">
        <v>463487</v>
      </c>
      <c r="L71" s="541">
        <v>6435799</v>
      </c>
      <c r="M71" s="541">
        <v>564201</v>
      </c>
    </row>
    <row r="72" spans="1:13" ht="22.5" customHeight="1">
      <c r="A72" s="539" t="s">
        <v>1262</v>
      </c>
      <c r="B72" s="540" t="s">
        <v>31</v>
      </c>
      <c r="C72" s="539" t="s">
        <v>2332</v>
      </c>
      <c r="D72" s="540" t="s">
        <v>215</v>
      </c>
      <c r="E72" s="539" t="s">
        <v>90</v>
      </c>
      <c r="F72" s="539" t="s">
        <v>216</v>
      </c>
      <c r="G72" s="541">
        <v>15000000</v>
      </c>
      <c r="H72" s="541"/>
      <c r="I72" s="541"/>
      <c r="J72" s="541">
        <v>15000000</v>
      </c>
      <c r="K72" s="541">
        <v>993186</v>
      </c>
      <c r="L72" s="541">
        <v>13790998</v>
      </c>
      <c r="M72" s="541">
        <v>1209002</v>
      </c>
    </row>
    <row r="73" spans="1:13" ht="22.5" customHeight="1">
      <c r="A73" s="539" t="s">
        <v>1262</v>
      </c>
      <c r="B73" s="540" t="s">
        <v>31</v>
      </c>
      <c r="C73" s="539" t="s">
        <v>2333</v>
      </c>
      <c r="D73" s="540" t="s">
        <v>2334</v>
      </c>
      <c r="E73" s="539" t="s">
        <v>90</v>
      </c>
      <c r="F73" s="539" t="s">
        <v>2335</v>
      </c>
      <c r="G73" s="541">
        <v>5300000</v>
      </c>
      <c r="H73" s="541"/>
      <c r="I73" s="541">
        <v>5300000</v>
      </c>
      <c r="J73" s="541"/>
      <c r="K73" s="541">
        <v>91447</v>
      </c>
      <c r="L73" s="541">
        <v>4580380</v>
      </c>
      <c r="M73" s="541"/>
    </row>
    <row r="74" spans="1:13" ht="22.5" customHeight="1">
      <c r="A74" s="539" t="s">
        <v>1262</v>
      </c>
      <c r="B74" s="540" t="s">
        <v>31</v>
      </c>
      <c r="C74" s="539" t="s">
        <v>2276</v>
      </c>
      <c r="D74" s="540" t="s">
        <v>2300</v>
      </c>
      <c r="E74" s="539" t="s">
        <v>90</v>
      </c>
      <c r="F74" s="539" t="s">
        <v>2336</v>
      </c>
      <c r="G74" s="541">
        <v>2000000</v>
      </c>
      <c r="H74" s="541"/>
      <c r="I74" s="541">
        <v>2000000</v>
      </c>
      <c r="J74" s="541"/>
      <c r="K74" s="541">
        <v>35910</v>
      </c>
      <c r="L74" s="541">
        <v>1717409</v>
      </c>
      <c r="M74" s="541"/>
    </row>
    <row r="75" spans="1:13" ht="22.5" customHeight="1">
      <c r="A75" s="539" t="s">
        <v>1262</v>
      </c>
      <c r="B75" s="540" t="s">
        <v>31</v>
      </c>
      <c r="C75" s="539" t="s">
        <v>2337</v>
      </c>
      <c r="D75" s="540" t="s">
        <v>219</v>
      </c>
      <c r="E75" s="539" t="s">
        <v>90</v>
      </c>
      <c r="F75" s="539" t="s">
        <v>220</v>
      </c>
      <c r="G75" s="541">
        <v>2000000</v>
      </c>
      <c r="H75" s="541"/>
      <c r="I75" s="541"/>
      <c r="J75" s="541">
        <v>2000000</v>
      </c>
      <c r="K75" s="541">
        <v>200341</v>
      </c>
      <c r="L75" s="541">
        <v>1756125</v>
      </c>
      <c r="M75" s="541">
        <v>243875</v>
      </c>
    </row>
    <row r="76" spans="1:13" ht="22.5" customHeight="1">
      <c r="A76" s="539" t="s">
        <v>1262</v>
      </c>
      <c r="B76" s="540" t="s">
        <v>31</v>
      </c>
      <c r="C76" s="539" t="s">
        <v>2338</v>
      </c>
      <c r="D76" s="540" t="s">
        <v>221</v>
      </c>
      <c r="E76" s="539" t="s">
        <v>90</v>
      </c>
      <c r="F76" s="539" t="s">
        <v>222</v>
      </c>
      <c r="G76" s="541">
        <v>19200000</v>
      </c>
      <c r="H76" s="541"/>
      <c r="I76" s="541"/>
      <c r="J76" s="541">
        <v>19200000</v>
      </c>
      <c r="K76" s="541">
        <v>2315626</v>
      </c>
      <c r="L76" s="541">
        <v>16381199</v>
      </c>
      <c r="M76" s="541">
        <v>2818801</v>
      </c>
    </row>
    <row r="77" spans="1:13" ht="22.5" customHeight="1">
      <c r="A77" s="539" t="s">
        <v>1262</v>
      </c>
      <c r="B77" s="540" t="s">
        <v>31</v>
      </c>
      <c r="C77" s="539" t="s">
        <v>2339</v>
      </c>
      <c r="D77" s="540" t="s">
        <v>223</v>
      </c>
      <c r="E77" s="539" t="s">
        <v>90</v>
      </c>
      <c r="F77" s="539" t="s">
        <v>202</v>
      </c>
      <c r="G77" s="541">
        <v>29000000</v>
      </c>
      <c r="H77" s="541"/>
      <c r="I77" s="541"/>
      <c r="J77" s="541">
        <v>29000000</v>
      </c>
      <c r="K77" s="541">
        <v>4481748</v>
      </c>
      <c r="L77" s="541">
        <v>23544390</v>
      </c>
      <c r="M77" s="541">
        <v>5455610</v>
      </c>
    </row>
    <row r="78" spans="1:13" ht="22.5" customHeight="1">
      <c r="A78" s="539" t="s">
        <v>1262</v>
      </c>
      <c r="B78" s="540" t="s">
        <v>31</v>
      </c>
      <c r="C78" s="539" t="s">
        <v>2340</v>
      </c>
      <c r="D78" s="540" t="s">
        <v>224</v>
      </c>
      <c r="E78" s="539" t="s">
        <v>90</v>
      </c>
      <c r="F78" s="539" t="s">
        <v>225</v>
      </c>
      <c r="G78" s="541">
        <v>6600000</v>
      </c>
      <c r="H78" s="541"/>
      <c r="I78" s="541"/>
      <c r="J78" s="541">
        <v>6600000</v>
      </c>
      <c r="K78" s="541">
        <v>1327068</v>
      </c>
      <c r="L78" s="541">
        <v>4984565</v>
      </c>
      <c r="M78" s="541">
        <v>1615435</v>
      </c>
    </row>
    <row r="79" spans="1:13" ht="22.5" customHeight="1">
      <c r="A79" s="542" t="s">
        <v>1262</v>
      </c>
      <c r="B79" s="543" t="s">
        <v>31</v>
      </c>
      <c r="C79" s="542" t="s">
        <v>2341</v>
      </c>
      <c r="D79" s="543" t="s">
        <v>226</v>
      </c>
      <c r="E79" s="542" t="s">
        <v>90</v>
      </c>
      <c r="F79" s="542" t="s">
        <v>227</v>
      </c>
      <c r="G79" s="544">
        <v>6900000</v>
      </c>
      <c r="H79" s="544"/>
      <c r="I79" s="544"/>
      <c r="J79" s="544">
        <v>6900000</v>
      </c>
      <c r="K79" s="544">
        <v>1515807</v>
      </c>
      <c r="L79" s="544">
        <v>5054815</v>
      </c>
      <c r="M79" s="544">
        <v>1845185</v>
      </c>
    </row>
    <row r="80" spans="1:13" ht="22.5" customHeight="1">
      <c r="A80" s="539" t="s">
        <v>1262</v>
      </c>
      <c r="B80" s="540" t="s">
        <v>31</v>
      </c>
      <c r="C80" s="539" t="s">
        <v>2342</v>
      </c>
      <c r="D80" s="540" t="s">
        <v>228</v>
      </c>
      <c r="E80" s="539" t="s">
        <v>90</v>
      </c>
      <c r="F80" s="539" t="s">
        <v>229</v>
      </c>
      <c r="G80" s="541">
        <v>4400000</v>
      </c>
      <c r="H80" s="541"/>
      <c r="I80" s="541"/>
      <c r="J80" s="541">
        <v>4400000</v>
      </c>
      <c r="K80" s="541">
        <v>1007546</v>
      </c>
      <c r="L80" s="541">
        <v>3173518</v>
      </c>
      <c r="M80" s="541">
        <v>1226482</v>
      </c>
    </row>
    <row r="81" spans="1:13" ht="22.5" customHeight="1">
      <c r="A81" s="539" t="s">
        <v>1262</v>
      </c>
      <c r="B81" s="540" t="s">
        <v>31</v>
      </c>
      <c r="C81" s="539" t="s">
        <v>2343</v>
      </c>
      <c r="D81" s="540" t="s">
        <v>231</v>
      </c>
      <c r="E81" s="539" t="s">
        <v>90</v>
      </c>
      <c r="F81" s="539" t="s">
        <v>232</v>
      </c>
      <c r="G81" s="541">
        <v>6000000</v>
      </c>
      <c r="H81" s="541"/>
      <c r="I81" s="541"/>
      <c r="J81" s="541">
        <v>6000000</v>
      </c>
      <c r="K81" s="541">
        <v>1373926</v>
      </c>
      <c r="L81" s="541">
        <v>4327525</v>
      </c>
      <c r="M81" s="541">
        <v>1672475</v>
      </c>
    </row>
    <row r="82" spans="1:13" ht="22.5" customHeight="1">
      <c r="A82" s="539" t="s">
        <v>1262</v>
      </c>
      <c r="B82" s="540" t="s">
        <v>31</v>
      </c>
      <c r="C82" s="539" t="s">
        <v>2344</v>
      </c>
      <c r="D82" s="540" t="s">
        <v>237</v>
      </c>
      <c r="E82" s="539" t="s">
        <v>90</v>
      </c>
      <c r="F82" s="539" t="s">
        <v>238</v>
      </c>
      <c r="G82" s="541">
        <v>10500000</v>
      </c>
      <c r="H82" s="541"/>
      <c r="I82" s="541"/>
      <c r="J82" s="541">
        <v>10500000</v>
      </c>
      <c r="K82" s="541">
        <v>3667644</v>
      </c>
      <c r="L82" s="541">
        <v>6035394</v>
      </c>
      <c r="M82" s="541">
        <v>4464606</v>
      </c>
    </row>
    <row r="83" spans="1:13" ht="22.5" customHeight="1">
      <c r="A83" s="539" t="s">
        <v>1262</v>
      </c>
      <c r="B83" s="540" t="s">
        <v>31</v>
      </c>
      <c r="C83" s="539" t="s">
        <v>2345</v>
      </c>
      <c r="D83" s="540" t="s">
        <v>239</v>
      </c>
      <c r="E83" s="539" t="s">
        <v>90</v>
      </c>
      <c r="F83" s="539" t="s">
        <v>240</v>
      </c>
      <c r="G83" s="541">
        <v>4500000</v>
      </c>
      <c r="H83" s="541"/>
      <c r="I83" s="541"/>
      <c r="J83" s="541">
        <v>4500000</v>
      </c>
      <c r="K83" s="541">
        <v>1648123</v>
      </c>
      <c r="L83" s="541">
        <v>2493748</v>
      </c>
      <c r="M83" s="541">
        <v>2006252</v>
      </c>
    </row>
    <row r="84" spans="1:13" ht="22.5" customHeight="1">
      <c r="A84" s="539" t="s">
        <v>1262</v>
      </c>
      <c r="B84" s="540" t="s">
        <v>31</v>
      </c>
      <c r="C84" s="539" t="s">
        <v>2346</v>
      </c>
      <c r="D84" s="540" t="s">
        <v>241</v>
      </c>
      <c r="E84" s="539" t="s">
        <v>90</v>
      </c>
      <c r="F84" s="539" t="s">
        <v>171</v>
      </c>
      <c r="G84" s="541">
        <v>7320000</v>
      </c>
      <c r="H84" s="541"/>
      <c r="I84" s="541"/>
      <c r="J84" s="541">
        <v>7320000</v>
      </c>
      <c r="K84" s="541"/>
      <c r="L84" s="541">
        <v>7319000</v>
      </c>
      <c r="M84" s="541">
        <v>1000</v>
      </c>
    </row>
    <row r="85" spans="1:13" ht="22.5" customHeight="1">
      <c r="A85" s="539" t="s">
        <v>1262</v>
      </c>
      <c r="B85" s="540" t="s">
        <v>31</v>
      </c>
      <c r="C85" s="539" t="s">
        <v>2347</v>
      </c>
      <c r="D85" s="540" t="s">
        <v>242</v>
      </c>
      <c r="E85" s="539" t="s">
        <v>90</v>
      </c>
      <c r="F85" s="539" t="s">
        <v>243</v>
      </c>
      <c r="G85" s="541">
        <v>1000000</v>
      </c>
      <c r="H85" s="541"/>
      <c r="I85" s="541"/>
      <c r="J85" s="541">
        <v>1000000</v>
      </c>
      <c r="K85" s="541"/>
      <c r="L85" s="541">
        <v>999000</v>
      </c>
      <c r="M85" s="541">
        <v>1000</v>
      </c>
    </row>
    <row r="86" spans="1:13" ht="22.5" customHeight="1">
      <c r="A86" s="539" t="s">
        <v>1262</v>
      </c>
      <c r="B86" s="540" t="s">
        <v>31</v>
      </c>
      <c r="C86" s="539" t="s">
        <v>1023</v>
      </c>
      <c r="D86" s="540" t="s">
        <v>244</v>
      </c>
      <c r="E86" s="539" t="s">
        <v>90</v>
      </c>
      <c r="F86" s="539" t="s">
        <v>245</v>
      </c>
      <c r="G86" s="541">
        <v>20000000</v>
      </c>
      <c r="H86" s="541"/>
      <c r="I86" s="541"/>
      <c r="J86" s="541">
        <v>20000000</v>
      </c>
      <c r="K86" s="541"/>
      <c r="L86" s="541">
        <v>19999000</v>
      </c>
      <c r="M86" s="541">
        <v>1000</v>
      </c>
    </row>
    <row r="87" spans="1:13" ht="22.5" customHeight="1">
      <c r="A87" s="539" t="s">
        <v>1262</v>
      </c>
      <c r="B87" s="540" t="s">
        <v>31</v>
      </c>
      <c r="C87" s="539" t="s">
        <v>2348</v>
      </c>
      <c r="D87" s="540" t="s">
        <v>246</v>
      </c>
      <c r="E87" s="539" t="s">
        <v>90</v>
      </c>
      <c r="F87" s="539" t="s">
        <v>247</v>
      </c>
      <c r="G87" s="541">
        <v>3000000</v>
      </c>
      <c r="H87" s="541"/>
      <c r="I87" s="541"/>
      <c r="J87" s="541">
        <v>3000000</v>
      </c>
      <c r="K87" s="541"/>
      <c r="L87" s="541">
        <v>2999000</v>
      </c>
      <c r="M87" s="541">
        <v>1000</v>
      </c>
    </row>
    <row r="88" spans="1:13" ht="22.5" customHeight="1">
      <c r="A88" s="539" t="s">
        <v>1262</v>
      </c>
      <c r="B88" s="540" t="s">
        <v>31</v>
      </c>
      <c r="C88" s="539" t="s">
        <v>2349</v>
      </c>
      <c r="D88" s="540" t="s">
        <v>248</v>
      </c>
      <c r="E88" s="539" t="s">
        <v>90</v>
      </c>
      <c r="F88" s="539" t="s">
        <v>249</v>
      </c>
      <c r="G88" s="541">
        <v>26700000</v>
      </c>
      <c r="H88" s="541"/>
      <c r="I88" s="541"/>
      <c r="J88" s="541">
        <v>26700000</v>
      </c>
      <c r="K88" s="541"/>
      <c r="L88" s="541">
        <v>26699000</v>
      </c>
      <c r="M88" s="541">
        <v>1000</v>
      </c>
    </row>
    <row r="89" spans="1:13" ht="22.5" customHeight="1">
      <c r="A89" s="539" t="s">
        <v>1262</v>
      </c>
      <c r="B89" s="540" t="s">
        <v>31</v>
      </c>
      <c r="C89" s="539" t="s">
        <v>2350</v>
      </c>
      <c r="D89" s="540" t="s">
        <v>250</v>
      </c>
      <c r="E89" s="539" t="s">
        <v>90</v>
      </c>
      <c r="F89" s="539" t="s">
        <v>251</v>
      </c>
      <c r="G89" s="541">
        <v>4000000</v>
      </c>
      <c r="H89" s="541"/>
      <c r="I89" s="541"/>
      <c r="J89" s="541">
        <v>4000000</v>
      </c>
      <c r="K89" s="541"/>
      <c r="L89" s="541">
        <v>3999000</v>
      </c>
      <c r="M89" s="541">
        <v>1000</v>
      </c>
    </row>
    <row r="90" spans="1:13" ht="22.5" customHeight="1">
      <c r="A90" s="542" t="s">
        <v>1262</v>
      </c>
      <c r="B90" s="543" t="s">
        <v>31</v>
      </c>
      <c r="C90" s="542" t="s">
        <v>2351</v>
      </c>
      <c r="D90" s="543" t="s">
        <v>2352</v>
      </c>
      <c r="E90" s="542" t="s">
        <v>90</v>
      </c>
      <c r="F90" s="542" t="s">
        <v>2353</v>
      </c>
      <c r="G90" s="544">
        <v>14000000</v>
      </c>
      <c r="H90" s="544"/>
      <c r="I90" s="544">
        <v>14000000</v>
      </c>
      <c r="J90" s="544"/>
      <c r="K90" s="544"/>
      <c r="L90" s="544">
        <v>13999000</v>
      </c>
      <c r="M90" s="544"/>
    </row>
    <row r="91" spans="1:13" ht="22.5" customHeight="1">
      <c r="A91" s="861" t="s">
        <v>2354</v>
      </c>
      <c r="B91" s="861"/>
      <c r="C91" s="861"/>
      <c r="D91" s="861"/>
      <c r="E91" s="861"/>
      <c r="F91" s="861"/>
      <c r="G91" s="545">
        <v>7553154415</v>
      </c>
      <c r="H91" s="545">
        <v>134906182</v>
      </c>
      <c r="I91" s="545">
        <v>210718637</v>
      </c>
      <c r="J91" s="545">
        <v>7477341960</v>
      </c>
      <c r="K91" s="545">
        <v>259019071</v>
      </c>
      <c r="L91" s="545">
        <v>1593771184</v>
      </c>
      <c r="M91" s="545">
        <v>6080228712</v>
      </c>
    </row>
    <row r="92" spans="1:13" ht="22.5" customHeight="1">
      <c r="A92" s="539" t="s">
        <v>1242</v>
      </c>
      <c r="B92" s="540" t="s">
        <v>29</v>
      </c>
      <c r="C92" s="539" t="s">
        <v>2262</v>
      </c>
      <c r="D92" s="540" t="s">
        <v>122</v>
      </c>
      <c r="E92" s="539" t="s">
        <v>90</v>
      </c>
      <c r="F92" s="539" t="s">
        <v>123</v>
      </c>
      <c r="G92" s="541">
        <v>2000000</v>
      </c>
      <c r="H92" s="541"/>
      <c r="I92" s="541"/>
      <c r="J92" s="541">
        <v>2000000</v>
      </c>
      <c r="K92" s="541">
        <v>349246</v>
      </c>
      <c r="L92" s="541">
        <v>1233443</v>
      </c>
      <c r="M92" s="541">
        <v>766557</v>
      </c>
    </row>
    <row r="93" spans="1:13" ht="22.5" customHeight="1">
      <c r="A93" s="539" t="s">
        <v>1242</v>
      </c>
      <c r="B93" s="540" t="s">
        <v>29</v>
      </c>
      <c r="C93" s="539" t="s">
        <v>2263</v>
      </c>
      <c r="D93" s="540" t="s">
        <v>124</v>
      </c>
      <c r="E93" s="539" t="s">
        <v>90</v>
      </c>
      <c r="F93" s="539" t="s">
        <v>125</v>
      </c>
      <c r="G93" s="541">
        <v>900000</v>
      </c>
      <c r="H93" s="541"/>
      <c r="I93" s="541"/>
      <c r="J93" s="541">
        <v>900000</v>
      </c>
      <c r="K93" s="541">
        <v>186254</v>
      </c>
      <c r="L93" s="541">
        <v>491191</v>
      </c>
      <c r="M93" s="541">
        <v>408809</v>
      </c>
    </row>
    <row r="94" spans="1:13" ht="22.5" customHeight="1">
      <c r="A94" s="539" t="s">
        <v>1242</v>
      </c>
      <c r="B94" s="540" t="s">
        <v>29</v>
      </c>
      <c r="C94" s="539" t="s">
        <v>2261</v>
      </c>
      <c r="D94" s="540" t="s">
        <v>126</v>
      </c>
      <c r="E94" s="539" t="s">
        <v>90</v>
      </c>
      <c r="F94" s="539" t="s">
        <v>127</v>
      </c>
      <c r="G94" s="541">
        <v>17824429</v>
      </c>
      <c r="H94" s="541"/>
      <c r="I94" s="541"/>
      <c r="J94" s="541">
        <v>17824429</v>
      </c>
      <c r="K94" s="541">
        <v>3688755</v>
      </c>
      <c r="L94" s="541">
        <v>9728023</v>
      </c>
      <c r="M94" s="541">
        <v>8096406</v>
      </c>
    </row>
    <row r="95" spans="1:13" ht="22.5" customHeight="1">
      <c r="A95" s="539" t="s">
        <v>1242</v>
      </c>
      <c r="B95" s="540" t="s">
        <v>29</v>
      </c>
      <c r="C95" s="539" t="s">
        <v>2264</v>
      </c>
      <c r="D95" s="540" t="s">
        <v>128</v>
      </c>
      <c r="E95" s="539" t="s">
        <v>90</v>
      </c>
      <c r="F95" s="539" t="s">
        <v>129</v>
      </c>
      <c r="G95" s="541">
        <v>45040000</v>
      </c>
      <c r="H95" s="541"/>
      <c r="I95" s="541"/>
      <c r="J95" s="541">
        <v>45040000</v>
      </c>
      <c r="K95" s="541">
        <v>9321001</v>
      </c>
      <c r="L95" s="541">
        <v>24581442</v>
      </c>
      <c r="M95" s="541">
        <v>20458558</v>
      </c>
    </row>
    <row r="96" spans="1:13" ht="22.5" customHeight="1">
      <c r="A96" s="539" t="s">
        <v>1242</v>
      </c>
      <c r="B96" s="540" t="s">
        <v>29</v>
      </c>
      <c r="C96" s="539" t="s">
        <v>2265</v>
      </c>
      <c r="D96" s="540" t="s">
        <v>130</v>
      </c>
      <c r="E96" s="539" t="s">
        <v>90</v>
      </c>
      <c r="F96" s="539" t="s">
        <v>129</v>
      </c>
      <c r="G96" s="541">
        <v>18686800</v>
      </c>
      <c r="H96" s="541"/>
      <c r="I96" s="541"/>
      <c r="J96" s="541">
        <v>18686800</v>
      </c>
      <c r="K96" s="541">
        <v>3867222</v>
      </c>
      <c r="L96" s="541">
        <v>10198678</v>
      </c>
      <c r="M96" s="541">
        <v>8488122</v>
      </c>
    </row>
    <row r="97" spans="1:13" ht="22.5" customHeight="1">
      <c r="A97" s="539" t="s">
        <v>1242</v>
      </c>
      <c r="B97" s="540" t="s">
        <v>29</v>
      </c>
      <c r="C97" s="539" t="s">
        <v>2266</v>
      </c>
      <c r="D97" s="540" t="s">
        <v>131</v>
      </c>
      <c r="E97" s="539" t="s">
        <v>90</v>
      </c>
      <c r="F97" s="539" t="s">
        <v>132</v>
      </c>
      <c r="G97" s="541">
        <v>2036364</v>
      </c>
      <c r="H97" s="541"/>
      <c r="I97" s="541"/>
      <c r="J97" s="541">
        <v>2036364</v>
      </c>
      <c r="K97" s="541">
        <v>437881</v>
      </c>
      <c r="L97" s="541">
        <v>1075262</v>
      </c>
      <c r="M97" s="541">
        <v>961102</v>
      </c>
    </row>
    <row r="98" spans="1:13" ht="22.5" customHeight="1">
      <c r="A98" s="539" t="s">
        <v>1242</v>
      </c>
      <c r="B98" s="540" t="s">
        <v>29</v>
      </c>
      <c r="C98" s="539" t="s">
        <v>2355</v>
      </c>
      <c r="D98" s="540" t="s">
        <v>133</v>
      </c>
      <c r="E98" s="539" t="s">
        <v>90</v>
      </c>
      <c r="F98" s="539" t="s">
        <v>134</v>
      </c>
      <c r="G98" s="541">
        <v>10400000</v>
      </c>
      <c r="H98" s="541"/>
      <c r="I98" s="541"/>
      <c r="J98" s="541">
        <v>10400000</v>
      </c>
      <c r="K98" s="541">
        <v>2575948</v>
      </c>
      <c r="L98" s="541">
        <v>4746081</v>
      </c>
      <c r="M98" s="541">
        <v>5653919</v>
      </c>
    </row>
    <row r="99" spans="1:13" ht="22.5" customHeight="1">
      <c r="A99" s="539" t="s">
        <v>1242</v>
      </c>
      <c r="B99" s="540" t="s">
        <v>29</v>
      </c>
      <c r="C99" s="539" t="s">
        <v>2267</v>
      </c>
      <c r="D99" s="540" t="s">
        <v>135</v>
      </c>
      <c r="E99" s="539" t="s">
        <v>90</v>
      </c>
      <c r="F99" s="539" t="s">
        <v>136</v>
      </c>
      <c r="G99" s="541">
        <v>3950000</v>
      </c>
      <c r="H99" s="541"/>
      <c r="I99" s="541"/>
      <c r="J99" s="541">
        <v>3950000</v>
      </c>
      <c r="K99" s="541">
        <v>1010613</v>
      </c>
      <c r="L99" s="541">
        <v>1731817</v>
      </c>
      <c r="M99" s="541">
        <v>2218183</v>
      </c>
    </row>
    <row r="100" spans="1:13" ht="22.5" customHeight="1">
      <c r="A100" s="539" t="s">
        <v>1242</v>
      </c>
      <c r="B100" s="540" t="s">
        <v>29</v>
      </c>
      <c r="C100" s="539" t="s">
        <v>2280</v>
      </c>
      <c r="D100" s="540" t="s">
        <v>137</v>
      </c>
      <c r="E100" s="539" t="s">
        <v>90</v>
      </c>
      <c r="F100" s="539" t="s">
        <v>138</v>
      </c>
      <c r="G100" s="541">
        <v>48730000</v>
      </c>
      <c r="H100" s="541"/>
      <c r="I100" s="541"/>
      <c r="J100" s="541">
        <v>48730000</v>
      </c>
      <c r="K100" s="541">
        <v>12865475</v>
      </c>
      <c r="L100" s="541">
        <v>20491720</v>
      </c>
      <c r="M100" s="541">
        <v>28238280</v>
      </c>
    </row>
    <row r="101" spans="1:13" ht="22.5" customHeight="1">
      <c r="A101" s="539" t="s">
        <v>1242</v>
      </c>
      <c r="B101" s="540" t="s">
        <v>29</v>
      </c>
      <c r="C101" s="539" t="s">
        <v>2272</v>
      </c>
      <c r="D101" s="540" t="s">
        <v>153</v>
      </c>
      <c r="E101" s="539" t="s">
        <v>90</v>
      </c>
      <c r="F101" s="539" t="s">
        <v>154</v>
      </c>
      <c r="G101" s="541">
        <v>4363636</v>
      </c>
      <c r="H101" s="541"/>
      <c r="I101" s="541"/>
      <c r="J101" s="541">
        <v>4363636</v>
      </c>
      <c r="K101" s="541">
        <v>1294568</v>
      </c>
      <c r="L101" s="541">
        <v>1522204</v>
      </c>
      <c r="M101" s="541">
        <v>2841432</v>
      </c>
    </row>
    <row r="102" spans="1:13" ht="22.5" customHeight="1">
      <c r="A102" s="539" t="s">
        <v>1242</v>
      </c>
      <c r="B102" s="540" t="s">
        <v>29</v>
      </c>
      <c r="C102" s="539" t="s">
        <v>2322</v>
      </c>
      <c r="D102" s="540" t="s">
        <v>1322</v>
      </c>
      <c r="E102" s="539" t="s">
        <v>90</v>
      </c>
      <c r="F102" s="539" t="s">
        <v>1323</v>
      </c>
      <c r="G102" s="541"/>
      <c r="H102" s="541">
        <v>3950000</v>
      </c>
      <c r="I102" s="541"/>
      <c r="J102" s="541">
        <v>3950000</v>
      </c>
      <c r="K102" s="541">
        <v>824233</v>
      </c>
      <c r="L102" s="541">
        <v>824233</v>
      </c>
      <c r="M102" s="541">
        <v>3125767</v>
      </c>
    </row>
    <row r="103" spans="1:13" ht="22.5" customHeight="1">
      <c r="A103" s="539" t="s">
        <v>1247</v>
      </c>
      <c r="B103" s="540" t="s">
        <v>30</v>
      </c>
      <c r="C103" s="539" t="s">
        <v>2263</v>
      </c>
      <c r="D103" s="540" t="s">
        <v>2356</v>
      </c>
      <c r="E103" s="539" t="s">
        <v>90</v>
      </c>
      <c r="F103" s="539" t="s">
        <v>159</v>
      </c>
      <c r="G103" s="541">
        <v>8850000</v>
      </c>
      <c r="H103" s="541"/>
      <c r="I103" s="541"/>
      <c r="J103" s="541">
        <v>8850000</v>
      </c>
      <c r="K103" s="541">
        <v>2641276</v>
      </c>
      <c r="L103" s="541">
        <v>5634788</v>
      </c>
      <c r="M103" s="541">
        <v>3215212</v>
      </c>
    </row>
    <row r="104" spans="1:13" ht="22.5" customHeight="1">
      <c r="A104" s="539" t="s">
        <v>1247</v>
      </c>
      <c r="B104" s="540" t="s">
        <v>30</v>
      </c>
      <c r="C104" s="539" t="s">
        <v>2355</v>
      </c>
      <c r="D104" s="540" t="s">
        <v>162</v>
      </c>
      <c r="E104" s="539" t="s">
        <v>90</v>
      </c>
      <c r="F104" s="539" t="s">
        <v>163</v>
      </c>
      <c r="G104" s="541">
        <v>2409090</v>
      </c>
      <c r="H104" s="541"/>
      <c r="I104" s="541"/>
      <c r="J104" s="541">
        <v>2409090</v>
      </c>
      <c r="K104" s="541">
        <v>882328</v>
      </c>
      <c r="L104" s="541">
        <v>1335036</v>
      </c>
      <c r="M104" s="541">
        <v>1074054</v>
      </c>
    </row>
    <row r="105" spans="1:13" ht="22.5" customHeight="1">
      <c r="A105" s="539" t="s">
        <v>1262</v>
      </c>
      <c r="B105" s="540" t="s">
        <v>31</v>
      </c>
      <c r="C105" s="539" t="s">
        <v>2263</v>
      </c>
      <c r="D105" s="540" t="s">
        <v>187</v>
      </c>
      <c r="E105" s="539" t="s">
        <v>90</v>
      </c>
      <c r="F105" s="539" t="s">
        <v>188</v>
      </c>
      <c r="G105" s="541">
        <v>39900000</v>
      </c>
      <c r="H105" s="541"/>
      <c r="I105" s="541"/>
      <c r="J105" s="541">
        <v>39900000</v>
      </c>
      <c r="K105" s="541">
        <v>9882724</v>
      </c>
      <c r="L105" s="541">
        <v>18208524</v>
      </c>
      <c r="M105" s="541">
        <v>21691476</v>
      </c>
    </row>
    <row r="106" spans="1:13" ht="22.5" customHeight="1">
      <c r="A106" s="539" t="s">
        <v>1262</v>
      </c>
      <c r="B106" s="540" t="s">
        <v>31</v>
      </c>
      <c r="C106" s="539" t="s">
        <v>2270</v>
      </c>
      <c r="D106" s="540" t="s">
        <v>193</v>
      </c>
      <c r="E106" s="539" t="s">
        <v>90</v>
      </c>
      <c r="F106" s="539" t="s">
        <v>194</v>
      </c>
      <c r="G106" s="541">
        <v>56000000</v>
      </c>
      <c r="H106" s="541"/>
      <c r="I106" s="541"/>
      <c r="J106" s="541">
        <v>56000000</v>
      </c>
      <c r="K106" s="541">
        <v>14784868</v>
      </c>
      <c r="L106" s="541">
        <v>23548868</v>
      </c>
      <c r="M106" s="541">
        <v>32451132</v>
      </c>
    </row>
    <row r="107" spans="1:13" ht="22.5" customHeight="1">
      <c r="A107" s="539" t="s">
        <v>1262</v>
      </c>
      <c r="B107" s="540" t="s">
        <v>31</v>
      </c>
      <c r="C107" s="539" t="s">
        <v>2357</v>
      </c>
      <c r="D107" s="540" t="s">
        <v>234</v>
      </c>
      <c r="E107" s="539" t="s">
        <v>90</v>
      </c>
      <c r="F107" s="539" t="s">
        <v>235</v>
      </c>
      <c r="G107" s="541">
        <v>1066396448</v>
      </c>
      <c r="H107" s="541">
        <v>8636364</v>
      </c>
      <c r="I107" s="541"/>
      <c r="J107" s="541">
        <v>1075032812</v>
      </c>
      <c r="K107" s="541">
        <v>226504171</v>
      </c>
      <c r="L107" s="541">
        <v>577881483</v>
      </c>
      <c r="M107" s="541">
        <v>497151329</v>
      </c>
    </row>
    <row r="108" spans="1:13" ht="22.5" customHeight="1">
      <c r="A108" s="539" t="s">
        <v>1262</v>
      </c>
      <c r="B108" s="540" t="s">
        <v>31</v>
      </c>
      <c r="C108" s="539" t="s">
        <v>2358</v>
      </c>
      <c r="D108" s="540" t="s">
        <v>236</v>
      </c>
      <c r="E108" s="539" t="s">
        <v>90</v>
      </c>
      <c r="F108" s="539" t="s">
        <v>235</v>
      </c>
      <c r="G108" s="541">
        <v>574603552</v>
      </c>
      <c r="H108" s="541"/>
      <c r="I108" s="541"/>
      <c r="J108" s="541">
        <v>574603552</v>
      </c>
      <c r="K108" s="541">
        <v>120590098</v>
      </c>
      <c r="L108" s="541">
        <v>309921771</v>
      </c>
      <c r="M108" s="541">
        <v>264681781</v>
      </c>
    </row>
    <row r="109" spans="1:13" ht="22.5" customHeight="1">
      <c r="A109" s="542" t="s">
        <v>1262</v>
      </c>
      <c r="B109" s="543" t="s">
        <v>31</v>
      </c>
      <c r="C109" s="542" t="s">
        <v>2359</v>
      </c>
      <c r="D109" s="543" t="s">
        <v>252</v>
      </c>
      <c r="E109" s="542" t="s">
        <v>90</v>
      </c>
      <c r="F109" s="542" t="s">
        <v>154</v>
      </c>
      <c r="G109" s="544">
        <v>36000000</v>
      </c>
      <c r="H109" s="544"/>
      <c r="I109" s="544"/>
      <c r="J109" s="544">
        <v>36000000</v>
      </c>
      <c r="K109" s="544">
        <v>10680186</v>
      </c>
      <c r="L109" s="544">
        <v>12558186</v>
      </c>
      <c r="M109" s="544">
        <v>23441814</v>
      </c>
    </row>
    <row r="110" spans="1:13" ht="22.5" customHeight="1">
      <c r="A110" s="861" t="s">
        <v>2360</v>
      </c>
      <c r="B110" s="861"/>
      <c r="C110" s="861"/>
      <c r="D110" s="861"/>
      <c r="E110" s="861"/>
      <c r="F110" s="861"/>
      <c r="G110" s="545">
        <v>1938090319</v>
      </c>
      <c r="H110" s="545">
        <v>12586364</v>
      </c>
      <c r="I110" s="545"/>
      <c r="J110" s="545">
        <v>1950676683</v>
      </c>
      <c r="K110" s="545">
        <v>422386847</v>
      </c>
      <c r="L110" s="545">
        <v>1025712750</v>
      </c>
      <c r="M110" s="545">
        <v>924963933</v>
      </c>
    </row>
    <row r="111" spans="1:13" ht="22.5" customHeight="1">
      <c r="A111" s="539" t="s">
        <v>1242</v>
      </c>
      <c r="B111" s="540" t="s">
        <v>29</v>
      </c>
      <c r="C111" s="539" t="s">
        <v>2281</v>
      </c>
      <c r="D111" s="540" t="s">
        <v>139</v>
      </c>
      <c r="E111" s="539" t="s">
        <v>90</v>
      </c>
      <c r="F111" s="539" t="s">
        <v>140</v>
      </c>
      <c r="G111" s="541">
        <v>5400000</v>
      </c>
      <c r="H111" s="541"/>
      <c r="I111" s="541"/>
      <c r="J111" s="541">
        <v>5400000</v>
      </c>
      <c r="K111" s="541">
        <v>1469769</v>
      </c>
      <c r="L111" s="541">
        <v>2174019</v>
      </c>
      <c r="M111" s="541">
        <v>3225981</v>
      </c>
    </row>
    <row r="112" spans="1:13" ht="22.5" customHeight="1">
      <c r="A112" s="539" t="s">
        <v>1242</v>
      </c>
      <c r="B112" s="540" t="s">
        <v>29</v>
      </c>
      <c r="C112" s="539" t="s">
        <v>2282</v>
      </c>
      <c r="D112" s="540" t="s">
        <v>141</v>
      </c>
      <c r="E112" s="539" t="s">
        <v>90</v>
      </c>
      <c r="F112" s="539" t="s">
        <v>142</v>
      </c>
      <c r="G112" s="541">
        <v>6592000</v>
      </c>
      <c r="H112" s="541"/>
      <c r="I112" s="541"/>
      <c r="J112" s="541">
        <v>6592000</v>
      </c>
      <c r="K112" s="541">
        <v>1848025</v>
      </c>
      <c r="L112" s="541">
        <v>2535790</v>
      </c>
      <c r="M112" s="541">
        <v>4056210</v>
      </c>
    </row>
    <row r="113" spans="1:13" ht="22.5" customHeight="1">
      <c r="A113" s="539" t="s">
        <v>1242</v>
      </c>
      <c r="B113" s="540" t="s">
        <v>29</v>
      </c>
      <c r="C113" s="539" t="s">
        <v>2268</v>
      </c>
      <c r="D113" s="540" t="s">
        <v>131</v>
      </c>
      <c r="E113" s="539" t="s">
        <v>90</v>
      </c>
      <c r="F113" s="539" t="s">
        <v>143</v>
      </c>
      <c r="G113" s="541">
        <v>3740000</v>
      </c>
      <c r="H113" s="541"/>
      <c r="I113" s="541"/>
      <c r="J113" s="541">
        <v>3740000</v>
      </c>
      <c r="K113" s="541">
        <v>1048485</v>
      </c>
      <c r="L113" s="541">
        <v>1438691</v>
      </c>
      <c r="M113" s="541">
        <v>2301309</v>
      </c>
    </row>
    <row r="114" spans="1:13" ht="22.5" customHeight="1">
      <c r="A114" s="539" t="s">
        <v>1242</v>
      </c>
      <c r="B114" s="540" t="s">
        <v>29</v>
      </c>
      <c r="C114" s="539" t="s">
        <v>2269</v>
      </c>
      <c r="D114" s="540" t="s">
        <v>144</v>
      </c>
      <c r="E114" s="539" t="s">
        <v>90</v>
      </c>
      <c r="F114" s="539" t="s">
        <v>145</v>
      </c>
      <c r="G114" s="541">
        <v>64056356</v>
      </c>
      <c r="H114" s="541"/>
      <c r="I114" s="541"/>
      <c r="J114" s="541">
        <v>64056356</v>
      </c>
      <c r="K114" s="541">
        <v>17957793</v>
      </c>
      <c r="L114" s="541">
        <v>24641006</v>
      </c>
      <c r="M114" s="541">
        <v>39415350</v>
      </c>
    </row>
    <row r="115" spans="1:13" ht="22.5" customHeight="1">
      <c r="A115" s="539" t="s">
        <v>1242</v>
      </c>
      <c r="B115" s="540" t="s">
        <v>29</v>
      </c>
      <c r="C115" s="539" t="s">
        <v>2270</v>
      </c>
      <c r="D115" s="540" t="s">
        <v>146</v>
      </c>
      <c r="E115" s="539" t="s">
        <v>90</v>
      </c>
      <c r="F115" s="539" t="s">
        <v>147</v>
      </c>
      <c r="G115" s="541">
        <v>2520000</v>
      </c>
      <c r="H115" s="541"/>
      <c r="I115" s="541"/>
      <c r="J115" s="541">
        <v>2520000</v>
      </c>
      <c r="K115" s="541">
        <v>706466</v>
      </c>
      <c r="L115" s="541">
        <v>969386</v>
      </c>
      <c r="M115" s="541">
        <v>1550614</v>
      </c>
    </row>
    <row r="116" spans="1:13" ht="22.5" customHeight="1">
      <c r="A116" s="539" t="s">
        <v>1242</v>
      </c>
      <c r="B116" s="540" t="s">
        <v>29</v>
      </c>
      <c r="C116" s="539" t="s">
        <v>2271</v>
      </c>
      <c r="D116" s="540" t="s">
        <v>148</v>
      </c>
      <c r="E116" s="539" t="s">
        <v>90</v>
      </c>
      <c r="F116" s="539" t="s">
        <v>149</v>
      </c>
      <c r="G116" s="541">
        <v>12800000</v>
      </c>
      <c r="H116" s="541"/>
      <c r="I116" s="541"/>
      <c r="J116" s="541">
        <v>12800000</v>
      </c>
      <c r="K116" s="541">
        <v>3692899</v>
      </c>
      <c r="L116" s="541">
        <v>4694499</v>
      </c>
      <c r="M116" s="541">
        <v>8105501</v>
      </c>
    </row>
    <row r="117" spans="1:13" ht="22.5" customHeight="1">
      <c r="A117" s="539" t="s">
        <v>1242</v>
      </c>
      <c r="B117" s="540" t="s">
        <v>29</v>
      </c>
      <c r="C117" s="539" t="s">
        <v>2361</v>
      </c>
      <c r="D117" s="540" t="s">
        <v>150</v>
      </c>
      <c r="E117" s="539" t="s">
        <v>90</v>
      </c>
      <c r="F117" s="539" t="s">
        <v>151</v>
      </c>
      <c r="G117" s="541">
        <v>113700000</v>
      </c>
      <c r="H117" s="541"/>
      <c r="I117" s="541"/>
      <c r="J117" s="541">
        <v>113700000</v>
      </c>
      <c r="K117" s="541">
        <v>32803331</v>
      </c>
      <c r="L117" s="541">
        <v>41700356</v>
      </c>
      <c r="M117" s="541">
        <v>71999644</v>
      </c>
    </row>
    <row r="118" spans="1:13" ht="22.5" customHeight="1">
      <c r="A118" s="539" t="s">
        <v>1242</v>
      </c>
      <c r="B118" s="540" t="s">
        <v>29</v>
      </c>
      <c r="C118" s="539" t="s">
        <v>2292</v>
      </c>
      <c r="D118" s="540" t="s">
        <v>152</v>
      </c>
      <c r="E118" s="539" t="s">
        <v>90</v>
      </c>
      <c r="F118" s="539" t="s">
        <v>151</v>
      </c>
      <c r="G118" s="541">
        <v>53120300</v>
      </c>
      <c r="H118" s="541"/>
      <c r="I118" s="541"/>
      <c r="J118" s="541">
        <v>53120300</v>
      </c>
      <c r="K118" s="541">
        <v>15325618</v>
      </c>
      <c r="L118" s="541">
        <v>19482281</v>
      </c>
      <c r="M118" s="541">
        <v>33638019</v>
      </c>
    </row>
    <row r="119" spans="1:13" ht="22.5" customHeight="1">
      <c r="A119" s="539" t="s">
        <v>1242</v>
      </c>
      <c r="B119" s="540" t="s">
        <v>29</v>
      </c>
      <c r="C119" s="539" t="s">
        <v>2319</v>
      </c>
      <c r="D119" s="540" t="s">
        <v>1320</v>
      </c>
      <c r="E119" s="539" t="s">
        <v>90</v>
      </c>
      <c r="F119" s="539" t="s">
        <v>1321</v>
      </c>
      <c r="G119" s="541"/>
      <c r="H119" s="541">
        <v>15187500</v>
      </c>
      <c r="I119" s="541"/>
      <c r="J119" s="541">
        <v>15187500</v>
      </c>
      <c r="K119" s="541">
        <v>3169125</v>
      </c>
      <c r="L119" s="541">
        <v>3169125</v>
      </c>
      <c r="M119" s="541">
        <v>12018375</v>
      </c>
    </row>
    <row r="120" spans="1:13" ht="22.5" customHeight="1">
      <c r="A120" s="539" t="s">
        <v>1242</v>
      </c>
      <c r="B120" s="540" t="s">
        <v>29</v>
      </c>
      <c r="C120" s="539" t="s">
        <v>2326</v>
      </c>
      <c r="D120" s="540" t="s">
        <v>1329</v>
      </c>
      <c r="E120" s="539" t="s">
        <v>90</v>
      </c>
      <c r="F120" s="539" t="s">
        <v>1330</v>
      </c>
      <c r="G120" s="541"/>
      <c r="H120" s="541">
        <v>7200000</v>
      </c>
      <c r="I120" s="541"/>
      <c r="J120" s="541">
        <v>7200000</v>
      </c>
      <c r="K120" s="541">
        <v>1314600</v>
      </c>
      <c r="L120" s="541">
        <v>1314600</v>
      </c>
      <c r="M120" s="541">
        <v>5885400</v>
      </c>
    </row>
    <row r="121" spans="1:13" ht="22.5" customHeight="1">
      <c r="A121" s="539" t="s">
        <v>1247</v>
      </c>
      <c r="B121" s="540" t="s">
        <v>30</v>
      </c>
      <c r="C121" s="539" t="s">
        <v>2264</v>
      </c>
      <c r="D121" s="540" t="s">
        <v>160</v>
      </c>
      <c r="E121" s="539" t="s">
        <v>90</v>
      </c>
      <c r="F121" s="539" t="s">
        <v>161</v>
      </c>
      <c r="G121" s="541">
        <v>19757338</v>
      </c>
      <c r="H121" s="541"/>
      <c r="I121" s="541"/>
      <c r="J121" s="541">
        <v>19757338</v>
      </c>
      <c r="K121" s="541">
        <v>8240782</v>
      </c>
      <c r="L121" s="541">
        <v>9725875</v>
      </c>
      <c r="M121" s="541">
        <v>10031463</v>
      </c>
    </row>
    <row r="122" spans="1:13" ht="22.5" customHeight="1">
      <c r="A122" s="539" t="s">
        <v>1262</v>
      </c>
      <c r="B122" s="540" t="s">
        <v>31</v>
      </c>
      <c r="C122" s="539" t="s">
        <v>2277</v>
      </c>
      <c r="D122" s="540" t="s">
        <v>217</v>
      </c>
      <c r="E122" s="539" t="s">
        <v>90</v>
      </c>
      <c r="F122" s="539" t="s">
        <v>218</v>
      </c>
      <c r="G122" s="541">
        <v>37580000</v>
      </c>
      <c r="H122" s="541"/>
      <c r="I122" s="541"/>
      <c r="J122" s="541">
        <v>37580000</v>
      </c>
      <c r="K122" s="541">
        <v>11455733</v>
      </c>
      <c r="L122" s="541">
        <v>12435944</v>
      </c>
      <c r="M122" s="541">
        <v>25144056</v>
      </c>
    </row>
    <row r="123" spans="1:13" ht="22.5" customHeight="1">
      <c r="A123" s="539" t="s">
        <v>1262</v>
      </c>
      <c r="B123" s="540" t="s">
        <v>31</v>
      </c>
      <c r="C123" s="539" t="s">
        <v>2362</v>
      </c>
      <c r="D123" s="540" t="s">
        <v>230</v>
      </c>
      <c r="E123" s="539" t="s">
        <v>90</v>
      </c>
      <c r="F123" s="539" t="s">
        <v>161</v>
      </c>
      <c r="G123" s="541">
        <v>395573890</v>
      </c>
      <c r="H123" s="541"/>
      <c r="I123" s="541"/>
      <c r="J123" s="541">
        <v>395573890</v>
      </c>
      <c r="K123" s="541">
        <v>117355631</v>
      </c>
      <c r="L123" s="541">
        <v>137991402</v>
      </c>
      <c r="M123" s="541">
        <v>257582488</v>
      </c>
    </row>
    <row r="124" spans="1:13" ht="22.5" customHeight="1">
      <c r="A124" s="542" t="s">
        <v>1262</v>
      </c>
      <c r="B124" s="543" t="s">
        <v>31</v>
      </c>
      <c r="C124" s="542" t="s">
        <v>2363</v>
      </c>
      <c r="D124" s="543" t="s">
        <v>233</v>
      </c>
      <c r="E124" s="542" t="s">
        <v>90</v>
      </c>
      <c r="F124" s="542" t="s">
        <v>161</v>
      </c>
      <c r="G124" s="544">
        <v>649115590</v>
      </c>
      <c r="H124" s="544">
        <v>7900000</v>
      </c>
      <c r="I124" s="544"/>
      <c r="J124" s="544">
        <v>657015590</v>
      </c>
      <c r="K124" s="544">
        <v>195047012</v>
      </c>
      <c r="L124" s="544">
        <v>228909208</v>
      </c>
      <c r="M124" s="544">
        <v>428106382</v>
      </c>
    </row>
    <row r="125" spans="1:13" ht="22.5" customHeight="1">
      <c r="A125" s="861" t="s">
        <v>2364</v>
      </c>
      <c r="B125" s="861"/>
      <c r="C125" s="861"/>
      <c r="D125" s="861"/>
      <c r="E125" s="861"/>
      <c r="F125" s="861"/>
      <c r="G125" s="545">
        <v>1363955474</v>
      </c>
      <c r="H125" s="545">
        <v>30287500</v>
      </c>
      <c r="I125" s="545"/>
      <c r="J125" s="545">
        <v>1394242974</v>
      </c>
      <c r="K125" s="545">
        <v>411435269</v>
      </c>
      <c r="L125" s="545">
        <v>491182182</v>
      </c>
      <c r="M125" s="545">
        <v>903060792</v>
      </c>
    </row>
    <row r="126" spans="1:13" ht="22.5" customHeight="1">
      <c r="A126" s="539" t="s">
        <v>1242</v>
      </c>
      <c r="B126" s="540" t="s">
        <v>29</v>
      </c>
      <c r="C126" s="539" t="s">
        <v>2365</v>
      </c>
      <c r="D126" s="540" t="s">
        <v>1304</v>
      </c>
      <c r="E126" s="539" t="s">
        <v>90</v>
      </c>
      <c r="F126" s="539" t="s">
        <v>1303</v>
      </c>
      <c r="G126" s="541"/>
      <c r="H126" s="541">
        <v>21300000</v>
      </c>
      <c r="I126" s="541"/>
      <c r="J126" s="541">
        <v>21300000</v>
      </c>
      <c r="K126" s="541">
        <v>6666900</v>
      </c>
      <c r="L126" s="541">
        <v>6666900</v>
      </c>
      <c r="M126" s="541">
        <v>14633100</v>
      </c>
    </row>
    <row r="127" spans="1:13" ht="22.5" customHeight="1">
      <c r="A127" s="539" t="s">
        <v>1242</v>
      </c>
      <c r="B127" s="540" t="s">
        <v>29</v>
      </c>
      <c r="C127" s="539" t="s">
        <v>2294</v>
      </c>
      <c r="D127" s="540" t="s">
        <v>1305</v>
      </c>
      <c r="E127" s="539" t="s">
        <v>90</v>
      </c>
      <c r="F127" s="539" t="s">
        <v>1306</v>
      </c>
      <c r="G127" s="541"/>
      <c r="H127" s="541">
        <v>5400000</v>
      </c>
      <c r="I127" s="541"/>
      <c r="J127" s="541">
        <v>5400000</v>
      </c>
      <c r="K127" s="541">
        <v>1408500</v>
      </c>
      <c r="L127" s="541">
        <v>1408500</v>
      </c>
      <c r="M127" s="541">
        <v>3991500</v>
      </c>
    </row>
    <row r="128" spans="1:13" ht="22.5" customHeight="1">
      <c r="A128" s="539" t="s">
        <v>1242</v>
      </c>
      <c r="B128" s="540" t="s">
        <v>29</v>
      </c>
      <c r="C128" s="539" t="s">
        <v>2297</v>
      </c>
      <c r="D128" s="540" t="s">
        <v>1307</v>
      </c>
      <c r="E128" s="539" t="s">
        <v>90</v>
      </c>
      <c r="F128" s="539" t="s">
        <v>1306</v>
      </c>
      <c r="G128" s="541"/>
      <c r="H128" s="541">
        <v>15000000</v>
      </c>
      <c r="I128" s="541"/>
      <c r="J128" s="541">
        <v>15000000</v>
      </c>
      <c r="K128" s="541">
        <v>3912500</v>
      </c>
      <c r="L128" s="541">
        <v>3912500</v>
      </c>
      <c r="M128" s="541">
        <v>11087500</v>
      </c>
    </row>
    <row r="129" spans="1:13" ht="22.5" customHeight="1">
      <c r="A129" s="539" t="s">
        <v>1242</v>
      </c>
      <c r="B129" s="540" t="s">
        <v>29</v>
      </c>
      <c r="C129" s="539" t="s">
        <v>2273</v>
      </c>
      <c r="D129" s="540" t="s">
        <v>1308</v>
      </c>
      <c r="E129" s="539" t="s">
        <v>90</v>
      </c>
      <c r="F129" s="539" t="s">
        <v>1309</v>
      </c>
      <c r="G129" s="541"/>
      <c r="H129" s="541">
        <v>3984400</v>
      </c>
      <c r="I129" s="541"/>
      <c r="J129" s="541">
        <v>3984400</v>
      </c>
      <c r="K129" s="541">
        <v>1039264</v>
      </c>
      <c r="L129" s="541">
        <v>1039264</v>
      </c>
      <c r="M129" s="541">
        <v>2945136</v>
      </c>
    </row>
    <row r="130" spans="1:13" ht="22.5" customHeight="1">
      <c r="A130" s="539" t="s">
        <v>1242</v>
      </c>
      <c r="B130" s="540" t="s">
        <v>29</v>
      </c>
      <c r="C130" s="539" t="s">
        <v>2274</v>
      </c>
      <c r="D130" s="540" t="s">
        <v>1310</v>
      </c>
      <c r="E130" s="539" t="s">
        <v>90</v>
      </c>
      <c r="F130" s="539" t="s">
        <v>1311</v>
      </c>
      <c r="G130" s="541"/>
      <c r="H130" s="541">
        <v>1572728</v>
      </c>
      <c r="I130" s="541"/>
      <c r="J130" s="541">
        <v>1572728</v>
      </c>
      <c r="K130" s="541">
        <v>410219</v>
      </c>
      <c r="L130" s="541">
        <v>410219</v>
      </c>
      <c r="M130" s="541">
        <v>1162509</v>
      </c>
    </row>
    <row r="131" spans="1:13" ht="22.5" customHeight="1">
      <c r="A131" s="539" t="s">
        <v>1242</v>
      </c>
      <c r="B131" s="540" t="s">
        <v>29</v>
      </c>
      <c r="C131" s="539" t="s">
        <v>2307</v>
      </c>
      <c r="D131" s="540" t="s">
        <v>2366</v>
      </c>
      <c r="E131" s="539" t="s">
        <v>90</v>
      </c>
      <c r="F131" s="539" t="s">
        <v>1314</v>
      </c>
      <c r="G131" s="541"/>
      <c r="H131" s="541">
        <v>144791900</v>
      </c>
      <c r="I131" s="541"/>
      <c r="J131" s="541">
        <v>144791900</v>
      </c>
      <c r="K131" s="541">
        <v>37766553</v>
      </c>
      <c r="L131" s="541">
        <v>37766553</v>
      </c>
      <c r="M131" s="541">
        <v>107025347</v>
      </c>
    </row>
    <row r="132" spans="1:13" ht="22.5" customHeight="1">
      <c r="A132" s="539" t="s">
        <v>1242</v>
      </c>
      <c r="B132" s="540" t="s">
        <v>29</v>
      </c>
      <c r="C132" s="539" t="s">
        <v>2283</v>
      </c>
      <c r="D132" s="540" t="s">
        <v>1315</v>
      </c>
      <c r="E132" s="539" t="s">
        <v>90</v>
      </c>
      <c r="F132" s="539" t="s">
        <v>1314</v>
      </c>
      <c r="G132" s="541"/>
      <c r="H132" s="541">
        <v>61461799</v>
      </c>
      <c r="I132" s="541"/>
      <c r="J132" s="541">
        <v>61461799</v>
      </c>
      <c r="K132" s="541">
        <v>16031285</v>
      </c>
      <c r="L132" s="541">
        <v>16031285</v>
      </c>
      <c r="M132" s="541">
        <v>45430514</v>
      </c>
    </row>
    <row r="133" spans="1:13" ht="22.5" customHeight="1">
      <c r="A133" s="539" t="s">
        <v>1242</v>
      </c>
      <c r="B133" s="540" t="s">
        <v>29</v>
      </c>
      <c r="C133" s="539" t="s">
        <v>2284</v>
      </c>
      <c r="D133" s="540" t="s">
        <v>1315</v>
      </c>
      <c r="E133" s="539" t="s">
        <v>90</v>
      </c>
      <c r="F133" s="539" t="s">
        <v>1316</v>
      </c>
      <c r="G133" s="541"/>
      <c r="H133" s="541">
        <v>1950000</v>
      </c>
      <c r="I133" s="541"/>
      <c r="J133" s="541">
        <v>1950000</v>
      </c>
      <c r="K133" s="541">
        <v>457762</v>
      </c>
      <c r="L133" s="541">
        <v>457762</v>
      </c>
      <c r="M133" s="541">
        <v>1492238</v>
      </c>
    </row>
    <row r="134" spans="1:13" ht="22.5" customHeight="1">
      <c r="A134" s="539" t="s">
        <v>1242</v>
      </c>
      <c r="B134" s="540" t="s">
        <v>29</v>
      </c>
      <c r="C134" s="539" t="s">
        <v>2316</v>
      </c>
      <c r="D134" s="540" t="s">
        <v>1318</v>
      </c>
      <c r="E134" s="539" t="s">
        <v>90</v>
      </c>
      <c r="F134" s="539" t="s">
        <v>1319</v>
      </c>
      <c r="G134" s="541"/>
      <c r="H134" s="541">
        <v>9480000</v>
      </c>
      <c r="I134" s="541"/>
      <c r="J134" s="541">
        <v>9480000</v>
      </c>
      <c r="K134" s="541">
        <v>2225430</v>
      </c>
      <c r="L134" s="541">
        <v>2225430</v>
      </c>
      <c r="M134" s="541">
        <v>7254570</v>
      </c>
    </row>
    <row r="135" spans="1:13" ht="22.5" customHeight="1">
      <c r="A135" s="539" t="s">
        <v>1242</v>
      </c>
      <c r="B135" s="540" t="s">
        <v>29</v>
      </c>
      <c r="C135" s="539" t="s">
        <v>2327</v>
      </c>
      <c r="D135" s="540" t="s">
        <v>1320</v>
      </c>
      <c r="E135" s="539" t="s">
        <v>90</v>
      </c>
      <c r="F135" s="539" t="s">
        <v>1321</v>
      </c>
      <c r="G135" s="541"/>
      <c r="H135" s="541">
        <v>8437500</v>
      </c>
      <c r="I135" s="541"/>
      <c r="J135" s="541">
        <v>8437500</v>
      </c>
      <c r="K135" s="541">
        <v>1760625</v>
      </c>
      <c r="L135" s="541">
        <v>1760625</v>
      </c>
      <c r="M135" s="541">
        <v>6676875</v>
      </c>
    </row>
    <row r="136" spans="1:13" ht="22.5" customHeight="1">
      <c r="A136" s="539" t="s">
        <v>1242</v>
      </c>
      <c r="B136" s="540" t="s">
        <v>29</v>
      </c>
      <c r="C136" s="539" t="s">
        <v>2290</v>
      </c>
      <c r="D136" s="540" t="s">
        <v>1334</v>
      </c>
      <c r="E136" s="539" t="s">
        <v>90</v>
      </c>
      <c r="F136" s="539" t="s">
        <v>1331</v>
      </c>
      <c r="G136" s="541"/>
      <c r="H136" s="541">
        <v>23625000</v>
      </c>
      <c r="I136" s="541"/>
      <c r="J136" s="541">
        <v>23625000</v>
      </c>
      <c r="K136" s="541">
        <v>4313531</v>
      </c>
      <c r="L136" s="541">
        <v>4313531</v>
      </c>
      <c r="M136" s="541">
        <v>19311469</v>
      </c>
    </row>
    <row r="137" spans="1:13" ht="22.5" customHeight="1">
      <c r="A137" s="539" t="s">
        <v>1247</v>
      </c>
      <c r="B137" s="540" t="s">
        <v>30</v>
      </c>
      <c r="C137" s="539" t="s">
        <v>2265</v>
      </c>
      <c r="D137" s="540" t="s">
        <v>1344</v>
      </c>
      <c r="E137" s="539" t="s">
        <v>90</v>
      </c>
      <c r="F137" s="539" t="s">
        <v>1345</v>
      </c>
      <c r="G137" s="541"/>
      <c r="H137" s="541">
        <v>5848000</v>
      </c>
      <c r="I137" s="541"/>
      <c r="J137" s="541">
        <v>5848000</v>
      </c>
      <c r="K137" s="541">
        <v>2197873</v>
      </c>
      <c r="L137" s="541">
        <v>2197873</v>
      </c>
      <c r="M137" s="541">
        <v>3650127</v>
      </c>
    </row>
    <row r="138" spans="1:13" ht="22.5" customHeight="1">
      <c r="A138" s="539" t="s">
        <v>1247</v>
      </c>
      <c r="B138" s="540" t="s">
        <v>30</v>
      </c>
      <c r="C138" s="539" t="s">
        <v>2266</v>
      </c>
      <c r="D138" s="540" t="s">
        <v>1346</v>
      </c>
      <c r="E138" s="539" t="s">
        <v>90</v>
      </c>
      <c r="F138" s="539" t="s">
        <v>1345</v>
      </c>
      <c r="G138" s="541"/>
      <c r="H138" s="541">
        <v>8050000</v>
      </c>
      <c r="I138" s="541"/>
      <c r="J138" s="541">
        <v>8050000</v>
      </c>
      <c r="K138" s="541">
        <v>3025458</v>
      </c>
      <c r="L138" s="541">
        <v>3025458</v>
      </c>
      <c r="M138" s="541">
        <v>5024542</v>
      </c>
    </row>
    <row r="139" spans="1:13" ht="22.5" customHeight="1">
      <c r="A139" s="539" t="s">
        <v>1247</v>
      </c>
      <c r="B139" s="540" t="s">
        <v>30</v>
      </c>
      <c r="C139" s="539" t="s">
        <v>2267</v>
      </c>
      <c r="D139" s="540" t="s">
        <v>2367</v>
      </c>
      <c r="E139" s="539" t="s">
        <v>90</v>
      </c>
      <c r="F139" s="539" t="s">
        <v>1347</v>
      </c>
      <c r="G139" s="541"/>
      <c r="H139" s="541">
        <v>4500000</v>
      </c>
      <c r="I139" s="541"/>
      <c r="J139" s="541">
        <v>4500000</v>
      </c>
      <c r="K139" s="541">
        <v>1353000</v>
      </c>
      <c r="L139" s="541">
        <v>1353000</v>
      </c>
      <c r="M139" s="541">
        <v>3147000</v>
      </c>
    </row>
    <row r="140" spans="1:13" ht="22.5" customHeight="1">
      <c r="A140" s="542" t="s">
        <v>1262</v>
      </c>
      <c r="B140" s="543" t="s">
        <v>31</v>
      </c>
      <c r="C140" s="542" t="s">
        <v>2280</v>
      </c>
      <c r="D140" s="543" t="s">
        <v>2368</v>
      </c>
      <c r="E140" s="542" t="s">
        <v>90</v>
      </c>
      <c r="F140" s="542" t="s">
        <v>1354</v>
      </c>
      <c r="G140" s="544"/>
      <c r="H140" s="544">
        <v>1018650000</v>
      </c>
      <c r="I140" s="544"/>
      <c r="J140" s="544">
        <v>1018650000</v>
      </c>
      <c r="K140" s="544">
        <v>159418725</v>
      </c>
      <c r="L140" s="544">
        <v>159418725</v>
      </c>
      <c r="M140" s="544">
        <v>859231275</v>
      </c>
    </row>
    <row r="141" spans="1:13" ht="22.5" customHeight="1">
      <c r="A141" s="861" t="s">
        <v>2369</v>
      </c>
      <c r="B141" s="861"/>
      <c r="C141" s="861"/>
      <c r="D141" s="861"/>
      <c r="E141" s="861"/>
      <c r="F141" s="861"/>
      <c r="G141" s="545"/>
      <c r="H141" s="545">
        <v>1334051327</v>
      </c>
      <c r="I141" s="545"/>
      <c r="J141" s="545">
        <v>1334051327</v>
      </c>
      <c r="K141" s="545">
        <v>241987625</v>
      </c>
      <c r="L141" s="545">
        <v>241987625</v>
      </c>
      <c r="M141" s="545">
        <v>1092063702</v>
      </c>
    </row>
    <row r="142" spans="1:13" ht="22.5" customHeight="1">
      <c r="A142" s="539" t="s">
        <v>1242</v>
      </c>
      <c r="B142" s="540" t="s">
        <v>29</v>
      </c>
      <c r="C142" s="539" t="s">
        <v>2293</v>
      </c>
      <c r="D142" s="540" t="s">
        <v>1302</v>
      </c>
      <c r="E142" s="539" t="s">
        <v>90</v>
      </c>
      <c r="F142" s="539" t="s">
        <v>1303</v>
      </c>
      <c r="G142" s="541"/>
      <c r="H142" s="541">
        <v>26300000</v>
      </c>
      <c r="I142" s="541"/>
      <c r="J142" s="541">
        <v>26300000</v>
      </c>
      <c r="K142" s="541">
        <v>8231900</v>
      </c>
      <c r="L142" s="541">
        <v>8231900</v>
      </c>
      <c r="M142" s="541">
        <v>18068100</v>
      </c>
    </row>
    <row r="143" spans="1:13" ht="22.5" customHeight="1">
      <c r="A143" s="539" t="s">
        <v>1242</v>
      </c>
      <c r="B143" s="540" t="s">
        <v>29</v>
      </c>
      <c r="C143" s="539" t="s">
        <v>2304</v>
      </c>
      <c r="D143" s="540" t="s">
        <v>1312</v>
      </c>
      <c r="E143" s="539" t="s">
        <v>90</v>
      </c>
      <c r="F143" s="539" t="s">
        <v>1313</v>
      </c>
      <c r="G143" s="541"/>
      <c r="H143" s="541">
        <v>1572728</v>
      </c>
      <c r="I143" s="541"/>
      <c r="J143" s="541">
        <v>1572728</v>
      </c>
      <c r="K143" s="541">
        <v>410219</v>
      </c>
      <c r="L143" s="541">
        <v>410219</v>
      </c>
      <c r="M143" s="541">
        <v>1162509</v>
      </c>
    </row>
    <row r="144" spans="1:13" ht="22.5" customHeight="1">
      <c r="A144" s="539" t="s">
        <v>1242</v>
      </c>
      <c r="B144" s="540" t="s">
        <v>29</v>
      </c>
      <c r="C144" s="539" t="s">
        <v>2285</v>
      </c>
      <c r="D144" s="540" t="s">
        <v>1315</v>
      </c>
      <c r="E144" s="539" t="s">
        <v>90</v>
      </c>
      <c r="F144" s="539" t="s">
        <v>1317</v>
      </c>
      <c r="G144" s="541"/>
      <c r="H144" s="541">
        <v>61959200</v>
      </c>
      <c r="I144" s="541"/>
      <c r="J144" s="541">
        <v>61959200</v>
      </c>
      <c r="K144" s="541">
        <v>14544922</v>
      </c>
      <c r="L144" s="541">
        <v>14544922</v>
      </c>
      <c r="M144" s="541">
        <v>47414278</v>
      </c>
    </row>
    <row r="145" spans="1:13" ht="22.5" customHeight="1">
      <c r="A145" s="539" t="s">
        <v>1242</v>
      </c>
      <c r="B145" s="540" t="s">
        <v>29</v>
      </c>
      <c r="C145" s="539" t="s">
        <v>2286</v>
      </c>
      <c r="D145" s="540" t="s">
        <v>1315</v>
      </c>
      <c r="E145" s="539" t="s">
        <v>90</v>
      </c>
      <c r="F145" s="539" t="s">
        <v>1324</v>
      </c>
      <c r="G145" s="541"/>
      <c r="H145" s="541">
        <v>18133000</v>
      </c>
      <c r="I145" s="541"/>
      <c r="J145" s="541">
        <v>18133000</v>
      </c>
      <c r="K145" s="541">
        <v>3310783</v>
      </c>
      <c r="L145" s="541">
        <v>3310783</v>
      </c>
      <c r="M145" s="541">
        <v>14822217</v>
      </c>
    </row>
    <row r="146" spans="1:13" ht="22.5" customHeight="1">
      <c r="A146" s="539" t="s">
        <v>1242</v>
      </c>
      <c r="B146" s="540" t="s">
        <v>29</v>
      </c>
      <c r="C146" s="539" t="s">
        <v>2323</v>
      </c>
      <c r="D146" s="540" t="s">
        <v>1325</v>
      </c>
      <c r="E146" s="539" t="s">
        <v>90</v>
      </c>
      <c r="F146" s="539" t="s">
        <v>1326</v>
      </c>
      <c r="G146" s="541"/>
      <c r="H146" s="541">
        <v>4014679</v>
      </c>
      <c r="I146" s="541"/>
      <c r="J146" s="541">
        <v>4014679</v>
      </c>
      <c r="K146" s="541">
        <v>733013</v>
      </c>
      <c r="L146" s="541">
        <v>733013</v>
      </c>
      <c r="M146" s="541">
        <v>3281666</v>
      </c>
    </row>
    <row r="147" spans="1:13" ht="22.5" customHeight="1">
      <c r="A147" s="539" t="s">
        <v>1242</v>
      </c>
      <c r="B147" s="540" t="s">
        <v>29</v>
      </c>
      <c r="C147" s="539" t="s">
        <v>2287</v>
      </c>
      <c r="D147" s="540" t="s">
        <v>1327</v>
      </c>
      <c r="E147" s="539" t="s">
        <v>90</v>
      </c>
      <c r="F147" s="539" t="s">
        <v>1328</v>
      </c>
      <c r="G147" s="541"/>
      <c r="H147" s="541">
        <v>9452000</v>
      </c>
      <c r="I147" s="541"/>
      <c r="J147" s="541">
        <v>9452000</v>
      </c>
      <c r="K147" s="541">
        <v>1725777</v>
      </c>
      <c r="L147" s="541">
        <v>1725777</v>
      </c>
      <c r="M147" s="541">
        <v>7726223</v>
      </c>
    </row>
    <row r="148" spans="1:13" ht="22.5" customHeight="1">
      <c r="A148" s="539" t="s">
        <v>1242</v>
      </c>
      <c r="B148" s="540" t="s">
        <v>29</v>
      </c>
      <c r="C148" s="539" t="s">
        <v>2328</v>
      </c>
      <c r="D148" s="540" t="s">
        <v>126</v>
      </c>
      <c r="E148" s="539" t="s">
        <v>90</v>
      </c>
      <c r="F148" s="539" t="s">
        <v>1331</v>
      </c>
      <c r="G148" s="541"/>
      <c r="H148" s="541">
        <v>25334500</v>
      </c>
      <c r="I148" s="541"/>
      <c r="J148" s="541">
        <v>25334500</v>
      </c>
      <c r="K148" s="541">
        <v>4625657</v>
      </c>
      <c r="L148" s="541">
        <v>4625657</v>
      </c>
      <c r="M148" s="541">
        <v>20708843</v>
      </c>
    </row>
    <row r="149" spans="1:13" ht="22.5" customHeight="1">
      <c r="A149" s="539" t="s">
        <v>1242</v>
      </c>
      <c r="B149" s="540" t="s">
        <v>29</v>
      </c>
      <c r="C149" s="539" t="s">
        <v>2288</v>
      </c>
      <c r="D149" s="540" t="s">
        <v>1332</v>
      </c>
      <c r="E149" s="539" t="s">
        <v>90</v>
      </c>
      <c r="F149" s="539" t="s">
        <v>1333</v>
      </c>
      <c r="G149" s="541"/>
      <c r="H149" s="541">
        <v>14800000</v>
      </c>
      <c r="I149" s="541"/>
      <c r="J149" s="541">
        <v>14800000</v>
      </c>
      <c r="K149" s="541">
        <v>2702233</v>
      </c>
      <c r="L149" s="541">
        <v>2702233</v>
      </c>
      <c r="M149" s="541">
        <v>12097767</v>
      </c>
    </row>
    <row r="150" spans="1:13" ht="22.5" customHeight="1">
      <c r="A150" s="539" t="s">
        <v>1242</v>
      </c>
      <c r="B150" s="540" t="s">
        <v>29</v>
      </c>
      <c r="C150" s="539" t="s">
        <v>2329</v>
      </c>
      <c r="D150" s="540" t="s">
        <v>29</v>
      </c>
      <c r="E150" s="539" t="s">
        <v>90</v>
      </c>
      <c r="F150" s="539" t="s">
        <v>1335</v>
      </c>
      <c r="G150" s="541"/>
      <c r="H150" s="541">
        <v>138000000</v>
      </c>
      <c r="I150" s="541"/>
      <c r="J150" s="541">
        <v>138000000</v>
      </c>
      <c r="K150" s="541">
        <v>25196500</v>
      </c>
      <c r="L150" s="541">
        <v>25196500</v>
      </c>
      <c r="M150" s="541">
        <v>112803500</v>
      </c>
    </row>
    <row r="151" spans="1:13" ht="22.5" customHeight="1">
      <c r="A151" s="539" t="s">
        <v>1242</v>
      </c>
      <c r="B151" s="540" t="s">
        <v>29</v>
      </c>
      <c r="C151" s="539" t="s">
        <v>2330</v>
      </c>
      <c r="D151" s="540" t="s">
        <v>1336</v>
      </c>
      <c r="E151" s="539" t="s">
        <v>90</v>
      </c>
      <c r="F151" s="539" t="s">
        <v>1333</v>
      </c>
      <c r="G151" s="541"/>
      <c r="H151" s="541">
        <v>2250000</v>
      </c>
      <c r="I151" s="541"/>
      <c r="J151" s="541">
        <v>2250000</v>
      </c>
      <c r="K151" s="541">
        <v>410812</v>
      </c>
      <c r="L151" s="541">
        <v>410812</v>
      </c>
      <c r="M151" s="541">
        <v>1839188</v>
      </c>
    </row>
    <row r="152" spans="1:13" ht="22.5" customHeight="1">
      <c r="A152" s="539" t="s">
        <v>1242</v>
      </c>
      <c r="B152" s="540" t="s">
        <v>29</v>
      </c>
      <c r="C152" s="539" t="s">
        <v>2331</v>
      </c>
      <c r="D152" s="540" t="s">
        <v>146</v>
      </c>
      <c r="E152" s="539" t="s">
        <v>90</v>
      </c>
      <c r="F152" s="539" t="s">
        <v>1333</v>
      </c>
      <c r="G152" s="541"/>
      <c r="H152" s="541">
        <v>900000</v>
      </c>
      <c r="I152" s="541"/>
      <c r="J152" s="541">
        <v>900000</v>
      </c>
      <c r="K152" s="541">
        <v>164325</v>
      </c>
      <c r="L152" s="541">
        <v>164325</v>
      </c>
      <c r="M152" s="541">
        <v>735675</v>
      </c>
    </row>
    <row r="153" spans="1:13" ht="22.5" customHeight="1">
      <c r="A153" s="539" t="s">
        <v>1242</v>
      </c>
      <c r="B153" s="540" t="s">
        <v>29</v>
      </c>
      <c r="C153" s="539" t="s">
        <v>2332</v>
      </c>
      <c r="D153" s="540" t="s">
        <v>1337</v>
      </c>
      <c r="E153" s="539" t="s">
        <v>90</v>
      </c>
      <c r="F153" s="539" t="s">
        <v>1338</v>
      </c>
      <c r="G153" s="541"/>
      <c r="H153" s="541">
        <v>3022000</v>
      </c>
      <c r="I153" s="541"/>
      <c r="J153" s="541">
        <v>3022000</v>
      </c>
      <c r="K153" s="541">
        <v>472943</v>
      </c>
      <c r="L153" s="541">
        <v>472943</v>
      </c>
      <c r="M153" s="541">
        <v>2549057</v>
      </c>
    </row>
    <row r="154" spans="1:13" ht="22.5" customHeight="1">
      <c r="A154" s="539" t="s">
        <v>1242</v>
      </c>
      <c r="B154" s="540" t="s">
        <v>29</v>
      </c>
      <c r="C154" s="539" t="s">
        <v>2333</v>
      </c>
      <c r="D154" s="540" t="s">
        <v>1339</v>
      </c>
      <c r="E154" s="539" t="s">
        <v>90</v>
      </c>
      <c r="F154" s="539" t="s">
        <v>1340</v>
      </c>
      <c r="G154" s="541"/>
      <c r="H154" s="541">
        <v>1450000</v>
      </c>
      <c r="I154" s="541"/>
      <c r="J154" s="541">
        <v>1450000</v>
      </c>
      <c r="K154" s="541">
        <v>189104</v>
      </c>
      <c r="L154" s="541">
        <v>189104</v>
      </c>
      <c r="M154" s="541">
        <v>1260896</v>
      </c>
    </row>
    <row r="155" spans="1:13" ht="22.5" customHeight="1">
      <c r="A155" s="539" t="s">
        <v>1262</v>
      </c>
      <c r="B155" s="540" t="s">
        <v>31</v>
      </c>
      <c r="C155" s="539" t="s">
        <v>2271</v>
      </c>
      <c r="D155" s="540" t="s">
        <v>2370</v>
      </c>
      <c r="E155" s="539" t="s">
        <v>90</v>
      </c>
      <c r="F155" s="539" t="s">
        <v>1335</v>
      </c>
      <c r="G155" s="541"/>
      <c r="H155" s="541">
        <v>1578500000</v>
      </c>
      <c r="I155" s="541"/>
      <c r="J155" s="541">
        <v>1578500000</v>
      </c>
      <c r="K155" s="541">
        <v>288207791</v>
      </c>
      <c r="L155" s="541">
        <v>288207791</v>
      </c>
      <c r="M155" s="541">
        <v>1290292209</v>
      </c>
    </row>
    <row r="156" spans="1:13" ht="22.5" customHeight="1">
      <c r="A156" s="861" t="s">
        <v>2371</v>
      </c>
      <c r="B156" s="861"/>
      <c r="C156" s="861"/>
      <c r="D156" s="861"/>
      <c r="E156" s="861"/>
      <c r="F156" s="861"/>
      <c r="G156" s="545"/>
      <c r="H156" s="545">
        <v>1885688107</v>
      </c>
      <c r="I156" s="545"/>
      <c r="J156" s="545">
        <v>1885688107</v>
      </c>
      <c r="K156" s="545">
        <v>350925979</v>
      </c>
      <c r="L156" s="545">
        <v>350925979</v>
      </c>
      <c r="M156" s="545">
        <v>1534762128</v>
      </c>
    </row>
    <row r="157" spans="1:13" ht="22.5" customHeight="1">
      <c r="A157" s="861" t="s">
        <v>2167</v>
      </c>
      <c r="B157" s="861"/>
      <c r="C157" s="861"/>
      <c r="D157" s="861"/>
      <c r="E157" s="861"/>
      <c r="F157" s="861"/>
      <c r="G157" s="545">
        <v>10855200208</v>
      </c>
      <c r="H157" s="545">
        <v>3397519480</v>
      </c>
      <c r="I157" s="545">
        <v>210718637</v>
      </c>
      <c r="J157" s="545">
        <v>14042001051</v>
      </c>
      <c r="K157" s="545">
        <v>1685754791</v>
      </c>
      <c r="L157" s="545">
        <v>3703579720</v>
      </c>
      <c r="M157" s="545">
        <v>10535079267</v>
      </c>
    </row>
  </sheetData>
  <mergeCells count="6">
    <mergeCell ref="A157:F157"/>
    <mergeCell ref="A91:F91"/>
    <mergeCell ref="A110:F110"/>
    <mergeCell ref="A125:F125"/>
    <mergeCell ref="A141:F141"/>
    <mergeCell ref="A156:F156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B3:F48"/>
  <sheetViews>
    <sheetView topLeftCell="A25" workbookViewId="0">
      <selection activeCell="D31" sqref="D31"/>
    </sheetView>
  </sheetViews>
  <sheetFormatPr defaultColWidth="9" defaultRowHeight="13.5"/>
  <cols>
    <col min="1" max="1" width="2.7109375" style="174" customWidth="1"/>
    <col min="2" max="2" width="9.7109375" style="174" customWidth="1"/>
    <col min="3" max="3" width="45" style="174" customWidth="1"/>
    <col min="4" max="4" width="19.42578125" style="176" customWidth="1"/>
    <col min="5" max="5" width="27.140625" style="190" customWidth="1"/>
    <col min="6" max="6" width="14" style="175" bestFit="1" customWidth="1"/>
    <col min="7" max="16384" width="9" style="174"/>
  </cols>
  <sheetData>
    <row r="3" spans="2:5" ht="26.25">
      <c r="C3" s="774" t="s">
        <v>915</v>
      </c>
      <c r="D3" s="774"/>
      <c r="E3" s="774"/>
    </row>
    <row r="4" spans="2:5" ht="16.5">
      <c r="C4" s="775" t="s">
        <v>917</v>
      </c>
      <c r="D4" s="775"/>
      <c r="E4" s="775"/>
    </row>
    <row r="5" spans="2:5" ht="14.25" thickBot="1">
      <c r="C5" s="174" t="s">
        <v>916</v>
      </c>
      <c r="E5" s="176" t="s">
        <v>906</v>
      </c>
    </row>
    <row r="6" spans="2:5" ht="21" customHeight="1">
      <c r="B6" s="776" t="s">
        <v>903</v>
      </c>
      <c r="C6" s="777"/>
      <c r="D6" s="177" t="s">
        <v>905</v>
      </c>
      <c r="E6" s="178" t="s">
        <v>332</v>
      </c>
    </row>
    <row r="7" spans="2:5" ht="21" customHeight="1">
      <c r="B7" s="771" t="s">
        <v>2059</v>
      </c>
      <c r="C7" s="179" t="s">
        <v>2050</v>
      </c>
      <c r="D7" s="195">
        <f>'별첨2_분할명세(유동자산부채)'!I3</f>
        <v>2006450</v>
      </c>
      <c r="E7" s="181" t="s">
        <v>2409</v>
      </c>
    </row>
    <row r="8" spans="2:5" ht="21" customHeight="1">
      <c r="B8" s="772"/>
      <c r="C8" s="179" t="s">
        <v>2051</v>
      </c>
      <c r="D8" s="195">
        <f>'별첨2_분할명세(유동자산부채)'!I4</f>
        <v>213575321</v>
      </c>
      <c r="E8" s="181" t="s">
        <v>2409</v>
      </c>
    </row>
    <row r="9" spans="2:5" ht="21" customHeight="1">
      <c r="B9" s="772"/>
      <c r="C9" s="179" t="s">
        <v>2052</v>
      </c>
      <c r="D9" s="195">
        <f>'별첨2_분할명세(유동자산부채)'!I5</f>
        <v>1453851118</v>
      </c>
      <c r="E9" s="181" t="s">
        <v>2408</v>
      </c>
    </row>
    <row r="10" spans="2:5" ht="21" customHeight="1">
      <c r="B10" s="772"/>
      <c r="C10" s="179" t="s">
        <v>2053</v>
      </c>
      <c r="D10" s="195">
        <f>'별첨2_분할명세(유동자산부채)'!I6</f>
        <v>6245491</v>
      </c>
      <c r="E10" s="181" t="s">
        <v>2408</v>
      </c>
    </row>
    <row r="11" spans="2:5" ht="21" customHeight="1">
      <c r="B11" s="772"/>
      <c r="C11" s="179" t="s">
        <v>2054</v>
      </c>
      <c r="D11" s="195">
        <f>'별첨2_분할명세(유동자산부채)'!I7</f>
        <v>225553846</v>
      </c>
      <c r="E11" s="181" t="s">
        <v>2408</v>
      </c>
    </row>
    <row r="12" spans="2:5" ht="21" customHeight="1">
      <c r="B12" s="772"/>
      <c r="C12" s="179" t="s">
        <v>2055</v>
      </c>
      <c r="D12" s="195">
        <f>'별첨2_분할명세(유동자산부채)'!I8</f>
        <v>4200</v>
      </c>
      <c r="E12" s="181" t="s">
        <v>2408</v>
      </c>
    </row>
    <row r="13" spans="2:5" ht="21" customHeight="1">
      <c r="B13" s="772"/>
      <c r="C13" s="179" t="s">
        <v>2056</v>
      </c>
      <c r="D13" s="195">
        <f>'별첨3_분할명세(식재료,보증금 외)'!H420</f>
        <v>39997422</v>
      </c>
      <c r="E13" s="181" t="s">
        <v>2414</v>
      </c>
    </row>
    <row r="14" spans="2:5" ht="21" customHeight="1">
      <c r="B14" s="772"/>
      <c r="C14" s="179" t="s">
        <v>2420</v>
      </c>
      <c r="D14" s="195">
        <f>'영업점별 IS(통합)'!D13</f>
        <v>14364639</v>
      </c>
      <c r="E14" s="766" t="s">
        <v>2431</v>
      </c>
    </row>
    <row r="15" spans="2:5" ht="21" customHeight="1">
      <c r="B15" s="772"/>
      <c r="C15" s="179" t="s">
        <v>2427</v>
      </c>
      <c r="D15" s="195">
        <f>'영업점별 IS(통합)'!F13</f>
        <v>8402555</v>
      </c>
      <c r="E15" s="767"/>
    </row>
    <row r="16" spans="2:5" ht="21" customHeight="1">
      <c r="B16" s="772"/>
      <c r="C16" s="179" t="s">
        <v>2428</v>
      </c>
      <c r="D16" s="195">
        <f>'영업점별 IS(통합)'!H13</f>
        <v>2910623</v>
      </c>
      <c r="E16" s="767"/>
    </row>
    <row r="17" spans="2:6" ht="21" customHeight="1">
      <c r="B17" s="772"/>
      <c r="C17" s="179" t="s">
        <v>2429</v>
      </c>
      <c r="D17" s="195">
        <f>'영업점별 IS(통합)'!J13</f>
        <v>8389940</v>
      </c>
      <c r="E17" s="767"/>
    </row>
    <row r="18" spans="2:6" ht="21" customHeight="1">
      <c r="B18" s="772"/>
      <c r="C18" s="179" t="s">
        <v>2430</v>
      </c>
      <c r="D18" s="195">
        <f>'영업점별 IS(통합)'!L13</f>
        <v>5929664</v>
      </c>
      <c r="E18" s="768"/>
    </row>
    <row r="19" spans="2:6" ht="21" customHeight="1">
      <c r="B19" s="772"/>
      <c r="C19" s="179" t="s">
        <v>2057</v>
      </c>
      <c r="D19" s="180">
        <f>D22+D24+D26</f>
        <v>7649971253</v>
      </c>
      <c r="E19" s="766" t="s">
        <v>2411</v>
      </c>
    </row>
    <row r="20" spans="2:6" ht="21" customHeight="1">
      <c r="B20" s="772"/>
      <c r="C20" s="182" t="s">
        <v>910</v>
      </c>
      <c r="D20" s="183">
        <f>D23+D25+D27</f>
        <v>-2146331070</v>
      </c>
      <c r="E20" s="767"/>
    </row>
    <row r="21" spans="2:6" ht="21" customHeight="1">
      <c r="B21" s="772"/>
      <c r="C21" s="182" t="s">
        <v>909</v>
      </c>
      <c r="D21" s="195">
        <f>D19+D20</f>
        <v>5503640183</v>
      </c>
      <c r="E21" s="767"/>
      <c r="F21" s="186" t="s">
        <v>904</v>
      </c>
    </row>
    <row r="22" spans="2:6" ht="21" customHeight="1">
      <c r="B22" s="772"/>
      <c r="C22" s="191" t="s">
        <v>913</v>
      </c>
      <c r="D22" s="184">
        <f>'별첨4_분할명세(고정자산)'!H90</f>
        <v>1330335527</v>
      </c>
      <c r="E22" s="767"/>
    </row>
    <row r="23" spans="2:6" ht="21" customHeight="1">
      <c r="B23" s="772"/>
      <c r="C23" s="191" t="s">
        <v>2068</v>
      </c>
      <c r="D23" s="183">
        <f>-'별첨4_분할명세(고정자산)'!P90</f>
        <v>-331537992</v>
      </c>
      <c r="E23" s="767"/>
      <c r="F23" s="186" t="s">
        <v>904</v>
      </c>
    </row>
    <row r="24" spans="2:6" ht="21" customHeight="1">
      <c r="B24" s="772"/>
      <c r="C24" s="191" t="s">
        <v>914</v>
      </c>
      <c r="D24" s="180">
        <f>'별첨4_분할명세(고정자산)'!H129</f>
        <v>108779882</v>
      </c>
      <c r="E24" s="767"/>
    </row>
    <row r="25" spans="2:6" ht="21" customHeight="1">
      <c r="B25" s="772"/>
      <c r="C25" s="191" t="s">
        <v>2069</v>
      </c>
      <c r="D25" s="183">
        <f>-'별첨4_분할명세(고정자산)'!P129</f>
        <v>-26357346</v>
      </c>
      <c r="E25" s="767"/>
      <c r="F25" s="186" t="s">
        <v>904</v>
      </c>
    </row>
    <row r="26" spans="2:6" ht="21" customHeight="1">
      <c r="B26" s="772"/>
      <c r="C26" s="191" t="s">
        <v>2067</v>
      </c>
      <c r="D26" s="180">
        <f>'별첨4_분할명세(고정자산)'!H192</f>
        <v>6210855844</v>
      </c>
      <c r="E26" s="767"/>
    </row>
    <row r="27" spans="2:6" ht="21" customHeight="1">
      <c r="B27" s="772"/>
      <c r="C27" s="191" t="s">
        <v>2070</v>
      </c>
      <c r="D27" s="183">
        <f>-'별첨4_분할명세(고정자산)'!P192</f>
        <v>-1788435732</v>
      </c>
      <c r="E27" s="767"/>
      <c r="F27" s="187" t="s">
        <v>904</v>
      </c>
    </row>
    <row r="28" spans="2:6" ht="21" customHeight="1">
      <c r="B28" s="772"/>
      <c r="C28" s="179" t="s">
        <v>2058</v>
      </c>
      <c r="D28" s="188">
        <f>'별첨4_분할명세(고정자산)'!G232</f>
        <v>1175277500</v>
      </c>
      <c r="E28" s="767"/>
      <c r="F28" s="187"/>
    </row>
    <row r="29" spans="2:6" ht="21" customHeight="1">
      <c r="B29" s="772"/>
      <c r="C29" s="191" t="s">
        <v>2004</v>
      </c>
      <c r="D29" s="188">
        <f>'별첨4_분할명세(고정자산)'!P232</f>
        <v>127325958</v>
      </c>
      <c r="E29" s="767"/>
      <c r="F29" s="187"/>
    </row>
    <row r="30" spans="2:6" ht="21" customHeight="1">
      <c r="B30" s="772"/>
      <c r="C30" s="191" t="s">
        <v>2005</v>
      </c>
      <c r="D30" s="196">
        <f>D28-D29</f>
        <v>1047951542</v>
      </c>
      <c r="E30" s="768"/>
      <c r="F30" s="187"/>
    </row>
    <row r="31" spans="2:6" ht="21" customHeight="1">
      <c r="B31" s="772"/>
      <c r="C31" s="179" t="s">
        <v>2173</v>
      </c>
      <c r="D31" s="196">
        <f>'별첨3_분할명세(식재료,보증금 외)'!H1020</f>
        <v>451290000</v>
      </c>
      <c r="E31" s="185" t="s">
        <v>2413</v>
      </c>
      <c r="F31" s="187"/>
    </row>
    <row r="32" spans="2:6" ht="21" customHeight="1">
      <c r="B32" s="772"/>
      <c r="C32" s="179" t="s">
        <v>2174</v>
      </c>
      <c r="D32" s="195">
        <f>SUM(D33:D36)</f>
        <v>799035060</v>
      </c>
      <c r="E32" s="766" t="s">
        <v>2414</v>
      </c>
      <c r="F32" s="186"/>
    </row>
    <row r="33" spans="2:6" ht="21" customHeight="1">
      <c r="B33" s="772"/>
      <c r="C33" s="194" t="s">
        <v>414</v>
      </c>
      <c r="D33" s="180">
        <f>'별첨3_분할명세(식재료,보증금 외)'!H1008</f>
        <v>450000000</v>
      </c>
      <c r="E33" s="767"/>
    </row>
    <row r="34" spans="2:6" ht="21" customHeight="1">
      <c r="B34" s="772"/>
      <c r="C34" s="194" t="s">
        <v>770</v>
      </c>
      <c r="D34" s="180">
        <f>'별첨3_분할명세(식재료,보증금 외)'!H1005</f>
        <v>227035060</v>
      </c>
      <c r="E34" s="767"/>
    </row>
    <row r="35" spans="2:6" ht="21" customHeight="1">
      <c r="B35" s="772"/>
      <c r="C35" s="194" t="s">
        <v>1002</v>
      </c>
      <c r="D35" s="180">
        <f>'별첨3_분할명세(식재료,보증금 외)'!H1006</f>
        <v>20000000</v>
      </c>
      <c r="E35" s="767"/>
    </row>
    <row r="36" spans="2:6" ht="21" customHeight="1">
      <c r="B36" s="772"/>
      <c r="C36" s="194" t="s">
        <v>1298</v>
      </c>
      <c r="D36" s="180">
        <f>'별첨3_분할명세(식재료,보증금 외)'!H1007</f>
        <v>102000000</v>
      </c>
      <c r="E36" s="768"/>
    </row>
    <row r="37" spans="2:6" ht="21" customHeight="1">
      <c r="B37" s="773"/>
      <c r="C37" s="197" t="s">
        <v>2060</v>
      </c>
      <c r="D37" s="198">
        <f>SUM(D7:D13)+D21+D30+D32+D31</f>
        <v>9743150633</v>
      </c>
      <c r="E37" s="199"/>
    </row>
    <row r="38" spans="2:6" ht="21" customHeight="1">
      <c r="B38" s="771" t="s">
        <v>918</v>
      </c>
      <c r="C38" s="191" t="s">
        <v>2061</v>
      </c>
      <c r="D38" s="180">
        <f>'별첨2_분할명세(유동자산부채)'!I9</f>
        <v>604111487</v>
      </c>
      <c r="E38" s="766" t="s">
        <v>2409</v>
      </c>
    </row>
    <row r="39" spans="2:6" ht="21" customHeight="1">
      <c r="B39" s="772"/>
      <c r="C39" s="191" t="s">
        <v>2062</v>
      </c>
      <c r="D39" s="180">
        <f>'별첨2_분할명세(유동자산부채)'!I10</f>
        <v>541899412</v>
      </c>
      <c r="E39" s="767"/>
    </row>
    <row r="40" spans="2:6" ht="21" customHeight="1">
      <c r="B40" s="772"/>
      <c r="C40" s="191" t="s">
        <v>2063</v>
      </c>
      <c r="D40" s="180">
        <f>'별첨2_분할명세(유동자산부채)'!I11</f>
        <v>72453920</v>
      </c>
      <c r="E40" s="767"/>
    </row>
    <row r="41" spans="2:6" ht="21" customHeight="1">
      <c r="B41" s="772"/>
      <c r="C41" s="191" t="s">
        <v>2064</v>
      </c>
      <c r="D41" s="180">
        <f>'별첨2_분할명세(유동자산부채)'!I12</f>
        <v>50875490</v>
      </c>
      <c r="E41" s="767"/>
    </row>
    <row r="42" spans="2:6" ht="21" customHeight="1">
      <c r="B42" s="772"/>
      <c r="C42" s="191" t="s">
        <v>2065</v>
      </c>
      <c r="D42" s="180">
        <f>'별첨2_분할명세(유동자산부채)'!I14</f>
        <v>59883115</v>
      </c>
      <c r="E42" s="767"/>
    </row>
    <row r="43" spans="2:6" ht="21" customHeight="1">
      <c r="B43" s="772"/>
      <c r="C43" s="191" t="s">
        <v>2075</v>
      </c>
      <c r="D43" s="180">
        <f>'별첨2_분할명세(유동자산부채)'!I13</f>
        <v>240000000</v>
      </c>
      <c r="E43" s="768"/>
    </row>
    <row r="44" spans="2:6" ht="21" customHeight="1">
      <c r="B44" s="772"/>
      <c r="C44" s="191" t="s">
        <v>2066</v>
      </c>
      <c r="D44" s="180">
        <f>SUM(D45:D45)</f>
        <v>396666668</v>
      </c>
      <c r="E44" s="769" t="s">
        <v>2415</v>
      </c>
    </row>
    <row r="45" spans="2:6" ht="21" customHeight="1">
      <c r="B45" s="772"/>
      <c r="C45" s="191" t="s">
        <v>414</v>
      </c>
      <c r="D45" s="180">
        <f>'별첨3_분할명세(식재료,보증금 외)'!H932</f>
        <v>396666668</v>
      </c>
      <c r="E45" s="770"/>
    </row>
    <row r="46" spans="2:6" ht="21" customHeight="1">
      <c r="B46" s="773"/>
      <c r="C46" s="197" t="s">
        <v>2071</v>
      </c>
      <c r="D46" s="203">
        <f>D38+D39+D40+D41+D42+D44+D43</f>
        <v>1965890092</v>
      </c>
      <c r="E46" s="204"/>
    </row>
    <row r="47" spans="2:6" s="192" customFormat="1" ht="21.75" customHeight="1" thickBot="1">
      <c r="B47" s="193"/>
      <c r="C47" s="200" t="s">
        <v>911</v>
      </c>
      <c r="D47" s="201">
        <f>D37-D46</f>
        <v>7777260541</v>
      </c>
      <c r="E47" s="202"/>
      <c r="F47" s="54"/>
    </row>
    <row r="48" spans="2:6">
      <c r="D48" s="189" t="b">
        <f>D47=자산부채분할내역!E86</f>
        <v>1</v>
      </c>
    </row>
  </sheetData>
  <mergeCells count="10">
    <mergeCell ref="E38:E43"/>
    <mergeCell ref="E44:E45"/>
    <mergeCell ref="B38:B46"/>
    <mergeCell ref="E14:E18"/>
    <mergeCell ref="C3:E3"/>
    <mergeCell ref="C4:E4"/>
    <mergeCell ref="B6:C6"/>
    <mergeCell ref="B7:B37"/>
    <mergeCell ref="E19:E30"/>
    <mergeCell ref="E32:E36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3EF6-1375-4A25-902B-E47E206683D2}">
  <sheetPr>
    <tabColor theme="4" tint="-0.249977111117893"/>
  </sheetPr>
  <dimension ref="A2:I14"/>
  <sheetViews>
    <sheetView workbookViewId="0">
      <selection activeCell="D18" sqref="D18"/>
    </sheetView>
  </sheetViews>
  <sheetFormatPr defaultColWidth="9" defaultRowHeight="16.5"/>
  <cols>
    <col min="1" max="1" width="27" style="213" customWidth="1"/>
    <col min="2" max="3" width="22" style="213" hidden="1" customWidth="1"/>
    <col min="4" max="8" width="18" style="213" customWidth="1"/>
    <col min="9" max="9" width="17.7109375" style="213" customWidth="1"/>
    <col min="10" max="16384" width="9" style="213"/>
  </cols>
  <sheetData>
    <row r="2" spans="1:9" s="211" customFormat="1">
      <c r="A2" s="208" t="s">
        <v>2024</v>
      </c>
      <c r="B2" s="778" t="s">
        <v>2025</v>
      </c>
      <c r="C2" s="778"/>
      <c r="D2" s="209" t="s">
        <v>2421</v>
      </c>
      <c r="E2" s="208" t="s">
        <v>2425</v>
      </c>
      <c r="F2" s="208" t="s">
        <v>2424</v>
      </c>
      <c r="G2" s="208" t="s">
        <v>2422</v>
      </c>
      <c r="H2" s="208" t="s">
        <v>2423</v>
      </c>
      <c r="I2" s="210" t="s">
        <v>2072</v>
      </c>
    </row>
    <row r="3" spans="1:9">
      <c r="A3" s="212" t="s">
        <v>2026</v>
      </c>
      <c r="B3" s="124" t="s">
        <v>90</v>
      </c>
      <c r="C3" s="124" t="s">
        <v>2027</v>
      </c>
      <c r="D3" s="124">
        <v>163150</v>
      </c>
      <c r="E3" s="124">
        <v>1175100</v>
      </c>
      <c r="F3" s="124">
        <v>368200</v>
      </c>
      <c r="G3" s="212"/>
      <c r="H3" s="124">
        <v>300000</v>
      </c>
      <c r="I3" s="216">
        <f t="shared" ref="I3:I14" si="0">SUM(D3:H3)</f>
        <v>2006450</v>
      </c>
    </row>
    <row r="4" spans="1:9">
      <c r="A4" s="212" t="s">
        <v>2028</v>
      </c>
      <c r="B4" s="124" t="s">
        <v>90</v>
      </c>
      <c r="C4" s="124" t="s">
        <v>2029</v>
      </c>
      <c r="D4" s="124">
        <v>159937095</v>
      </c>
      <c r="E4" s="124">
        <v>37310357</v>
      </c>
      <c r="F4" s="124">
        <v>7584092</v>
      </c>
      <c r="G4" s="124">
        <v>5677415</v>
      </c>
      <c r="H4" s="124">
        <v>3066362</v>
      </c>
      <c r="I4" s="216">
        <f t="shared" si="0"/>
        <v>213575321</v>
      </c>
    </row>
    <row r="5" spans="1:9">
      <c r="A5" s="212" t="s">
        <v>2030</v>
      </c>
      <c r="B5" s="124" t="s">
        <v>90</v>
      </c>
      <c r="C5" s="124" t="s">
        <v>2031</v>
      </c>
      <c r="D5" s="124">
        <v>527848677</v>
      </c>
      <c r="E5" s="124">
        <v>18659227</v>
      </c>
      <c r="F5" s="124">
        <v>243204183</v>
      </c>
      <c r="G5" s="124">
        <v>292146162</v>
      </c>
      <c r="H5" s="124">
        <v>371992869</v>
      </c>
      <c r="I5" s="216">
        <f t="shared" si="0"/>
        <v>1453851118</v>
      </c>
    </row>
    <row r="6" spans="1:9">
      <c r="A6" s="212" t="s">
        <v>2033</v>
      </c>
      <c r="B6" s="124" t="s">
        <v>90</v>
      </c>
      <c r="C6" s="124" t="s">
        <v>2034</v>
      </c>
      <c r="D6" s="124">
        <v>1581356</v>
      </c>
      <c r="E6" s="212"/>
      <c r="F6" s="124">
        <v>851925</v>
      </c>
      <c r="G6" s="124">
        <v>3178010</v>
      </c>
      <c r="H6" s="124">
        <v>634200</v>
      </c>
      <c r="I6" s="216">
        <f t="shared" si="0"/>
        <v>6245491</v>
      </c>
    </row>
    <row r="7" spans="1:9">
      <c r="A7" s="212" t="s">
        <v>2035</v>
      </c>
      <c r="B7" s="124" t="s">
        <v>90</v>
      </c>
      <c r="C7" s="124" t="s">
        <v>2036</v>
      </c>
      <c r="D7" s="124">
        <v>59073626</v>
      </c>
      <c r="E7" s="124">
        <v>53703297</v>
      </c>
      <c r="F7" s="124">
        <v>53703297</v>
      </c>
      <c r="G7" s="124">
        <v>59073626</v>
      </c>
      <c r="H7" s="124"/>
      <c r="I7" s="216">
        <f t="shared" si="0"/>
        <v>225553846</v>
      </c>
    </row>
    <row r="8" spans="1:9">
      <c r="A8" s="212" t="s">
        <v>2037</v>
      </c>
      <c r="B8" s="124" t="s">
        <v>90</v>
      </c>
      <c r="C8" s="124" t="s">
        <v>2032</v>
      </c>
      <c r="D8" s="124">
        <v>2330</v>
      </c>
      <c r="E8" s="212"/>
      <c r="F8" s="124">
        <v>1870</v>
      </c>
      <c r="G8" s="212" t="s">
        <v>904</v>
      </c>
      <c r="H8" s="214"/>
      <c r="I8" s="216">
        <f t="shared" si="0"/>
        <v>4200</v>
      </c>
    </row>
    <row r="9" spans="1:9">
      <c r="A9" s="212" t="s">
        <v>2038</v>
      </c>
      <c r="B9" s="124" t="s">
        <v>90</v>
      </c>
      <c r="C9" s="124" t="s">
        <v>2039</v>
      </c>
      <c r="D9" s="124">
        <v>200932942</v>
      </c>
      <c r="E9" s="124">
        <v>34800950</v>
      </c>
      <c r="F9" s="124">
        <v>122793927</v>
      </c>
      <c r="G9" s="124">
        <v>83568250</v>
      </c>
      <c r="H9" s="124">
        <v>162015418</v>
      </c>
      <c r="I9" s="216">
        <f t="shared" si="0"/>
        <v>604111487</v>
      </c>
    </row>
    <row r="10" spans="1:9">
      <c r="A10" s="212" t="s">
        <v>2040</v>
      </c>
      <c r="B10" s="124" t="s">
        <v>90</v>
      </c>
      <c r="C10" s="124" t="s">
        <v>2041</v>
      </c>
      <c r="D10" s="124">
        <v>189502510</v>
      </c>
      <c r="E10" s="124">
        <v>57731618</v>
      </c>
      <c r="F10" s="124">
        <v>90342484</v>
      </c>
      <c r="G10" s="124">
        <v>126969899</v>
      </c>
      <c r="H10" s="124">
        <v>77352901</v>
      </c>
      <c r="I10" s="216">
        <f t="shared" si="0"/>
        <v>541899412</v>
      </c>
    </row>
    <row r="11" spans="1:9">
      <c r="A11" s="212" t="s">
        <v>2042</v>
      </c>
      <c r="B11" s="124" t="s">
        <v>90</v>
      </c>
      <c r="C11" s="124" t="s">
        <v>2043</v>
      </c>
      <c r="D11" s="124">
        <v>22557140</v>
      </c>
      <c r="E11" s="124">
        <v>11801330</v>
      </c>
      <c r="F11" s="124">
        <v>16570870</v>
      </c>
      <c r="G11" s="124">
        <v>18689160</v>
      </c>
      <c r="H11" s="124">
        <v>2835420</v>
      </c>
      <c r="I11" s="216">
        <f t="shared" si="0"/>
        <v>72453920</v>
      </c>
    </row>
    <row r="12" spans="1:9">
      <c r="A12" s="212" t="s">
        <v>2044</v>
      </c>
      <c r="B12" s="124" t="s">
        <v>90</v>
      </c>
      <c r="C12" s="124" t="s">
        <v>2045</v>
      </c>
      <c r="D12" s="215"/>
      <c r="E12" s="212"/>
      <c r="F12" s="215"/>
      <c r="G12" s="124">
        <v>50875490</v>
      </c>
      <c r="H12" s="214"/>
      <c r="I12" s="216">
        <f t="shared" si="0"/>
        <v>50875490</v>
      </c>
    </row>
    <row r="13" spans="1:9">
      <c r="A13" s="212" t="s">
        <v>2046</v>
      </c>
      <c r="B13" s="124" t="s">
        <v>90</v>
      </c>
      <c r="C13" s="124" t="s">
        <v>2047</v>
      </c>
      <c r="D13" s="215"/>
      <c r="E13" s="212"/>
      <c r="F13" s="124">
        <v>240000000</v>
      </c>
      <c r="G13" s="215"/>
      <c r="H13" s="215"/>
      <c r="I13" s="216">
        <f t="shared" si="0"/>
        <v>240000000</v>
      </c>
    </row>
    <row r="14" spans="1:9">
      <c r="A14" s="212" t="s">
        <v>2048</v>
      </c>
      <c r="B14" s="124" t="s">
        <v>90</v>
      </c>
      <c r="C14" s="124" t="s">
        <v>2049</v>
      </c>
      <c r="D14" s="124">
        <v>35910637</v>
      </c>
      <c r="E14" s="124">
        <v>4622714</v>
      </c>
      <c r="F14" s="124">
        <v>6168386</v>
      </c>
      <c r="G14" s="124">
        <v>10947820</v>
      </c>
      <c r="H14" s="124">
        <v>2233558</v>
      </c>
      <c r="I14" s="216">
        <f t="shared" si="0"/>
        <v>59883115</v>
      </c>
    </row>
  </sheetData>
  <mergeCells count="1">
    <mergeCell ref="B2:C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F6914-1CCF-4ECB-9E99-01D49F1FCB22}">
  <sheetPr>
    <tabColor theme="4" tint="-0.249977111117893"/>
  </sheetPr>
  <dimension ref="A1:K1031"/>
  <sheetViews>
    <sheetView topLeftCell="C932" zoomScale="90" zoomScaleNormal="90" workbookViewId="0">
      <selection activeCell="H1005" sqref="H1005"/>
    </sheetView>
  </sheetViews>
  <sheetFormatPr defaultRowHeight="12.75"/>
  <cols>
    <col min="1" max="1" width="18.5703125" customWidth="1"/>
    <col min="2" max="2" width="27" style="133" customWidth="1"/>
    <col min="3" max="3" width="8.28515625" customWidth="1"/>
    <col min="4" max="10" width="25.28515625" customWidth="1"/>
    <col min="11" max="11" width="11" customWidth="1"/>
    <col min="257" max="257" width="18.5703125" customWidth="1"/>
    <col min="258" max="258" width="27" customWidth="1"/>
    <col min="259" max="259" width="8.28515625" customWidth="1"/>
    <col min="260" max="266" width="25.28515625" customWidth="1"/>
    <col min="267" max="267" width="11" customWidth="1"/>
    <col min="513" max="513" width="18.5703125" customWidth="1"/>
    <col min="514" max="514" width="27" customWidth="1"/>
    <col min="515" max="515" width="8.28515625" customWidth="1"/>
    <col min="516" max="522" width="25.28515625" customWidth="1"/>
    <col min="523" max="523" width="11" customWidth="1"/>
    <col min="769" max="769" width="18.5703125" customWidth="1"/>
    <col min="770" max="770" width="27" customWidth="1"/>
    <col min="771" max="771" width="8.28515625" customWidth="1"/>
    <col min="772" max="778" width="25.28515625" customWidth="1"/>
    <col min="779" max="779" width="11" customWidth="1"/>
    <col min="1025" max="1025" width="18.5703125" customWidth="1"/>
    <col min="1026" max="1026" width="27" customWidth="1"/>
    <col min="1027" max="1027" width="8.28515625" customWidth="1"/>
    <col min="1028" max="1034" width="25.28515625" customWidth="1"/>
    <col min="1035" max="1035" width="11" customWidth="1"/>
    <col min="1281" max="1281" width="18.5703125" customWidth="1"/>
    <col min="1282" max="1282" width="27" customWidth="1"/>
    <col min="1283" max="1283" width="8.28515625" customWidth="1"/>
    <col min="1284" max="1290" width="25.28515625" customWidth="1"/>
    <col min="1291" max="1291" width="11" customWidth="1"/>
    <col min="1537" max="1537" width="18.5703125" customWidth="1"/>
    <col min="1538" max="1538" width="27" customWidth="1"/>
    <col min="1539" max="1539" width="8.28515625" customWidth="1"/>
    <col min="1540" max="1546" width="25.28515625" customWidth="1"/>
    <col min="1547" max="1547" width="11" customWidth="1"/>
    <col min="1793" max="1793" width="18.5703125" customWidth="1"/>
    <col min="1794" max="1794" width="27" customWidth="1"/>
    <col min="1795" max="1795" width="8.28515625" customWidth="1"/>
    <col min="1796" max="1802" width="25.28515625" customWidth="1"/>
    <col min="1803" max="1803" width="11" customWidth="1"/>
    <col min="2049" max="2049" width="18.5703125" customWidth="1"/>
    <col min="2050" max="2050" width="27" customWidth="1"/>
    <col min="2051" max="2051" width="8.28515625" customWidth="1"/>
    <col min="2052" max="2058" width="25.28515625" customWidth="1"/>
    <col min="2059" max="2059" width="11" customWidth="1"/>
    <col min="2305" max="2305" width="18.5703125" customWidth="1"/>
    <col min="2306" max="2306" width="27" customWidth="1"/>
    <col min="2307" max="2307" width="8.28515625" customWidth="1"/>
    <col min="2308" max="2314" width="25.28515625" customWidth="1"/>
    <col min="2315" max="2315" width="11" customWidth="1"/>
    <col min="2561" max="2561" width="18.5703125" customWidth="1"/>
    <col min="2562" max="2562" width="27" customWidth="1"/>
    <col min="2563" max="2563" width="8.28515625" customWidth="1"/>
    <col min="2564" max="2570" width="25.28515625" customWidth="1"/>
    <col min="2571" max="2571" width="11" customWidth="1"/>
    <col min="2817" max="2817" width="18.5703125" customWidth="1"/>
    <col min="2818" max="2818" width="27" customWidth="1"/>
    <col min="2819" max="2819" width="8.28515625" customWidth="1"/>
    <col min="2820" max="2826" width="25.28515625" customWidth="1"/>
    <col min="2827" max="2827" width="11" customWidth="1"/>
    <col min="3073" max="3073" width="18.5703125" customWidth="1"/>
    <col min="3074" max="3074" width="27" customWidth="1"/>
    <col min="3075" max="3075" width="8.28515625" customWidth="1"/>
    <col min="3076" max="3082" width="25.28515625" customWidth="1"/>
    <col min="3083" max="3083" width="11" customWidth="1"/>
    <col min="3329" max="3329" width="18.5703125" customWidth="1"/>
    <col min="3330" max="3330" width="27" customWidth="1"/>
    <col min="3331" max="3331" width="8.28515625" customWidth="1"/>
    <col min="3332" max="3338" width="25.28515625" customWidth="1"/>
    <col min="3339" max="3339" width="11" customWidth="1"/>
    <col min="3585" max="3585" width="18.5703125" customWidth="1"/>
    <col min="3586" max="3586" width="27" customWidth="1"/>
    <col min="3587" max="3587" width="8.28515625" customWidth="1"/>
    <col min="3588" max="3594" width="25.28515625" customWidth="1"/>
    <col min="3595" max="3595" width="11" customWidth="1"/>
    <col min="3841" max="3841" width="18.5703125" customWidth="1"/>
    <col min="3842" max="3842" width="27" customWidth="1"/>
    <col min="3843" max="3843" width="8.28515625" customWidth="1"/>
    <col min="3844" max="3850" width="25.28515625" customWidth="1"/>
    <col min="3851" max="3851" width="11" customWidth="1"/>
    <col min="4097" max="4097" width="18.5703125" customWidth="1"/>
    <col min="4098" max="4098" width="27" customWidth="1"/>
    <col min="4099" max="4099" width="8.28515625" customWidth="1"/>
    <col min="4100" max="4106" width="25.28515625" customWidth="1"/>
    <col min="4107" max="4107" width="11" customWidth="1"/>
    <col min="4353" max="4353" width="18.5703125" customWidth="1"/>
    <col min="4354" max="4354" width="27" customWidth="1"/>
    <col min="4355" max="4355" width="8.28515625" customWidth="1"/>
    <col min="4356" max="4362" width="25.28515625" customWidth="1"/>
    <col min="4363" max="4363" width="11" customWidth="1"/>
    <col min="4609" max="4609" width="18.5703125" customWidth="1"/>
    <col min="4610" max="4610" width="27" customWidth="1"/>
    <col min="4611" max="4611" width="8.28515625" customWidth="1"/>
    <col min="4612" max="4618" width="25.28515625" customWidth="1"/>
    <col min="4619" max="4619" width="11" customWidth="1"/>
    <col min="4865" max="4865" width="18.5703125" customWidth="1"/>
    <col min="4866" max="4866" width="27" customWidth="1"/>
    <col min="4867" max="4867" width="8.28515625" customWidth="1"/>
    <col min="4868" max="4874" width="25.28515625" customWidth="1"/>
    <col min="4875" max="4875" width="11" customWidth="1"/>
    <col min="5121" max="5121" width="18.5703125" customWidth="1"/>
    <col min="5122" max="5122" width="27" customWidth="1"/>
    <col min="5123" max="5123" width="8.28515625" customWidth="1"/>
    <col min="5124" max="5130" width="25.28515625" customWidth="1"/>
    <col min="5131" max="5131" width="11" customWidth="1"/>
    <col min="5377" max="5377" width="18.5703125" customWidth="1"/>
    <col min="5378" max="5378" width="27" customWidth="1"/>
    <col min="5379" max="5379" width="8.28515625" customWidth="1"/>
    <col min="5380" max="5386" width="25.28515625" customWidth="1"/>
    <col min="5387" max="5387" width="11" customWidth="1"/>
    <col min="5633" max="5633" width="18.5703125" customWidth="1"/>
    <col min="5634" max="5634" width="27" customWidth="1"/>
    <col min="5635" max="5635" width="8.28515625" customWidth="1"/>
    <col min="5636" max="5642" width="25.28515625" customWidth="1"/>
    <col min="5643" max="5643" width="11" customWidth="1"/>
    <col min="5889" max="5889" width="18.5703125" customWidth="1"/>
    <col min="5890" max="5890" width="27" customWidth="1"/>
    <col min="5891" max="5891" width="8.28515625" customWidth="1"/>
    <col min="5892" max="5898" width="25.28515625" customWidth="1"/>
    <col min="5899" max="5899" width="11" customWidth="1"/>
    <col min="6145" max="6145" width="18.5703125" customWidth="1"/>
    <col min="6146" max="6146" width="27" customWidth="1"/>
    <col min="6147" max="6147" width="8.28515625" customWidth="1"/>
    <col min="6148" max="6154" width="25.28515625" customWidth="1"/>
    <col min="6155" max="6155" width="11" customWidth="1"/>
    <col min="6401" max="6401" width="18.5703125" customWidth="1"/>
    <col min="6402" max="6402" width="27" customWidth="1"/>
    <col min="6403" max="6403" width="8.28515625" customWidth="1"/>
    <col min="6404" max="6410" width="25.28515625" customWidth="1"/>
    <col min="6411" max="6411" width="11" customWidth="1"/>
    <col min="6657" max="6657" width="18.5703125" customWidth="1"/>
    <col min="6658" max="6658" width="27" customWidth="1"/>
    <col min="6659" max="6659" width="8.28515625" customWidth="1"/>
    <col min="6660" max="6666" width="25.28515625" customWidth="1"/>
    <col min="6667" max="6667" width="11" customWidth="1"/>
    <col min="6913" max="6913" width="18.5703125" customWidth="1"/>
    <col min="6914" max="6914" width="27" customWidth="1"/>
    <col min="6915" max="6915" width="8.28515625" customWidth="1"/>
    <col min="6916" max="6922" width="25.28515625" customWidth="1"/>
    <col min="6923" max="6923" width="11" customWidth="1"/>
    <col min="7169" max="7169" width="18.5703125" customWidth="1"/>
    <col min="7170" max="7170" width="27" customWidth="1"/>
    <col min="7171" max="7171" width="8.28515625" customWidth="1"/>
    <col min="7172" max="7178" width="25.28515625" customWidth="1"/>
    <col min="7179" max="7179" width="11" customWidth="1"/>
    <col min="7425" max="7425" width="18.5703125" customWidth="1"/>
    <col min="7426" max="7426" width="27" customWidth="1"/>
    <col min="7427" max="7427" width="8.28515625" customWidth="1"/>
    <col min="7428" max="7434" width="25.28515625" customWidth="1"/>
    <col min="7435" max="7435" width="11" customWidth="1"/>
    <col min="7681" max="7681" width="18.5703125" customWidth="1"/>
    <col min="7682" max="7682" width="27" customWidth="1"/>
    <col min="7683" max="7683" width="8.28515625" customWidth="1"/>
    <col min="7684" max="7690" width="25.28515625" customWidth="1"/>
    <col min="7691" max="7691" width="11" customWidth="1"/>
    <col min="7937" max="7937" width="18.5703125" customWidth="1"/>
    <col min="7938" max="7938" width="27" customWidth="1"/>
    <col min="7939" max="7939" width="8.28515625" customWidth="1"/>
    <col min="7940" max="7946" width="25.28515625" customWidth="1"/>
    <col min="7947" max="7947" width="11" customWidth="1"/>
    <col min="8193" max="8193" width="18.5703125" customWidth="1"/>
    <col min="8194" max="8194" width="27" customWidth="1"/>
    <col min="8195" max="8195" width="8.28515625" customWidth="1"/>
    <col min="8196" max="8202" width="25.28515625" customWidth="1"/>
    <col min="8203" max="8203" width="11" customWidth="1"/>
    <col min="8449" max="8449" width="18.5703125" customWidth="1"/>
    <col min="8450" max="8450" width="27" customWidth="1"/>
    <col min="8451" max="8451" width="8.28515625" customWidth="1"/>
    <col min="8452" max="8458" width="25.28515625" customWidth="1"/>
    <col min="8459" max="8459" width="11" customWidth="1"/>
    <col min="8705" max="8705" width="18.5703125" customWidth="1"/>
    <col min="8706" max="8706" width="27" customWidth="1"/>
    <col min="8707" max="8707" width="8.28515625" customWidth="1"/>
    <col min="8708" max="8714" width="25.28515625" customWidth="1"/>
    <col min="8715" max="8715" width="11" customWidth="1"/>
    <col min="8961" max="8961" width="18.5703125" customWidth="1"/>
    <col min="8962" max="8962" width="27" customWidth="1"/>
    <col min="8963" max="8963" width="8.28515625" customWidth="1"/>
    <col min="8964" max="8970" width="25.28515625" customWidth="1"/>
    <col min="8971" max="8971" width="11" customWidth="1"/>
    <col min="9217" max="9217" width="18.5703125" customWidth="1"/>
    <col min="9218" max="9218" width="27" customWidth="1"/>
    <col min="9219" max="9219" width="8.28515625" customWidth="1"/>
    <col min="9220" max="9226" width="25.28515625" customWidth="1"/>
    <col min="9227" max="9227" width="11" customWidth="1"/>
    <col min="9473" max="9473" width="18.5703125" customWidth="1"/>
    <col min="9474" max="9474" width="27" customWidth="1"/>
    <col min="9475" max="9475" width="8.28515625" customWidth="1"/>
    <col min="9476" max="9482" width="25.28515625" customWidth="1"/>
    <col min="9483" max="9483" width="11" customWidth="1"/>
    <col min="9729" max="9729" width="18.5703125" customWidth="1"/>
    <col min="9730" max="9730" width="27" customWidth="1"/>
    <col min="9731" max="9731" width="8.28515625" customWidth="1"/>
    <col min="9732" max="9738" width="25.28515625" customWidth="1"/>
    <col min="9739" max="9739" width="11" customWidth="1"/>
    <col min="9985" max="9985" width="18.5703125" customWidth="1"/>
    <col min="9986" max="9986" width="27" customWidth="1"/>
    <col min="9987" max="9987" width="8.28515625" customWidth="1"/>
    <col min="9988" max="9994" width="25.28515625" customWidth="1"/>
    <col min="9995" max="9995" width="11" customWidth="1"/>
    <col min="10241" max="10241" width="18.5703125" customWidth="1"/>
    <col min="10242" max="10242" width="27" customWidth="1"/>
    <col min="10243" max="10243" width="8.28515625" customWidth="1"/>
    <col min="10244" max="10250" width="25.28515625" customWidth="1"/>
    <col min="10251" max="10251" width="11" customWidth="1"/>
    <col min="10497" max="10497" width="18.5703125" customWidth="1"/>
    <col min="10498" max="10498" width="27" customWidth="1"/>
    <col min="10499" max="10499" width="8.28515625" customWidth="1"/>
    <col min="10500" max="10506" width="25.28515625" customWidth="1"/>
    <col min="10507" max="10507" width="11" customWidth="1"/>
    <col min="10753" max="10753" width="18.5703125" customWidth="1"/>
    <col min="10754" max="10754" width="27" customWidth="1"/>
    <col min="10755" max="10755" width="8.28515625" customWidth="1"/>
    <col min="10756" max="10762" width="25.28515625" customWidth="1"/>
    <col min="10763" max="10763" width="11" customWidth="1"/>
    <col min="11009" max="11009" width="18.5703125" customWidth="1"/>
    <col min="11010" max="11010" width="27" customWidth="1"/>
    <col min="11011" max="11011" width="8.28515625" customWidth="1"/>
    <col min="11012" max="11018" width="25.28515625" customWidth="1"/>
    <col min="11019" max="11019" width="11" customWidth="1"/>
    <col min="11265" max="11265" width="18.5703125" customWidth="1"/>
    <col min="11266" max="11266" width="27" customWidth="1"/>
    <col min="11267" max="11267" width="8.28515625" customWidth="1"/>
    <col min="11268" max="11274" width="25.28515625" customWidth="1"/>
    <col min="11275" max="11275" width="11" customWidth="1"/>
    <col min="11521" max="11521" width="18.5703125" customWidth="1"/>
    <col min="11522" max="11522" width="27" customWidth="1"/>
    <col min="11523" max="11523" width="8.28515625" customWidth="1"/>
    <col min="11524" max="11530" width="25.28515625" customWidth="1"/>
    <col min="11531" max="11531" width="11" customWidth="1"/>
    <col min="11777" max="11777" width="18.5703125" customWidth="1"/>
    <col min="11778" max="11778" width="27" customWidth="1"/>
    <col min="11779" max="11779" width="8.28515625" customWidth="1"/>
    <col min="11780" max="11786" width="25.28515625" customWidth="1"/>
    <col min="11787" max="11787" width="11" customWidth="1"/>
    <col min="12033" max="12033" width="18.5703125" customWidth="1"/>
    <col min="12034" max="12034" width="27" customWidth="1"/>
    <col min="12035" max="12035" width="8.28515625" customWidth="1"/>
    <col min="12036" max="12042" width="25.28515625" customWidth="1"/>
    <col min="12043" max="12043" width="11" customWidth="1"/>
    <col min="12289" max="12289" width="18.5703125" customWidth="1"/>
    <col min="12290" max="12290" width="27" customWidth="1"/>
    <col min="12291" max="12291" width="8.28515625" customWidth="1"/>
    <col min="12292" max="12298" width="25.28515625" customWidth="1"/>
    <col min="12299" max="12299" width="11" customWidth="1"/>
    <col min="12545" max="12545" width="18.5703125" customWidth="1"/>
    <col min="12546" max="12546" width="27" customWidth="1"/>
    <col min="12547" max="12547" width="8.28515625" customWidth="1"/>
    <col min="12548" max="12554" width="25.28515625" customWidth="1"/>
    <col min="12555" max="12555" width="11" customWidth="1"/>
    <col min="12801" max="12801" width="18.5703125" customWidth="1"/>
    <col min="12802" max="12802" width="27" customWidth="1"/>
    <col min="12803" max="12803" width="8.28515625" customWidth="1"/>
    <col min="12804" max="12810" width="25.28515625" customWidth="1"/>
    <col min="12811" max="12811" width="11" customWidth="1"/>
    <col min="13057" max="13057" width="18.5703125" customWidth="1"/>
    <col min="13058" max="13058" width="27" customWidth="1"/>
    <col min="13059" max="13059" width="8.28515625" customWidth="1"/>
    <col min="13060" max="13066" width="25.28515625" customWidth="1"/>
    <col min="13067" max="13067" width="11" customWidth="1"/>
    <col min="13313" max="13313" width="18.5703125" customWidth="1"/>
    <col min="13314" max="13314" width="27" customWidth="1"/>
    <col min="13315" max="13315" width="8.28515625" customWidth="1"/>
    <col min="13316" max="13322" width="25.28515625" customWidth="1"/>
    <col min="13323" max="13323" width="11" customWidth="1"/>
    <col min="13569" max="13569" width="18.5703125" customWidth="1"/>
    <col min="13570" max="13570" width="27" customWidth="1"/>
    <col min="13571" max="13571" width="8.28515625" customWidth="1"/>
    <col min="13572" max="13578" width="25.28515625" customWidth="1"/>
    <col min="13579" max="13579" width="11" customWidth="1"/>
    <col min="13825" max="13825" width="18.5703125" customWidth="1"/>
    <col min="13826" max="13826" width="27" customWidth="1"/>
    <col min="13827" max="13827" width="8.28515625" customWidth="1"/>
    <col min="13828" max="13834" width="25.28515625" customWidth="1"/>
    <col min="13835" max="13835" width="11" customWidth="1"/>
    <col min="14081" max="14081" width="18.5703125" customWidth="1"/>
    <col min="14082" max="14082" width="27" customWidth="1"/>
    <col min="14083" max="14083" width="8.28515625" customWidth="1"/>
    <col min="14084" max="14090" width="25.28515625" customWidth="1"/>
    <col min="14091" max="14091" width="11" customWidth="1"/>
    <col min="14337" max="14337" width="18.5703125" customWidth="1"/>
    <col min="14338" max="14338" width="27" customWidth="1"/>
    <col min="14339" max="14339" width="8.28515625" customWidth="1"/>
    <col min="14340" max="14346" width="25.28515625" customWidth="1"/>
    <col min="14347" max="14347" width="11" customWidth="1"/>
    <col min="14593" max="14593" width="18.5703125" customWidth="1"/>
    <col min="14594" max="14594" width="27" customWidth="1"/>
    <col min="14595" max="14595" width="8.28515625" customWidth="1"/>
    <col min="14596" max="14602" width="25.28515625" customWidth="1"/>
    <col min="14603" max="14603" width="11" customWidth="1"/>
    <col min="14849" max="14849" width="18.5703125" customWidth="1"/>
    <col min="14850" max="14850" width="27" customWidth="1"/>
    <col min="14851" max="14851" width="8.28515625" customWidth="1"/>
    <col min="14852" max="14858" width="25.28515625" customWidth="1"/>
    <col min="14859" max="14859" width="11" customWidth="1"/>
    <col min="15105" max="15105" width="18.5703125" customWidth="1"/>
    <col min="15106" max="15106" width="27" customWidth="1"/>
    <col min="15107" max="15107" width="8.28515625" customWidth="1"/>
    <col min="15108" max="15114" width="25.28515625" customWidth="1"/>
    <col min="15115" max="15115" width="11" customWidth="1"/>
    <col min="15361" max="15361" width="18.5703125" customWidth="1"/>
    <col min="15362" max="15362" width="27" customWidth="1"/>
    <col min="15363" max="15363" width="8.28515625" customWidth="1"/>
    <col min="15364" max="15370" width="25.28515625" customWidth="1"/>
    <col min="15371" max="15371" width="11" customWidth="1"/>
    <col min="15617" max="15617" width="18.5703125" customWidth="1"/>
    <col min="15618" max="15618" width="27" customWidth="1"/>
    <col min="15619" max="15619" width="8.28515625" customWidth="1"/>
    <col min="15620" max="15626" width="25.28515625" customWidth="1"/>
    <col min="15627" max="15627" width="11" customWidth="1"/>
    <col min="15873" max="15873" width="18.5703125" customWidth="1"/>
    <col min="15874" max="15874" width="27" customWidth="1"/>
    <col min="15875" max="15875" width="8.28515625" customWidth="1"/>
    <col min="15876" max="15882" width="25.28515625" customWidth="1"/>
    <col min="15883" max="15883" width="11" customWidth="1"/>
    <col min="16129" max="16129" width="18.5703125" customWidth="1"/>
    <col min="16130" max="16130" width="27" customWidth="1"/>
    <col min="16131" max="16131" width="8.28515625" customWidth="1"/>
    <col min="16132" max="16138" width="25.28515625" customWidth="1"/>
    <col min="16139" max="16139" width="11" customWidth="1"/>
  </cols>
  <sheetData>
    <row r="1" spans="1:11" ht="31.5" customHeight="1">
      <c r="A1" s="222"/>
      <c r="B1" s="223"/>
      <c r="C1" s="222"/>
      <c r="D1" s="222"/>
      <c r="E1" s="222"/>
      <c r="F1" s="224" t="s">
        <v>334</v>
      </c>
      <c r="G1" s="222"/>
      <c r="H1" s="222"/>
      <c r="I1" s="222"/>
    </row>
    <row r="2" spans="1:11" ht="7.9" customHeight="1"/>
    <row r="3" spans="1:11" ht="15" customHeight="1">
      <c r="F3" s="62" t="s">
        <v>996</v>
      </c>
    </row>
    <row r="4" spans="1:11" ht="20.100000000000001" customHeight="1"/>
    <row r="5" spans="1:11" ht="15" customHeight="1" thickBot="1">
      <c r="A5" s="63" t="s">
        <v>1013</v>
      </c>
      <c r="K5" s="64" t="s">
        <v>336</v>
      </c>
    </row>
    <row r="6" spans="1:11" ht="18" customHeight="1" thickBot="1">
      <c r="A6" s="65" t="s">
        <v>337</v>
      </c>
      <c r="B6" s="66" t="s">
        <v>338</v>
      </c>
      <c r="C6" s="66" t="s">
        <v>337</v>
      </c>
      <c r="D6" s="66" t="s">
        <v>339</v>
      </c>
      <c r="E6" s="66" t="s">
        <v>1369</v>
      </c>
      <c r="F6" s="66" t="s">
        <v>997</v>
      </c>
      <c r="G6" s="66" t="s">
        <v>998</v>
      </c>
      <c r="H6" s="66" t="s">
        <v>340</v>
      </c>
      <c r="I6" s="66" t="s">
        <v>1370</v>
      </c>
      <c r="J6" s="66" t="s">
        <v>1371</v>
      </c>
      <c r="K6" s="67" t="s">
        <v>331</v>
      </c>
    </row>
    <row r="7" spans="1:11" ht="18" customHeight="1">
      <c r="A7" s="68" t="s">
        <v>341</v>
      </c>
      <c r="B7" s="70" t="s">
        <v>7</v>
      </c>
      <c r="C7" s="70" t="s">
        <v>342</v>
      </c>
      <c r="D7" s="69" t="s">
        <v>343</v>
      </c>
      <c r="E7" s="71">
        <v>34706955</v>
      </c>
      <c r="F7" s="71">
        <v>111742417</v>
      </c>
      <c r="G7" s="71">
        <v>114491740</v>
      </c>
      <c r="H7" s="71">
        <v>31957632</v>
      </c>
      <c r="I7" s="69" t="s">
        <v>90</v>
      </c>
      <c r="J7" s="69" t="s">
        <v>1372</v>
      </c>
      <c r="K7" s="72" t="s">
        <v>90</v>
      </c>
    </row>
    <row r="8" spans="1:11" ht="18" customHeight="1">
      <c r="A8" s="68" t="s">
        <v>341</v>
      </c>
      <c r="B8" s="70" t="s">
        <v>7</v>
      </c>
      <c r="C8" s="70" t="s">
        <v>344</v>
      </c>
      <c r="D8" s="69" t="s">
        <v>345</v>
      </c>
      <c r="E8" s="71">
        <v>10966</v>
      </c>
      <c r="F8" s="71">
        <v>8394218398</v>
      </c>
      <c r="G8" s="71">
        <v>8394223065</v>
      </c>
      <c r="H8" s="71">
        <v>6299</v>
      </c>
      <c r="I8" s="69" t="s">
        <v>90</v>
      </c>
      <c r="J8" s="69" t="s">
        <v>1373</v>
      </c>
      <c r="K8" s="72" t="s">
        <v>90</v>
      </c>
    </row>
    <row r="9" spans="1:11" ht="18" customHeight="1">
      <c r="A9" s="68" t="s">
        <v>341</v>
      </c>
      <c r="B9" s="70" t="s">
        <v>7</v>
      </c>
      <c r="C9" s="70" t="s">
        <v>346</v>
      </c>
      <c r="D9" s="69" t="s">
        <v>347</v>
      </c>
      <c r="E9" s="71">
        <v>79501</v>
      </c>
      <c r="F9" s="71">
        <v>76</v>
      </c>
      <c r="G9" s="71"/>
      <c r="H9" s="71">
        <v>79577</v>
      </c>
      <c r="I9" s="69" t="s">
        <v>90</v>
      </c>
      <c r="J9" s="69" t="s">
        <v>1374</v>
      </c>
      <c r="K9" s="72" t="s">
        <v>90</v>
      </c>
    </row>
    <row r="10" spans="1:11" ht="18" customHeight="1">
      <c r="A10" s="68" t="s">
        <v>341</v>
      </c>
      <c r="B10" s="70" t="s">
        <v>7</v>
      </c>
      <c r="C10" s="70" t="s">
        <v>348</v>
      </c>
      <c r="D10" s="69" t="s">
        <v>349</v>
      </c>
      <c r="E10" s="71">
        <v>2994</v>
      </c>
      <c r="F10" s="71">
        <v>2</v>
      </c>
      <c r="G10" s="71"/>
      <c r="H10" s="71">
        <v>2996</v>
      </c>
      <c r="I10" s="69" t="s">
        <v>90</v>
      </c>
      <c r="J10" s="69" t="s">
        <v>1375</v>
      </c>
      <c r="K10" s="72" t="s">
        <v>90</v>
      </c>
    </row>
    <row r="11" spans="1:11" ht="18" customHeight="1">
      <c r="A11" s="68" t="s">
        <v>341</v>
      </c>
      <c r="B11" s="70" t="s">
        <v>7</v>
      </c>
      <c r="C11" s="70" t="s">
        <v>350</v>
      </c>
      <c r="D11" s="69" t="s">
        <v>351</v>
      </c>
      <c r="E11" s="71">
        <v>259025293</v>
      </c>
      <c r="F11" s="71">
        <v>25053289681</v>
      </c>
      <c r="G11" s="71">
        <v>24849234108</v>
      </c>
      <c r="H11" s="71">
        <v>463080866</v>
      </c>
      <c r="I11" s="69" t="s">
        <v>90</v>
      </c>
      <c r="J11" s="69" t="s">
        <v>1376</v>
      </c>
      <c r="K11" s="72" t="s">
        <v>90</v>
      </c>
    </row>
    <row r="12" spans="1:11" ht="18" customHeight="1">
      <c r="A12" s="68" t="s">
        <v>341</v>
      </c>
      <c r="B12" s="70" t="s">
        <v>7</v>
      </c>
      <c r="C12" s="70" t="s">
        <v>352</v>
      </c>
      <c r="D12" s="69" t="s">
        <v>353</v>
      </c>
      <c r="E12" s="71">
        <v>36170148</v>
      </c>
      <c r="F12" s="71">
        <v>53501239</v>
      </c>
      <c r="G12" s="71">
        <v>89660000</v>
      </c>
      <c r="H12" s="71">
        <v>11387</v>
      </c>
      <c r="I12" s="69" t="s">
        <v>90</v>
      </c>
      <c r="J12" s="69" t="s">
        <v>1377</v>
      </c>
      <c r="K12" s="72" t="s">
        <v>90</v>
      </c>
    </row>
    <row r="13" spans="1:11" ht="18" customHeight="1">
      <c r="A13" s="68" t="s">
        <v>341</v>
      </c>
      <c r="B13" s="70" t="s">
        <v>7</v>
      </c>
      <c r="C13" s="70" t="s">
        <v>354</v>
      </c>
      <c r="D13" s="69" t="s">
        <v>355</v>
      </c>
      <c r="E13" s="71">
        <v>74310</v>
      </c>
      <c r="F13" s="71">
        <v>74</v>
      </c>
      <c r="G13" s="71"/>
      <c r="H13" s="71">
        <v>74384</v>
      </c>
      <c r="I13" s="69" t="s">
        <v>90</v>
      </c>
      <c r="J13" s="69" t="s">
        <v>1378</v>
      </c>
      <c r="K13" s="72" t="s">
        <v>90</v>
      </c>
    </row>
    <row r="14" spans="1:11" ht="18" customHeight="1">
      <c r="A14" s="68" t="s">
        <v>341</v>
      </c>
      <c r="B14" s="70" t="s">
        <v>7</v>
      </c>
      <c r="C14" s="70" t="s">
        <v>356</v>
      </c>
      <c r="D14" s="69" t="s">
        <v>357</v>
      </c>
      <c r="E14" s="71">
        <v>84651420</v>
      </c>
      <c r="F14" s="71">
        <v>9256045949</v>
      </c>
      <c r="G14" s="71">
        <v>9318688228</v>
      </c>
      <c r="H14" s="71">
        <v>22009141</v>
      </c>
      <c r="I14" s="69" t="s">
        <v>90</v>
      </c>
      <c r="J14" s="69" t="s">
        <v>1379</v>
      </c>
      <c r="K14" s="72" t="s">
        <v>90</v>
      </c>
    </row>
    <row r="15" spans="1:11" ht="18" customHeight="1">
      <c r="A15" s="68" t="s">
        <v>341</v>
      </c>
      <c r="B15" s="70" t="s">
        <v>7</v>
      </c>
      <c r="C15" s="70" t="s">
        <v>358</v>
      </c>
      <c r="D15" s="69" t="s">
        <v>359</v>
      </c>
      <c r="E15" s="71">
        <v>237539</v>
      </c>
      <c r="F15" s="71">
        <v>236</v>
      </c>
      <c r="G15" s="71"/>
      <c r="H15" s="71">
        <v>237775</v>
      </c>
      <c r="I15" s="69" t="s">
        <v>90</v>
      </c>
      <c r="J15" s="69" t="s">
        <v>1380</v>
      </c>
      <c r="K15" s="72" t="s">
        <v>90</v>
      </c>
    </row>
    <row r="16" spans="1:11" ht="18" customHeight="1">
      <c r="A16" s="68" t="s">
        <v>341</v>
      </c>
      <c r="B16" s="70" t="s">
        <v>7</v>
      </c>
      <c r="C16" s="70" t="s">
        <v>360</v>
      </c>
      <c r="D16" s="69" t="s">
        <v>1003</v>
      </c>
      <c r="E16" s="71">
        <v>606302443</v>
      </c>
      <c r="F16" s="71">
        <v>3518355563</v>
      </c>
      <c r="G16" s="71">
        <v>4124614000</v>
      </c>
      <c r="H16" s="71">
        <v>44006</v>
      </c>
      <c r="I16" s="69" t="s">
        <v>90</v>
      </c>
      <c r="J16" s="69" t="s">
        <v>1381</v>
      </c>
      <c r="K16" s="72" t="s">
        <v>90</v>
      </c>
    </row>
    <row r="17" spans="1:11" ht="18" customHeight="1">
      <c r="A17" s="68" t="s">
        <v>341</v>
      </c>
      <c r="B17" s="70" t="s">
        <v>7</v>
      </c>
      <c r="C17" s="70" t="s">
        <v>1382</v>
      </c>
      <c r="D17" s="69" t="s">
        <v>357</v>
      </c>
      <c r="E17" s="71"/>
      <c r="F17" s="71">
        <v>682841734</v>
      </c>
      <c r="G17" s="71">
        <v>645531377</v>
      </c>
      <c r="H17" s="217">
        <v>37310357</v>
      </c>
      <c r="I17" s="69" t="s">
        <v>90</v>
      </c>
      <c r="J17" s="69" t="s">
        <v>1383</v>
      </c>
      <c r="K17" s="72" t="s">
        <v>2403</v>
      </c>
    </row>
    <row r="18" spans="1:11" ht="18" customHeight="1">
      <c r="A18" s="68" t="s">
        <v>341</v>
      </c>
      <c r="B18" s="70" t="s">
        <v>7</v>
      </c>
      <c r="C18" s="70" t="s">
        <v>1384</v>
      </c>
      <c r="D18" s="69" t="s">
        <v>357</v>
      </c>
      <c r="E18" s="71"/>
      <c r="F18" s="71">
        <v>1844521945</v>
      </c>
      <c r="G18" s="71">
        <v>1836937853</v>
      </c>
      <c r="H18" s="217">
        <v>7584092</v>
      </c>
      <c r="I18" s="69" t="s">
        <v>90</v>
      </c>
      <c r="J18" s="69" t="s">
        <v>1385</v>
      </c>
      <c r="K18" s="72" t="s">
        <v>2404</v>
      </c>
    </row>
    <row r="19" spans="1:11" ht="18" customHeight="1">
      <c r="A19" s="68" t="s">
        <v>341</v>
      </c>
      <c r="B19" s="70" t="s">
        <v>7</v>
      </c>
      <c r="C19" s="70" t="s">
        <v>1386</v>
      </c>
      <c r="D19" s="69" t="s">
        <v>357</v>
      </c>
      <c r="E19" s="71"/>
      <c r="F19" s="71">
        <v>170635604</v>
      </c>
      <c r="G19" s="71">
        <v>170479360</v>
      </c>
      <c r="H19" s="71">
        <v>156244</v>
      </c>
      <c r="I19" s="69" t="s">
        <v>90</v>
      </c>
      <c r="J19" s="69" t="s">
        <v>1387</v>
      </c>
      <c r="K19" s="72" t="s">
        <v>90</v>
      </c>
    </row>
    <row r="20" spans="1:11" ht="18" customHeight="1">
      <c r="A20" s="68" t="s">
        <v>341</v>
      </c>
      <c r="B20" s="70" t="s">
        <v>7</v>
      </c>
      <c r="C20" s="70" t="s">
        <v>1388</v>
      </c>
      <c r="D20" s="69" t="s">
        <v>357</v>
      </c>
      <c r="E20" s="71"/>
      <c r="F20" s="71">
        <v>359965572</v>
      </c>
      <c r="G20" s="71">
        <v>305984540</v>
      </c>
      <c r="H20" s="71">
        <v>53981032</v>
      </c>
      <c r="I20" s="69" t="s">
        <v>90</v>
      </c>
      <c r="J20" s="69" t="s">
        <v>1389</v>
      </c>
      <c r="K20" s="72" t="s">
        <v>90</v>
      </c>
    </row>
    <row r="21" spans="1:11" ht="18" customHeight="1">
      <c r="A21" s="68" t="s">
        <v>341</v>
      </c>
      <c r="B21" s="70" t="s">
        <v>7</v>
      </c>
      <c r="C21" s="70" t="s">
        <v>1390</v>
      </c>
      <c r="D21" s="69" t="s">
        <v>357</v>
      </c>
      <c r="E21" s="71"/>
      <c r="F21" s="71">
        <v>3788692187</v>
      </c>
      <c r="G21" s="71">
        <v>3628755092</v>
      </c>
      <c r="H21" s="217">
        <v>159937095</v>
      </c>
      <c r="I21" s="69" t="s">
        <v>90</v>
      </c>
      <c r="J21" s="69" t="s">
        <v>1391</v>
      </c>
      <c r="K21" s="72" t="s">
        <v>2405</v>
      </c>
    </row>
    <row r="22" spans="1:11" ht="18" customHeight="1">
      <c r="A22" s="68" t="s">
        <v>341</v>
      </c>
      <c r="B22" s="70" t="s">
        <v>7</v>
      </c>
      <c r="C22" s="70" t="s">
        <v>1392</v>
      </c>
      <c r="D22" s="69" t="s">
        <v>357</v>
      </c>
      <c r="E22" s="71"/>
      <c r="F22" s="71">
        <v>2646491292</v>
      </c>
      <c r="G22" s="71">
        <v>2640813877</v>
      </c>
      <c r="H22" s="217">
        <v>5677415</v>
      </c>
      <c r="I22" s="69" t="s">
        <v>90</v>
      </c>
      <c r="J22" s="69" t="s">
        <v>1393</v>
      </c>
      <c r="K22" s="72" t="s">
        <v>2406</v>
      </c>
    </row>
    <row r="23" spans="1:11" ht="18" customHeight="1">
      <c r="A23" s="68" t="s">
        <v>341</v>
      </c>
      <c r="B23" s="70" t="s">
        <v>7</v>
      </c>
      <c r="C23" s="70" t="s">
        <v>1394</v>
      </c>
      <c r="D23" s="69" t="s">
        <v>357</v>
      </c>
      <c r="E23" s="71"/>
      <c r="F23" s="71">
        <v>133033043</v>
      </c>
      <c r="G23" s="71">
        <v>129966681</v>
      </c>
      <c r="H23" s="217">
        <v>3066362</v>
      </c>
      <c r="I23" s="69" t="s">
        <v>90</v>
      </c>
      <c r="J23" s="69" t="s">
        <v>1395</v>
      </c>
      <c r="K23" s="72" t="s">
        <v>2407</v>
      </c>
    </row>
    <row r="24" spans="1:11" ht="18" customHeight="1" thickBot="1">
      <c r="A24" s="68" t="s">
        <v>341</v>
      </c>
      <c r="B24" s="70" t="s">
        <v>7</v>
      </c>
      <c r="C24" s="70" t="s">
        <v>361</v>
      </c>
      <c r="D24" s="69" t="s">
        <v>362</v>
      </c>
      <c r="E24" s="71">
        <v>1408675</v>
      </c>
      <c r="F24" s="71">
        <v>1404</v>
      </c>
      <c r="G24" s="71"/>
      <c r="H24" s="71">
        <v>1410079</v>
      </c>
      <c r="I24" s="69" t="s">
        <v>90</v>
      </c>
      <c r="J24" s="69" t="s">
        <v>1396</v>
      </c>
      <c r="K24" s="72" t="s">
        <v>90</v>
      </c>
    </row>
    <row r="25" spans="1:11" ht="18" customHeight="1" thickBot="1">
      <c r="A25" s="78" t="s">
        <v>363</v>
      </c>
      <c r="B25" s="80" t="s">
        <v>90</v>
      </c>
      <c r="C25" s="80" t="s">
        <v>90</v>
      </c>
      <c r="D25" s="79" t="s">
        <v>90</v>
      </c>
      <c r="E25" s="81">
        <v>1022670244</v>
      </c>
      <c r="F25" s="81">
        <v>56013336416</v>
      </c>
      <c r="G25" s="81">
        <v>56249379921</v>
      </c>
      <c r="H25" s="81">
        <v>786626739</v>
      </c>
      <c r="I25" s="79" t="s">
        <v>90</v>
      </c>
      <c r="J25" s="79" t="s">
        <v>90</v>
      </c>
      <c r="K25" s="82" t="s">
        <v>90</v>
      </c>
    </row>
    <row r="26" spans="1:11" ht="5.25" customHeight="1"/>
    <row r="27" spans="1:11" ht="31.5" hidden="1" customHeight="1">
      <c r="F27" s="61" t="s">
        <v>364</v>
      </c>
    </row>
    <row r="28" spans="1:11" ht="7.9" hidden="1" customHeight="1"/>
    <row r="29" spans="1:11" ht="15" hidden="1" customHeight="1">
      <c r="F29" s="62" t="s">
        <v>996</v>
      </c>
    </row>
    <row r="30" spans="1:11" ht="20.100000000000001" hidden="1" customHeight="1"/>
    <row r="31" spans="1:11" ht="15" hidden="1" customHeight="1" thickBot="1">
      <c r="A31" s="63" t="s">
        <v>1013</v>
      </c>
      <c r="K31" s="64" t="s">
        <v>336</v>
      </c>
    </row>
    <row r="32" spans="1:11" ht="18" hidden="1" customHeight="1" thickBot="1">
      <c r="A32" s="65" t="s">
        <v>337</v>
      </c>
      <c r="B32" s="66" t="s">
        <v>338</v>
      </c>
      <c r="C32" s="66" t="s">
        <v>337</v>
      </c>
      <c r="D32" s="66" t="s">
        <v>339</v>
      </c>
      <c r="E32" s="66" t="s">
        <v>1369</v>
      </c>
      <c r="F32" s="66" t="s">
        <v>997</v>
      </c>
      <c r="G32" s="66" t="s">
        <v>998</v>
      </c>
      <c r="H32" s="66" t="s">
        <v>340</v>
      </c>
      <c r="I32" s="66" t="s">
        <v>1370</v>
      </c>
      <c r="J32" s="66" t="s">
        <v>1371</v>
      </c>
      <c r="K32" s="67" t="s">
        <v>331</v>
      </c>
    </row>
    <row r="33" spans="1:11" ht="18" hidden="1" customHeight="1">
      <c r="A33" s="68" t="s">
        <v>365</v>
      </c>
      <c r="B33" s="70" t="s">
        <v>8</v>
      </c>
      <c r="C33" s="70" t="s">
        <v>366</v>
      </c>
      <c r="D33" s="69" t="s">
        <v>367</v>
      </c>
      <c r="E33" s="71">
        <v>109558</v>
      </c>
      <c r="F33" s="71">
        <v>1910</v>
      </c>
      <c r="G33" s="71"/>
      <c r="H33" s="71">
        <v>111468</v>
      </c>
      <c r="I33" s="69" t="s">
        <v>90</v>
      </c>
      <c r="J33" s="69" t="s">
        <v>1397</v>
      </c>
      <c r="K33" s="72" t="s">
        <v>90</v>
      </c>
    </row>
    <row r="34" spans="1:11" ht="18" hidden="1" customHeight="1">
      <c r="A34" s="68" t="s">
        <v>365</v>
      </c>
      <c r="B34" s="70" t="s">
        <v>8</v>
      </c>
      <c r="C34" s="70" t="s">
        <v>368</v>
      </c>
      <c r="D34" s="69" t="s">
        <v>369</v>
      </c>
      <c r="E34" s="71">
        <v>303840421</v>
      </c>
      <c r="F34" s="71">
        <v>1666887883</v>
      </c>
      <c r="G34" s="71">
        <v>1868511132</v>
      </c>
      <c r="H34" s="71">
        <v>102217172</v>
      </c>
      <c r="I34" s="69" t="s">
        <v>90</v>
      </c>
      <c r="J34" s="69" t="s">
        <v>1398</v>
      </c>
      <c r="K34" s="72" t="s">
        <v>90</v>
      </c>
    </row>
    <row r="35" spans="1:11" ht="18" hidden="1" customHeight="1" thickBot="1">
      <c r="A35" s="68" t="s">
        <v>365</v>
      </c>
      <c r="B35" s="70" t="s">
        <v>8</v>
      </c>
      <c r="C35" s="70" t="s">
        <v>370</v>
      </c>
      <c r="D35" s="69" t="s">
        <v>371</v>
      </c>
      <c r="E35" s="71">
        <v>101</v>
      </c>
      <c r="F35" s="71">
        <v>1733988262</v>
      </c>
      <c r="G35" s="71">
        <v>1733679294</v>
      </c>
      <c r="H35" s="71">
        <v>309069</v>
      </c>
      <c r="I35" s="69" t="s">
        <v>90</v>
      </c>
      <c r="J35" s="69" t="s">
        <v>1399</v>
      </c>
      <c r="K35" s="72" t="s">
        <v>90</v>
      </c>
    </row>
    <row r="36" spans="1:11" ht="18" hidden="1" customHeight="1" thickBot="1">
      <c r="A36" s="78" t="s">
        <v>363</v>
      </c>
      <c r="B36" s="80" t="s">
        <v>90</v>
      </c>
      <c r="C36" s="80" t="s">
        <v>90</v>
      </c>
      <c r="D36" s="79" t="s">
        <v>90</v>
      </c>
      <c r="E36" s="81">
        <v>303950080</v>
      </c>
      <c r="F36" s="81">
        <v>3400878055</v>
      </c>
      <c r="G36" s="81">
        <v>3602190426</v>
      </c>
      <c r="H36" s="81">
        <v>102637709</v>
      </c>
      <c r="I36" s="79" t="s">
        <v>90</v>
      </c>
      <c r="J36" s="79" t="s">
        <v>90</v>
      </c>
      <c r="K36" s="82" t="s">
        <v>90</v>
      </c>
    </row>
    <row r="37" spans="1:11" ht="5.25" hidden="1" customHeight="1"/>
    <row r="38" spans="1:11" ht="31.5" hidden="1" customHeight="1">
      <c r="F38" s="61" t="s">
        <v>372</v>
      </c>
    </row>
    <row r="39" spans="1:11" ht="8.1" hidden="1" customHeight="1"/>
    <row r="40" spans="1:11" ht="15" hidden="1" customHeight="1">
      <c r="F40" s="62" t="s">
        <v>996</v>
      </c>
    </row>
    <row r="41" spans="1:11" ht="20.100000000000001" hidden="1" customHeight="1"/>
    <row r="42" spans="1:11" ht="15" hidden="1" customHeight="1" thickBot="1">
      <c r="A42" s="63" t="s">
        <v>1013</v>
      </c>
      <c r="K42" s="64" t="s">
        <v>336</v>
      </c>
    </row>
    <row r="43" spans="1:11" ht="18" hidden="1" customHeight="1" thickBot="1">
      <c r="A43" s="65" t="s">
        <v>337</v>
      </c>
      <c r="B43" s="66" t="s">
        <v>338</v>
      </c>
      <c r="C43" s="66" t="s">
        <v>337</v>
      </c>
      <c r="D43" s="66" t="s">
        <v>339</v>
      </c>
      <c r="E43" s="66" t="s">
        <v>1369</v>
      </c>
      <c r="F43" s="66" t="s">
        <v>997</v>
      </c>
      <c r="G43" s="66" t="s">
        <v>998</v>
      </c>
      <c r="H43" s="66" t="s">
        <v>340</v>
      </c>
      <c r="I43" s="66" t="s">
        <v>1370</v>
      </c>
      <c r="J43" s="66" t="s">
        <v>1371</v>
      </c>
      <c r="K43" s="67" t="s">
        <v>331</v>
      </c>
    </row>
    <row r="44" spans="1:11" ht="18" hidden="1" customHeight="1" thickBot="1">
      <c r="A44" s="68" t="s">
        <v>373</v>
      </c>
      <c r="B44" s="70" t="s">
        <v>9</v>
      </c>
      <c r="C44" s="70" t="s">
        <v>832</v>
      </c>
      <c r="D44" s="69" t="s">
        <v>833</v>
      </c>
      <c r="E44" s="71"/>
      <c r="F44" s="71">
        <v>100791040</v>
      </c>
      <c r="G44" s="71"/>
      <c r="H44" s="71">
        <v>100791040</v>
      </c>
      <c r="I44" s="69" t="s">
        <v>90</v>
      </c>
      <c r="J44" s="69" t="s">
        <v>1400</v>
      </c>
      <c r="K44" s="72" t="s">
        <v>90</v>
      </c>
    </row>
    <row r="45" spans="1:11" ht="18" hidden="1" customHeight="1" thickBot="1">
      <c r="A45" s="78" t="s">
        <v>363</v>
      </c>
      <c r="B45" s="80" t="s">
        <v>90</v>
      </c>
      <c r="C45" s="80" t="s">
        <v>90</v>
      </c>
      <c r="D45" s="79" t="s">
        <v>90</v>
      </c>
      <c r="E45" s="81"/>
      <c r="F45" s="81">
        <v>100791040</v>
      </c>
      <c r="G45" s="81"/>
      <c r="H45" s="81">
        <v>100791040</v>
      </c>
      <c r="I45" s="79" t="s">
        <v>90</v>
      </c>
      <c r="J45" s="79" t="s">
        <v>90</v>
      </c>
      <c r="K45" s="82" t="s">
        <v>90</v>
      </c>
    </row>
    <row r="46" spans="1:11" hidden="1"/>
    <row r="47" spans="1:11" hidden="1"/>
    <row r="48" spans="1:11" ht="31.5" hidden="1" customHeight="1">
      <c r="F48" s="61" t="s">
        <v>374</v>
      </c>
    </row>
    <row r="49" spans="1:11" ht="7.9" hidden="1" customHeight="1"/>
    <row r="50" spans="1:11" ht="15" hidden="1" customHeight="1">
      <c r="F50" s="62" t="s">
        <v>996</v>
      </c>
    </row>
    <row r="51" spans="1:11" ht="20.100000000000001" hidden="1" customHeight="1"/>
    <row r="52" spans="1:11" ht="15" hidden="1" customHeight="1" thickBot="1">
      <c r="A52" s="63" t="s">
        <v>1013</v>
      </c>
      <c r="K52" s="64" t="s">
        <v>336</v>
      </c>
    </row>
    <row r="53" spans="1:11" ht="18" hidden="1" customHeight="1" thickBot="1">
      <c r="A53" s="65" t="s">
        <v>337</v>
      </c>
      <c r="B53" s="66" t="s">
        <v>338</v>
      </c>
      <c r="C53" s="66" t="s">
        <v>337</v>
      </c>
      <c r="D53" s="66" t="s">
        <v>339</v>
      </c>
      <c r="E53" s="66" t="s">
        <v>1369</v>
      </c>
      <c r="F53" s="66" t="s">
        <v>997</v>
      </c>
      <c r="G53" s="66" t="s">
        <v>998</v>
      </c>
      <c r="H53" s="66" t="s">
        <v>340</v>
      </c>
      <c r="I53" s="66" t="s">
        <v>1370</v>
      </c>
      <c r="J53" s="66" t="s">
        <v>1371</v>
      </c>
      <c r="K53" s="67" t="s">
        <v>331</v>
      </c>
    </row>
    <row r="54" spans="1:11" ht="18" hidden="1" customHeight="1">
      <c r="A54" s="68" t="s">
        <v>375</v>
      </c>
      <c r="B54" s="70" t="s">
        <v>10</v>
      </c>
      <c r="C54" s="70" t="s">
        <v>376</v>
      </c>
      <c r="D54" s="69" t="s">
        <v>377</v>
      </c>
      <c r="E54" s="71">
        <v>227311775</v>
      </c>
      <c r="F54" s="71">
        <v>571062874</v>
      </c>
      <c r="G54" s="71">
        <v>580397636</v>
      </c>
      <c r="H54" s="71">
        <v>217977013</v>
      </c>
      <c r="I54" s="69" t="s">
        <v>1401</v>
      </c>
      <c r="J54" s="69" t="s">
        <v>90</v>
      </c>
      <c r="K54" s="72" t="s">
        <v>90</v>
      </c>
    </row>
    <row r="55" spans="1:11" ht="18" hidden="1" customHeight="1">
      <c r="A55" s="68" t="s">
        <v>375</v>
      </c>
      <c r="B55" s="70" t="s">
        <v>10</v>
      </c>
      <c r="C55" s="70" t="s">
        <v>378</v>
      </c>
      <c r="D55" s="69" t="s">
        <v>379</v>
      </c>
      <c r="E55" s="71">
        <v>288934671</v>
      </c>
      <c r="F55" s="71">
        <v>683650536</v>
      </c>
      <c r="G55" s="71">
        <v>760888969</v>
      </c>
      <c r="H55" s="71">
        <v>211696238</v>
      </c>
      <c r="I55" s="69" t="s">
        <v>1402</v>
      </c>
      <c r="J55" s="69" t="s">
        <v>90</v>
      </c>
      <c r="K55" s="72" t="s">
        <v>90</v>
      </c>
    </row>
    <row r="56" spans="1:11" ht="18" hidden="1" customHeight="1">
      <c r="A56" s="68" t="s">
        <v>375</v>
      </c>
      <c r="B56" s="70" t="s">
        <v>10</v>
      </c>
      <c r="C56" s="70" t="s">
        <v>380</v>
      </c>
      <c r="D56" s="69" t="s">
        <v>381</v>
      </c>
      <c r="E56" s="71">
        <v>255314859</v>
      </c>
      <c r="F56" s="71">
        <v>602716973</v>
      </c>
      <c r="G56" s="71">
        <v>644365684</v>
      </c>
      <c r="H56" s="71">
        <v>213666148</v>
      </c>
      <c r="I56" s="69" t="s">
        <v>1403</v>
      </c>
      <c r="J56" s="69" t="s">
        <v>90</v>
      </c>
      <c r="K56" s="72" t="s">
        <v>90</v>
      </c>
    </row>
    <row r="57" spans="1:11" ht="18" hidden="1" customHeight="1">
      <c r="A57" s="68" t="s">
        <v>375</v>
      </c>
      <c r="B57" s="70" t="s">
        <v>10</v>
      </c>
      <c r="C57" s="70" t="s">
        <v>382</v>
      </c>
      <c r="D57" s="69" t="s">
        <v>383</v>
      </c>
      <c r="E57" s="71">
        <v>89987367</v>
      </c>
      <c r="F57" s="71">
        <v>443962017</v>
      </c>
      <c r="G57" s="71">
        <v>355800784</v>
      </c>
      <c r="H57" s="71">
        <v>178148600</v>
      </c>
      <c r="I57" s="69" t="s">
        <v>1404</v>
      </c>
      <c r="J57" s="69" t="s">
        <v>90</v>
      </c>
      <c r="K57" s="72" t="s">
        <v>90</v>
      </c>
    </row>
    <row r="58" spans="1:11" ht="18" hidden="1" customHeight="1">
      <c r="A58" s="68" t="s">
        <v>375</v>
      </c>
      <c r="B58" s="70" t="s">
        <v>10</v>
      </c>
      <c r="C58" s="70" t="s">
        <v>384</v>
      </c>
      <c r="D58" s="69" t="s">
        <v>385</v>
      </c>
      <c r="E58" s="71">
        <v>151369900</v>
      </c>
      <c r="F58" s="71">
        <v>371302936</v>
      </c>
      <c r="G58" s="71">
        <v>394726195</v>
      </c>
      <c r="H58" s="71">
        <v>127946641</v>
      </c>
      <c r="I58" s="69" t="s">
        <v>1405</v>
      </c>
      <c r="J58" s="69" t="s">
        <v>90</v>
      </c>
      <c r="K58" s="72" t="s">
        <v>90</v>
      </c>
    </row>
    <row r="59" spans="1:11" ht="18" hidden="1" customHeight="1">
      <c r="A59" s="68" t="s">
        <v>375</v>
      </c>
      <c r="B59" s="70" t="s">
        <v>10</v>
      </c>
      <c r="C59" s="70" t="s">
        <v>386</v>
      </c>
      <c r="D59" s="69" t="s">
        <v>387</v>
      </c>
      <c r="E59" s="71">
        <v>5864</v>
      </c>
      <c r="F59" s="71"/>
      <c r="G59" s="71"/>
      <c r="H59" s="71">
        <v>5864</v>
      </c>
      <c r="I59" s="69" t="s">
        <v>1406</v>
      </c>
      <c r="J59" s="69" t="s">
        <v>90</v>
      </c>
      <c r="K59" s="72" t="s">
        <v>90</v>
      </c>
    </row>
    <row r="60" spans="1:11" ht="18" hidden="1" customHeight="1">
      <c r="A60" s="68" t="s">
        <v>375</v>
      </c>
      <c r="B60" s="70" t="s">
        <v>10</v>
      </c>
      <c r="C60" s="70" t="s">
        <v>388</v>
      </c>
      <c r="D60" s="69" t="s">
        <v>389</v>
      </c>
      <c r="E60" s="71">
        <v>406780611</v>
      </c>
      <c r="F60" s="71">
        <v>733378274</v>
      </c>
      <c r="G60" s="71">
        <v>927460406</v>
      </c>
      <c r="H60" s="71">
        <v>212698479</v>
      </c>
      <c r="I60" s="69" t="s">
        <v>1407</v>
      </c>
      <c r="J60" s="69" t="s">
        <v>90</v>
      </c>
      <c r="K60" s="72" t="s">
        <v>90</v>
      </c>
    </row>
    <row r="61" spans="1:11" ht="18" hidden="1" customHeight="1">
      <c r="A61" s="68" t="s">
        <v>375</v>
      </c>
      <c r="B61" s="70" t="s">
        <v>10</v>
      </c>
      <c r="C61" s="70" t="s">
        <v>474</v>
      </c>
      <c r="D61" s="69" t="s">
        <v>475</v>
      </c>
      <c r="E61" s="71"/>
      <c r="F61" s="71">
        <v>408995050</v>
      </c>
      <c r="G61" s="71">
        <v>281053543</v>
      </c>
      <c r="H61" s="71">
        <v>127941507</v>
      </c>
      <c r="I61" s="69" t="s">
        <v>1408</v>
      </c>
      <c r="J61" s="69" t="s">
        <v>90</v>
      </c>
      <c r="K61" s="72" t="s">
        <v>90</v>
      </c>
    </row>
    <row r="62" spans="1:11" ht="18" hidden="1" customHeight="1">
      <c r="A62" s="68" t="s">
        <v>375</v>
      </c>
      <c r="B62" s="70" t="s">
        <v>10</v>
      </c>
      <c r="C62" s="70" t="s">
        <v>390</v>
      </c>
      <c r="D62" s="69" t="s">
        <v>391</v>
      </c>
      <c r="E62" s="71">
        <v>1208</v>
      </c>
      <c r="F62" s="71"/>
      <c r="G62" s="71"/>
      <c r="H62" s="71">
        <v>1208</v>
      </c>
      <c r="I62" s="69" t="s">
        <v>1409</v>
      </c>
      <c r="J62" s="69" t="s">
        <v>90</v>
      </c>
      <c r="K62" s="72" t="s">
        <v>90</v>
      </c>
    </row>
    <row r="63" spans="1:11" ht="18" hidden="1" customHeight="1">
      <c r="A63" s="68" t="s">
        <v>375</v>
      </c>
      <c r="B63" s="70" t="s">
        <v>10</v>
      </c>
      <c r="C63" s="70" t="s">
        <v>392</v>
      </c>
      <c r="D63" s="69" t="s">
        <v>393</v>
      </c>
      <c r="E63" s="71">
        <v>1282337</v>
      </c>
      <c r="F63" s="71">
        <v>-1282319</v>
      </c>
      <c r="G63" s="71"/>
      <c r="H63" s="71">
        <v>18</v>
      </c>
      <c r="I63" s="69" t="s">
        <v>1410</v>
      </c>
      <c r="J63" s="69" t="s">
        <v>90</v>
      </c>
      <c r="K63" s="72" t="s">
        <v>90</v>
      </c>
    </row>
    <row r="64" spans="1:11" ht="18" hidden="1" customHeight="1">
      <c r="A64" s="68" t="s">
        <v>375</v>
      </c>
      <c r="B64" s="70" t="s">
        <v>10</v>
      </c>
      <c r="C64" s="70" t="s">
        <v>394</v>
      </c>
      <c r="D64" s="69" t="s">
        <v>395</v>
      </c>
      <c r="E64" s="71">
        <v>3925432</v>
      </c>
      <c r="F64" s="71">
        <v>93996677</v>
      </c>
      <c r="G64" s="71">
        <v>65301779</v>
      </c>
      <c r="H64" s="71">
        <v>32620330</v>
      </c>
      <c r="I64" s="69" t="s">
        <v>1411</v>
      </c>
      <c r="J64" s="69" t="s">
        <v>90</v>
      </c>
      <c r="K64" s="72" t="s">
        <v>90</v>
      </c>
    </row>
    <row r="65" spans="1:11" ht="18" hidden="1" customHeight="1">
      <c r="A65" s="68" t="s">
        <v>375</v>
      </c>
      <c r="B65" s="70" t="s">
        <v>10</v>
      </c>
      <c r="C65" s="70" t="s">
        <v>396</v>
      </c>
      <c r="D65" s="69" t="s">
        <v>397</v>
      </c>
      <c r="E65" s="71">
        <v>129049507</v>
      </c>
      <c r="F65" s="71">
        <v>425324532</v>
      </c>
      <c r="G65" s="71">
        <v>424379406</v>
      </c>
      <c r="H65" s="71">
        <v>129994633</v>
      </c>
      <c r="I65" s="69" t="s">
        <v>1412</v>
      </c>
      <c r="J65" s="69" t="s">
        <v>90</v>
      </c>
      <c r="K65" s="72" t="s">
        <v>90</v>
      </c>
    </row>
    <row r="66" spans="1:11" ht="18" hidden="1" customHeight="1">
      <c r="A66" s="68" t="s">
        <v>375</v>
      </c>
      <c r="B66" s="70" t="s">
        <v>10</v>
      </c>
      <c r="C66" s="70" t="s">
        <v>398</v>
      </c>
      <c r="D66" s="69" t="s">
        <v>399</v>
      </c>
      <c r="E66" s="71">
        <v>117230925</v>
      </c>
      <c r="F66" s="71">
        <v>352460796</v>
      </c>
      <c r="G66" s="71">
        <v>329832847</v>
      </c>
      <c r="H66" s="71">
        <v>139858874</v>
      </c>
      <c r="I66" s="69" t="s">
        <v>1413</v>
      </c>
      <c r="J66" s="69" t="s">
        <v>90</v>
      </c>
      <c r="K66" s="72" t="s">
        <v>90</v>
      </c>
    </row>
    <row r="67" spans="1:11" ht="18" hidden="1" customHeight="1">
      <c r="A67" s="68" t="s">
        <v>375</v>
      </c>
      <c r="B67" s="70" t="s">
        <v>10</v>
      </c>
      <c r="C67" s="70" t="s">
        <v>400</v>
      </c>
      <c r="D67" s="69" t="s">
        <v>401</v>
      </c>
      <c r="E67" s="71">
        <v>41705620</v>
      </c>
      <c r="F67" s="71">
        <v>166061720</v>
      </c>
      <c r="G67" s="71">
        <v>136073080</v>
      </c>
      <c r="H67" s="71">
        <v>71694260</v>
      </c>
      <c r="I67" s="69" t="s">
        <v>1414</v>
      </c>
      <c r="J67" s="69" t="s">
        <v>90</v>
      </c>
      <c r="K67" s="72" t="s">
        <v>90</v>
      </c>
    </row>
    <row r="68" spans="1:11" ht="18" hidden="1" customHeight="1">
      <c r="A68" s="68" t="s">
        <v>375</v>
      </c>
      <c r="B68" s="70" t="s">
        <v>10</v>
      </c>
      <c r="C68" s="70" t="s">
        <v>402</v>
      </c>
      <c r="D68" s="69" t="s">
        <v>403</v>
      </c>
      <c r="E68" s="71">
        <v>196359820</v>
      </c>
      <c r="F68" s="71">
        <v>439285617</v>
      </c>
      <c r="G68" s="71">
        <v>497890545</v>
      </c>
      <c r="H68" s="71">
        <v>137754892</v>
      </c>
      <c r="I68" s="69" t="s">
        <v>1415</v>
      </c>
      <c r="J68" s="69" t="s">
        <v>90</v>
      </c>
      <c r="K68" s="72" t="s">
        <v>90</v>
      </c>
    </row>
    <row r="69" spans="1:11" ht="18" hidden="1" customHeight="1">
      <c r="A69" s="68" t="s">
        <v>375</v>
      </c>
      <c r="B69" s="70" t="s">
        <v>10</v>
      </c>
      <c r="C69" s="70" t="s">
        <v>404</v>
      </c>
      <c r="D69" s="69" t="s">
        <v>405</v>
      </c>
      <c r="E69" s="71">
        <v>160894088</v>
      </c>
      <c r="F69" s="71">
        <v>344629060</v>
      </c>
      <c r="G69" s="71">
        <v>374838208</v>
      </c>
      <c r="H69" s="71">
        <v>130684940</v>
      </c>
      <c r="I69" s="69" t="s">
        <v>1416</v>
      </c>
      <c r="J69" s="69" t="s">
        <v>90</v>
      </c>
      <c r="K69" s="72" t="s">
        <v>90</v>
      </c>
    </row>
    <row r="70" spans="1:11" ht="18" hidden="1" customHeight="1">
      <c r="A70" s="68" t="s">
        <v>375</v>
      </c>
      <c r="B70" s="70" t="s">
        <v>10</v>
      </c>
      <c r="C70" s="70" t="s">
        <v>406</v>
      </c>
      <c r="D70" s="69" t="s">
        <v>407</v>
      </c>
      <c r="E70" s="71">
        <v>8558738</v>
      </c>
      <c r="F70" s="71">
        <v>-8555813</v>
      </c>
      <c r="G70" s="71"/>
      <c r="H70" s="71">
        <v>2925</v>
      </c>
      <c r="I70" s="69" t="s">
        <v>1417</v>
      </c>
      <c r="J70" s="69" t="s">
        <v>90</v>
      </c>
      <c r="K70" s="72" t="s">
        <v>90</v>
      </c>
    </row>
    <row r="71" spans="1:11" ht="18" hidden="1" customHeight="1">
      <c r="A71" s="68" t="s">
        <v>375</v>
      </c>
      <c r="B71" s="70" t="s">
        <v>10</v>
      </c>
      <c r="C71" s="70" t="s">
        <v>408</v>
      </c>
      <c r="D71" s="69" t="s">
        <v>409</v>
      </c>
      <c r="E71" s="71">
        <v>162075444</v>
      </c>
      <c r="F71" s="71">
        <v>302259912</v>
      </c>
      <c r="G71" s="71">
        <v>333403774</v>
      </c>
      <c r="H71" s="71">
        <v>130931582</v>
      </c>
      <c r="I71" s="69" t="s">
        <v>1418</v>
      </c>
      <c r="J71" s="69" t="s">
        <v>90</v>
      </c>
      <c r="K71" s="72" t="s">
        <v>90</v>
      </c>
    </row>
    <row r="72" spans="1:11" ht="18" hidden="1" customHeight="1">
      <c r="A72" s="68" t="s">
        <v>375</v>
      </c>
      <c r="B72" s="70" t="s">
        <v>10</v>
      </c>
      <c r="C72" s="70" t="s">
        <v>410</v>
      </c>
      <c r="D72" s="69" t="s">
        <v>411</v>
      </c>
      <c r="E72" s="71">
        <v>6589211</v>
      </c>
      <c r="F72" s="71">
        <v>18592090</v>
      </c>
      <c r="G72" s="71">
        <v>18592090</v>
      </c>
      <c r="H72" s="71">
        <v>6589211</v>
      </c>
      <c r="I72" s="69" t="s">
        <v>1419</v>
      </c>
      <c r="J72" s="69" t="s">
        <v>90</v>
      </c>
      <c r="K72" s="72" t="s">
        <v>90</v>
      </c>
    </row>
    <row r="73" spans="1:11" ht="18" hidden="1" customHeight="1">
      <c r="A73" s="68" t="s">
        <v>375</v>
      </c>
      <c r="B73" s="70" t="s">
        <v>10</v>
      </c>
      <c r="C73" s="70" t="s">
        <v>412</v>
      </c>
      <c r="D73" s="69" t="s">
        <v>413</v>
      </c>
      <c r="E73" s="71">
        <v>185689287</v>
      </c>
      <c r="F73" s="71">
        <v>306110475</v>
      </c>
      <c r="G73" s="71">
        <v>373333918</v>
      </c>
      <c r="H73" s="71">
        <v>118465844</v>
      </c>
      <c r="I73" s="69" t="s">
        <v>1420</v>
      </c>
      <c r="J73" s="69" t="s">
        <v>90</v>
      </c>
      <c r="K73" s="72" t="s">
        <v>90</v>
      </c>
    </row>
    <row r="74" spans="1:11" ht="18" hidden="1" customHeight="1">
      <c r="A74" s="68" t="s">
        <v>375</v>
      </c>
      <c r="B74" s="70" t="s">
        <v>10</v>
      </c>
      <c r="C74" s="70" t="s">
        <v>415</v>
      </c>
      <c r="D74" s="69" t="s">
        <v>416</v>
      </c>
      <c r="E74" s="71">
        <v>66739200</v>
      </c>
      <c r="F74" s="71">
        <v>50142950</v>
      </c>
      <c r="G74" s="71">
        <v>76739200</v>
      </c>
      <c r="H74" s="71">
        <v>40142950</v>
      </c>
      <c r="I74" s="69" t="s">
        <v>1421</v>
      </c>
      <c r="J74" s="69" t="s">
        <v>90</v>
      </c>
      <c r="K74" s="72" t="s">
        <v>90</v>
      </c>
    </row>
    <row r="75" spans="1:11" ht="18" hidden="1" customHeight="1">
      <c r="A75" s="68" t="s">
        <v>375</v>
      </c>
      <c r="B75" s="70" t="s">
        <v>10</v>
      </c>
      <c r="C75" s="70" t="s">
        <v>417</v>
      </c>
      <c r="D75" s="69" t="s">
        <v>418</v>
      </c>
      <c r="E75" s="71">
        <v>27089700</v>
      </c>
      <c r="F75" s="71">
        <v>181941290</v>
      </c>
      <c r="G75" s="71">
        <v>195030990</v>
      </c>
      <c r="H75" s="71">
        <v>14000000</v>
      </c>
      <c r="I75" s="69" t="s">
        <v>1422</v>
      </c>
      <c r="J75" s="69" t="s">
        <v>90</v>
      </c>
      <c r="K75" s="72" t="s">
        <v>90</v>
      </c>
    </row>
    <row r="76" spans="1:11" ht="18" hidden="1" customHeight="1">
      <c r="A76" s="68" t="s">
        <v>375</v>
      </c>
      <c r="B76" s="70" t="s">
        <v>10</v>
      </c>
      <c r="C76" s="70" t="s">
        <v>419</v>
      </c>
      <c r="D76" s="69" t="s">
        <v>420</v>
      </c>
      <c r="E76" s="71">
        <v>67467471</v>
      </c>
      <c r="F76" s="71">
        <v>173737143</v>
      </c>
      <c r="G76" s="71">
        <v>167069614</v>
      </c>
      <c r="H76" s="71">
        <v>74135000</v>
      </c>
      <c r="I76" s="69" t="s">
        <v>1423</v>
      </c>
      <c r="J76" s="69" t="s">
        <v>90</v>
      </c>
      <c r="K76" s="72" t="s">
        <v>90</v>
      </c>
    </row>
    <row r="77" spans="1:11" ht="18" hidden="1" customHeight="1">
      <c r="A77" s="68" t="s">
        <v>375</v>
      </c>
      <c r="B77" s="70" t="s">
        <v>10</v>
      </c>
      <c r="C77" s="70" t="s">
        <v>523</v>
      </c>
      <c r="D77" s="69" t="s">
        <v>524</v>
      </c>
      <c r="E77" s="71"/>
      <c r="F77" s="71">
        <v>278842304</v>
      </c>
      <c r="G77" s="71">
        <v>215469627</v>
      </c>
      <c r="H77" s="71">
        <v>63372677</v>
      </c>
      <c r="I77" s="69" t="s">
        <v>1424</v>
      </c>
      <c r="J77" s="69" t="s">
        <v>90</v>
      </c>
      <c r="K77" s="72" t="s">
        <v>90</v>
      </c>
    </row>
    <row r="78" spans="1:11" ht="18" hidden="1" customHeight="1">
      <c r="A78" s="68" t="s">
        <v>375</v>
      </c>
      <c r="B78" s="70" t="s">
        <v>10</v>
      </c>
      <c r="C78" s="70" t="s">
        <v>421</v>
      </c>
      <c r="D78" s="69" t="s">
        <v>422</v>
      </c>
      <c r="E78" s="71">
        <v>86391317</v>
      </c>
      <c r="F78" s="71">
        <v>209799214</v>
      </c>
      <c r="G78" s="71">
        <v>181780663</v>
      </c>
      <c r="H78" s="71">
        <v>114409868</v>
      </c>
      <c r="I78" s="69" t="s">
        <v>1425</v>
      </c>
      <c r="J78" s="69" t="s">
        <v>90</v>
      </c>
      <c r="K78" s="72" t="s">
        <v>90</v>
      </c>
    </row>
    <row r="79" spans="1:11" ht="18" hidden="1" customHeight="1">
      <c r="A79" s="68" t="s">
        <v>375</v>
      </c>
      <c r="B79" s="70" t="s">
        <v>10</v>
      </c>
      <c r="C79" s="70" t="s">
        <v>423</v>
      </c>
      <c r="D79" s="69" t="s">
        <v>424</v>
      </c>
      <c r="E79" s="71">
        <v>223546300</v>
      </c>
      <c r="F79" s="71">
        <v>220684766</v>
      </c>
      <c r="G79" s="71">
        <v>378316677</v>
      </c>
      <c r="H79" s="71">
        <v>65914389</v>
      </c>
      <c r="I79" s="69" t="s">
        <v>1426</v>
      </c>
      <c r="J79" s="69" t="s">
        <v>90</v>
      </c>
      <c r="K79" s="72" t="s">
        <v>90</v>
      </c>
    </row>
    <row r="80" spans="1:11" ht="18" hidden="1" customHeight="1">
      <c r="A80" s="68" t="s">
        <v>375</v>
      </c>
      <c r="B80" s="70" t="s">
        <v>10</v>
      </c>
      <c r="C80" s="70" t="s">
        <v>425</v>
      </c>
      <c r="D80" s="69" t="s">
        <v>426</v>
      </c>
      <c r="E80" s="71">
        <v>147157691</v>
      </c>
      <c r="F80" s="71">
        <v>342888181</v>
      </c>
      <c r="G80" s="71">
        <v>352754202</v>
      </c>
      <c r="H80" s="71">
        <v>137291670</v>
      </c>
      <c r="I80" s="69" t="s">
        <v>1427</v>
      </c>
      <c r="J80" s="69" t="s">
        <v>90</v>
      </c>
      <c r="K80" s="72" t="s">
        <v>90</v>
      </c>
    </row>
    <row r="81" spans="1:11" ht="18" hidden="1" customHeight="1">
      <c r="A81" s="68" t="s">
        <v>375</v>
      </c>
      <c r="B81" s="70" t="s">
        <v>10</v>
      </c>
      <c r="C81" s="70" t="s">
        <v>427</v>
      </c>
      <c r="D81" s="69" t="s">
        <v>428</v>
      </c>
      <c r="E81" s="71">
        <v>159638185</v>
      </c>
      <c r="F81" s="71">
        <v>331810210</v>
      </c>
      <c r="G81" s="71">
        <v>329135457</v>
      </c>
      <c r="H81" s="71">
        <v>162312938</v>
      </c>
      <c r="I81" s="69" t="s">
        <v>1428</v>
      </c>
      <c r="J81" s="69" t="s">
        <v>90</v>
      </c>
      <c r="K81" s="72" t="s">
        <v>90</v>
      </c>
    </row>
    <row r="82" spans="1:11" ht="18" hidden="1" customHeight="1">
      <c r="A82" s="68" t="s">
        <v>375</v>
      </c>
      <c r="B82" s="70" t="s">
        <v>10</v>
      </c>
      <c r="C82" s="70" t="s">
        <v>429</v>
      </c>
      <c r="D82" s="69" t="s">
        <v>430</v>
      </c>
      <c r="E82" s="71">
        <v>151473629</v>
      </c>
      <c r="F82" s="71">
        <v>391312942</v>
      </c>
      <c r="G82" s="71">
        <v>399258228</v>
      </c>
      <c r="H82" s="71">
        <v>143528343</v>
      </c>
      <c r="I82" s="69" t="s">
        <v>1429</v>
      </c>
      <c r="J82" s="69" t="s">
        <v>90</v>
      </c>
      <c r="K82" s="72" t="s">
        <v>90</v>
      </c>
    </row>
    <row r="83" spans="1:11" ht="18" hidden="1" customHeight="1">
      <c r="A83" s="68" t="s">
        <v>375</v>
      </c>
      <c r="B83" s="70" t="s">
        <v>10</v>
      </c>
      <c r="C83" s="70" t="s">
        <v>431</v>
      </c>
      <c r="D83" s="69" t="s">
        <v>432</v>
      </c>
      <c r="E83" s="71">
        <v>95927246</v>
      </c>
      <c r="F83" s="71">
        <v>253615634</v>
      </c>
      <c r="G83" s="71">
        <v>286137410</v>
      </c>
      <c r="H83" s="71">
        <v>63405470</v>
      </c>
      <c r="I83" s="69" t="s">
        <v>1430</v>
      </c>
      <c r="J83" s="69" t="s">
        <v>90</v>
      </c>
      <c r="K83" s="72" t="s">
        <v>90</v>
      </c>
    </row>
    <row r="84" spans="1:11" ht="18" hidden="1" customHeight="1">
      <c r="A84" s="68" t="s">
        <v>375</v>
      </c>
      <c r="B84" s="70" t="s">
        <v>10</v>
      </c>
      <c r="C84" s="70" t="s">
        <v>433</v>
      </c>
      <c r="D84" s="69" t="s">
        <v>434</v>
      </c>
      <c r="E84" s="71">
        <v>222630926</v>
      </c>
      <c r="F84" s="71">
        <v>860586736</v>
      </c>
      <c r="G84" s="71">
        <v>489890152</v>
      </c>
      <c r="H84" s="71">
        <v>593327510</v>
      </c>
      <c r="I84" s="69" t="s">
        <v>1431</v>
      </c>
      <c r="J84" s="69" t="s">
        <v>90</v>
      </c>
      <c r="K84" s="72" t="s">
        <v>90</v>
      </c>
    </row>
    <row r="85" spans="1:11" ht="18" hidden="1" customHeight="1">
      <c r="A85" s="68" t="s">
        <v>375</v>
      </c>
      <c r="B85" s="70" t="s">
        <v>10</v>
      </c>
      <c r="C85" s="70" t="s">
        <v>435</v>
      </c>
      <c r="D85" s="69" t="s">
        <v>436</v>
      </c>
      <c r="E85" s="71">
        <v>202585138</v>
      </c>
      <c r="F85" s="71">
        <v>596424658</v>
      </c>
      <c r="G85" s="71">
        <v>573884571</v>
      </c>
      <c r="H85" s="71">
        <v>225125225</v>
      </c>
      <c r="I85" s="69" t="s">
        <v>1432</v>
      </c>
      <c r="J85" s="69" t="s">
        <v>90</v>
      </c>
      <c r="K85" s="72" t="s">
        <v>90</v>
      </c>
    </row>
    <row r="86" spans="1:11" ht="18" hidden="1" customHeight="1">
      <c r="A86" s="68" t="s">
        <v>375</v>
      </c>
      <c r="B86" s="70" t="s">
        <v>10</v>
      </c>
      <c r="C86" s="70" t="s">
        <v>437</v>
      </c>
      <c r="D86" s="69" t="s">
        <v>438</v>
      </c>
      <c r="E86" s="71">
        <v>174538980</v>
      </c>
      <c r="F86" s="71">
        <v>773979575</v>
      </c>
      <c r="G86" s="71">
        <v>783599341</v>
      </c>
      <c r="H86" s="71">
        <v>164919214</v>
      </c>
      <c r="I86" s="69" t="s">
        <v>1433</v>
      </c>
      <c r="J86" s="69" t="s">
        <v>90</v>
      </c>
      <c r="K86" s="72" t="s">
        <v>90</v>
      </c>
    </row>
    <row r="87" spans="1:11" ht="18" hidden="1" customHeight="1">
      <c r="A87" s="68" t="s">
        <v>375</v>
      </c>
      <c r="B87" s="70" t="s">
        <v>10</v>
      </c>
      <c r="C87" s="70" t="s">
        <v>439</v>
      </c>
      <c r="D87" s="69" t="s">
        <v>440</v>
      </c>
      <c r="E87" s="71">
        <v>139394900</v>
      </c>
      <c r="F87" s="71">
        <v>337522150</v>
      </c>
      <c r="G87" s="71">
        <v>351859450</v>
      </c>
      <c r="H87" s="71">
        <v>125057600</v>
      </c>
      <c r="I87" s="69" t="s">
        <v>1434</v>
      </c>
      <c r="J87" s="69" t="s">
        <v>90</v>
      </c>
      <c r="K87" s="72" t="s">
        <v>90</v>
      </c>
    </row>
    <row r="88" spans="1:11" ht="18" hidden="1" customHeight="1">
      <c r="A88" s="68" t="s">
        <v>375</v>
      </c>
      <c r="B88" s="70" t="s">
        <v>10</v>
      </c>
      <c r="C88" s="70" t="s">
        <v>441</v>
      </c>
      <c r="D88" s="69" t="s">
        <v>442</v>
      </c>
      <c r="E88" s="71">
        <v>99517913</v>
      </c>
      <c r="F88" s="71">
        <v>146690024</v>
      </c>
      <c r="G88" s="71">
        <v>198213214</v>
      </c>
      <c r="H88" s="71">
        <v>47994723</v>
      </c>
      <c r="I88" s="69" t="s">
        <v>1435</v>
      </c>
      <c r="J88" s="69" t="s">
        <v>90</v>
      </c>
      <c r="K88" s="72" t="s">
        <v>90</v>
      </c>
    </row>
    <row r="89" spans="1:11" ht="18" hidden="1" customHeight="1">
      <c r="A89" s="68" t="s">
        <v>375</v>
      </c>
      <c r="B89" s="70" t="s">
        <v>10</v>
      </c>
      <c r="C89" s="70" t="s">
        <v>443</v>
      </c>
      <c r="D89" s="69" t="s">
        <v>444</v>
      </c>
      <c r="E89" s="71">
        <v>33754000</v>
      </c>
      <c r="F89" s="71">
        <v>231354310</v>
      </c>
      <c r="G89" s="71">
        <v>95000000</v>
      </c>
      <c r="H89" s="71">
        <v>170108310</v>
      </c>
      <c r="I89" s="69" t="s">
        <v>1436</v>
      </c>
      <c r="J89" s="69" t="s">
        <v>90</v>
      </c>
      <c r="K89" s="72" t="s">
        <v>90</v>
      </c>
    </row>
    <row r="90" spans="1:11" ht="18" hidden="1" customHeight="1" thickBot="1">
      <c r="A90" s="73" t="s">
        <v>375</v>
      </c>
      <c r="B90" s="75" t="s">
        <v>10</v>
      </c>
      <c r="C90" s="75" t="s">
        <v>1001</v>
      </c>
      <c r="D90" s="74" t="s">
        <v>1002</v>
      </c>
      <c r="E90" s="76"/>
      <c r="F90" s="76">
        <v>230477564</v>
      </c>
      <c r="G90" s="76">
        <v>124512032</v>
      </c>
      <c r="H90" s="76">
        <v>105965532</v>
      </c>
      <c r="I90" s="74" t="s">
        <v>1437</v>
      </c>
      <c r="J90" s="74" t="s">
        <v>90</v>
      </c>
      <c r="K90" s="77" t="s">
        <v>90</v>
      </c>
    </row>
    <row r="91" spans="1:11" ht="18" hidden="1" customHeight="1" thickBot="1">
      <c r="A91" s="78" t="s">
        <v>363</v>
      </c>
      <c r="B91" s="80" t="s">
        <v>90</v>
      </c>
      <c r="C91" s="80" t="s">
        <v>90</v>
      </c>
      <c r="D91" s="79" t="s">
        <v>90</v>
      </c>
      <c r="E91" s="81">
        <v>4330919260</v>
      </c>
      <c r="F91" s="81">
        <v>11865761058</v>
      </c>
      <c r="G91" s="81">
        <v>11696989692</v>
      </c>
      <c r="H91" s="81">
        <v>4499690626</v>
      </c>
      <c r="I91" s="79" t="s">
        <v>90</v>
      </c>
      <c r="J91" s="79" t="s">
        <v>90</v>
      </c>
      <c r="K91" s="82" t="s">
        <v>90</v>
      </c>
    </row>
    <row r="92" spans="1:11" ht="5.25" hidden="1" customHeight="1"/>
    <row r="93" spans="1:11" ht="31.5" hidden="1" customHeight="1">
      <c r="F93" s="61" t="s">
        <v>445</v>
      </c>
    </row>
    <row r="94" spans="1:11" ht="8.1" hidden="1" customHeight="1"/>
    <row r="95" spans="1:11" ht="15" hidden="1" customHeight="1">
      <c r="F95" s="62" t="s">
        <v>996</v>
      </c>
    </row>
    <row r="96" spans="1:11" ht="20.100000000000001" hidden="1" customHeight="1"/>
    <row r="97" spans="1:11" ht="15" hidden="1" customHeight="1" thickBot="1">
      <c r="A97" s="63" t="s">
        <v>1013</v>
      </c>
      <c r="K97" s="64" t="s">
        <v>336</v>
      </c>
    </row>
    <row r="98" spans="1:11" ht="18" hidden="1" customHeight="1" thickBot="1">
      <c r="A98" s="65" t="s">
        <v>337</v>
      </c>
      <c r="B98" s="66" t="s">
        <v>338</v>
      </c>
      <c r="C98" s="66" t="s">
        <v>337</v>
      </c>
      <c r="D98" s="66" t="s">
        <v>339</v>
      </c>
      <c r="E98" s="66" t="s">
        <v>1369</v>
      </c>
      <c r="F98" s="66" t="s">
        <v>997</v>
      </c>
      <c r="G98" s="66" t="s">
        <v>998</v>
      </c>
      <c r="H98" s="66" t="s">
        <v>340</v>
      </c>
      <c r="I98" s="66" t="s">
        <v>1370</v>
      </c>
      <c r="J98" s="66" t="s">
        <v>1371</v>
      </c>
      <c r="K98" s="67" t="s">
        <v>331</v>
      </c>
    </row>
    <row r="99" spans="1:11" ht="18" hidden="1" customHeight="1" thickBot="1">
      <c r="A99" s="68" t="s">
        <v>446</v>
      </c>
      <c r="B99" s="70" t="s">
        <v>11</v>
      </c>
      <c r="C99" s="70" t="s">
        <v>90</v>
      </c>
      <c r="D99" s="69" t="s">
        <v>447</v>
      </c>
      <c r="E99" s="71">
        <v>54878557</v>
      </c>
      <c r="F99" s="71">
        <v>-9881651</v>
      </c>
      <c r="G99" s="71"/>
      <c r="H99" s="71">
        <v>44996906</v>
      </c>
      <c r="I99" s="69" t="s">
        <v>90</v>
      </c>
      <c r="J99" s="69" t="s">
        <v>90</v>
      </c>
      <c r="K99" s="72" t="s">
        <v>90</v>
      </c>
    </row>
    <row r="100" spans="1:11" ht="18" hidden="1" customHeight="1" thickBot="1">
      <c r="A100" s="78" t="s">
        <v>363</v>
      </c>
      <c r="B100" s="80" t="s">
        <v>90</v>
      </c>
      <c r="C100" s="80" t="s">
        <v>90</v>
      </c>
      <c r="D100" s="79" t="s">
        <v>90</v>
      </c>
      <c r="E100" s="81">
        <v>54878557</v>
      </c>
      <c r="F100" s="81">
        <v>-9881651</v>
      </c>
      <c r="G100" s="81"/>
      <c r="H100" s="81">
        <v>44996906</v>
      </c>
      <c r="I100" s="79" t="s">
        <v>90</v>
      </c>
      <c r="J100" s="79" t="s">
        <v>90</v>
      </c>
      <c r="K100" s="82" t="s">
        <v>90</v>
      </c>
    </row>
    <row r="101" spans="1:11" ht="5.25" hidden="1" customHeight="1"/>
    <row r="102" spans="1:11" ht="31.5" hidden="1" customHeight="1">
      <c r="F102" s="61" t="s">
        <v>448</v>
      </c>
    </row>
    <row r="103" spans="1:11" ht="8.1" hidden="1" customHeight="1"/>
    <row r="104" spans="1:11" ht="15" hidden="1" customHeight="1">
      <c r="F104" s="62" t="s">
        <v>996</v>
      </c>
    </row>
    <row r="105" spans="1:11" ht="20.25" hidden="1" customHeight="1"/>
    <row r="106" spans="1:11" ht="15" hidden="1" customHeight="1" thickBot="1">
      <c r="A106" s="63" t="s">
        <v>1013</v>
      </c>
      <c r="K106" s="64" t="s">
        <v>336</v>
      </c>
    </row>
    <row r="107" spans="1:11" ht="18" hidden="1" customHeight="1" thickBot="1">
      <c r="A107" s="65" t="s">
        <v>337</v>
      </c>
      <c r="B107" s="66" t="s">
        <v>338</v>
      </c>
      <c r="C107" s="66" t="s">
        <v>337</v>
      </c>
      <c r="D107" s="66" t="s">
        <v>339</v>
      </c>
      <c r="E107" s="66" t="s">
        <v>1369</v>
      </c>
      <c r="F107" s="66" t="s">
        <v>997</v>
      </c>
      <c r="G107" s="66" t="s">
        <v>998</v>
      </c>
      <c r="H107" s="66" t="s">
        <v>340</v>
      </c>
      <c r="I107" s="66" t="s">
        <v>1370</v>
      </c>
      <c r="J107" s="66" t="s">
        <v>1371</v>
      </c>
      <c r="K107" s="67" t="s">
        <v>331</v>
      </c>
    </row>
    <row r="108" spans="1:11" ht="18" hidden="1" customHeight="1">
      <c r="A108" s="68" t="s">
        <v>449</v>
      </c>
      <c r="B108" s="70" t="s">
        <v>12</v>
      </c>
      <c r="C108" s="70" t="s">
        <v>482</v>
      </c>
      <c r="D108" s="69" t="s">
        <v>483</v>
      </c>
      <c r="E108" s="71"/>
      <c r="F108" s="71">
        <v>178259</v>
      </c>
      <c r="G108" s="71"/>
      <c r="H108" s="71">
        <v>178259</v>
      </c>
      <c r="I108" s="69" t="s">
        <v>1438</v>
      </c>
      <c r="J108" s="69" t="s">
        <v>90</v>
      </c>
      <c r="K108" s="72" t="s">
        <v>90</v>
      </c>
    </row>
    <row r="109" spans="1:11" ht="18" hidden="1" customHeight="1">
      <c r="A109" s="68" t="s">
        <v>449</v>
      </c>
      <c r="B109" s="70" t="s">
        <v>12</v>
      </c>
      <c r="C109" s="70" t="s">
        <v>844</v>
      </c>
      <c r="D109" s="69" t="s">
        <v>845</v>
      </c>
      <c r="E109" s="71"/>
      <c r="F109" s="71">
        <v>1658210</v>
      </c>
      <c r="G109" s="71"/>
      <c r="H109" s="71">
        <v>1658210</v>
      </c>
      <c r="I109" s="69" t="s">
        <v>90</v>
      </c>
      <c r="J109" s="69" t="s">
        <v>90</v>
      </c>
      <c r="K109" s="72" t="s">
        <v>90</v>
      </c>
    </row>
    <row r="110" spans="1:11" ht="18" hidden="1" customHeight="1">
      <c r="A110" s="68" t="s">
        <v>449</v>
      </c>
      <c r="B110" s="70" t="s">
        <v>12</v>
      </c>
      <c r="C110" s="70" t="s">
        <v>857</v>
      </c>
      <c r="D110" s="69" t="s">
        <v>858</v>
      </c>
      <c r="E110" s="71"/>
      <c r="F110" s="71">
        <v>872636</v>
      </c>
      <c r="G110" s="71">
        <v>147525</v>
      </c>
      <c r="H110" s="71">
        <v>725111</v>
      </c>
      <c r="I110" s="69" t="s">
        <v>90</v>
      </c>
      <c r="J110" s="69" t="s">
        <v>90</v>
      </c>
      <c r="K110" s="72" t="s">
        <v>90</v>
      </c>
    </row>
    <row r="111" spans="1:11" ht="18" hidden="1" customHeight="1">
      <c r="A111" s="68" t="s">
        <v>449</v>
      </c>
      <c r="B111" s="70" t="s">
        <v>12</v>
      </c>
      <c r="C111" s="70" t="s">
        <v>450</v>
      </c>
      <c r="D111" s="69" t="s">
        <v>451</v>
      </c>
      <c r="E111" s="71">
        <v>4107235000</v>
      </c>
      <c r="F111" s="71"/>
      <c r="G111" s="71"/>
      <c r="H111" s="71">
        <v>4107235000</v>
      </c>
      <c r="I111" s="69" t="s">
        <v>90</v>
      </c>
      <c r="J111" s="69" t="s">
        <v>90</v>
      </c>
      <c r="K111" s="72" t="s">
        <v>90</v>
      </c>
    </row>
    <row r="112" spans="1:11" ht="18" hidden="1" customHeight="1">
      <c r="A112" s="68" t="s">
        <v>449</v>
      </c>
      <c r="B112" s="70" t="s">
        <v>12</v>
      </c>
      <c r="C112" s="70" t="s">
        <v>452</v>
      </c>
      <c r="D112" s="69" t="s">
        <v>453</v>
      </c>
      <c r="E112" s="71">
        <v>9900000</v>
      </c>
      <c r="F112" s="71">
        <v>118800000</v>
      </c>
      <c r="G112" s="71">
        <v>108900000</v>
      </c>
      <c r="H112" s="71">
        <v>19800000</v>
      </c>
      <c r="I112" s="69" t="s">
        <v>1439</v>
      </c>
      <c r="J112" s="69" t="s">
        <v>90</v>
      </c>
      <c r="K112" s="72" t="s">
        <v>90</v>
      </c>
    </row>
    <row r="113" spans="1:11" ht="18" hidden="1" customHeight="1">
      <c r="A113" s="68" t="s">
        <v>449</v>
      </c>
      <c r="B113" s="70" t="s">
        <v>12</v>
      </c>
      <c r="C113" s="70" t="s">
        <v>454</v>
      </c>
      <c r="D113" s="69" t="s">
        <v>455</v>
      </c>
      <c r="E113" s="71">
        <v>2870000</v>
      </c>
      <c r="F113" s="71">
        <v>31684600</v>
      </c>
      <c r="G113" s="71">
        <v>32314600</v>
      </c>
      <c r="H113" s="71">
        <v>2240000</v>
      </c>
      <c r="I113" s="69" t="s">
        <v>1440</v>
      </c>
      <c r="J113" s="69" t="s">
        <v>90</v>
      </c>
      <c r="K113" s="72" t="s">
        <v>90</v>
      </c>
    </row>
    <row r="114" spans="1:11" ht="18" hidden="1" customHeight="1">
      <c r="A114" s="68" t="s">
        <v>449</v>
      </c>
      <c r="B114" s="70" t="s">
        <v>12</v>
      </c>
      <c r="C114" s="70" t="s">
        <v>1004</v>
      </c>
      <c r="D114" s="69" t="s">
        <v>1005</v>
      </c>
      <c r="E114" s="71"/>
      <c r="F114" s="71">
        <v>39777472</v>
      </c>
      <c r="G114" s="71">
        <v>36700600</v>
      </c>
      <c r="H114" s="71">
        <v>3076872</v>
      </c>
      <c r="I114" s="69" t="s">
        <v>1441</v>
      </c>
      <c r="J114" s="69" t="s">
        <v>90</v>
      </c>
      <c r="K114" s="72" t="s">
        <v>90</v>
      </c>
    </row>
    <row r="115" spans="1:11" ht="18" hidden="1" customHeight="1">
      <c r="A115" s="68" t="s">
        <v>449</v>
      </c>
      <c r="B115" s="70" t="s">
        <v>12</v>
      </c>
      <c r="C115" s="70" t="s">
        <v>1057</v>
      </c>
      <c r="D115" s="69" t="s">
        <v>1058</v>
      </c>
      <c r="E115" s="71"/>
      <c r="F115" s="71">
        <v>56341899</v>
      </c>
      <c r="G115" s="71">
        <v>54620473</v>
      </c>
      <c r="H115" s="71">
        <v>1721426</v>
      </c>
      <c r="I115" s="69" t="s">
        <v>1442</v>
      </c>
      <c r="J115" s="69" t="s">
        <v>90</v>
      </c>
      <c r="K115" s="72" t="s">
        <v>90</v>
      </c>
    </row>
    <row r="116" spans="1:11" ht="18" hidden="1" customHeight="1">
      <c r="A116" s="68" t="s">
        <v>449</v>
      </c>
      <c r="B116" s="70" t="s">
        <v>12</v>
      </c>
      <c r="C116" s="70" t="s">
        <v>1001</v>
      </c>
      <c r="D116" s="69" t="s">
        <v>1002</v>
      </c>
      <c r="E116" s="71"/>
      <c r="F116" s="71">
        <v>303644880</v>
      </c>
      <c r="G116" s="71">
        <v>21438915</v>
      </c>
      <c r="H116" s="71">
        <v>282205965</v>
      </c>
      <c r="I116" s="69" t="s">
        <v>1437</v>
      </c>
      <c r="J116" s="69" t="s">
        <v>90</v>
      </c>
      <c r="K116" s="72" t="s">
        <v>90</v>
      </c>
    </row>
    <row r="117" spans="1:11" ht="18" hidden="1" customHeight="1">
      <c r="A117" s="68" t="s">
        <v>449</v>
      </c>
      <c r="B117" s="70" t="s">
        <v>12</v>
      </c>
      <c r="C117" s="70" t="s">
        <v>1006</v>
      </c>
      <c r="D117" s="69" t="s">
        <v>1007</v>
      </c>
      <c r="E117" s="71"/>
      <c r="F117" s="71">
        <v>10561000</v>
      </c>
      <c r="G117" s="71">
        <v>9581000</v>
      </c>
      <c r="H117" s="71">
        <v>980000</v>
      </c>
      <c r="I117" s="69" t="s">
        <v>1443</v>
      </c>
      <c r="J117" s="69" t="s">
        <v>90</v>
      </c>
      <c r="K117" s="72" t="s">
        <v>90</v>
      </c>
    </row>
    <row r="118" spans="1:11" ht="18" hidden="1" customHeight="1">
      <c r="A118" s="68" t="s">
        <v>449</v>
      </c>
      <c r="B118" s="70" t="s">
        <v>12</v>
      </c>
      <c r="C118" s="70" t="s">
        <v>1270</v>
      </c>
      <c r="D118" s="69" t="s">
        <v>1444</v>
      </c>
      <c r="E118" s="71"/>
      <c r="F118" s="71">
        <v>2358608277</v>
      </c>
      <c r="G118" s="71">
        <v>2122070284</v>
      </c>
      <c r="H118" s="71">
        <v>236537993</v>
      </c>
      <c r="I118" s="69" t="s">
        <v>1445</v>
      </c>
      <c r="J118" s="69" t="s">
        <v>90</v>
      </c>
      <c r="K118" s="72" t="s">
        <v>90</v>
      </c>
    </row>
    <row r="119" spans="1:11" ht="18" hidden="1" customHeight="1">
      <c r="A119" s="68" t="s">
        <v>449</v>
      </c>
      <c r="B119" s="70" t="s">
        <v>12</v>
      </c>
      <c r="C119" s="70" t="s">
        <v>1264</v>
      </c>
      <c r="D119" s="69" t="s">
        <v>1446</v>
      </c>
      <c r="E119" s="71"/>
      <c r="F119" s="71">
        <v>7264952400</v>
      </c>
      <c r="G119" s="71">
        <v>6744180633</v>
      </c>
      <c r="H119" s="71">
        <v>520771767</v>
      </c>
      <c r="I119" s="69" t="s">
        <v>1447</v>
      </c>
      <c r="J119" s="69" t="s">
        <v>90</v>
      </c>
      <c r="K119" s="72" t="s">
        <v>90</v>
      </c>
    </row>
    <row r="120" spans="1:11" ht="18" hidden="1" customHeight="1">
      <c r="A120" s="68" t="s">
        <v>449</v>
      </c>
      <c r="B120" s="70" t="s">
        <v>12</v>
      </c>
      <c r="C120" s="70" t="s">
        <v>1448</v>
      </c>
      <c r="D120" s="69" t="s">
        <v>1449</v>
      </c>
      <c r="E120" s="71"/>
      <c r="F120" s="71">
        <v>2632098800</v>
      </c>
      <c r="G120" s="71">
        <v>2348983343</v>
      </c>
      <c r="H120" s="71">
        <v>283115457</v>
      </c>
      <c r="I120" s="69" t="s">
        <v>1450</v>
      </c>
      <c r="J120" s="69" t="s">
        <v>90</v>
      </c>
      <c r="K120" s="72" t="s">
        <v>90</v>
      </c>
    </row>
    <row r="121" spans="1:11" ht="18" hidden="1" customHeight="1">
      <c r="A121" s="68" t="s">
        <v>449</v>
      </c>
      <c r="B121" s="70" t="s">
        <v>12</v>
      </c>
      <c r="C121" s="70" t="s">
        <v>1451</v>
      </c>
      <c r="D121" s="69" t="s">
        <v>1452</v>
      </c>
      <c r="E121" s="71"/>
      <c r="F121" s="71">
        <v>773190</v>
      </c>
      <c r="G121" s="71"/>
      <c r="H121" s="71">
        <v>773190</v>
      </c>
      <c r="I121" s="69" t="s">
        <v>90</v>
      </c>
      <c r="J121" s="69" t="s">
        <v>90</v>
      </c>
      <c r="K121" s="72" t="s">
        <v>90</v>
      </c>
    </row>
    <row r="122" spans="1:11" ht="18" hidden="1" customHeight="1">
      <c r="A122" s="68" t="s">
        <v>449</v>
      </c>
      <c r="B122" s="70" t="s">
        <v>12</v>
      </c>
      <c r="C122" s="70" t="s">
        <v>1453</v>
      </c>
      <c r="D122" s="69" t="s">
        <v>1454</v>
      </c>
      <c r="E122" s="71"/>
      <c r="F122" s="71">
        <v>4787620</v>
      </c>
      <c r="G122" s="71"/>
      <c r="H122" s="71">
        <v>4787620</v>
      </c>
      <c r="I122" s="69" t="s">
        <v>90</v>
      </c>
      <c r="J122" s="69" t="s">
        <v>90</v>
      </c>
      <c r="K122" s="72" t="s">
        <v>90</v>
      </c>
    </row>
    <row r="123" spans="1:11" ht="18" hidden="1" customHeight="1">
      <c r="A123" s="68" t="s">
        <v>449</v>
      </c>
      <c r="B123" s="70" t="s">
        <v>12</v>
      </c>
      <c r="C123" s="70" t="s">
        <v>1455</v>
      </c>
      <c r="D123" s="69" t="s">
        <v>1456</v>
      </c>
      <c r="E123" s="71"/>
      <c r="F123" s="71">
        <v>479290</v>
      </c>
      <c r="G123" s="71"/>
      <c r="H123" s="71">
        <v>479290</v>
      </c>
      <c r="I123" s="69" t="s">
        <v>90</v>
      </c>
      <c r="J123" s="69" t="s">
        <v>90</v>
      </c>
      <c r="K123" s="72" t="s">
        <v>90</v>
      </c>
    </row>
    <row r="124" spans="1:11" ht="18" hidden="1" customHeight="1">
      <c r="A124" s="68" t="s">
        <v>449</v>
      </c>
      <c r="B124" s="70" t="s">
        <v>12</v>
      </c>
      <c r="C124" s="70" t="s">
        <v>1457</v>
      </c>
      <c r="D124" s="69" t="s">
        <v>1458</v>
      </c>
      <c r="E124" s="71"/>
      <c r="F124" s="71">
        <v>7827515</v>
      </c>
      <c r="G124" s="71"/>
      <c r="H124" s="71">
        <v>7827515</v>
      </c>
      <c r="I124" s="69" t="s">
        <v>90</v>
      </c>
      <c r="J124" s="69" t="s">
        <v>90</v>
      </c>
      <c r="K124" s="72" t="s">
        <v>90</v>
      </c>
    </row>
    <row r="125" spans="1:11" ht="18" hidden="1" customHeight="1">
      <c r="A125" s="68" t="s">
        <v>449</v>
      </c>
      <c r="B125" s="70" t="s">
        <v>12</v>
      </c>
      <c r="C125" s="70" t="s">
        <v>1459</v>
      </c>
      <c r="D125" s="69" t="s">
        <v>1460</v>
      </c>
      <c r="E125" s="71"/>
      <c r="F125" s="71">
        <v>89728144</v>
      </c>
      <c r="G125" s="71"/>
      <c r="H125" s="71">
        <v>89728144</v>
      </c>
      <c r="I125" s="69" t="s">
        <v>90</v>
      </c>
      <c r="J125" s="69" t="s">
        <v>90</v>
      </c>
      <c r="K125" s="72" t="s">
        <v>90</v>
      </c>
    </row>
    <row r="126" spans="1:11" ht="18" hidden="1" customHeight="1">
      <c r="A126" s="68" t="s">
        <v>449</v>
      </c>
      <c r="B126" s="70" t="s">
        <v>12</v>
      </c>
      <c r="C126" s="70" t="s">
        <v>1461</v>
      </c>
      <c r="D126" s="69" t="s">
        <v>1462</v>
      </c>
      <c r="E126" s="71"/>
      <c r="F126" s="71">
        <v>89870012</v>
      </c>
      <c r="G126" s="71">
        <v>85051042</v>
      </c>
      <c r="H126" s="71">
        <v>4818970</v>
      </c>
      <c r="I126" s="69" t="s">
        <v>90</v>
      </c>
      <c r="J126" s="69" t="s">
        <v>90</v>
      </c>
      <c r="K126" s="72" t="s">
        <v>90</v>
      </c>
    </row>
    <row r="127" spans="1:11" ht="18" hidden="1" customHeight="1">
      <c r="A127" s="68" t="s">
        <v>449</v>
      </c>
      <c r="B127" s="70" t="s">
        <v>12</v>
      </c>
      <c r="C127" s="70" t="s">
        <v>1463</v>
      </c>
      <c r="D127" s="69" t="s">
        <v>456</v>
      </c>
      <c r="E127" s="71">
        <v>7366431</v>
      </c>
      <c r="F127" s="71">
        <v>331020989</v>
      </c>
      <c r="G127" s="71">
        <v>334393681</v>
      </c>
      <c r="H127" s="71">
        <v>3993739</v>
      </c>
      <c r="I127" s="69" t="s">
        <v>90</v>
      </c>
      <c r="J127" s="69" t="s">
        <v>90</v>
      </c>
      <c r="K127" s="72" t="s">
        <v>90</v>
      </c>
    </row>
    <row r="128" spans="1:11" ht="18" hidden="1" customHeight="1">
      <c r="A128" s="68" t="s">
        <v>449</v>
      </c>
      <c r="B128" s="70" t="s">
        <v>12</v>
      </c>
      <c r="C128" s="70" t="s">
        <v>1464</v>
      </c>
      <c r="D128" s="69" t="s">
        <v>457</v>
      </c>
      <c r="E128" s="71">
        <v>9529478</v>
      </c>
      <c r="F128" s="71">
        <v>291012754</v>
      </c>
      <c r="G128" s="71">
        <v>296787524</v>
      </c>
      <c r="H128" s="71">
        <v>3754708</v>
      </c>
      <c r="I128" s="69" t="s">
        <v>90</v>
      </c>
      <c r="J128" s="69" t="s">
        <v>90</v>
      </c>
      <c r="K128" s="72" t="s">
        <v>90</v>
      </c>
    </row>
    <row r="129" spans="1:11" ht="18" hidden="1" customHeight="1" thickBot="1">
      <c r="A129" s="73" t="s">
        <v>449</v>
      </c>
      <c r="B129" s="75" t="s">
        <v>12</v>
      </c>
      <c r="C129" s="75" t="s">
        <v>1465</v>
      </c>
      <c r="D129" s="74" t="s">
        <v>458</v>
      </c>
      <c r="E129" s="76">
        <v>1911122</v>
      </c>
      <c r="F129" s="76">
        <v>69346600</v>
      </c>
      <c r="G129" s="76">
        <v>69677239</v>
      </c>
      <c r="H129" s="76">
        <v>1580483</v>
      </c>
      <c r="I129" s="74" t="s">
        <v>90</v>
      </c>
      <c r="J129" s="74" t="s">
        <v>90</v>
      </c>
      <c r="K129" s="77" t="s">
        <v>90</v>
      </c>
    </row>
    <row r="130" spans="1:11" ht="18" hidden="1" customHeight="1">
      <c r="A130" s="68" t="s">
        <v>449</v>
      </c>
      <c r="B130" s="70" t="s">
        <v>12</v>
      </c>
      <c r="C130" s="70" t="s">
        <v>1466</v>
      </c>
      <c r="D130" s="69" t="s">
        <v>459</v>
      </c>
      <c r="E130" s="71">
        <v>5134850</v>
      </c>
      <c r="F130" s="71">
        <v>166177910</v>
      </c>
      <c r="G130" s="71">
        <v>169106904</v>
      </c>
      <c r="H130" s="71">
        <v>2205856</v>
      </c>
      <c r="I130" s="69" t="s">
        <v>90</v>
      </c>
      <c r="J130" s="69" t="s">
        <v>90</v>
      </c>
      <c r="K130" s="72" t="s">
        <v>90</v>
      </c>
    </row>
    <row r="131" spans="1:11" ht="18" hidden="1" customHeight="1">
      <c r="A131" s="68" t="s">
        <v>449</v>
      </c>
      <c r="B131" s="70" t="s">
        <v>12</v>
      </c>
      <c r="C131" s="70" t="s">
        <v>1467</v>
      </c>
      <c r="D131" s="69" t="s">
        <v>460</v>
      </c>
      <c r="E131" s="71">
        <v>2128201</v>
      </c>
      <c r="F131" s="71">
        <v>65882008</v>
      </c>
      <c r="G131" s="71">
        <v>67592117</v>
      </c>
      <c r="H131" s="71">
        <v>418092</v>
      </c>
      <c r="I131" s="69" t="s">
        <v>90</v>
      </c>
      <c r="J131" s="69" t="s">
        <v>90</v>
      </c>
      <c r="K131" s="72" t="s">
        <v>90</v>
      </c>
    </row>
    <row r="132" spans="1:11" ht="18" hidden="1" customHeight="1">
      <c r="A132" s="68" t="s">
        <v>449</v>
      </c>
      <c r="B132" s="70" t="s">
        <v>12</v>
      </c>
      <c r="C132" s="70" t="s">
        <v>1468</v>
      </c>
      <c r="D132" s="69" t="s">
        <v>461</v>
      </c>
      <c r="E132" s="71">
        <v>14100358</v>
      </c>
      <c r="F132" s="71">
        <v>267850637</v>
      </c>
      <c r="G132" s="71">
        <v>281168041</v>
      </c>
      <c r="H132" s="71">
        <v>782954</v>
      </c>
      <c r="I132" s="69" t="s">
        <v>90</v>
      </c>
      <c r="J132" s="69" t="s">
        <v>90</v>
      </c>
      <c r="K132" s="72" t="s">
        <v>90</v>
      </c>
    </row>
    <row r="133" spans="1:11" ht="18" hidden="1" customHeight="1">
      <c r="A133" s="68" t="s">
        <v>449</v>
      </c>
      <c r="B133" s="70" t="s">
        <v>12</v>
      </c>
      <c r="C133" s="70" t="s">
        <v>1469</v>
      </c>
      <c r="D133" s="69" t="s">
        <v>462</v>
      </c>
      <c r="E133" s="71">
        <v>6164525</v>
      </c>
      <c r="F133" s="71">
        <v>208238929</v>
      </c>
      <c r="G133" s="71">
        <v>211838827</v>
      </c>
      <c r="H133" s="71">
        <v>2564627</v>
      </c>
      <c r="I133" s="69" t="s">
        <v>90</v>
      </c>
      <c r="J133" s="69" t="s">
        <v>90</v>
      </c>
      <c r="K133" s="72" t="s">
        <v>90</v>
      </c>
    </row>
    <row r="134" spans="1:11" ht="18" hidden="1" customHeight="1">
      <c r="A134" s="68" t="s">
        <v>449</v>
      </c>
      <c r="B134" s="70" t="s">
        <v>12</v>
      </c>
      <c r="C134" s="70" t="s">
        <v>1470</v>
      </c>
      <c r="D134" s="69" t="s">
        <v>463</v>
      </c>
      <c r="E134" s="71">
        <v>4676574</v>
      </c>
      <c r="F134" s="71">
        <v>159268511</v>
      </c>
      <c r="G134" s="71">
        <v>161556257</v>
      </c>
      <c r="H134" s="71">
        <v>2388828</v>
      </c>
      <c r="I134" s="69" t="s">
        <v>90</v>
      </c>
      <c r="J134" s="69" t="s">
        <v>90</v>
      </c>
      <c r="K134" s="72" t="s">
        <v>90</v>
      </c>
    </row>
    <row r="135" spans="1:11" ht="18" hidden="1" customHeight="1" thickBot="1">
      <c r="A135" s="68" t="s">
        <v>449</v>
      </c>
      <c r="B135" s="70" t="s">
        <v>12</v>
      </c>
      <c r="C135" s="70" t="s">
        <v>1471</v>
      </c>
      <c r="D135" s="69" t="s">
        <v>1472</v>
      </c>
      <c r="E135" s="71"/>
      <c r="F135" s="71">
        <v>1064654</v>
      </c>
      <c r="G135" s="71">
        <v>883000</v>
      </c>
      <c r="H135" s="71">
        <v>181654</v>
      </c>
      <c r="I135" s="69" t="s">
        <v>90</v>
      </c>
      <c r="J135" s="69" t="s">
        <v>90</v>
      </c>
      <c r="K135" s="72" t="s">
        <v>90</v>
      </c>
    </row>
    <row r="136" spans="1:11" ht="18" hidden="1" customHeight="1" thickBot="1">
      <c r="A136" s="78" t="s">
        <v>363</v>
      </c>
      <c r="B136" s="80" t="s">
        <v>90</v>
      </c>
      <c r="C136" s="80" t="s">
        <v>90</v>
      </c>
      <c r="D136" s="79" t="s">
        <v>90</v>
      </c>
      <c r="E136" s="81">
        <v>4171016539</v>
      </c>
      <c r="F136" s="81">
        <v>14572507196</v>
      </c>
      <c r="G136" s="81">
        <v>13156992005</v>
      </c>
      <c r="H136" s="81">
        <v>5586531730</v>
      </c>
      <c r="I136" s="79" t="s">
        <v>90</v>
      </c>
      <c r="J136" s="79" t="s">
        <v>90</v>
      </c>
      <c r="K136" s="82" t="s">
        <v>90</v>
      </c>
    </row>
    <row r="137" spans="1:11" ht="5.25" hidden="1" customHeight="1"/>
    <row r="138" spans="1:11" ht="31.5" hidden="1" customHeight="1">
      <c r="F138" s="61" t="s">
        <v>1010</v>
      </c>
    </row>
    <row r="139" spans="1:11" ht="8.1" hidden="1" customHeight="1"/>
    <row r="140" spans="1:11" ht="15" hidden="1" customHeight="1">
      <c r="F140" s="62" t="s">
        <v>996</v>
      </c>
    </row>
    <row r="141" spans="1:11" ht="20.100000000000001" hidden="1" customHeight="1"/>
    <row r="142" spans="1:11" ht="15" hidden="1" customHeight="1" thickBot="1">
      <c r="A142" s="63" t="s">
        <v>1013</v>
      </c>
      <c r="K142" s="64" t="s">
        <v>336</v>
      </c>
    </row>
    <row r="143" spans="1:11" ht="18" hidden="1" customHeight="1" thickBot="1">
      <c r="A143" s="65" t="s">
        <v>337</v>
      </c>
      <c r="B143" s="66" t="s">
        <v>338</v>
      </c>
      <c r="C143" s="66" t="s">
        <v>337</v>
      </c>
      <c r="D143" s="66" t="s">
        <v>339</v>
      </c>
      <c r="E143" s="66" t="s">
        <v>1369</v>
      </c>
      <c r="F143" s="66" t="s">
        <v>997</v>
      </c>
      <c r="G143" s="66" t="s">
        <v>998</v>
      </c>
      <c r="H143" s="66" t="s">
        <v>340</v>
      </c>
      <c r="I143" s="66" t="s">
        <v>1370</v>
      </c>
      <c r="J143" s="66" t="s">
        <v>1371</v>
      </c>
      <c r="K143" s="67" t="s">
        <v>331</v>
      </c>
    </row>
    <row r="144" spans="1:11" ht="18" hidden="1" customHeight="1">
      <c r="A144" s="68" t="s">
        <v>1011</v>
      </c>
      <c r="B144" s="70" t="s">
        <v>995</v>
      </c>
      <c r="C144" s="70" t="s">
        <v>1012</v>
      </c>
      <c r="D144" s="69" t="s">
        <v>1473</v>
      </c>
      <c r="E144" s="71"/>
      <c r="F144" s="71">
        <v>196495072</v>
      </c>
      <c r="G144" s="71">
        <v>309240094</v>
      </c>
      <c r="H144" s="71">
        <v>-112745022</v>
      </c>
      <c r="I144" s="69" t="s">
        <v>1474</v>
      </c>
      <c r="J144" s="69" t="s">
        <v>90</v>
      </c>
      <c r="K144" s="72" t="s">
        <v>90</v>
      </c>
    </row>
    <row r="145" spans="1:11" ht="18" hidden="1" customHeight="1">
      <c r="A145" s="68" t="s">
        <v>1011</v>
      </c>
      <c r="B145" s="70" t="s">
        <v>995</v>
      </c>
      <c r="C145" s="70" t="s">
        <v>1475</v>
      </c>
      <c r="D145" s="69" t="s">
        <v>1014</v>
      </c>
      <c r="E145" s="71"/>
      <c r="F145" s="71">
        <v>37408704</v>
      </c>
      <c r="G145" s="71">
        <v>296757640</v>
      </c>
      <c r="H145" s="71">
        <v>-259348936</v>
      </c>
      <c r="I145" s="69" t="s">
        <v>90</v>
      </c>
      <c r="J145" s="69" t="s">
        <v>90</v>
      </c>
      <c r="K145" s="72" t="s">
        <v>90</v>
      </c>
    </row>
    <row r="146" spans="1:11" ht="18" hidden="1" customHeight="1">
      <c r="A146" s="68" t="s">
        <v>1011</v>
      </c>
      <c r="B146" s="70" t="s">
        <v>995</v>
      </c>
      <c r="C146" s="70" t="s">
        <v>1476</v>
      </c>
      <c r="D146" s="69" t="s">
        <v>1477</v>
      </c>
      <c r="E146" s="71"/>
      <c r="F146" s="71">
        <v>49000000</v>
      </c>
      <c r="G146" s="71">
        <v>287000000</v>
      </c>
      <c r="H146" s="71">
        <v>-238000000</v>
      </c>
      <c r="I146" s="69" t="s">
        <v>90</v>
      </c>
      <c r="J146" s="69" t="s">
        <v>90</v>
      </c>
      <c r="K146" s="72" t="s">
        <v>90</v>
      </c>
    </row>
    <row r="147" spans="1:11" ht="18" hidden="1" customHeight="1">
      <c r="A147" s="68" t="s">
        <v>1011</v>
      </c>
      <c r="B147" s="70" t="s">
        <v>995</v>
      </c>
      <c r="C147" s="70" t="s">
        <v>1478</v>
      </c>
      <c r="D147" s="69" t="s">
        <v>1479</v>
      </c>
      <c r="E147" s="71"/>
      <c r="F147" s="71">
        <v>1167665100</v>
      </c>
      <c r="G147" s="71">
        <v>674304500</v>
      </c>
      <c r="H147" s="71">
        <v>493360600</v>
      </c>
      <c r="I147" s="69" t="s">
        <v>90</v>
      </c>
      <c r="J147" s="69" t="s">
        <v>90</v>
      </c>
      <c r="K147" s="72" t="s">
        <v>90</v>
      </c>
    </row>
    <row r="148" spans="1:11" ht="18" hidden="1" customHeight="1">
      <c r="A148" s="68" t="s">
        <v>1011</v>
      </c>
      <c r="B148" s="70" t="s">
        <v>995</v>
      </c>
      <c r="C148" s="70" t="s">
        <v>1480</v>
      </c>
      <c r="D148" s="69" t="s">
        <v>1481</v>
      </c>
      <c r="E148" s="71"/>
      <c r="F148" s="71">
        <v>42200000</v>
      </c>
      <c r="G148" s="71">
        <v>2800000</v>
      </c>
      <c r="H148" s="71">
        <v>39400000</v>
      </c>
      <c r="I148" s="69" t="s">
        <v>90</v>
      </c>
      <c r="J148" s="69" t="s">
        <v>90</v>
      </c>
      <c r="K148" s="72" t="s">
        <v>90</v>
      </c>
    </row>
    <row r="149" spans="1:11" ht="18" hidden="1" customHeight="1">
      <c r="A149" s="68" t="s">
        <v>1011</v>
      </c>
      <c r="B149" s="70" t="s">
        <v>995</v>
      </c>
      <c r="C149" s="70" t="s">
        <v>1482</v>
      </c>
      <c r="D149" s="69" t="s">
        <v>1483</v>
      </c>
      <c r="E149" s="71"/>
      <c r="F149" s="71">
        <v>1323051368</v>
      </c>
      <c r="G149" s="71">
        <v>2374287054</v>
      </c>
      <c r="H149" s="71">
        <v>-1051235686</v>
      </c>
      <c r="I149" s="69" t="s">
        <v>90</v>
      </c>
      <c r="J149" s="69" t="s">
        <v>90</v>
      </c>
      <c r="K149" s="72" t="s">
        <v>90</v>
      </c>
    </row>
    <row r="150" spans="1:11" ht="18" hidden="1" customHeight="1">
      <c r="A150" s="68" t="s">
        <v>1011</v>
      </c>
      <c r="B150" s="70" t="s">
        <v>995</v>
      </c>
      <c r="C150" s="70" t="s">
        <v>1484</v>
      </c>
      <c r="D150" s="69" t="s">
        <v>1015</v>
      </c>
      <c r="E150" s="71"/>
      <c r="F150" s="71">
        <v>547197881</v>
      </c>
      <c r="G150" s="71">
        <v>915174981</v>
      </c>
      <c r="H150" s="71">
        <v>-367977100</v>
      </c>
      <c r="I150" s="69" t="s">
        <v>90</v>
      </c>
      <c r="J150" s="69" t="s">
        <v>90</v>
      </c>
      <c r="K150" s="72" t="s">
        <v>90</v>
      </c>
    </row>
    <row r="151" spans="1:11" ht="18" hidden="1" customHeight="1">
      <c r="A151" s="68" t="s">
        <v>1011</v>
      </c>
      <c r="B151" s="70" t="s">
        <v>995</v>
      </c>
      <c r="C151" s="70" t="s">
        <v>1485</v>
      </c>
      <c r="D151" s="69" t="s">
        <v>967</v>
      </c>
      <c r="E151" s="71"/>
      <c r="F151" s="71">
        <v>263863017</v>
      </c>
      <c r="G151" s="71">
        <v>118961971</v>
      </c>
      <c r="H151" s="71">
        <v>144901046</v>
      </c>
      <c r="I151" s="69" t="s">
        <v>90</v>
      </c>
      <c r="J151" s="69" t="s">
        <v>90</v>
      </c>
      <c r="K151" s="72" t="s">
        <v>90</v>
      </c>
    </row>
    <row r="152" spans="1:11" ht="18" hidden="1" customHeight="1">
      <c r="A152" s="68" t="s">
        <v>1011</v>
      </c>
      <c r="B152" s="70" t="s">
        <v>995</v>
      </c>
      <c r="C152" s="70" t="s">
        <v>1486</v>
      </c>
      <c r="D152" s="69" t="s">
        <v>969</v>
      </c>
      <c r="E152" s="71"/>
      <c r="F152" s="71">
        <v>636665234</v>
      </c>
      <c r="G152" s="71">
        <v>872684380</v>
      </c>
      <c r="H152" s="71">
        <v>-236019146</v>
      </c>
      <c r="I152" s="69" t="s">
        <v>90</v>
      </c>
      <c r="J152" s="69" t="s">
        <v>90</v>
      </c>
      <c r="K152" s="72" t="s">
        <v>90</v>
      </c>
    </row>
    <row r="153" spans="1:11" ht="18" hidden="1" customHeight="1">
      <c r="A153" s="68" t="s">
        <v>1011</v>
      </c>
      <c r="B153" s="70" t="s">
        <v>995</v>
      </c>
      <c r="C153" s="70" t="s">
        <v>1487</v>
      </c>
      <c r="D153" s="69" t="s">
        <v>971</v>
      </c>
      <c r="E153" s="71"/>
      <c r="F153" s="71">
        <v>709734035</v>
      </c>
      <c r="G153" s="71">
        <v>764591586</v>
      </c>
      <c r="H153" s="71">
        <v>-54857551</v>
      </c>
      <c r="I153" s="69" t="s">
        <v>90</v>
      </c>
      <c r="J153" s="69" t="s">
        <v>90</v>
      </c>
      <c r="K153" s="72" t="s">
        <v>90</v>
      </c>
    </row>
    <row r="154" spans="1:11" ht="18" hidden="1" customHeight="1">
      <c r="A154" s="68" t="s">
        <v>1011</v>
      </c>
      <c r="B154" s="70" t="s">
        <v>995</v>
      </c>
      <c r="C154" s="70" t="s">
        <v>1488</v>
      </c>
      <c r="D154" s="69" t="s">
        <v>973</v>
      </c>
      <c r="E154" s="71"/>
      <c r="F154" s="71">
        <v>1136668587</v>
      </c>
      <c r="G154" s="71">
        <v>240750</v>
      </c>
      <c r="H154" s="71">
        <v>1136427837</v>
      </c>
      <c r="I154" s="69" t="s">
        <v>90</v>
      </c>
      <c r="J154" s="69" t="s">
        <v>90</v>
      </c>
      <c r="K154" s="72" t="s">
        <v>90</v>
      </c>
    </row>
    <row r="155" spans="1:11" ht="18" hidden="1" customHeight="1">
      <c r="A155" s="68" t="s">
        <v>1011</v>
      </c>
      <c r="B155" s="70" t="s">
        <v>995</v>
      </c>
      <c r="C155" s="70" t="s">
        <v>1489</v>
      </c>
      <c r="D155" s="69" t="s">
        <v>1490</v>
      </c>
      <c r="E155" s="71"/>
      <c r="F155" s="71">
        <v>147000000</v>
      </c>
      <c r="G155" s="71">
        <v>10000000</v>
      </c>
      <c r="H155" s="71">
        <v>137000000</v>
      </c>
      <c r="I155" s="69" t="s">
        <v>90</v>
      </c>
      <c r="J155" s="69" t="s">
        <v>90</v>
      </c>
      <c r="K155" s="72" t="s">
        <v>90</v>
      </c>
    </row>
    <row r="156" spans="1:11" ht="18" hidden="1" customHeight="1">
      <c r="A156" s="68" t="s">
        <v>1011</v>
      </c>
      <c r="B156" s="70" t="s">
        <v>995</v>
      </c>
      <c r="C156" s="70" t="s">
        <v>1491</v>
      </c>
      <c r="D156" s="69" t="s">
        <v>1492</v>
      </c>
      <c r="E156" s="71"/>
      <c r="F156" s="71"/>
      <c r="G156" s="71">
        <v>3000000</v>
      </c>
      <c r="H156" s="71">
        <v>-3000000</v>
      </c>
      <c r="I156" s="69" t="s">
        <v>90</v>
      </c>
      <c r="J156" s="69" t="s">
        <v>90</v>
      </c>
      <c r="K156" s="72" t="s">
        <v>90</v>
      </c>
    </row>
    <row r="157" spans="1:11" ht="18" hidden="1" customHeight="1">
      <c r="A157" s="68" t="s">
        <v>1011</v>
      </c>
      <c r="B157" s="70" t="s">
        <v>995</v>
      </c>
      <c r="C157" s="70" t="s">
        <v>1493</v>
      </c>
      <c r="D157" s="69" t="s">
        <v>335</v>
      </c>
      <c r="E157" s="71"/>
      <c r="F157" s="71">
        <v>294402440</v>
      </c>
      <c r="G157" s="71">
        <v>37408704</v>
      </c>
      <c r="H157" s="71">
        <v>256993736</v>
      </c>
      <c r="I157" s="69" t="s">
        <v>90</v>
      </c>
      <c r="J157" s="69" t="s">
        <v>90</v>
      </c>
      <c r="K157" s="72" t="s">
        <v>90</v>
      </c>
    </row>
    <row r="158" spans="1:11" ht="18" hidden="1" customHeight="1">
      <c r="A158" s="68" t="s">
        <v>1011</v>
      </c>
      <c r="B158" s="70" t="s">
        <v>995</v>
      </c>
      <c r="C158" s="70" t="s">
        <v>1494</v>
      </c>
      <c r="D158" s="69" t="s">
        <v>1495</v>
      </c>
      <c r="E158" s="71"/>
      <c r="F158" s="71">
        <v>2355200</v>
      </c>
      <c r="G158" s="71"/>
      <c r="H158" s="71">
        <v>2355200</v>
      </c>
      <c r="I158" s="69" t="s">
        <v>90</v>
      </c>
      <c r="J158" s="69" t="s">
        <v>90</v>
      </c>
      <c r="K158" s="72" t="s">
        <v>90</v>
      </c>
    </row>
    <row r="159" spans="1:11" ht="18" hidden="1" customHeight="1" thickBot="1">
      <c r="A159" s="68" t="s">
        <v>1011</v>
      </c>
      <c r="B159" s="70" t="s">
        <v>995</v>
      </c>
      <c r="C159" s="70" t="s">
        <v>1496</v>
      </c>
      <c r="D159" s="69" t="s">
        <v>1497</v>
      </c>
      <c r="E159" s="71"/>
      <c r="F159" s="71">
        <v>309240094</v>
      </c>
      <c r="G159" s="71">
        <v>196495072</v>
      </c>
      <c r="H159" s="71">
        <v>112745022</v>
      </c>
      <c r="I159" s="69" t="s">
        <v>1498</v>
      </c>
      <c r="J159" s="69" t="s">
        <v>90</v>
      </c>
      <c r="K159" s="72" t="s">
        <v>90</v>
      </c>
    </row>
    <row r="160" spans="1:11" ht="18" hidden="1" customHeight="1" thickBot="1">
      <c r="A160" s="78" t="s">
        <v>363</v>
      </c>
      <c r="B160" s="80" t="s">
        <v>90</v>
      </c>
      <c r="C160" s="80" t="s">
        <v>90</v>
      </c>
      <c r="D160" s="79" t="s">
        <v>90</v>
      </c>
      <c r="E160" s="81"/>
      <c r="F160" s="81">
        <v>6862946732</v>
      </c>
      <c r="G160" s="81">
        <v>6862946732</v>
      </c>
      <c r="H160" s="81"/>
      <c r="I160" s="79" t="s">
        <v>90</v>
      </c>
      <c r="J160" s="79" t="s">
        <v>90</v>
      </c>
      <c r="K160" s="82" t="s">
        <v>90</v>
      </c>
    </row>
    <row r="161" spans="1:11" hidden="1"/>
    <row r="162" spans="1:11" hidden="1"/>
    <row r="163" spans="1:11" ht="31.5" hidden="1" customHeight="1">
      <c r="F163" s="61" t="s">
        <v>464</v>
      </c>
    </row>
    <row r="164" spans="1:11" ht="7.9" hidden="1" customHeight="1"/>
    <row r="165" spans="1:11" ht="15" hidden="1" customHeight="1">
      <c r="F165" s="62" t="s">
        <v>996</v>
      </c>
    </row>
    <row r="166" spans="1:11" ht="20.100000000000001" hidden="1" customHeight="1"/>
    <row r="167" spans="1:11" ht="15" hidden="1" customHeight="1" thickBot="1">
      <c r="A167" s="63" t="s">
        <v>1013</v>
      </c>
      <c r="K167" s="64" t="s">
        <v>336</v>
      </c>
    </row>
    <row r="168" spans="1:11" ht="18" hidden="1" customHeight="1" thickBot="1">
      <c r="A168" s="65" t="s">
        <v>337</v>
      </c>
      <c r="B168" s="66" t="s">
        <v>338</v>
      </c>
      <c r="C168" s="66" t="s">
        <v>337</v>
      </c>
      <c r="D168" s="66" t="s">
        <v>339</v>
      </c>
      <c r="E168" s="66" t="s">
        <v>1369</v>
      </c>
      <c r="F168" s="66" t="s">
        <v>997</v>
      </c>
      <c r="G168" s="66" t="s">
        <v>998</v>
      </c>
      <c r="H168" s="66" t="s">
        <v>340</v>
      </c>
      <c r="I168" s="66" t="s">
        <v>1370</v>
      </c>
      <c r="J168" s="66" t="s">
        <v>1371</v>
      </c>
      <c r="K168" s="67" t="s">
        <v>331</v>
      </c>
    </row>
    <row r="169" spans="1:11" ht="18" hidden="1" customHeight="1">
      <c r="A169" s="68" t="s">
        <v>465</v>
      </c>
      <c r="B169" s="70" t="s">
        <v>13</v>
      </c>
      <c r="C169" s="70" t="s">
        <v>548</v>
      </c>
      <c r="D169" s="69" t="s">
        <v>549</v>
      </c>
      <c r="E169" s="71"/>
      <c r="F169" s="71">
        <v>999900</v>
      </c>
      <c r="G169" s="71">
        <v>417155</v>
      </c>
      <c r="H169" s="71">
        <v>582745</v>
      </c>
      <c r="I169" s="69" t="s">
        <v>1499</v>
      </c>
      <c r="J169" s="69" t="s">
        <v>90</v>
      </c>
      <c r="K169" s="72" t="s">
        <v>90</v>
      </c>
    </row>
    <row r="170" spans="1:11" ht="18" hidden="1" customHeight="1">
      <c r="A170" s="68" t="s">
        <v>465</v>
      </c>
      <c r="B170" s="70" t="s">
        <v>13</v>
      </c>
      <c r="C170" s="70" t="s">
        <v>1016</v>
      </c>
      <c r="D170" s="69" t="s">
        <v>1017</v>
      </c>
      <c r="E170" s="71"/>
      <c r="F170" s="71">
        <v>24434328</v>
      </c>
      <c r="G170" s="71"/>
      <c r="H170" s="71">
        <v>24434328</v>
      </c>
      <c r="I170" s="69" t="s">
        <v>90</v>
      </c>
      <c r="J170" s="69" t="s">
        <v>90</v>
      </c>
      <c r="K170" s="72" t="s">
        <v>90</v>
      </c>
    </row>
    <row r="171" spans="1:11" ht="18" hidden="1" customHeight="1">
      <c r="A171" s="68" t="s">
        <v>465</v>
      </c>
      <c r="B171" s="70" t="s">
        <v>13</v>
      </c>
      <c r="C171" s="70" t="s">
        <v>572</v>
      </c>
      <c r="D171" s="69" t="s">
        <v>573</v>
      </c>
      <c r="E171" s="71"/>
      <c r="F171" s="71">
        <v>1700000</v>
      </c>
      <c r="G171" s="71">
        <v>1249884</v>
      </c>
      <c r="H171" s="71">
        <v>450116</v>
      </c>
      <c r="I171" s="69" t="s">
        <v>1500</v>
      </c>
      <c r="J171" s="69" t="s">
        <v>90</v>
      </c>
      <c r="K171" s="72" t="s">
        <v>90</v>
      </c>
    </row>
    <row r="172" spans="1:11" ht="18" hidden="1" customHeight="1">
      <c r="A172" s="68" t="s">
        <v>465</v>
      </c>
      <c r="B172" s="70" t="s">
        <v>13</v>
      </c>
      <c r="C172" s="70" t="s">
        <v>1018</v>
      </c>
      <c r="D172" s="69" t="s">
        <v>1019</v>
      </c>
      <c r="E172" s="71"/>
      <c r="F172" s="71">
        <v>10259568</v>
      </c>
      <c r="G172" s="71"/>
      <c r="H172" s="71">
        <v>10259568</v>
      </c>
      <c r="I172" s="69" t="s">
        <v>90</v>
      </c>
      <c r="J172" s="69" t="s">
        <v>90</v>
      </c>
      <c r="K172" s="72" t="s">
        <v>90</v>
      </c>
    </row>
    <row r="173" spans="1:11" ht="18" hidden="1" customHeight="1">
      <c r="A173" s="68" t="s">
        <v>465</v>
      </c>
      <c r="B173" s="70" t="s">
        <v>13</v>
      </c>
      <c r="C173" s="70" t="s">
        <v>1501</v>
      </c>
      <c r="D173" s="69" t="s">
        <v>1022</v>
      </c>
      <c r="E173" s="71"/>
      <c r="F173" s="71">
        <v>11994709</v>
      </c>
      <c r="G173" s="71"/>
      <c r="H173" s="71">
        <v>11994709</v>
      </c>
      <c r="I173" s="69" t="s">
        <v>90</v>
      </c>
      <c r="J173" s="69" t="s">
        <v>90</v>
      </c>
      <c r="K173" s="72" t="s">
        <v>90</v>
      </c>
    </row>
    <row r="174" spans="1:11" ht="18" hidden="1" customHeight="1">
      <c r="A174" s="68" t="s">
        <v>465</v>
      </c>
      <c r="B174" s="70" t="s">
        <v>13</v>
      </c>
      <c r="C174" s="70" t="s">
        <v>655</v>
      </c>
      <c r="D174" s="69" t="s">
        <v>656</v>
      </c>
      <c r="E174" s="71"/>
      <c r="F174" s="71">
        <v>3318150</v>
      </c>
      <c r="G174" s="71">
        <v>140140</v>
      </c>
      <c r="H174" s="71">
        <v>3178010</v>
      </c>
      <c r="I174" s="69" t="s">
        <v>1502</v>
      </c>
      <c r="J174" s="69" t="s">
        <v>90</v>
      </c>
      <c r="K174" s="72" t="s">
        <v>90</v>
      </c>
    </row>
    <row r="175" spans="1:11" ht="18" hidden="1" customHeight="1">
      <c r="A175" s="68" t="s">
        <v>465</v>
      </c>
      <c r="B175" s="70" t="s">
        <v>13</v>
      </c>
      <c r="C175" s="70" t="s">
        <v>1503</v>
      </c>
      <c r="D175" s="69" t="s">
        <v>1504</v>
      </c>
      <c r="E175" s="71"/>
      <c r="F175" s="71">
        <v>1131240</v>
      </c>
      <c r="G175" s="71"/>
      <c r="H175" s="71">
        <v>1131240</v>
      </c>
      <c r="I175" s="69" t="s">
        <v>1505</v>
      </c>
      <c r="J175" s="69" t="s">
        <v>90</v>
      </c>
      <c r="K175" s="72" t="s">
        <v>90</v>
      </c>
    </row>
    <row r="176" spans="1:11" ht="18" hidden="1" customHeight="1">
      <c r="A176" s="68" t="s">
        <v>465</v>
      </c>
      <c r="B176" s="70" t="s">
        <v>13</v>
      </c>
      <c r="C176" s="70" t="s">
        <v>1049</v>
      </c>
      <c r="D176" s="69" t="s">
        <v>1050</v>
      </c>
      <c r="E176" s="71"/>
      <c r="F176" s="71">
        <v>269180</v>
      </c>
      <c r="G176" s="71"/>
      <c r="H176" s="71">
        <v>269180</v>
      </c>
      <c r="I176" s="69" t="s">
        <v>1506</v>
      </c>
      <c r="J176" s="69" t="s">
        <v>90</v>
      </c>
      <c r="K176" s="72" t="s">
        <v>90</v>
      </c>
    </row>
    <row r="177" spans="1:11" ht="18" hidden="1" customHeight="1">
      <c r="A177" s="68" t="s">
        <v>465</v>
      </c>
      <c r="B177" s="70" t="s">
        <v>13</v>
      </c>
      <c r="C177" s="70" t="s">
        <v>1093</v>
      </c>
      <c r="D177" s="69" t="s">
        <v>1094</v>
      </c>
      <c r="E177" s="71"/>
      <c r="F177" s="71">
        <v>34900</v>
      </c>
      <c r="G177" s="71"/>
      <c r="H177" s="71">
        <v>34900</v>
      </c>
      <c r="I177" s="69" t="s">
        <v>1507</v>
      </c>
      <c r="J177" s="69" t="s">
        <v>90</v>
      </c>
      <c r="K177" s="72" t="s">
        <v>90</v>
      </c>
    </row>
    <row r="178" spans="1:11" ht="18" hidden="1" customHeight="1">
      <c r="A178" s="68" t="s">
        <v>465</v>
      </c>
      <c r="B178" s="70" t="s">
        <v>13</v>
      </c>
      <c r="C178" s="70" t="s">
        <v>1508</v>
      </c>
      <c r="D178" s="69" t="s">
        <v>1509</v>
      </c>
      <c r="E178" s="71"/>
      <c r="F178" s="71">
        <v>1412234</v>
      </c>
      <c r="G178" s="71"/>
      <c r="H178" s="71">
        <v>1412234</v>
      </c>
      <c r="I178" s="69" t="s">
        <v>90</v>
      </c>
      <c r="J178" s="69" t="s">
        <v>90</v>
      </c>
      <c r="K178" s="72" t="s">
        <v>90</v>
      </c>
    </row>
    <row r="179" spans="1:11" ht="18" hidden="1" customHeight="1">
      <c r="A179" s="68" t="s">
        <v>465</v>
      </c>
      <c r="B179" s="70" t="s">
        <v>13</v>
      </c>
      <c r="C179" s="70" t="s">
        <v>1020</v>
      </c>
      <c r="D179" s="69" t="s">
        <v>1021</v>
      </c>
      <c r="E179" s="71"/>
      <c r="F179" s="71">
        <v>11583000</v>
      </c>
      <c r="G179" s="71"/>
      <c r="H179" s="71">
        <v>11583000</v>
      </c>
      <c r="I179" s="69" t="s">
        <v>1510</v>
      </c>
      <c r="J179" s="69" t="s">
        <v>90</v>
      </c>
      <c r="K179" s="72" t="s">
        <v>90</v>
      </c>
    </row>
    <row r="180" spans="1:11" ht="18" hidden="1" customHeight="1" thickBot="1">
      <c r="A180" s="68" t="s">
        <v>465</v>
      </c>
      <c r="B180" s="70" t="s">
        <v>13</v>
      </c>
      <c r="C180" s="70" t="s">
        <v>1511</v>
      </c>
      <c r="D180" s="69" t="s">
        <v>1512</v>
      </c>
      <c r="E180" s="71"/>
      <c r="F180" s="71">
        <v>634200</v>
      </c>
      <c r="G180" s="71"/>
      <c r="H180" s="71">
        <v>634200</v>
      </c>
      <c r="I180" s="69" t="s">
        <v>90</v>
      </c>
      <c r="J180" s="69" t="s">
        <v>90</v>
      </c>
      <c r="K180" s="72" t="s">
        <v>90</v>
      </c>
    </row>
    <row r="181" spans="1:11" ht="18" hidden="1" customHeight="1" thickBot="1">
      <c r="A181" s="78" t="s">
        <v>363</v>
      </c>
      <c r="B181" s="80" t="s">
        <v>90</v>
      </c>
      <c r="C181" s="80" t="s">
        <v>90</v>
      </c>
      <c r="D181" s="79" t="s">
        <v>90</v>
      </c>
      <c r="E181" s="81"/>
      <c r="F181" s="81">
        <v>67771409</v>
      </c>
      <c r="G181" s="81">
        <v>1807179</v>
      </c>
      <c r="H181" s="81">
        <v>65964230</v>
      </c>
      <c r="I181" s="79" t="s">
        <v>90</v>
      </c>
      <c r="J181" s="79" t="s">
        <v>90</v>
      </c>
      <c r="K181" s="82" t="s">
        <v>90</v>
      </c>
    </row>
    <row r="182" spans="1:11" ht="5.25" hidden="1" customHeight="1"/>
    <row r="183" spans="1:11" ht="31.5" hidden="1" customHeight="1">
      <c r="F183" s="61" t="s">
        <v>472</v>
      </c>
    </row>
    <row r="184" spans="1:11" ht="7.9" hidden="1" customHeight="1"/>
    <row r="185" spans="1:11" ht="15" hidden="1" customHeight="1">
      <c r="F185" s="62" t="s">
        <v>996</v>
      </c>
    </row>
    <row r="186" spans="1:11" ht="20.100000000000001" hidden="1" customHeight="1"/>
    <row r="187" spans="1:11" ht="15" hidden="1" customHeight="1" thickBot="1">
      <c r="A187" s="63" t="s">
        <v>1013</v>
      </c>
      <c r="K187" s="64" t="s">
        <v>336</v>
      </c>
    </row>
    <row r="188" spans="1:11" ht="18" hidden="1" customHeight="1" thickBot="1">
      <c r="A188" s="65" t="s">
        <v>337</v>
      </c>
      <c r="B188" s="66" t="s">
        <v>338</v>
      </c>
      <c r="C188" s="66" t="s">
        <v>337</v>
      </c>
      <c r="D188" s="66" t="s">
        <v>339</v>
      </c>
      <c r="E188" s="66" t="s">
        <v>1369</v>
      </c>
      <c r="F188" s="66" t="s">
        <v>997</v>
      </c>
      <c r="G188" s="66" t="s">
        <v>998</v>
      </c>
      <c r="H188" s="66" t="s">
        <v>340</v>
      </c>
      <c r="I188" s="66" t="s">
        <v>1370</v>
      </c>
      <c r="J188" s="66" t="s">
        <v>1371</v>
      </c>
      <c r="K188" s="67" t="s">
        <v>331</v>
      </c>
    </row>
    <row r="189" spans="1:11" ht="18" hidden="1" customHeight="1">
      <c r="A189" s="68" t="s">
        <v>473</v>
      </c>
      <c r="B189" s="70" t="s">
        <v>14</v>
      </c>
      <c r="C189" s="70" t="s">
        <v>90</v>
      </c>
      <c r="D189" s="69" t="s">
        <v>447</v>
      </c>
      <c r="E189" s="71">
        <v>143238617</v>
      </c>
      <c r="F189" s="71">
        <v>16436229</v>
      </c>
      <c r="G189" s="71">
        <v>143238617</v>
      </c>
      <c r="H189" s="71">
        <v>16436229</v>
      </c>
      <c r="I189" s="69" t="s">
        <v>90</v>
      </c>
      <c r="J189" s="69" t="s">
        <v>90</v>
      </c>
      <c r="K189" s="72" t="s">
        <v>90</v>
      </c>
    </row>
    <row r="190" spans="1:11" ht="18" hidden="1" customHeight="1" thickBot="1">
      <c r="A190" s="68" t="s">
        <v>473</v>
      </c>
      <c r="B190" s="70" t="s">
        <v>14</v>
      </c>
      <c r="C190" s="70" t="s">
        <v>1513</v>
      </c>
      <c r="D190" s="69" t="s">
        <v>896</v>
      </c>
      <c r="E190" s="71"/>
      <c r="F190" s="71">
        <v>225553844</v>
      </c>
      <c r="G190" s="71"/>
      <c r="H190" s="71">
        <v>225553844</v>
      </c>
      <c r="I190" s="69" t="s">
        <v>90</v>
      </c>
      <c r="J190" s="69" t="s">
        <v>90</v>
      </c>
      <c r="K190" s="72" t="s">
        <v>90</v>
      </c>
    </row>
    <row r="191" spans="1:11" ht="18" hidden="1" customHeight="1" thickBot="1">
      <c r="A191" s="78" t="s">
        <v>363</v>
      </c>
      <c r="B191" s="80" t="s">
        <v>90</v>
      </c>
      <c r="C191" s="80" t="s">
        <v>90</v>
      </c>
      <c r="D191" s="79" t="s">
        <v>90</v>
      </c>
      <c r="E191" s="81">
        <v>143238617</v>
      </c>
      <c r="F191" s="81">
        <v>241990073</v>
      </c>
      <c r="G191" s="81">
        <v>143238617</v>
      </c>
      <c r="H191" s="81">
        <v>241990073</v>
      </c>
      <c r="I191" s="79" t="s">
        <v>90</v>
      </c>
      <c r="J191" s="79" t="s">
        <v>90</v>
      </c>
      <c r="K191" s="82" t="s">
        <v>90</v>
      </c>
    </row>
    <row r="192" spans="1:11" ht="5.25" hidden="1" customHeight="1"/>
    <row r="193" spans="1:11" hidden="1"/>
    <row r="194" spans="1:11" hidden="1"/>
    <row r="195" spans="1:11" ht="31.5" hidden="1" customHeight="1">
      <c r="F195" s="61" t="s">
        <v>1139</v>
      </c>
    </row>
    <row r="196" spans="1:11" ht="7.9" hidden="1" customHeight="1"/>
    <row r="197" spans="1:11" ht="15" hidden="1" customHeight="1">
      <c r="F197" s="62" t="s">
        <v>996</v>
      </c>
    </row>
    <row r="198" spans="1:11" ht="20.100000000000001" hidden="1" customHeight="1"/>
    <row r="199" spans="1:11" ht="15" hidden="1" customHeight="1" thickBot="1">
      <c r="A199" s="63" t="s">
        <v>1013</v>
      </c>
      <c r="K199" s="64" t="s">
        <v>336</v>
      </c>
    </row>
    <row r="200" spans="1:11" ht="18" hidden="1" customHeight="1" thickBot="1">
      <c r="A200" s="65" t="s">
        <v>337</v>
      </c>
      <c r="B200" s="66" t="s">
        <v>338</v>
      </c>
      <c r="C200" s="66" t="s">
        <v>337</v>
      </c>
      <c r="D200" s="66" t="s">
        <v>339</v>
      </c>
      <c r="E200" s="66" t="s">
        <v>1369</v>
      </c>
      <c r="F200" s="66" t="s">
        <v>997</v>
      </c>
      <c r="G200" s="66" t="s">
        <v>998</v>
      </c>
      <c r="H200" s="66" t="s">
        <v>340</v>
      </c>
      <c r="I200" s="66" t="s">
        <v>1370</v>
      </c>
      <c r="J200" s="66" t="s">
        <v>1371</v>
      </c>
      <c r="K200" s="67" t="s">
        <v>331</v>
      </c>
    </row>
    <row r="201" spans="1:11" ht="18" hidden="1" customHeight="1">
      <c r="A201" s="68" t="s">
        <v>1140</v>
      </c>
      <c r="B201" s="70" t="s">
        <v>15</v>
      </c>
      <c r="C201" s="70" t="s">
        <v>1141</v>
      </c>
      <c r="D201" s="69" t="s">
        <v>1142</v>
      </c>
      <c r="E201" s="71"/>
      <c r="F201" s="71">
        <v>47370</v>
      </c>
      <c r="G201" s="71"/>
      <c r="H201" s="71">
        <v>47370</v>
      </c>
      <c r="I201" s="69" t="s">
        <v>1514</v>
      </c>
      <c r="J201" s="69" t="s">
        <v>90</v>
      </c>
      <c r="K201" s="72" t="s">
        <v>90</v>
      </c>
    </row>
    <row r="202" spans="1:11" ht="18" hidden="1" customHeight="1">
      <c r="A202" s="68" t="s">
        <v>1140</v>
      </c>
      <c r="B202" s="70" t="s">
        <v>15</v>
      </c>
      <c r="C202" s="70" t="s">
        <v>1143</v>
      </c>
      <c r="D202" s="69" t="s">
        <v>1144</v>
      </c>
      <c r="E202" s="71"/>
      <c r="F202" s="71">
        <v>8813340</v>
      </c>
      <c r="G202" s="71"/>
      <c r="H202" s="71">
        <v>8813340</v>
      </c>
      <c r="I202" s="69" t="s">
        <v>1515</v>
      </c>
      <c r="J202" s="69" t="s">
        <v>90</v>
      </c>
      <c r="K202" s="72" t="s">
        <v>90</v>
      </c>
    </row>
    <row r="203" spans="1:11" ht="18" hidden="1" customHeight="1">
      <c r="A203" s="68" t="s">
        <v>1140</v>
      </c>
      <c r="B203" s="70" t="s">
        <v>15</v>
      </c>
      <c r="C203" s="70" t="s">
        <v>1145</v>
      </c>
      <c r="D203" s="69" t="s">
        <v>1146</v>
      </c>
      <c r="E203" s="71"/>
      <c r="F203" s="71">
        <v>7210650</v>
      </c>
      <c r="G203" s="71"/>
      <c r="H203" s="71">
        <v>7210650</v>
      </c>
      <c r="I203" s="69" t="s">
        <v>1516</v>
      </c>
      <c r="J203" s="69" t="s">
        <v>90</v>
      </c>
      <c r="K203" s="72" t="s">
        <v>90</v>
      </c>
    </row>
    <row r="204" spans="1:11" ht="18" hidden="1" customHeight="1">
      <c r="A204" s="68" t="s">
        <v>1140</v>
      </c>
      <c r="B204" s="70" t="s">
        <v>15</v>
      </c>
      <c r="C204" s="70" t="s">
        <v>1517</v>
      </c>
      <c r="D204" s="69" t="s">
        <v>1144</v>
      </c>
      <c r="E204" s="71"/>
      <c r="F204" s="71">
        <v>1870</v>
      </c>
      <c r="G204" s="71"/>
      <c r="H204" s="71">
        <v>1870</v>
      </c>
      <c r="I204" s="69" t="s">
        <v>90</v>
      </c>
      <c r="J204" s="69" t="s">
        <v>90</v>
      </c>
      <c r="K204" s="72" t="s">
        <v>90</v>
      </c>
    </row>
    <row r="205" spans="1:11" ht="18" hidden="1" customHeight="1" thickBot="1">
      <c r="A205" s="68" t="s">
        <v>1140</v>
      </c>
      <c r="B205" s="70" t="s">
        <v>15</v>
      </c>
      <c r="C205" s="70" t="s">
        <v>356</v>
      </c>
      <c r="D205" s="69" t="s">
        <v>357</v>
      </c>
      <c r="E205" s="71"/>
      <c r="F205" s="71">
        <v>1450</v>
      </c>
      <c r="G205" s="71"/>
      <c r="H205" s="71">
        <v>1450</v>
      </c>
      <c r="I205" s="69" t="s">
        <v>90</v>
      </c>
      <c r="J205" s="69" t="s">
        <v>1379</v>
      </c>
      <c r="K205" s="72" t="s">
        <v>90</v>
      </c>
    </row>
    <row r="206" spans="1:11" ht="18" hidden="1" customHeight="1" thickBot="1">
      <c r="A206" s="78" t="s">
        <v>363</v>
      </c>
      <c r="B206" s="80" t="s">
        <v>90</v>
      </c>
      <c r="C206" s="80" t="s">
        <v>90</v>
      </c>
      <c r="D206" s="79" t="s">
        <v>90</v>
      </c>
      <c r="E206" s="81"/>
      <c r="F206" s="81">
        <v>16074680</v>
      </c>
      <c r="G206" s="81"/>
      <c r="H206" s="81">
        <v>16074680</v>
      </c>
      <c r="I206" s="79" t="s">
        <v>90</v>
      </c>
      <c r="J206" s="79" t="s">
        <v>90</v>
      </c>
      <c r="K206" s="82" t="s">
        <v>90</v>
      </c>
    </row>
    <row r="207" spans="1:11" ht="5.25" hidden="1" customHeight="1"/>
    <row r="208" spans="1:11" ht="31.5" hidden="1" customHeight="1">
      <c r="F208" s="61" t="s">
        <v>805</v>
      </c>
    </row>
    <row r="209" spans="1:11" ht="8.1" hidden="1" customHeight="1"/>
    <row r="210" spans="1:11" ht="15" hidden="1" customHeight="1">
      <c r="F210" s="62" t="s">
        <v>996</v>
      </c>
    </row>
    <row r="211" spans="1:11" ht="20.100000000000001" hidden="1" customHeight="1"/>
    <row r="212" spans="1:11" ht="15" hidden="1" customHeight="1" thickBot="1">
      <c r="A212" s="63" t="s">
        <v>1013</v>
      </c>
      <c r="K212" s="64" t="s">
        <v>336</v>
      </c>
    </row>
    <row r="213" spans="1:11" ht="18" hidden="1" customHeight="1" thickBot="1">
      <c r="A213" s="65" t="s">
        <v>337</v>
      </c>
      <c r="B213" s="66" t="s">
        <v>338</v>
      </c>
      <c r="C213" s="66" t="s">
        <v>337</v>
      </c>
      <c r="D213" s="66" t="s">
        <v>339</v>
      </c>
      <c r="E213" s="66" t="s">
        <v>1369</v>
      </c>
      <c r="F213" s="66" t="s">
        <v>997</v>
      </c>
      <c r="G213" s="66" t="s">
        <v>998</v>
      </c>
      <c r="H213" s="66" t="s">
        <v>340</v>
      </c>
      <c r="I213" s="66" t="s">
        <v>1370</v>
      </c>
      <c r="J213" s="66" t="s">
        <v>1371</v>
      </c>
      <c r="K213" s="67" t="s">
        <v>331</v>
      </c>
    </row>
    <row r="214" spans="1:11" ht="18" hidden="1" customHeight="1">
      <c r="A214" s="68" t="s">
        <v>806</v>
      </c>
      <c r="B214" s="70" t="s">
        <v>17</v>
      </c>
      <c r="C214" s="70" t="s">
        <v>90</v>
      </c>
      <c r="D214" s="69" t="s">
        <v>447</v>
      </c>
      <c r="E214" s="71">
        <v>4745011941</v>
      </c>
      <c r="F214" s="71">
        <v>1518643216</v>
      </c>
      <c r="G214" s="71">
        <v>5436570391</v>
      </c>
      <c r="H214" s="71">
        <v>827084766</v>
      </c>
      <c r="I214" s="69" t="s">
        <v>90</v>
      </c>
      <c r="J214" s="69" t="s">
        <v>90</v>
      </c>
      <c r="K214" s="72" t="s">
        <v>90</v>
      </c>
    </row>
    <row r="215" spans="1:11" ht="18" hidden="1" customHeight="1">
      <c r="A215" s="68" t="s">
        <v>806</v>
      </c>
      <c r="B215" s="70" t="s">
        <v>17</v>
      </c>
      <c r="C215" s="70" t="s">
        <v>476</v>
      </c>
      <c r="D215" s="69" t="s">
        <v>477</v>
      </c>
      <c r="E215" s="71">
        <v>1266500</v>
      </c>
      <c r="F215" s="71"/>
      <c r="G215" s="71"/>
      <c r="H215" s="71">
        <v>1266500</v>
      </c>
      <c r="I215" s="69" t="s">
        <v>1518</v>
      </c>
      <c r="J215" s="69" t="s">
        <v>90</v>
      </c>
      <c r="K215" s="72" t="s">
        <v>90</v>
      </c>
    </row>
    <row r="216" spans="1:11" ht="18" hidden="1" customHeight="1">
      <c r="A216" s="68" t="s">
        <v>806</v>
      </c>
      <c r="B216" s="70" t="s">
        <v>17</v>
      </c>
      <c r="C216" s="70" t="s">
        <v>1025</v>
      </c>
      <c r="D216" s="69" t="s">
        <v>1026</v>
      </c>
      <c r="E216" s="71"/>
      <c r="F216" s="71">
        <v>7352500</v>
      </c>
      <c r="G216" s="71"/>
      <c r="H216" s="71">
        <v>7352500</v>
      </c>
      <c r="I216" s="69" t="s">
        <v>1519</v>
      </c>
      <c r="J216" s="69" t="s">
        <v>90</v>
      </c>
      <c r="K216" s="72" t="s">
        <v>90</v>
      </c>
    </row>
    <row r="217" spans="1:11" ht="18" hidden="1" customHeight="1">
      <c r="A217" s="68" t="s">
        <v>806</v>
      </c>
      <c r="B217" s="70" t="s">
        <v>17</v>
      </c>
      <c r="C217" s="70" t="s">
        <v>492</v>
      </c>
      <c r="D217" s="69" t="s">
        <v>493</v>
      </c>
      <c r="E217" s="71">
        <v>25128720</v>
      </c>
      <c r="F217" s="71">
        <v>57396100</v>
      </c>
      <c r="G217" s="71"/>
      <c r="H217" s="71">
        <v>82524820</v>
      </c>
      <c r="I217" s="69" t="s">
        <v>1520</v>
      </c>
      <c r="J217" s="69" t="s">
        <v>90</v>
      </c>
      <c r="K217" s="72" t="s">
        <v>90</v>
      </c>
    </row>
    <row r="218" spans="1:11" ht="18" hidden="1" customHeight="1">
      <c r="A218" s="68" t="s">
        <v>806</v>
      </c>
      <c r="B218" s="70" t="s">
        <v>17</v>
      </c>
      <c r="C218" s="70" t="s">
        <v>496</v>
      </c>
      <c r="D218" s="69" t="s">
        <v>497</v>
      </c>
      <c r="E218" s="71">
        <v>98574000</v>
      </c>
      <c r="F218" s="71">
        <v>145474100</v>
      </c>
      <c r="G218" s="71"/>
      <c r="H218" s="71">
        <v>244048100</v>
      </c>
      <c r="I218" s="69" t="s">
        <v>1521</v>
      </c>
      <c r="J218" s="69" t="s">
        <v>90</v>
      </c>
      <c r="K218" s="72" t="s">
        <v>90</v>
      </c>
    </row>
    <row r="219" spans="1:11" ht="18" hidden="1" customHeight="1">
      <c r="A219" s="68" t="s">
        <v>806</v>
      </c>
      <c r="B219" s="70" t="s">
        <v>17</v>
      </c>
      <c r="C219" s="70" t="s">
        <v>508</v>
      </c>
      <c r="D219" s="69" t="s">
        <v>509</v>
      </c>
      <c r="E219" s="71">
        <v>1568057000</v>
      </c>
      <c r="F219" s="71">
        <v>1769541700</v>
      </c>
      <c r="G219" s="71"/>
      <c r="H219" s="71">
        <v>3337598700</v>
      </c>
      <c r="I219" s="69" t="s">
        <v>1522</v>
      </c>
      <c r="J219" s="69" t="s">
        <v>90</v>
      </c>
      <c r="K219" s="72" t="s">
        <v>90</v>
      </c>
    </row>
    <row r="220" spans="1:11" ht="18" hidden="1" customHeight="1">
      <c r="A220" s="68" t="s">
        <v>806</v>
      </c>
      <c r="B220" s="70" t="s">
        <v>17</v>
      </c>
      <c r="C220" s="70" t="s">
        <v>510</v>
      </c>
      <c r="D220" s="69" t="s">
        <v>511</v>
      </c>
      <c r="E220" s="71">
        <v>7063820</v>
      </c>
      <c r="F220" s="71">
        <v>5800000</v>
      </c>
      <c r="G220" s="71"/>
      <c r="H220" s="71">
        <v>12863820</v>
      </c>
      <c r="I220" s="69" t="s">
        <v>1523</v>
      </c>
      <c r="J220" s="69" t="s">
        <v>90</v>
      </c>
      <c r="K220" s="72" t="s">
        <v>90</v>
      </c>
    </row>
    <row r="221" spans="1:11" ht="18" hidden="1" customHeight="1">
      <c r="A221" s="68" t="s">
        <v>806</v>
      </c>
      <c r="B221" s="70" t="s">
        <v>17</v>
      </c>
      <c r="C221" s="70" t="s">
        <v>1031</v>
      </c>
      <c r="D221" s="69" t="s">
        <v>1032</v>
      </c>
      <c r="E221" s="71"/>
      <c r="F221" s="71">
        <v>50000</v>
      </c>
      <c r="G221" s="71"/>
      <c r="H221" s="71">
        <v>50000</v>
      </c>
      <c r="I221" s="69" t="s">
        <v>1524</v>
      </c>
      <c r="J221" s="69" t="s">
        <v>90</v>
      </c>
      <c r="K221" s="72" t="s">
        <v>90</v>
      </c>
    </row>
    <row r="222" spans="1:11" ht="18" hidden="1" customHeight="1">
      <c r="A222" s="68" t="s">
        <v>806</v>
      </c>
      <c r="B222" s="70" t="s">
        <v>17</v>
      </c>
      <c r="C222" s="70" t="s">
        <v>519</v>
      </c>
      <c r="D222" s="69" t="s">
        <v>520</v>
      </c>
      <c r="E222" s="71">
        <v>55557615</v>
      </c>
      <c r="F222" s="71">
        <v>16609519</v>
      </c>
      <c r="G222" s="71"/>
      <c r="H222" s="71">
        <v>72167134</v>
      </c>
      <c r="I222" s="69" t="s">
        <v>1525</v>
      </c>
      <c r="J222" s="69" t="s">
        <v>90</v>
      </c>
      <c r="K222" s="72" t="s">
        <v>90</v>
      </c>
    </row>
    <row r="223" spans="1:11" ht="18" hidden="1" customHeight="1">
      <c r="A223" s="68" t="s">
        <v>806</v>
      </c>
      <c r="B223" s="70" t="s">
        <v>17</v>
      </c>
      <c r="C223" s="70" t="s">
        <v>521</v>
      </c>
      <c r="D223" s="69" t="s">
        <v>522</v>
      </c>
      <c r="E223" s="71">
        <v>485947500</v>
      </c>
      <c r="F223" s="71">
        <v>599549600</v>
      </c>
      <c r="G223" s="71"/>
      <c r="H223" s="71">
        <v>1085497100</v>
      </c>
      <c r="I223" s="69" t="s">
        <v>1526</v>
      </c>
      <c r="J223" s="69" t="s">
        <v>90</v>
      </c>
      <c r="K223" s="72" t="s">
        <v>90</v>
      </c>
    </row>
    <row r="224" spans="1:11" ht="18" hidden="1" customHeight="1">
      <c r="A224" s="68" t="s">
        <v>806</v>
      </c>
      <c r="B224" s="70" t="s">
        <v>17</v>
      </c>
      <c r="C224" s="70" t="s">
        <v>527</v>
      </c>
      <c r="D224" s="69" t="s">
        <v>528</v>
      </c>
      <c r="E224" s="71">
        <v>344000</v>
      </c>
      <c r="F224" s="71">
        <v>180000</v>
      </c>
      <c r="G224" s="71"/>
      <c r="H224" s="71">
        <v>524000</v>
      </c>
      <c r="I224" s="69" t="s">
        <v>1527</v>
      </c>
      <c r="J224" s="69" t="s">
        <v>90</v>
      </c>
      <c r="K224" s="72" t="s">
        <v>90</v>
      </c>
    </row>
    <row r="225" spans="1:11" ht="18" hidden="1" customHeight="1">
      <c r="A225" s="68" t="s">
        <v>806</v>
      </c>
      <c r="B225" s="70" t="s">
        <v>17</v>
      </c>
      <c r="C225" s="70" t="s">
        <v>1033</v>
      </c>
      <c r="D225" s="69" t="s">
        <v>1034</v>
      </c>
      <c r="E225" s="71"/>
      <c r="F225" s="71">
        <v>112640942</v>
      </c>
      <c r="G225" s="71"/>
      <c r="H225" s="71">
        <v>112640942</v>
      </c>
      <c r="I225" s="69" t="s">
        <v>1528</v>
      </c>
      <c r="J225" s="69" t="s">
        <v>90</v>
      </c>
      <c r="K225" s="72" t="s">
        <v>90</v>
      </c>
    </row>
    <row r="226" spans="1:11" ht="18" hidden="1" customHeight="1">
      <c r="A226" s="68" t="s">
        <v>806</v>
      </c>
      <c r="B226" s="70" t="s">
        <v>17</v>
      </c>
      <c r="C226" s="70" t="s">
        <v>531</v>
      </c>
      <c r="D226" s="69" t="s">
        <v>532</v>
      </c>
      <c r="E226" s="71">
        <v>247637000</v>
      </c>
      <c r="F226" s="71">
        <v>461117500</v>
      </c>
      <c r="G226" s="71"/>
      <c r="H226" s="71">
        <v>708754500</v>
      </c>
      <c r="I226" s="69" t="s">
        <v>1529</v>
      </c>
      <c r="J226" s="69" t="s">
        <v>90</v>
      </c>
      <c r="K226" s="72" t="s">
        <v>90</v>
      </c>
    </row>
    <row r="227" spans="1:11" ht="18" hidden="1" customHeight="1">
      <c r="A227" s="68" t="s">
        <v>806</v>
      </c>
      <c r="B227" s="70" t="s">
        <v>17</v>
      </c>
      <c r="C227" s="70" t="s">
        <v>535</v>
      </c>
      <c r="D227" s="69" t="s">
        <v>536</v>
      </c>
      <c r="E227" s="71">
        <v>45853100</v>
      </c>
      <c r="F227" s="71"/>
      <c r="G227" s="71"/>
      <c r="H227" s="71">
        <v>45853100</v>
      </c>
      <c r="I227" s="69" t="s">
        <v>1530</v>
      </c>
      <c r="J227" s="69" t="s">
        <v>90</v>
      </c>
      <c r="K227" s="72" t="s">
        <v>90</v>
      </c>
    </row>
    <row r="228" spans="1:11" ht="18" hidden="1" customHeight="1">
      <c r="A228" s="68" t="s">
        <v>806</v>
      </c>
      <c r="B228" s="70" t="s">
        <v>17</v>
      </c>
      <c r="C228" s="70" t="s">
        <v>544</v>
      </c>
      <c r="D228" s="69" t="s">
        <v>545</v>
      </c>
      <c r="E228" s="71">
        <v>15921000</v>
      </c>
      <c r="F228" s="71">
        <v>5220000</v>
      </c>
      <c r="G228" s="71"/>
      <c r="H228" s="71">
        <v>21141000</v>
      </c>
      <c r="I228" s="69" t="s">
        <v>1531</v>
      </c>
      <c r="J228" s="69" t="s">
        <v>90</v>
      </c>
      <c r="K228" s="72" t="s">
        <v>90</v>
      </c>
    </row>
    <row r="229" spans="1:11" ht="18" hidden="1" customHeight="1">
      <c r="A229" s="68" t="s">
        <v>806</v>
      </c>
      <c r="B229" s="70" t="s">
        <v>17</v>
      </c>
      <c r="C229" s="70" t="s">
        <v>550</v>
      </c>
      <c r="D229" s="69" t="s">
        <v>551</v>
      </c>
      <c r="E229" s="71">
        <v>117097200</v>
      </c>
      <c r="F229" s="71"/>
      <c r="G229" s="71"/>
      <c r="H229" s="71">
        <v>117097200</v>
      </c>
      <c r="I229" s="69" t="s">
        <v>1532</v>
      </c>
      <c r="J229" s="69" t="s">
        <v>90</v>
      </c>
      <c r="K229" s="72" t="s">
        <v>90</v>
      </c>
    </row>
    <row r="230" spans="1:11" ht="18" hidden="1" customHeight="1">
      <c r="A230" s="68" t="s">
        <v>806</v>
      </c>
      <c r="B230" s="70" t="s">
        <v>17</v>
      </c>
      <c r="C230" s="70" t="s">
        <v>554</v>
      </c>
      <c r="D230" s="69" t="s">
        <v>555</v>
      </c>
      <c r="E230" s="71">
        <v>197475700</v>
      </c>
      <c r="F230" s="71">
        <v>182120400</v>
      </c>
      <c r="G230" s="71"/>
      <c r="H230" s="71">
        <v>379596100</v>
      </c>
      <c r="I230" s="69" t="s">
        <v>1533</v>
      </c>
      <c r="J230" s="69" t="s">
        <v>90</v>
      </c>
      <c r="K230" s="72" t="s">
        <v>90</v>
      </c>
    </row>
    <row r="231" spans="1:11" ht="18" hidden="1" customHeight="1">
      <c r="A231" s="68" t="s">
        <v>806</v>
      </c>
      <c r="B231" s="70" t="s">
        <v>17</v>
      </c>
      <c r="C231" s="70" t="s">
        <v>560</v>
      </c>
      <c r="D231" s="69" t="s">
        <v>561</v>
      </c>
      <c r="E231" s="71">
        <v>1420000</v>
      </c>
      <c r="F231" s="71">
        <v>2420000</v>
      </c>
      <c r="G231" s="71"/>
      <c r="H231" s="71">
        <v>3840000</v>
      </c>
      <c r="I231" s="69" t="s">
        <v>1534</v>
      </c>
      <c r="J231" s="69" t="s">
        <v>90</v>
      </c>
      <c r="K231" s="72" t="s">
        <v>90</v>
      </c>
    </row>
    <row r="232" spans="1:11" ht="18" hidden="1" customHeight="1">
      <c r="A232" s="68" t="s">
        <v>806</v>
      </c>
      <c r="B232" s="70" t="s">
        <v>17</v>
      </c>
      <c r="C232" s="70" t="s">
        <v>574</v>
      </c>
      <c r="D232" s="69" t="s">
        <v>575</v>
      </c>
      <c r="E232" s="71">
        <v>33802600</v>
      </c>
      <c r="F232" s="71">
        <v>28132900</v>
      </c>
      <c r="G232" s="71"/>
      <c r="H232" s="71">
        <v>61935500</v>
      </c>
      <c r="I232" s="69" t="s">
        <v>1535</v>
      </c>
      <c r="J232" s="69" t="s">
        <v>90</v>
      </c>
      <c r="K232" s="72" t="s">
        <v>90</v>
      </c>
    </row>
    <row r="233" spans="1:11" ht="18" hidden="1" customHeight="1">
      <c r="A233" s="68" t="s">
        <v>806</v>
      </c>
      <c r="B233" s="70" t="s">
        <v>17</v>
      </c>
      <c r="C233" s="70" t="s">
        <v>576</v>
      </c>
      <c r="D233" s="69" t="s">
        <v>577</v>
      </c>
      <c r="E233" s="71">
        <v>30000000</v>
      </c>
      <c r="F233" s="71"/>
      <c r="G233" s="71"/>
      <c r="H233" s="71">
        <v>30000000</v>
      </c>
      <c r="I233" s="69" t="s">
        <v>1536</v>
      </c>
      <c r="J233" s="69" t="s">
        <v>90</v>
      </c>
      <c r="K233" s="72" t="s">
        <v>90</v>
      </c>
    </row>
    <row r="234" spans="1:11" ht="18" hidden="1" customHeight="1">
      <c r="A234" s="68" t="s">
        <v>806</v>
      </c>
      <c r="B234" s="70" t="s">
        <v>17</v>
      </c>
      <c r="C234" s="70" t="s">
        <v>578</v>
      </c>
      <c r="D234" s="69" t="s">
        <v>579</v>
      </c>
      <c r="E234" s="71">
        <v>3006707</v>
      </c>
      <c r="F234" s="71"/>
      <c r="G234" s="71"/>
      <c r="H234" s="71">
        <v>3006707</v>
      </c>
      <c r="I234" s="69" t="s">
        <v>1537</v>
      </c>
      <c r="J234" s="69" t="s">
        <v>90</v>
      </c>
      <c r="K234" s="72" t="s">
        <v>90</v>
      </c>
    </row>
    <row r="235" spans="1:11" ht="18" hidden="1" customHeight="1">
      <c r="A235" s="68" t="s">
        <v>806</v>
      </c>
      <c r="B235" s="70" t="s">
        <v>17</v>
      </c>
      <c r="C235" s="70" t="s">
        <v>588</v>
      </c>
      <c r="D235" s="69" t="s">
        <v>589</v>
      </c>
      <c r="E235" s="71">
        <v>240000</v>
      </c>
      <c r="F235" s="71"/>
      <c r="G235" s="71"/>
      <c r="H235" s="71">
        <v>240000</v>
      </c>
      <c r="I235" s="69" t="s">
        <v>1538</v>
      </c>
      <c r="J235" s="69" t="s">
        <v>90</v>
      </c>
      <c r="K235" s="72" t="s">
        <v>90</v>
      </c>
    </row>
    <row r="236" spans="1:11" ht="18" hidden="1" customHeight="1">
      <c r="A236" s="68" t="s">
        <v>806</v>
      </c>
      <c r="B236" s="70" t="s">
        <v>17</v>
      </c>
      <c r="C236" s="70" t="s">
        <v>592</v>
      </c>
      <c r="D236" s="69" t="s">
        <v>593</v>
      </c>
      <c r="E236" s="71">
        <v>246000</v>
      </c>
      <c r="F236" s="71"/>
      <c r="G236" s="71"/>
      <c r="H236" s="71">
        <v>246000</v>
      </c>
      <c r="I236" s="69" t="s">
        <v>1539</v>
      </c>
      <c r="J236" s="69" t="s">
        <v>90</v>
      </c>
      <c r="K236" s="72" t="s">
        <v>90</v>
      </c>
    </row>
    <row r="237" spans="1:11" ht="18" hidden="1" customHeight="1">
      <c r="A237" s="68" t="s">
        <v>806</v>
      </c>
      <c r="B237" s="70" t="s">
        <v>17</v>
      </c>
      <c r="C237" s="70" t="s">
        <v>596</v>
      </c>
      <c r="D237" s="69" t="s">
        <v>597</v>
      </c>
      <c r="E237" s="71">
        <v>483714700</v>
      </c>
      <c r="F237" s="71">
        <v>34497000</v>
      </c>
      <c r="G237" s="71"/>
      <c r="H237" s="71">
        <v>518211700</v>
      </c>
      <c r="I237" s="69" t="s">
        <v>1540</v>
      </c>
      <c r="J237" s="69" t="s">
        <v>90</v>
      </c>
      <c r="K237" s="72" t="s">
        <v>90</v>
      </c>
    </row>
    <row r="238" spans="1:11" ht="18" hidden="1" customHeight="1" thickBot="1">
      <c r="A238" s="73" t="s">
        <v>806</v>
      </c>
      <c r="B238" s="75" t="s">
        <v>17</v>
      </c>
      <c r="C238" s="75" t="s">
        <v>598</v>
      </c>
      <c r="D238" s="74" t="s">
        <v>599</v>
      </c>
      <c r="E238" s="76">
        <v>1450000</v>
      </c>
      <c r="F238" s="76">
        <v>1100000</v>
      </c>
      <c r="G238" s="76"/>
      <c r="H238" s="76">
        <v>2550000</v>
      </c>
      <c r="I238" s="74" t="s">
        <v>1541</v>
      </c>
      <c r="J238" s="74" t="s">
        <v>90</v>
      </c>
      <c r="K238" s="77" t="s">
        <v>90</v>
      </c>
    </row>
    <row r="239" spans="1:11" ht="18" hidden="1" customHeight="1">
      <c r="A239" s="68" t="s">
        <v>806</v>
      </c>
      <c r="B239" s="70" t="s">
        <v>17</v>
      </c>
      <c r="C239" s="70" t="s">
        <v>602</v>
      </c>
      <c r="D239" s="69" t="s">
        <v>603</v>
      </c>
      <c r="E239" s="71">
        <v>3381000</v>
      </c>
      <c r="F239" s="71"/>
      <c r="G239" s="71"/>
      <c r="H239" s="71">
        <v>3381000</v>
      </c>
      <c r="I239" s="69" t="s">
        <v>1542</v>
      </c>
      <c r="J239" s="69" t="s">
        <v>90</v>
      </c>
      <c r="K239" s="72" t="s">
        <v>90</v>
      </c>
    </row>
    <row r="240" spans="1:11" ht="18" hidden="1" customHeight="1">
      <c r="A240" s="68" t="s">
        <v>806</v>
      </c>
      <c r="B240" s="70" t="s">
        <v>17</v>
      </c>
      <c r="C240" s="70" t="s">
        <v>616</v>
      </c>
      <c r="D240" s="69" t="s">
        <v>617</v>
      </c>
      <c r="E240" s="71">
        <v>4273700</v>
      </c>
      <c r="F240" s="71"/>
      <c r="G240" s="71"/>
      <c r="H240" s="71">
        <v>4273700</v>
      </c>
      <c r="I240" s="69" t="s">
        <v>1543</v>
      </c>
      <c r="J240" s="69" t="s">
        <v>90</v>
      </c>
      <c r="K240" s="72" t="s">
        <v>90</v>
      </c>
    </row>
    <row r="241" spans="1:11" ht="18" hidden="1" customHeight="1">
      <c r="A241" s="68" t="s">
        <v>806</v>
      </c>
      <c r="B241" s="70" t="s">
        <v>17</v>
      </c>
      <c r="C241" s="70" t="s">
        <v>624</v>
      </c>
      <c r="D241" s="69" t="s">
        <v>625</v>
      </c>
      <c r="E241" s="71">
        <v>69705000</v>
      </c>
      <c r="F241" s="71"/>
      <c r="G241" s="71"/>
      <c r="H241" s="71">
        <v>69705000</v>
      </c>
      <c r="I241" s="69" t="s">
        <v>1544</v>
      </c>
      <c r="J241" s="69" t="s">
        <v>90</v>
      </c>
      <c r="K241" s="72" t="s">
        <v>90</v>
      </c>
    </row>
    <row r="242" spans="1:11" ht="18" hidden="1" customHeight="1">
      <c r="A242" s="68" t="s">
        <v>806</v>
      </c>
      <c r="B242" s="70" t="s">
        <v>17</v>
      </c>
      <c r="C242" s="70" t="s">
        <v>690</v>
      </c>
      <c r="D242" s="69" t="s">
        <v>691</v>
      </c>
      <c r="E242" s="71">
        <v>4419000</v>
      </c>
      <c r="F242" s="71">
        <v>11829000</v>
      </c>
      <c r="G242" s="71"/>
      <c r="H242" s="71">
        <v>16248000</v>
      </c>
      <c r="I242" s="69" t="s">
        <v>1545</v>
      </c>
      <c r="J242" s="69" t="s">
        <v>90</v>
      </c>
      <c r="K242" s="72" t="s">
        <v>90</v>
      </c>
    </row>
    <row r="243" spans="1:11" ht="18" hidden="1" customHeight="1">
      <c r="A243" s="68" t="s">
        <v>806</v>
      </c>
      <c r="B243" s="70" t="s">
        <v>17</v>
      </c>
      <c r="C243" s="70" t="s">
        <v>692</v>
      </c>
      <c r="D243" s="69" t="s">
        <v>693</v>
      </c>
      <c r="E243" s="71">
        <v>660000</v>
      </c>
      <c r="F243" s="71">
        <v>734000</v>
      </c>
      <c r="G243" s="71"/>
      <c r="H243" s="71">
        <v>1394000</v>
      </c>
      <c r="I243" s="69" t="s">
        <v>1546</v>
      </c>
      <c r="J243" s="69" t="s">
        <v>90</v>
      </c>
      <c r="K243" s="72" t="s">
        <v>90</v>
      </c>
    </row>
    <row r="244" spans="1:11" ht="18" hidden="1" customHeight="1">
      <c r="A244" s="68" t="s">
        <v>806</v>
      </c>
      <c r="B244" s="70" t="s">
        <v>17</v>
      </c>
      <c r="C244" s="70" t="s">
        <v>694</v>
      </c>
      <c r="D244" s="69" t="s">
        <v>695</v>
      </c>
      <c r="E244" s="71">
        <v>1064000</v>
      </c>
      <c r="F244" s="71"/>
      <c r="G244" s="71"/>
      <c r="H244" s="71">
        <v>1064000</v>
      </c>
      <c r="I244" s="69" t="s">
        <v>1547</v>
      </c>
      <c r="J244" s="69" t="s">
        <v>90</v>
      </c>
      <c r="K244" s="72" t="s">
        <v>90</v>
      </c>
    </row>
    <row r="245" spans="1:11" ht="18" hidden="1" customHeight="1">
      <c r="A245" s="68" t="s">
        <v>806</v>
      </c>
      <c r="B245" s="70" t="s">
        <v>17</v>
      </c>
      <c r="C245" s="70" t="s">
        <v>696</v>
      </c>
      <c r="D245" s="69" t="s">
        <v>697</v>
      </c>
      <c r="E245" s="71">
        <v>232000</v>
      </c>
      <c r="F245" s="71"/>
      <c r="G245" s="71"/>
      <c r="H245" s="71">
        <v>232000</v>
      </c>
      <c r="I245" s="69" t="s">
        <v>1548</v>
      </c>
      <c r="J245" s="69" t="s">
        <v>90</v>
      </c>
      <c r="K245" s="72" t="s">
        <v>90</v>
      </c>
    </row>
    <row r="246" spans="1:11" ht="18" hidden="1" customHeight="1">
      <c r="A246" s="68" t="s">
        <v>806</v>
      </c>
      <c r="B246" s="70" t="s">
        <v>17</v>
      </c>
      <c r="C246" s="70" t="s">
        <v>698</v>
      </c>
      <c r="D246" s="69" t="s">
        <v>699</v>
      </c>
      <c r="E246" s="71">
        <v>184000</v>
      </c>
      <c r="F246" s="71"/>
      <c r="G246" s="71"/>
      <c r="H246" s="71">
        <v>184000</v>
      </c>
      <c r="I246" s="69" t="s">
        <v>1549</v>
      </c>
      <c r="J246" s="69" t="s">
        <v>90</v>
      </c>
      <c r="K246" s="72" t="s">
        <v>90</v>
      </c>
    </row>
    <row r="247" spans="1:11" ht="18" hidden="1" customHeight="1">
      <c r="A247" s="68" t="s">
        <v>806</v>
      </c>
      <c r="B247" s="70" t="s">
        <v>17</v>
      </c>
      <c r="C247" s="70" t="s">
        <v>700</v>
      </c>
      <c r="D247" s="69" t="s">
        <v>701</v>
      </c>
      <c r="E247" s="71">
        <v>292000</v>
      </c>
      <c r="F247" s="71"/>
      <c r="G247" s="71"/>
      <c r="H247" s="71">
        <v>292000</v>
      </c>
      <c r="I247" s="69" t="s">
        <v>1550</v>
      </c>
      <c r="J247" s="69" t="s">
        <v>90</v>
      </c>
      <c r="K247" s="72" t="s">
        <v>90</v>
      </c>
    </row>
    <row r="248" spans="1:11" ht="18" hidden="1" customHeight="1">
      <c r="A248" s="68" t="s">
        <v>806</v>
      </c>
      <c r="B248" s="70" t="s">
        <v>17</v>
      </c>
      <c r="C248" s="70" t="s">
        <v>704</v>
      </c>
      <c r="D248" s="69" t="s">
        <v>705</v>
      </c>
      <c r="E248" s="71">
        <v>380000</v>
      </c>
      <c r="F248" s="71"/>
      <c r="G248" s="71"/>
      <c r="H248" s="71">
        <v>380000</v>
      </c>
      <c r="I248" s="69" t="s">
        <v>1551</v>
      </c>
      <c r="J248" s="69" t="s">
        <v>90</v>
      </c>
      <c r="K248" s="72" t="s">
        <v>90</v>
      </c>
    </row>
    <row r="249" spans="1:11" ht="18" hidden="1" customHeight="1">
      <c r="A249" s="68" t="s">
        <v>806</v>
      </c>
      <c r="B249" s="70" t="s">
        <v>17</v>
      </c>
      <c r="C249" s="70" t="s">
        <v>717</v>
      </c>
      <c r="D249" s="69" t="s">
        <v>718</v>
      </c>
      <c r="E249" s="71">
        <v>510000</v>
      </c>
      <c r="F249" s="71"/>
      <c r="G249" s="71"/>
      <c r="H249" s="71">
        <v>510000</v>
      </c>
      <c r="I249" s="69" t="s">
        <v>1552</v>
      </c>
      <c r="J249" s="69" t="s">
        <v>90</v>
      </c>
      <c r="K249" s="72" t="s">
        <v>90</v>
      </c>
    </row>
    <row r="250" spans="1:11" ht="18" hidden="1" customHeight="1">
      <c r="A250" s="68" t="s">
        <v>806</v>
      </c>
      <c r="B250" s="70" t="s">
        <v>17</v>
      </c>
      <c r="C250" s="70" t="s">
        <v>741</v>
      </c>
      <c r="D250" s="69" t="s">
        <v>742</v>
      </c>
      <c r="E250" s="71">
        <v>131000</v>
      </c>
      <c r="F250" s="71"/>
      <c r="G250" s="71"/>
      <c r="H250" s="71">
        <v>131000</v>
      </c>
      <c r="I250" s="69" t="s">
        <v>1553</v>
      </c>
      <c r="J250" s="69" t="s">
        <v>90</v>
      </c>
      <c r="K250" s="72" t="s">
        <v>90</v>
      </c>
    </row>
    <row r="251" spans="1:11" ht="18" hidden="1" customHeight="1">
      <c r="A251" s="68" t="s">
        <v>806</v>
      </c>
      <c r="B251" s="70" t="s">
        <v>17</v>
      </c>
      <c r="C251" s="70" t="s">
        <v>775</v>
      </c>
      <c r="D251" s="69" t="s">
        <v>776</v>
      </c>
      <c r="E251" s="71">
        <v>106000</v>
      </c>
      <c r="F251" s="71"/>
      <c r="G251" s="71"/>
      <c r="H251" s="71">
        <v>106000</v>
      </c>
      <c r="I251" s="69" t="s">
        <v>1554</v>
      </c>
      <c r="J251" s="69" t="s">
        <v>90</v>
      </c>
      <c r="K251" s="72" t="s">
        <v>90</v>
      </c>
    </row>
    <row r="252" spans="1:11" ht="18" hidden="1" customHeight="1">
      <c r="A252" s="68" t="s">
        <v>806</v>
      </c>
      <c r="B252" s="70" t="s">
        <v>17</v>
      </c>
      <c r="C252" s="70" t="s">
        <v>1147</v>
      </c>
      <c r="D252" s="69" t="s">
        <v>807</v>
      </c>
      <c r="E252" s="71">
        <v>1228800</v>
      </c>
      <c r="F252" s="71">
        <v>720000</v>
      </c>
      <c r="G252" s="71"/>
      <c r="H252" s="71">
        <v>1948800</v>
      </c>
      <c r="I252" s="69" t="s">
        <v>1555</v>
      </c>
      <c r="J252" s="69" t="s">
        <v>90</v>
      </c>
      <c r="K252" s="72" t="s">
        <v>90</v>
      </c>
    </row>
    <row r="253" spans="1:11" ht="18" hidden="1" customHeight="1">
      <c r="A253" s="68" t="s">
        <v>806</v>
      </c>
      <c r="B253" s="70" t="s">
        <v>17</v>
      </c>
      <c r="C253" s="70" t="s">
        <v>1051</v>
      </c>
      <c r="D253" s="69" t="s">
        <v>1052</v>
      </c>
      <c r="E253" s="71"/>
      <c r="F253" s="71">
        <v>79548300</v>
      </c>
      <c r="G253" s="71"/>
      <c r="H253" s="71">
        <v>79548300</v>
      </c>
      <c r="I253" s="69" t="s">
        <v>1556</v>
      </c>
      <c r="J253" s="69" t="s">
        <v>90</v>
      </c>
      <c r="K253" s="72" t="s">
        <v>90</v>
      </c>
    </row>
    <row r="254" spans="1:11" ht="18" hidden="1" customHeight="1">
      <c r="A254" s="68" t="s">
        <v>806</v>
      </c>
      <c r="B254" s="70" t="s">
        <v>17</v>
      </c>
      <c r="C254" s="70" t="s">
        <v>1063</v>
      </c>
      <c r="D254" s="69" t="s">
        <v>1064</v>
      </c>
      <c r="E254" s="71"/>
      <c r="F254" s="71">
        <v>117000</v>
      </c>
      <c r="G254" s="71"/>
      <c r="H254" s="71">
        <v>117000</v>
      </c>
      <c r="I254" s="69" t="s">
        <v>1557</v>
      </c>
      <c r="J254" s="69" t="s">
        <v>90</v>
      </c>
      <c r="K254" s="72" t="s">
        <v>90</v>
      </c>
    </row>
    <row r="255" spans="1:11" ht="18" hidden="1" customHeight="1">
      <c r="A255" s="68" t="s">
        <v>806</v>
      </c>
      <c r="B255" s="70" t="s">
        <v>17</v>
      </c>
      <c r="C255" s="70" t="s">
        <v>1085</v>
      </c>
      <c r="D255" s="69" t="s">
        <v>1086</v>
      </c>
      <c r="E255" s="71"/>
      <c r="F255" s="71">
        <v>218182</v>
      </c>
      <c r="G255" s="71"/>
      <c r="H255" s="71">
        <v>218182</v>
      </c>
      <c r="I255" s="69" t="s">
        <v>1558</v>
      </c>
      <c r="J255" s="69" t="s">
        <v>90</v>
      </c>
      <c r="K255" s="72" t="s">
        <v>90</v>
      </c>
    </row>
    <row r="256" spans="1:11" ht="18" hidden="1" customHeight="1">
      <c r="A256" s="68" t="s">
        <v>806</v>
      </c>
      <c r="B256" s="70" t="s">
        <v>17</v>
      </c>
      <c r="C256" s="70" t="s">
        <v>1087</v>
      </c>
      <c r="D256" s="69" t="s">
        <v>1088</v>
      </c>
      <c r="E256" s="71"/>
      <c r="F256" s="71">
        <v>1000000</v>
      </c>
      <c r="G256" s="71"/>
      <c r="H256" s="71">
        <v>1000000</v>
      </c>
      <c r="I256" s="69" t="s">
        <v>1559</v>
      </c>
      <c r="J256" s="69" t="s">
        <v>90</v>
      </c>
      <c r="K256" s="72" t="s">
        <v>90</v>
      </c>
    </row>
    <row r="257" spans="1:11" ht="18" hidden="1" customHeight="1">
      <c r="A257" s="68" t="s">
        <v>806</v>
      </c>
      <c r="B257" s="70" t="s">
        <v>17</v>
      </c>
      <c r="C257" s="70" t="s">
        <v>1148</v>
      </c>
      <c r="D257" s="69" t="s">
        <v>1149</v>
      </c>
      <c r="E257" s="71"/>
      <c r="F257" s="71">
        <v>175000</v>
      </c>
      <c r="G257" s="71"/>
      <c r="H257" s="71">
        <v>175000</v>
      </c>
      <c r="I257" s="69" t="s">
        <v>1560</v>
      </c>
      <c r="J257" s="69" t="s">
        <v>90</v>
      </c>
      <c r="K257" s="72" t="s">
        <v>90</v>
      </c>
    </row>
    <row r="258" spans="1:11" ht="18" hidden="1" customHeight="1">
      <c r="A258" s="68" t="s">
        <v>806</v>
      </c>
      <c r="B258" s="70" t="s">
        <v>17</v>
      </c>
      <c r="C258" s="70" t="s">
        <v>1103</v>
      </c>
      <c r="D258" s="69" t="s">
        <v>1104</v>
      </c>
      <c r="E258" s="71"/>
      <c r="F258" s="71">
        <v>193000</v>
      </c>
      <c r="G258" s="71"/>
      <c r="H258" s="71">
        <v>193000</v>
      </c>
      <c r="I258" s="69" t="s">
        <v>1561</v>
      </c>
      <c r="J258" s="69" t="s">
        <v>90</v>
      </c>
      <c r="K258" s="72" t="s">
        <v>90</v>
      </c>
    </row>
    <row r="259" spans="1:11" ht="18" hidden="1" customHeight="1">
      <c r="A259" s="68" t="s">
        <v>806</v>
      </c>
      <c r="B259" s="70" t="s">
        <v>17</v>
      </c>
      <c r="C259" s="70" t="s">
        <v>1107</v>
      </c>
      <c r="D259" s="69" t="s">
        <v>1108</v>
      </c>
      <c r="E259" s="71"/>
      <c r="F259" s="71">
        <v>56000</v>
      </c>
      <c r="G259" s="71"/>
      <c r="H259" s="71">
        <v>56000</v>
      </c>
      <c r="I259" s="69" t="s">
        <v>1562</v>
      </c>
      <c r="J259" s="69" t="s">
        <v>90</v>
      </c>
      <c r="K259" s="72" t="s">
        <v>90</v>
      </c>
    </row>
    <row r="260" spans="1:11" ht="18" hidden="1" customHeight="1" thickBot="1">
      <c r="A260" s="68" t="s">
        <v>806</v>
      </c>
      <c r="B260" s="70" t="s">
        <v>17</v>
      </c>
      <c r="C260" s="70" t="s">
        <v>1125</v>
      </c>
      <c r="D260" s="69" t="s">
        <v>1126</v>
      </c>
      <c r="E260" s="71"/>
      <c r="F260" s="71">
        <v>1550000</v>
      </c>
      <c r="G260" s="71"/>
      <c r="H260" s="71">
        <v>1550000</v>
      </c>
      <c r="I260" s="69" t="s">
        <v>1563</v>
      </c>
      <c r="J260" s="69" t="s">
        <v>90</v>
      </c>
      <c r="K260" s="72" t="s">
        <v>90</v>
      </c>
    </row>
    <row r="261" spans="1:11" ht="18" hidden="1" customHeight="1" thickBot="1">
      <c r="A261" s="78" t="s">
        <v>363</v>
      </c>
      <c r="B261" s="80" t="s">
        <v>90</v>
      </c>
      <c r="C261" s="80" t="s">
        <v>90</v>
      </c>
      <c r="D261" s="79" t="s">
        <v>90</v>
      </c>
      <c r="E261" s="81">
        <v>8251381603</v>
      </c>
      <c r="F261" s="81">
        <v>5043985959</v>
      </c>
      <c r="G261" s="81">
        <v>5436570391</v>
      </c>
      <c r="H261" s="81">
        <v>7858797171</v>
      </c>
      <c r="I261" s="79" t="s">
        <v>90</v>
      </c>
      <c r="J261" s="79" t="s">
        <v>90</v>
      </c>
      <c r="K261" s="82" t="s">
        <v>90</v>
      </c>
    </row>
    <row r="262" spans="1:11" ht="5.25" customHeight="1"/>
    <row r="263" spans="1:11" ht="31.5" customHeight="1">
      <c r="A263" s="222"/>
      <c r="B263" s="223"/>
      <c r="C263" s="222"/>
      <c r="D263" s="222"/>
      <c r="E263" s="222"/>
      <c r="F263" s="224" t="s">
        <v>1150</v>
      </c>
      <c r="G263" s="222"/>
      <c r="H263" s="222"/>
      <c r="I263" s="222"/>
    </row>
    <row r="264" spans="1:11" ht="7.9" customHeight="1"/>
    <row r="265" spans="1:11" ht="15" customHeight="1">
      <c r="F265" s="218" t="s">
        <v>996</v>
      </c>
    </row>
    <row r="266" spans="1:11" ht="20.100000000000001" customHeight="1">
      <c r="C266" s="567" t="s">
        <v>2419</v>
      </c>
    </row>
    <row r="267" spans="1:11" ht="15" customHeight="1" thickBot="1">
      <c r="A267" s="219" t="s">
        <v>1013</v>
      </c>
      <c r="K267" s="220" t="s">
        <v>336</v>
      </c>
    </row>
    <row r="268" spans="1:11" ht="18" customHeight="1" thickBot="1">
      <c r="A268" s="65" t="s">
        <v>337</v>
      </c>
      <c r="B268" s="66" t="s">
        <v>338</v>
      </c>
      <c r="C268" s="66" t="s">
        <v>337</v>
      </c>
      <c r="D268" s="66" t="s">
        <v>339</v>
      </c>
      <c r="E268" s="66" t="s">
        <v>1369</v>
      </c>
      <c r="F268" s="66" t="s">
        <v>997</v>
      </c>
      <c r="G268" s="66" t="s">
        <v>998</v>
      </c>
      <c r="H268" s="66" t="s">
        <v>340</v>
      </c>
      <c r="I268" s="66" t="s">
        <v>1370</v>
      </c>
      <c r="J268" s="66" t="s">
        <v>1371</v>
      </c>
      <c r="K268" s="67" t="s">
        <v>331</v>
      </c>
    </row>
    <row r="269" spans="1:11" ht="18" customHeight="1">
      <c r="A269" s="68" t="s">
        <v>808</v>
      </c>
      <c r="B269" s="70" t="s">
        <v>19</v>
      </c>
      <c r="C269" s="70" t="s">
        <v>90</v>
      </c>
      <c r="D269" s="69" t="s">
        <v>447</v>
      </c>
      <c r="E269" s="71">
        <v>-3466033056</v>
      </c>
      <c r="F269" s="71">
        <v>-101278486</v>
      </c>
      <c r="G269" s="71">
        <v>4482693599</v>
      </c>
      <c r="H269" s="71">
        <v>-8050005141</v>
      </c>
      <c r="I269" s="69" t="s">
        <v>90</v>
      </c>
      <c r="J269" s="69" t="s">
        <v>90</v>
      </c>
      <c r="K269" s="72" t="s">
        <v>90</v>
      </c>
    </row>
    <row r="270" spans="1:11" ht="18" customHeight="1">
      <c r="A270" s="68" t="s">
        <v>808</v>
      </c>
      <c r="B270" s="70" t="s">
        <v>19</v>
      </c>
      <c r="C270" s="70" t="s">
        <v>376</v>
      </c>
      <c r="D270" s="69" t="s">
        <v>377</v>
      </c>
      <c r="E270" s="71">
        <v>1132610</v>
      </c>
      <c r="F270" s="71">
        <v>512066</v>
      </c>
      <c r="G270" s="71"/>
      <c r="H270" s="71">
        <v>1644676</v>
      </c>
      <c r="I270" s="69" t="s">
        <v>1401</v>
      </c>
      <c r="J270" s="69" t="s">
        <v>90</v>
      </c>
      <c r="K270" s="72" t="s">
        <v>90</v>
      </c>
    </row>
    <row r="271" spans="1:11" ht="18" customHeight="1">
      <c r="A271" s="68" t="s">
        <v>808</v>
      </c>
      <c r="B271" s="70" t="s">
        <v>19</v>
      </c>
      <c r="C271" s="70" t="s">
        <v>486</v>
      </c>
      <c r="D271" s="69" t="s">
        <v>487</v>
      </c>
      <c r="E271" s="71">
        <v>35147</v>
      </c>
      <c r="F271" s="71">
        <v>128278</v>
      </c>
      <c r="G271" s="71"/>
      <c r="H271" s="71">
        <v>163425</v>
      </c>
      <c r="I271" s="69" t="s">
        <v>1564</v>
      </c>
      <c r="J271" s="69" t="s">
        <v>90</v>
      </c>
      <c r="K271" s="72" t="s">
        <v>90</v>
      </c>
    </row>
    <row r="272" spans="1:11" ht="18" customHeight="1">
      <c r="A272" s="68" t="s">
        <v>808</v>
      </c>
      <c r="B272" s="70" t="s">
        <v>19</v>
      </c>
      <c r="C272" s="70" t="s">
        <v>488</v>
      </c>
      <c r="D272" s="69" t="s">
        <v>489</v>
      </c>
      <c r="E272" s="71">
        <v>666304</v>
      </c>
      <c r="F272" s="71">
        <v>183839</v>
      </c>
      <c r="G272" s="71"/>
      <c r="H272" s="71">
        <v>850143</v>
      </c>
      <c r="I272" s="69" t="s">
        <v>1565</v>
      </c>
      <c r="J272" s="69" t="s">
        <v>90</v>
      </c>
      <c r="K272" s="72" t="s">
        <v>90</v>
      </c>
    </row>
    <row r="273" spans="1:11" ht="18" customHeight="1">
      <c r="A273" s="68" t="s">
        <v>808</v>
      </c>
      <c r="B273" s="70" t="s">
        <v>19</v>
      </c>
      <c r="C273" s="70" t="s">
        <v>490</v>
      </c>
      <c r="D273" s="69" t="s">
        <v>491</v>
      </c>
      <c r="E273" s="71">
        <v>26132</v>
      </c>
      <c r="F273" s="71">
        <v>386437</v>
      </c>
      <c r="G273" s="71"/>
      <c r="H273" s="71">
        <v>412569</v>
      </c>
      <c r="I273" s="69" t="s">
        <v>1566</v>
      </c>
      <c r="J273" s="69" t="s">
        <v>90</v>
      </c>
      <c r="K273" s="72" t="s">
        <v>90</v>
      </c>
    </row>
    <row r="274" spans="1:11" ht="18" customHeight="1">
      <c r="A274" s="68" t="s">
        <v>808</v>
      </c>
      <c r="B274" s="70" t="s">
        <v>19</v>
      </c>
      <c r="C274" s="70" t="s">
        <v>494</v>
      </c>
      <c r="D274" s="69" t="s">
        <v>495</v>
      </c>
      <c r="E274" s="71">
        <v>68182</v>
      </c>
      <c r="F274" s="71">
        <v>32910</v>
      </c>
      <c r="G274" s="71"/>
      <c r="H274" s="71">
        <v>101092</v>
      </c>
      <c r="I274" s="69" t="s">
        <v>1567</v>
      </c>
      <c r="J274" s="69" t="s">
        <v>90</v>
      </c>
      <c r="K274" s="72" t="s">
        <v>90</v>
      </c>
    </row>
    <row r="275" spans="1:11" ht="18" customHeight="1">
      <c r="A275" s="68" t="s">
        <v>808</v>
      </c>
      <c r="B275" s="70" t="s">
        <v>19</v>
      </c>
      <c r="C275" s="70" t="s">
        <v>406</v>
      </c>
      <c r="D275" s="69" t="s">
        <v>407</v>
      </c>
      <c r="E275" s="71"/>
      <c r="F275" s="71">
        <v>18273</v>
      </c>
      <c r="G275" s="71"/>
      <c r="H275" s="71">
        <v>18273</v>
      </c>
      <c r="I275" s="69" t="s">
        <v>1417</v>
      </c>
      <c r="J275" s="69" t="s">
        <v>90</v>
      </c>
      <c r="K275" s="72" t="s">
        <v>90</v>
      </c>
    </row>
    <row r="276" spans="1:11" ht="18" customHeight="1" thickBot="1">
      <c r="A276" s="73" t="s">
        <v>808</v>
      </c>
      <c r="B276" s="75" t="s">
        <v>19</v>
      </c>
      <c r="C276" s="75" t="s">
        <v>504</v>
      </c>
      <c r="D276" s="74" t="s">
        <v>505</v>
      </c>
      <c r="E276" s="76"/>
      <c r="F276" s="76">
        <v>135003</v>
      </c>
      <c r="G276" s="76"/>
      <c r="H276" s="76">
        <v>135003</v>
      </c>
      <c r="I276" s="74" t="s">
        <v>1568</v>
      </c>
      <c r="J276" s="74" t="s">
        <v>90</v>
      </c>
      <c r="K276" s="77" t="s">
        <v>90</v>
      </c>
    </row>
    <row r="277" spans="1:11" ht="18" customHeight="1">
      <c r="A277" s="68" t="s">
        <v>808</v>
      </c>
      <c r="B277" s="70" t="s">
        <v>19</v>
      </c>
      <c r="C277" s="70" t="s">
        <v>506</v>
      </c>
      <c r="D277" s="69" t="s">
        <v>507</v>
      </c>
      <c r="E277" s="71"/>
      <c r="F277" s="71">
        <v>299525</v>
      </c>
      <c r="G277" s="71"/>
      <c r="H277" s="71">
        <v>299525</v>
      </c>
      <c r="I277" s="69" t="s">
        <v>1450</v>
      </c>
      <c r="J277" s="69" t="s">
        <v>90</v>
      </c>
      <c r="K277" s="72" t="s">
        <v>90</v>
      </c>
    </row>
    <row r="278" spans="1:11" ht="18" customHeight="1">
      <c r="A278" s="68" t="s">
        <v>808</v>
      </c>
      <c r="B278" s="70" t="s">
        <v>19</v>
      </c>
      <c r="C278" s="70" t="s">
        <v>516</v>
      </c>
      <c r="D278" s="69" t="s">
        <v>517</v>
      </c>
      <c r="E278" s="71">
        <v>4600</v>
      </c>
      <c r="F278" s="71"/>
      <c r="G278" s="71"/>
      <c r="H278" s="71">
        <v>4600</v>
      </c>
      <c r="I278" s="69" t="s">
        <v>1569</v>
      </c>
      <c r="J278" s="69" t="s">
        <v>90</v>
      </c>
      <c r="K278" s="72" t="s">
        <v>90</v>
      </c>
    </row>
    <row r="279" spans="1:11" ht="18" customHeight="1">
      <c r="A279" s="68" t="s">
        <v>808</v>
      </c>
      <c r="B279" s="70" t="s">
        <v>19</v>
      </c>
      <c r="C279" s="70" t="s">
        <v>519</v>
      </c>
      <c r="D279" s="69" t="s">
        <v>520</v>
      </c>
      <c r="E279" s="71"/>
      <c r="F279" s="71">
        <v>290000</v>
      </c>
      <c r="G279" s="71"/>
      <c r="H279" s="71">
        <v>290000</v>
      </c>
      <c r="I279" s="69" t="s">
        <v>1525</v>
      </c>
      <c r="J279" s="69" t="s">
        <v>90</v>
      </c>
      <c r="K279" s="72" t="s">
        <v>90</v>
      </c>
    </row>
    <row r="280" spans="1:11" ht="18" customHeight="1">
      <c r="A280" s="68" t="s">
        <v>808</v>
      </c>
      <c r="B280" s="70" t="s">
        <v>19</v>
      </c>
      <c r="C280" s="70" t="s">
        <v>529</v>
      </c>
      <c r="D280" s="69" t="s">
        <v>530</v>
      </c>
      <c r="E280" s="71">
        <v>2400</v>
      </c>
      <c r="F280" s="71"/>
      <c r="G280" s="71"/>
      <c r="H280" s="71">
        <v>2400</v>
      </c>
      <c r="I280" s="69" t="s">
        <v>1570</v>
      </c>
      <c r="J280" s="69" t="s">
        <v>90</v>
      </c>
      <c r="K280" s="72" t="s">
        <v>90</v>
      </c>
    </row>
    <row r="281" spans="1:11" ht="18" customHeight="1">
      <c r="A281" s="68" t="s">
        <v>808</v>
      </c>
      <c r="B281" s="70" t="s">
        <v>19</v>
      </c>
      <c r="C281" s="70" t="s">
        <v>537</v>
      </c>
      <c r="D281" s="69" t="s">
        <v>538</v>
      </c>
      <c r="E281" s="71"/>
      <c r="F281" s="71">
        <v>35800</v>
      </c>
      <c r="G281" s="71"/>
      <c r="H281" s="71">
        <v>35800</v>
      </c>
      <c r="I281" s="69" t="s">
        <v>1571</v>
      </c>
      <c r="J281" s="69" t="s">
        <v>90</v>
      </c>
      <c r="K281" s="72" t="s">
        <v>90</v>
      </c>
    </row>
    <row r="282" spans="1:11" ht="18" customHeight="1">
      <c r="A282" s="68" t="s">
        <v>808</v>
      </c>
      <c r="B282" s="70" t="s">
        <v>19</v>
      </c>
      <c r="C282" s="70" t="s">
        <v>552</v>
      </c>
      <c r="D282" s="69" t="s">
        <v>553</v>
      </c>
      <c r="E282" s="71">
        <v>1349270</v>
      </c>
      <c r="F282" s="71">
        <v>1654244</v>
      </c>
      <c r="G282" s="71"/>
      <c r="H282" s="71">
        <v>3003514</v>
      </c>
      <c r="I282" s="69" t="s">
        <v>1572</v>
      </c>
      <c r="J282" s="69" t="s">
        <v>90</v>
      </c>
      <c r="K282" s="72" t="s">
        <v>90</v>
      </c>
    </row>
    <row r="283" spans="1:11" ht="18" customHeight="1">
      <c r="A283" s="68" t="s">
        <v>808</v>
      </c>
      <c r="B283" s="70" t="s">
        <v>19</v>
      </c>
      <c r="C283" s="70" t="s">
        <v>556</v>
      </c>
      <c r="D283" s="69" t="s">
        <v>557</v>
      </c>
      <c r="E283" s="71"/>
      <c r="F283" s="71">
        <v>100547</v>
      </c>
      <c r="G283" s="71"/>
      <c r="H283" s="71">
        <v>100547</v>
      </c>
      <c r="I283" s="69" t="s">
        <v>1573</v>
      </c>
      <c r="J283" s="69" t="s">
        <v>90</v>
      </c>
      <c r="K283" s="72" t="s">
        <v>90</v>
      </c>
    </row>
    <row r="284" spans="1:11" ht="18" customHeight="1">
      <c r="A284" s="68" t="s">
        <v>808</v>
      </c>
      <c r="B284" s="70" t="s">
        <v>19</v>
      </c>
      <c r="C284" s="70" t="s">
        <v>558</v>
      </c>
      <c r="D284" s="69" t="s">
        <v>559</v>
      </c>
      <c r="E284" s="71"/>
      <c r="F284" s="71">
        <v>8934000</v>
      </c>
      <c r="G284" s="71"/>
      <c r="H284" s="71">
        <v>8934000</v>
      </c>
      <c r="I284" s="69" t="s">
        <v>1574</v>
      </c>
      <c r="J284" s="69" t="s">
        <v>90</v>
      </c>
      <c r="K284" s="72" t="s">
        <v>90</v>
      </c>
    </row>
    <row r="285" spans="1:11" ht="18" customHeight="1">
      <c r="A285" s="68" t="s">
        <v>808</v>
      </c>
      <c r="B285" s="70" t="s">
        <v>19</v>
      </c>
      <c r="C285" s="70" t="s">
        <v>1037</v>
      </c>
      <c r="D285" s="69" t="s">
        <v>1038</v>
      </c>
      <c r="E285" s="71"/>
      <c r="F285" s="71">
        <v>8643000</v>
      </c>
      <c r="G285" s="71"/>
      <c r="H285" s="71">
        <v>8643000</v>
      </c>
      <c r="I285" s="69" t="s">
        <v>1575</v>
      </c>
      <c r="J285" s="69" t="s">
        <v>90</v>
      </c>
      <c r="K285" s="72" t="s">
        <v>90</v>
      </c>
    </row>
    <row r="286" spans="1:11" ht="18" customHeight="1">
      <c r="A286" s="68" t="s">
        <v>808</v>
      </c>
      <c r="B286" s="70" t="s">
        <v>19</v>
      </c>
      <c r="C286" s="70" t="s">
        <v>1151</v>
      </c>
      <c r="D286" s="69" t="s">
        <v>1152</v>
      </c>
      <c r="E286" s="71"/>
      <c r="F286" s="71">
        <v>314410</v>
      </c>
      <c r="G286" s="71"/>
      <c r="H286" s="71">
        <v>314410</v>
      </c>
      <c r="I286" s="69" t="s">
        <v>1576</v>
      </c>
      <c r="J286" s="69" t="s">
        <v>90</v>
      </c>
      <c r="K286" s="72" t="s">
        <v>90</v>
      </c>
    </row>
    <row r="287" spans="1:11" ht="18" customHeight="1">
      <c r="A287" s="68" t="s">
        <v>808</v>
      </c>
      <c r="B287" s="70" t="s">
        <v>19</v>
      </c>
      <c r="C287" s="70" t="s">
        <v>568</v>
      </c>
      <c r="D287" s="69" t="s">
        <v>569</v>
      </c>
      <c r="E287" s="71">
        <v>290953640</v>
      </c>
      <c r="F287" s="71">
        <v>340450620</v>
      </c>
      <c r="G287" s="71"/>
      <c r="H287" s="71">
        <v>631404260</v>
      </c>
      <c r="I287" s="69" t="s">
        <v>1577</v>
      </c>
      <c r="J287" s="69" t="s">
        <v>90</v>
      </c>
      <c r="K287" s="72" t="s">
        <v>90</v>
      </c>
    </row>
    <row r="288" spans="1:11" ht="18" customHeight="1">
      <c r="A288" s="68" t="s">
        <v>808</v>
      </c>
      <c r="B288" s="70" t="s">
        <v>19</v>
      </c>
      <c r="C288" s="70" t="s">
        <v>1039</v>
      </c>
      <c r="D288" s="69" t="s">
        <v>1040</v>
      </c>
      <c r="E288" s="71"/>
      <c r="F288" s="71">
        <v>9728</v>
      </c>
      <c r="G288" s="71"/>
      <c r="H288" s="71">
        <v>9728</v>
      </c>
      <c r="I288" s="69" t="s">
        <v>1578</v>
      </c>
      <c r="J288" s="69" t="s">
        <v>90</v>
      </c>
      <c r="K288" s="72" t="s">
        <v>90</v>
      </c>
    </row>
    <row r="289" spans="1:11" ht="18" customHeight="1">
      <c r="A289" s="68" t="s">
        <v>808</v>
      </c>
      <c r="B289" s="70" t="s">
        <v>19</v>
      </c>
      <c r="C289" s="70" t="s">
        <v>582</v>
      </c>
      <c r="D289" s="69" t="s">
        <v>583</v>
      </c>
      <c r="E289" s="71">
        <v>111819</v>
      </c>
      <c r="F289" s="71">
        <v>1443571</v>
      </c>
      <c r="G289" s="71"/>
      <c r="H289" s="71">
        <v>1555390</v>
      </c>
      <c r="I289" s="69" t="s">
        <v>1579</v>
      </c>
      <c r="J289" s="69" t="s">
        <v>90</v>
      </c>
      <c r="K289" s="72" t="s">
        <v>90</v>
      </c>
    </row>
    <row r="290" spans="1:11" ht="18" customHeight="1">
      <c r="A290" s="68" t="s">
        <v>808</v>
      </c>
      <c r="B290" s="70" t="s">
        <v>19</v>
      </c>
      <c r="C290" s="70" t="s">
        <v>584</v>
      </c>
      <c r="D290" s="69" t="s">
        <v>585</v>
      </c>
      <c r="E290" s="71">
        <v>34728</v>
      </c>
      <c r="F290" s="71"/>
      <c r="G290" s="71"/>
      <c r="H290" s="71">
        <v>34728</v>
      </c>
      <c r="I290" s="69" t="s">
        <v>1580</v>
      </c>
      <c r="J290" s="69" t="s">
        <v>90</v>
      </c>
      <c r="K290" s="72" t="s">
        <v>90</v>
      </c>
    </row>
    <row r="291" spans="1:11" ht="18" customHeight="1">
      <c r="A291" s="68" t="s">
        <v>808</v>
      </c>
      <c r="B291" s="70" t="s">
        <v>19</v>
      </c>
      <c r="C291" s="70" t="s">
        <v>594</v>
      </c>
      <c r="D291" s="69" t="s">
        <v>595</v>
      </c>
      <c r="E291" s="71"/>
      <c r="F291" s="71">
        <v>8274</v>
      </c>
      <c r="G291" s="71"/>
      <c r="H291" s="71">
        <v>8274</v>
      </c>
      <c r="I291" s="69" t="s">
        <v>1581</v>
      </c>
      <c r="J291" s="69" t="s">
        <v>90</v>
      </c>
      <c r="K291" s="72" t="s">
        <v>90</v>
      </c>
    </row>
    <row r="292" spans="1:11" ht="18" customHeight="1">
      <c r="A292" s="68" t="s">
        <v>808</v>
      </c>
      <c r="B292" s="70" t="s">
        <v>19</v>
      </c>
      <c r="C292" s="70" t="s">
        <v>809</v>
      </c>
      <c r="D292" s="69" t="s">
        <v>810</v>
      </c>
      <c r="E292" s="71">
        <v>3637</v>
      </c>
      <c r="F292" s="71"/>
      <c r="G292" s="71"/>
      <c r="H292" s="71">
        <v>3637</v>
      </c>
      <c r="I292" s="69" t="s">
        <v>1582</v>
      </c>
      <c r="J292" s="69" t="s">
        <v>90</v>
      </c>
      <c r="K292" s="72" t="s">
        <v>90</v>
      </c>
    </row>
    <row r="293" spans="1:11" ht="18" customHeight="1">
      <c r="A293" s="68" t="s">
        <v>808</v>
      </c>
      <c r="B293" s="70" t="s">
        <v>19</v>
      </c>
      <c r="C293" s="70" t="s">
        <v>608</v>
      </c>
      <c r="D293" s="69" t="s">
        <v>609</v>
      </c>
      <c r="E293" s="71">
        <v>204546080</v>
      </c>
      <c r="F293" s="71">
        <v>155372160</v>
      </c>
      <c r="G293" s="71"/>
      <c r="H293" s="71">
        <v>359918240</v>
      </c>
      <c r="I293" s="69" t="s">
        <v>1583</v>
      </c>
      <c r="J293" s="69" t="s">
        <v>90</v>
      </c>
      <c r="K293" s="72" t="s">
        <v>90</v>
      </c>
    </row>
    <row r="294" spans="1:11" ht="18" customHeight="1">
      <c r="A294" s="68" t="s">
        <v>808</v>
      </c>
      <c r="B294" s="70" t="s">
        <v>19</v>
      </c>
      <c r="C294" s="70" t="s">
        <v>612</v>
      </c>
      <c r="D294" s="69" t="s">
        <v>613</v>
      </c>
      <c r="E294" s="71">
        <v>228786232</v>
      </c>
      <c r="F294" s="71">
        <v>105131482</v>
      </c>
      <c r="G294" s="71"/>
      <c r="H294" s="71">
        <v>333917714</v>
      </c>
      <c r="I294" s="69" t="s">
        <v>1584</v>
      </c>
      <c r="J294" s="69" t="s">
        <v>90</v>
      </c>
      <c r="K294" s="72" t="s">
        <v>90</v>
      </c>
    </row>
    <row r="295" spans="1:11" ht="18" customHeight="1">
      <c r="A295" s="68" t="s">
        <v>808</v>
      </c>
      <c r="B295" s="70" t="s">
        <v>19</v>
      </c>
      <c r="C295" s="70" t="s">
        <v>614</v>
      </c>
      <c r="D295" s="69" t="s">
        <v>615</v>
      </c>
      <c r="E295" s="71">
        <v>637779385</v>
      </c>
      <c r="F295" s="71">
        <v>665092169</v>
      </c>
      <c r="G295" s="71"/>
      <c r="H295" s="71">
        <v>1302871554</v>
      </c>
      <c r="I295" s="69" t="s">
        <v>1585</v>
      </c>
      <c r="J295" s="69" t="s">
        <v>90</v>
      </c>
      <c r="K295" s="72" t="s">
        <v>90</v>
      </c>
    </row>
    <row r="296" spans="1:11" ht="18" customHeight="1">
      <c r="A296" s="68" t="s">
        <v>808</v>
      </c>
      <c r="B296" s="70" t="s">
        <v>19</v>
      </c>
      <c r="C296" s="70" t="s">
        <v>618</v>
      </c>
      <c r="D296" s="69" t="s">
        <v>619</v>
      </c>
      <c r="E296" s="71">
        <v>259322330</v>
      </c>
      <c r="F296" s="71">
        <v>110767440</v>
      </c>
      <c r="G296" s="71"/>
      <c r="H296" s="71">
        <v>370089770</v>
      </c>
      <c r="I296" s="69" t="s">
        <v>1586</v>
      </c>
      <c r="J296" s="69" t="s">
        <v>90</v>
      </c>
      <c r="K296" s="72" t="s">
        <v>90</v>
      </c>
    </row>
    <row r="297" spans="1:11" ht="18" customHeight="1">
      <c r="A297" s="68" t="s">
        <v>808</v>
      </c>
      <c r="B297" s="70" t="s">
        <v>19</v>
      </c>
      <c r="C297" s="70" t="s">
        <v>811</v>
      </c>
      <c r="D297" s="69" t="s">
        <v>812</v>
      </c>
      <c r="E297" s="71">
        <v>199950</v>
      </c>
      <c r="F297" s="71"/>
      <c r="G297" s="71"/>
      <c r="H297" s="71">
        <v>199950</v>
      </c>
      <c r="I297" s="69" t="s">
        <v>1587</v>
      </c>
      <c r="J297" s="69" t="s">
        <v>90</v>
      </c>
      <c r="K297" s="72" t="s">
        <v>90</v>
      </c>
    </row>
    <row r="298" spans="1:11" ht="18" customHeight="1">
      <c r="A298" s="68" t="s">
        <v>808</v>
      </c>
      <c r="B298" s="70" t="s">
        <v>19</v>
      </c>
      <c r="C298" s="70" t="s">
        <v>1153</v>
      </c>
      <c r="D298" s="69" t="s">
        <v>1154</v>
      </c>
      <c r="E298" s="71"/>
      <c r="F298" s="71">
        <v>1996000</v>
      </c>
      <c r="G298" s="71"/>
      <c r="H298" s="71">
        <v>1996000</v>
      </c>
      <c r="I298" s="69" t="s">
        <v>1588</v>
      </c>
      <c r="J298" s="69" t="s">
        <v>90</v>
      </c>
      <c r="K298" s="72" t="s">
        <v>90</v>
      </c>
    </row>
    <row r="299" spans="1:11" ht="18" customHeight="1">
      <c r="A299" s="68" t="s">
        <v>808</v>
      </c>
      <c r="B299" s="70" t="s">
        <v>19</v>
      </c>
      <c r="C299" s="70" t="s">
        <v>620</v>
      </c>
      <c r="D299" s="69" t="s">
        <v>621</v>
      </c>
      <c r="E299" s="71">
        <v>30910</v>
      </c>
      <c r="F299" s="71">
        <v>73187</v>
      </c>
      <c r="G299" s="71"/>
      <c r="H299" s="71">
        <v>104097</v>
      </c>
      <c r="I299" s="69" t="s">
        <v>1589</v>
      </c>
      <c r="J299" s="69" t="s">
        <v>90</v>
      </c>
      <c r="K299" s="72" t="s">
        <v>90</v>
      </c>
    </row>
    <row r="300" spans="1:11" ht="18" customHeight="1">
      <c r="A300" s="68" t="s">
        <v>808</v>
      </c>
      <c r="B300" s="70" t="s">
        <v>19</v>
      </c>
      <c r="C300" s="70" t="s">
        <v>626</v>
      </c>
      <c r="D300" s="69" t="s">
        <v>627</v>
      </c>
      <c r="E300" s="71">
        <v>3064620</v>
      </c>
      <c r="F300" s="71"/>
      <c r="G300" s="71"/>
      <c r="H300" s="71">
        <v>3064620</v>
      </c>
      <c r="I300" s="69" t="s">
        <v>1590</v>
      </c>
      <c r="J300" s="69" t="s">
        <v>90</v>
      </c>
      <c r="K300" s="72" t="s">
        <v>90</v>
      </c>
    </row>
    <row r="301" spans="1:11" ht="18" customHeight="1">
      <c r="A301" s="68" t="s">
        <v>808</v>
      </c>
      <c r="B301" s="70" t="s">
        <v>19</v>
      </c>
      <c r="C301" s="70" t="s">
        <v>635</v>
      </c>
      <c r="D301" s="69" t="s">
        <v>636</v>
      </c>
      <c r="E301" s="71">
        <v>29881500</v>
      </c>
      <c r="F301" s="71">
        <v>19404000</v>
      </c>
      <c r="G301" s="71"/>
      <c r="H301" s="71">
        <v>49285500</v>
      </c>
      <c r="I301" s="69" t="s">
        <v>1591</v>
      </c>
      <c r="J301" s="69" t="s">
        <v>90</v>
      </c>
      <c r="K301" s="72" t="s">
        <v>90</v>
      </c>
    </row>
    <row r="302" spans="1:11" ht="18" customHeight="1">
      <c r="A302" s="68" t="s">
        <v>808</v>
      </c>
      <c r="B302" s="70" t="s">
        <v>19</v>
      </c>
      <c r="C302" s="70" t="s">
        <v>637</v>
      </c>
      <c r="D302" s="69" t="s">
        <v>638</v>
      </c>
      <c r="E302" s="71">
        <v>1344727</v>
      </c>
      <c r="F302" s="71">
        <v>1250000</v>
      </c>
      <c r="G302" s="71"/>
      <c r="H302" s="71">
        <v>2594727</v>
      </c>
      <c r="I302" s="69" t="s">
        <v>1592</v>
      </c>
      <c r="J302" s="69" t="s">
        <v>90</v>
      </c>
      <c r="K302" s="72" t="s">
        <v>90</v>
      </c>
    </row>
    <row r="303" spans="1:11" ht="18" customHeight="1">
      <c r="A303" s="68" t="s">
        <v>808</v>
      </c>
      <c r="B303" s="70" t="s">
        <v>19</v>
      </c>
      <c r="C303" s="70" t="s">
        <v>641</v>
      </c>
      <c r="D303" s="69" t="s">
        <v>642</v>
      </c>
      <c r="E303" s="71">
        <v>243000</v>
      </c>
      <c r="F303" s="71"/>
      <c r="G303" s="71"/>
      <c r="H303" s="71">
        <v>243000</v>
      </c>
      <c r="I303" s="69" t="s">
        <v>1593</v>
      </c>
      <c r="J303" s="69" t="s">
        <v>90</v>
      </c>
      <c r="K303" s="72" t="s">
        <v>90</v>
      </c>
    </row>
    <row r="304" spans="1:11" ht="18" customHeight="1">
      <c r="A304" s="68" t="s">
        <v>808</v>
      </c>
      <c r="B304" s="70" t="s">
        <v>19</v>
      </c>
      <c r="C304" s="70" t="s">
        <v>643</v>
      </c>
      <c r="D304" s="69" t="s">
        <v>644</v>
      </c>
      <c r="E304" s="71">
        <v>2410000</v>
      </c>
      <c r="F304" s="71"/>
      <c r="G304" s="71"/>
      <c r="H304" s="71">
        <v>2410000</v>
      </c>
      <c r="I304" s="69" t="s">
        <v>1594</v>
      </c>
      <c r="J304" s="69" t="s">
        <v>90</v>
      </c>
      <c r="K304" s="72" t="s">
        <v>90</v>
      </c>
    </row>
    <row r="305" spans="1:11" ht="18" customHeight="1">
      <c r="A305" s="68" t="s">
        <v>808</v>
      </c>
      <c r="B305" s="70" t="s">
        <v>19</v>
      </c>
      <c r="C305" s="70" t="s">
        <v>645</v>
      </c>
      <c r="D305" s="69" t="s">
        <v>646</v>
      </c>
      <c r="E305" s="71">
        <v>40693290</v>
      </c>
      <c r="F305" s="71">
        <v>63015319</v>
      </c>
      <c r="G305" s="71"/>
      <c r="H305" s="71">
        <v>103708609</v>
      </c>
      <c r="I305" s="69" t="s">
        <v>1595</v>
      </c>
      <c r="J305" s="69" t="s">
        <v>90</v>
      </c>
      <c r="K305" s="72" t="s">
        <v>90</v>
      </c>
    </row>
    <row r="306" spans="1:11" ht="18" customHeight="1">
      <c r="A306" s="68" t="s">
        <v>808</v>
      </c>
      <c r="B306" s="70" t="s">
        <v>19</v>
      </c>
      <c r="C306" s="70" t="s">
        <v>647</v>
      </c>
      <c r="D306" s="69" t="s">
        <v>648</v>
      </c>
      <c r="E306" s="71">
        <v>89103743</v>
      </c>
      <c r="F306" s="71">
        <v>123797322</v>
      </c>
      <c r="G306" s="71"/>
      <c r="H306" s="71">
        <v>212901065</v>
      </c>
      <c r="I306" s="69" t="s">
        <v>1596</v>
      </c>
      <c r="J306" s="69" t="s">
        <v>90</v>
      </c>
      <c r="K306" s="72" t="s">
        <v>90</v>
      </c>
    </row>
    <row r="307" spans="1:11" ht="18" customHeight="1">
      <c r="A307" s="68" t="s">
        <v>808</v>
      </c>
      <c r="B307" s="70" t="s">
        <v>19</v>
      </c>
      <c r="C307" s="70" t="s">
        <v>649</v>
      </c>
      <c r="D307" s="69" t="s">
        <v>650</v>
      </c>
      <c r="E307" s="71">
        <v>259200</v>
      </c>
      <c r="F307" s="71"/>
      <c r="G307" s="71"/>
      <c r="H307" s="71">
        <v>259200</v>
      </c>
      <c r="I307" s="69" t="s">
        <v>1597</v>
      </c>
      <c r="J307" s="69" t="s">
        <v>90</v>
      </c>
      <c r="K307" s="72" t="s">
        <v>90</v>
      </c>
    </row>
    <row r="308" spans="1:11" ht="18" customHeight="1">
      <c r="A308" s="68" t="s">
        <v>808</v>
      </c>
      <c r="B308" s="70" t="s">
        <v>19</v>
      </c>
      <c r="C308" s="70" t="s">
        <v>651</v>
      </c>
      <c r="D308" s="69" t="s">
        <v>652</v>
      </c>
      <c r="E308" s="71">
        <v>17883766</v>
      </c>
      <c r="F308" s="71"/>
      <c r="G308" s="71"/>
      <c r="H308" s="71">
        <v>17883766</v>
      </c>
      <c r="I308" s="69" t="s">
        <v>1598</v>
      </c>
      <c r="J308" s="69" t="s">
        <v>90</v>
      </c>
      <c r="K308" s="72" t="s">
        <v>90</v>
      </c>
    </row>
    <row r="309" spans="1:11" ht="18" customHeight="1">
      <c r="A309" s="68" t="s">
        <v>808</v>
      </c>
      <c r="B309" s="70" t="s">
        <v>19</v>
      </c>
      <c r="C309" s="70" t="s">
        <v>653</v>
      </c>
      <c r="D309" s="69" t="s">
        <v>654</v>
      </c>
      <c r="E309" s="71">
        <v>63286211</v>
      </c>
      <c r="F309" s="71">
        <v>40952501</v>
      </c>
      <c r="G309" s="71"/>
      <c r="H309" s="71">
        <v>104238712</v>
      </c>
      <c r="I309" s="69" t="s">
        <v>1599</v>
      </c>
      <c r="J309" s="69" t="s">
        <v>90</v>
      </c>
      <c r="K309" s="72" t="s">
        <v>90</v>
      </c>
    </row>
    <row r="310" spans="1:11" ht="18" customHeight="1">
      <c r="A310" s="68" t="s">
        <v>808</v>
      </c>
      <c r="B310" s="70" t="s">
        <v>19</v>
      </c>
      <c r="C310" s="70" t="s">
        <v>813</v>
      </c>
      <c r="D310" s="69" t="s">
        <v>814</v>
      </c>
      <c r="E310" s="71">
        <v>13626775</v>
      </c>
      <c r="F310" s="71"/>
      <c r="G310" s="71"/>
      <c r="H310" s="71">
        <v>13626775</v>
      </c>
      <c r="I310" s="69" t="s">
        <v>1600</v>
      </c>
      <c r="J310" s="69" t="s">
        <v>90</v>
      </c>
      <c r="K310" s="72" t="s">
        <v>90</v>
      </c>
    </row>
    <row r="311" spans="1:11" ht="18" customHeight="1">
      <c r="A311" s="68" t="s">
        <v>808</v>
      </c>
      <c r="B311" s="70" t="s">
        <v>19</v>
      </c>
      <c r="C311" s="70" t="s">
        <v>655</v>
      </c>
      <c r="D311" s="69" t="s">
        <v>656</v>
      </c>
      <c r="E311" s="71">
        <v>31500000</v>
      </c>
      <c r="F311" s="71">
        <v>5600000</v>
      </c>
      <c r="G311" s="71"/>
      <c r="H311" s="71">
        <v>37100000</v>
      </c>
      <c r="I311" s="69" t="s">
        <v>1502</v>
      </c>
      <c r="J311" s="69" t="s">
        <v>90</v>
      </c>
      <c r="K311" s="72" t="s">
        <v>90</v>
      </c>
    </row>
    <row r="312" spans="1:11" ht="18" customHeight="1">
      <c r="A312" s="68" t="s">
        <v>808</v>
      </c>
      <c r="B312" s="70" t="s">
        <v>19</v>
      </c>
      <c r="C312" s="70" t="s">
        <v>657</v>
      </c>
      <c r="D312" s="69" t="s">
        <v>658</v>
      </c>
      <c r="E312" s="71">
        <v>581356690</v>
      </c>
      <c r="F312" s="71">
        <v>205128657</v>
      </c>
      <c r="G312" s="71"/>
      <c r="H312" s="71">
        <v>786485347</v>
      </c>
      <c r="I312" s="69" t="s">
        <v>1601</v>
      </c>
      <c r="J312" s="69" t="s">
        <v>90</v>
      </c>
      <c r="K312" s="72" t="s">
        <v>90</v>
      </c>
    </row>
    <row r="313" spans="1:11" ht="18" customHeight="1" thickBot="1">
      <c r="A313" s="73" t="s">
        <v>808</v>
      </c>
      <c r="B313" s="75" t="s">
        <v>19</v>
      </c>
      <c r="C313" s="75" t="s">
        <v>659</v>
      </c>
      <c r="D313" s="74" t="s">
        <v>660</v>
      </c>
      <c r="E313" s="76">
        <v>72622269</v>
      </c>
      <c r="F313" s="76">
        <v>247720912</v>
      </c>
      <c r="G313" s="76"/>
      <c r="H313" s="76">
        <v>320343181</v>
      </c>
      <c r="I313" s="74" t="s">
        <v>1602</v>
      </c>
      <c r="J313" s="74" t="s">
        <v>90</v>
      </c>
      <c r="K313" s="77" t="s">
        <v>90</v>
      </c>
    </row>
    <row r="314" spans="1:11" ht="18" customHeight="1">
      <c r="A314" s="68" t="s">
        <v>808</v>
      </c>
      <c r="B314" s="70" t="s">
        <v>19</v>
      </c>
      <c r="C314" s="70" t="s">
        <v>815</v>
      </c>
      <c r="D314" s="69" t="s">
        <v>816</v>
      </c>
      <c r="E314" s="71">
        <v>51734400</v>
      </c>
      <c r="F314" s="71">
        <v>28456800</v>
      </c>
      <c r="G314" s="71"/>
      <c r="H314" s="71">
        <v>80191200</v>
      </c>
      <c r="I314" s="69" t="s">
        <v>1603</v>
      </c>
      <c r="J314" s="69" t="s">
        <v>90</v>
      </c>
      <c r="K314" s="72" t="s">
        <v>90</v>
      </c>
    </row>
    <row r="315" spans="1:11" ht="18" customHeight="1">
      <c r="A315" s="68" t="s">
        <v>808</v>
      </c>
      <c r="B315" s="70" t="s">
        <v>19</v>
      </c>
      <c r="C315" s="70" t="s">
        <v>661</v>
      </c>
      <c r="D315" s="69" t="s">
        <v>662</v>
      </c>
      <c r="E315" s="71">
        <v>300289860</v>
      </c>
      <c r="F315" s="71">
        <v>22126840</v>
      </c>
      <c r="G315" s="71"/>
      <c r="H315" s="71">
        <v>322416700</v>
      </c>
      <c r="I315" s="69" t="s">
        <v>1604</v>
      </c>
      <c r="J315" s="69" t="s">
        <v>90</v>
      </c>
      <c r="K315" s="72" t="s">
        <v>90</v>
      </c>
    </row>
    <row r="316" spans="1:11" ht="18" customHeight="1">
      <c r="A316" s="68" t="s">
        <v>808</v>
      </c>
      <c r="B316" s="70" t="s">
        <v>19</v>
      </c>
      <c r="C316" s="70" t="s">
        <v>817</v>
      </c>
      <c r="D316" s="69" t="s">
        <v>818</v>
      </c>
      <c r="E316" s="71">
        <v>172272570</v>
      </c>
      <c r="F316" s="71"/>
      <c r="G316" s="71"/>
      <c r="H316" s="71">
        <v>172272570</v>
      </c>
      <c r="I316" s="69" t="s">
        <v>1605</v>
      </c>
      <c r="J316" s="69" t="s">
        <v>90</v>
      </c>
      <c r="K316" s="72" t="s">
        <v>90</v>
      </c>
    </row>
    <row r="317" spans="1:11" ht="18" customHeight="1">
      <c r="A317" s="68" t="s">
        <v>808</v>
      </c>
      <c r="B317" s="70" t="s">
        <v>19</v>
      </c>
      <c r="C317" s="70" t="s">
        <v>819</v>
      </c>
      <c r="D317" s="69" t="s">
        <v>820</v>
      </c>
      <c r="E317" s="71">
        <v>128184</v>
      </c>
      <c r="F317" s="71"/>
      <c r="G317" s="71"/>
      <c r="H317" s="71">
        <v>128184</v>
      </c>
      <c r="I317" s="69" t="s">
        <v>1606</v>
      </c>
      <c r="J317" s="69" t="s">
        <v>90</v>
      </c>
      <c r="K317" s="72" t="s">
        <v>90</v>
      </c>
    </row>
    <row r="318" spans="1:11" ht="18" customHeight="1">
      <c r="A318" s="68" t="s">
        <v>808</v>
      </c>
      <c r="B318" s="70" t="s">
        <v>19</v>
      </c>
      <c r="C318" s="70" t="s">
        <v>663</v>
      </c>
      <c r="D318" s="69" t="s">
        <v>664</v>
      </c>
      <c r="E318" s="71">
        <v>6208400</v>
      </c>
      <c r="F318" s="71"/>
      <c r="G318" s="71"/>
      <c r="H318" s="71">
        <v>6208400</v>
      </c>
      <c r="I318" s="69" t="s">
        <v>1607</v>
      </c>
      <c r="J318" s="69" t="s">
        <v>90</v>
      </c>
      <c r="K318" s="72" t="s">
        <v>90</v>
      </c>
    </row>
    <row r="319" spans="1:11" ht="18" customHeight="1">
      <c r="A319" s="68" t="s">
        <v>808</v>
      </c>
      <c r="B319" s="70" t="s">
        <v>19</v>
      </c>
      <c r="C319" s="70" t="s">
        <v>665</v>
      </c>
      <c r="D319" s="69" t="s">
        <v>666</v>
      </c>
      <c r="E319" s="71">
        <v>3091</v>
      </c>
      <c r="F319" s="71">
        <v>4001</v>
      </c>
      <c r="G319" s="71"/>
      <c r="H319" s="71">
        <v>7092</v>
      </c>
      <c r="I319" s="69" t="s">
        <v>1608</v>
      </c>
      <c r="J319" s="69" t="s">
        <v>90</v>
      </c>
      <c r="K319" s="72" t="s">
        <v>90</v>
      </c>
    </row>
    <row r="320" spans="1:11" ht="18" customHeight="1">
      <c r="A320" s="68" t="s">
        <v>808</v>
      </c>
      <c r="B320" s="70" t="s">
        <v>19</v>
      </c>
      <c r="C320" s="70" t="s">
        <v>668</v>
      </c>
      <c r="D320" s="69" t="s">
        <v>669</v>
      </c>
      <c r="E320" s="71">
        <v>14060637</v>
      </c>
      <c r="F320" s="71">
        <v>13609991</v>
      </c>
      <c r="G320" s="71"/>
      <c r="H320" s="71">
        <v>27670628</v>
      </c>
      <c r="I320" s="69" t="s">
        <v>1609</v>
      </c>
      <c r="J320" s="69" t="s">
        <v>90</v>
      </c>
      <c r="K320" s="72" t="s">
        <v>90</v>
      </c>
    </row>
    <row r="321" spans="1:11" ht="18" customHeight="1">
      <c r="A321" s="68" t="s">
        <v>808</v>
      </c>
      <c r="B321" s="70" t="s">
        <v>19</v>
      </c>
      <c r="C321" s="70" t="s">
        <v>468</v>
      </c>
      <c r="D321" s="69" t="s">
        <v>469</v>
      </c>
      <c r="E321" s="71">
        <v>1675080</v>
      </c>
      <c r="F321" s="71">
        <v>-261360</v>
      </c>
      <c r="G321" s="71"/>
      <c r="H321" s="71">
        <v>1413720</v>
      </c>
      <c r="I321" s="69" t="s">
        <v>1610</v>
      </c>
      <c r="J321" s="69" t="s">
        <v>90</v>
      </c>
      <c r="K321" s="72" t="s">
        <v>90</v>
      </c>
    </row>
    <row r="322" spans="1:11" ht="18" customHeight="1">
      <c r="A322" s="68" t="s">
        <v>808</v>
      </c>
      <c r="B322" s="70" t="s">
        <v>19</v>
      </c>
      <c r="C322" s="70" t="s">
        <v>674</v>
      </c>
      <c r="D322" s="69" t="s">
        <v>675</v>
      </c>
      <c r="E322" s="71">
        <v>561091</v>
      </c>
      <c r="F322" s="71"/>
      <c r="G322" s="71"/>
      <c r="H322" s="71">
        <v>561091</v>
      </c>
      <c r="I322" s="69" t="s">
        <v>1611</v>
      </c>
      <c r="J322" s="69" t="s">
        <v>90</v>
      </c>
      <c r="K322" s="72" t="s">
        <v>90</v>
      </c>
    </row>
    <row r="323" spans="1:11" ht="18" customHeight="1">
      <c r="A323" s="68" t="s">
        <v>808</v>
      </c>
      <c r="B323" s="70" t="s">
        <v>19</v>
      </c>
      <c r="C323" s="70" t="s">
        <v>678</v>
      </c>
      <c r="D323" s="69" t="s">
        <v>679</v>
      </c>
      <c r="E323" s="71">
        <v>29038800</v>
      </c>
      <c r="F323" s="71"/>
      <c r="G323" s="71"/>
      <c r="H323" s="71">
        <v>29038800</v>
      </c>
      <c r="I323" s="69" t="s">
        <v>1612</v>
      </c>
      <c r="J323" s="69" t="s">
        <v>90</v>
      </c>
      <c r="K323" s="72" t="s">
        <v>90</v>
      </c>
    </row>
    <row r="324" spans="1:11" ht="18" customHeight="1">
      <c r="A324" s="68" t="s">
        <v>808</v>
      </c>
      <c r="B324" s="70" t="s">
        <v>19</v>
      </c>
      <c r="C324" s="70" t="s">
        <v>680</v>
      </c>
      <c r="D324" s="69" t="s">
        <v>681</v>
      </c>
      <c r="E324" s="71">
        <v>8020620</v>
      </c>
      <c r="F324" s="71">
        <v>4995000</v>
      </c>
      <c r="G324" s="71"/>
      <c r="H324" s="71">
        <v>13015620</v>
      </c>
      <c r="I324" s="69" t="s">
        <v>1613</v>
      </c>
      <c r="J324" s="69" t="s">
        <v>90</v>
      </c>
      <c r="K324" s="72" t="s">
        <v>90</v>
      </c>
    </row>
    <row r="325" spans="1:11" ht="18" customHeight="1">
      <c r="A325" s="68" t="s">
        <v>808</v>
      </c>
      <c r="B325" s="70" t="s">
        <v>19</v>
      </c>
      <c r="C325" s="70" t="s">
        <v>682</v>
      </c>
      <c r="D325" s="69" t="s">
        <v>683</v>
      </c>
      <c r="E325" s="71">
        <v>115200</v>
      </c>
      <c r="F325" s="71"/>
      <c r="G325" s="71"/>
      <c r="H325" s="71">
        <v>115200</v>
      </c>
      <c r="I325" s="69" t="s">
        <v>1614</v>
      </c>
      <c r="J325" s="69" t="s">
        <v>90</v>
      </c>
      <c r="K325" s="72" t="s">
        <v>90</v>
      </c>
    </row>
    <row r="326" spans="1:11" ht="18" customHeight="1">
      <c r="A326" s="68" t="s">
        <v>808</v>
      </c>
      <c r="B326" s="70" t="s">
        <v>19</v>
      </c>
      <c r="C326" s="70" t="s">
        <v>684</v>
      </c>
      <c r="D326" s="69" t="s">
        <v>685</v>
      </c>
      <c r="E326" s="71">
        <v>4050000</v>
      </c>
      <c r="F326" s="71"/>
      <c r="G326" s="71"/>
      <c r="H326" s="71">
        <v>4050000</v>
      </c>
      <c r="I326" s="69" t="s">
        <v>1615</v>
      </c>
      <c r="J326" s="69" t="s">
        <v>90</v>
      </c>
      <c r="K326" s="72" t="s">
        <v>90</v>
      </c>
    </row>
    <row r="327" spans="1:11" ht="18" customHeight="1">
      <c r="A327" s="68" t="s">
        <v>808</v>
      </c>
      <c r="B327" s="70" t="s">
        <v>19</v>
      </c>
      <c r="C327" s="70" t="s">
        <v>688</v>
      </c>
      <c r="D327" s="69" t="s">
        <v>689</v>
      </c>
      <c r="E327" s="71">
        <v>3600000</v>
      </c>
      <c r="F327" s="71"/>
      <c r="G327" s="71"/>
      <c r="H327" s="71">
        <v>3600000</v>
      </c>
      <c r="I327" s="69" t="s">
        <v>1616</v>
      </c>
      <c r="J327" s="69" t="s">
        <v>90</v>
      </c>
      <c r="K327" s="72" t="s">
        <v>90</v>
      </c>
    </row>
    <row r="328" spans="1:11" ht="18" customHeight="1">
      <c r="A328" s="68" t="s">
        <v>808</v>
      </c>
      <c r="B328" s="70" t="s">
        <v>19</v>
      </c>
      <c r="C328" s="70" t="s">
        <v>719</v>
      </c>
      <c r="D328" s="69" t="s">
        <v>720</v>
      </c>
      <c r="E328" s="71">
        <v>10933000</v>
      </c>
      <c r="F328" s="71">
        <v>29730000</v>
      </c>
      <c r="G328" s="71"/>
      <c r="H328" s="71">
        <v>40663000</v>
      </c>
      <c r="I328" s="69" t="s">
        <v>1617</v>
      </c>
      <c r="J328" s="69" t="s">
        <v>90</v>
      </c>
      <c r="K328" s="72" t="s">
        <v>90</v>
      </c>
    </row>
    <row r="329" spans="1:11" ht="18" customHeight="1">
      <c r="A329" s="68" t="s">
        <v>808</v>
      </c>
      <c r="B329" s="70" t="s">
        <v>19</v>
      </c>
      <c r="C329" s="70" t="s">
        <v>721</v>
      </c>
      <c r="D329" s="69" t="s">
        <v>722</v>
      </c>
      <c r="E329" s="71">
        <v>14891</v>
      </c>
      <c r="F329" s="71"/>
      <c r="G329" s="71"/>
      <c r="H329" s="71">
        <v>14891</v>
      </c>
      <c r="I329" s="69" t="s">
        <v>1618</v>
      </c>
      <c r="J329" s="69" t="s">
        <v>90</v>
      </c>
      <c r="K329" s="72" t="s">
        <v>90</v>
      </c>
    </row>
    <row r="330" spans="1:11" ht="18" customHeight="1">
      <c r="A330" s="68" t="s">
        <v>808</v>
      </c>
      <c r="B330" s="70" t="s">
        <v>19</v>
      </c>
      <c r="C330" s="70" t="s">
        <v>723</v>
      </c>
      <c r="D330" s="69" t="s">
        <v>724</v>
      </c>
      <c r="E330" s="71">
        <v>22181</v>
      </c>
      <c r="F330" s="71"/>
      <c r="G330" s="71"/>
      <c r="H330" s="71">
        <v>22181</v>
      </c>
      <c r="I330" s="69" t="s">
        <v>1619</v>
      </c>
      <c r="J330" s="69" t="s">
        <v>90</v>
      </c>
      <c r="K330" s="72" t="s">
        <v>90</v>
      </c>
    </row>
    <row r="331" spans="1:11" ht="18" customHeight="1">
      <c r="A331" s="68" t="s">
        <v>808</v>
      </c>
      <c r="B331" s="70" t="s">
        <v>19</v>
      </c>
      <c r="C331" s="70" t="s">
        <v>725</v>
      </c>
      <c r="D331" s="69" t="s">
        <v>726</v>
      </c>
      <c r="E331" s="71">
        <v>242208269</v>
      </c>
      <c r="F331" s="71">
        <v>702600392</v>
      </c>
      <c r="G331" s="71"/>
      <c r="H331" s="71">
        <v>944808661</v>
      </c>
      <c r="I331" s="69" t="s">
        <v>1620</v>
      </c>
      <c r="J331" s="69" t="s">
        <v>90</v>
      </c>
      <c r="K331" s="72" t="s">
        <v>90</v>
      </c>
    </row>
    <row r="332" spans="1:11" ht="18" customHeight="1">
      <c r="A332" s="68" t="s">
        <v>808</v>
      </c>
      <c r="B332" s="70" t="s">
        <v>19</v>
      </c>
      <c r="C332" s="70" t="s">
        <v>727</v>
      </c>
      <c r="D332" s="69" t="s">
        <v>728</v>
      </c>
      <c r="E332" s="71">
        <v>2980800</v>
      </c>
      <c r="F332" s="71">
        <v>11971800</v>
      </c>
      <c r="G332" s="71"/>
      <c r="H332" s="71">
        <v>14952600</v>
      </c>
      <c r="I332" s="69" t="s">
        <v>1621</v>
      </c>
      <c r="J332" s="69" t="s">
        <v>90</v>
      </c>
      <c r="K332" s="72" t="s">
        <v>90</v>
      </c>
    </row>
    <row r="333" spans="1:11" ht="18" customHeight="1">
      <c r="A333" s="68" t="s">
        <v>808</v>
      </c>
      <c r="B333" s="70" t="s">
        <v>19</v>
      </c>
      <c r="C333" s="70" t="s">
        <v>729</v>
      </c>
      <c r="D333" s="69" t="s">
        <v>730</v>
      </c>
      <c r="E333" s="71">
        <v>408484</v>
      </c>
      <c r="F333" s="71">
        <v>173245</v>
      </c>
      <c r="G333" s="71"/>
      <c r="H333" s="71">
        <v>581729</v>
      </c>
      <c r="I333" s="69" t="s">
        <v>1622</v>
      </c>
      <c r="J333" s="69" t="s">
        <v>90</v>
      </c>
      <c r="K333" s="72" t="s">
        <v>90</v>
      </c>
    </row>
    <row r="334" spans="1:11" ht="18" customHeight="1">
      <c r="A334" s="68" t="s">
        <v>808</v>
      </c>
      <c r="B334" s="70" t="s">
        <v>19</v>
      </c>
      <c r="C334" s="70" t="s">
        <v>731</v>
      </c>
      <c r="D334" s="69" t="s">
        <v>732</v>
      </c>
      <c r="E334" s="71">
        <v>1295500</v>
      </c>
      <c r="F334" s="71">
        <v>1708000</v>
      </c>
      <c r="G334" s="71"/>
      <c r="H334" s="71">
        <v>3003500</v>
      </c>
      <c r="I334" s="69" t="s">
        <v>1623</v>
      </c>
      <c r="J334" s="69" t="s">
        <v>90</v>
      </c>
      <c r="K334" s="72" t="s">
        <v>90</v>
      </c>
    </row>
    <row r="335" spans="1:11" ht="18" customHeight="1">
      <c r="A335" s="68" t="s">
        <v>808</v>
      </c>
      <c r="B335" s="70" t="s">
        <v>19</v>
      </c>
      <c r="C335" s="70" t="s">
        <v>745</v>
      </c>
      <c r="D335" s="69" t="s">
        <v>746</v>
      </c>
      <c r="E335" s="71"/>
      <c r="F335" s="71">
        <v>15000</v>
      </c>
      <c r="G335" s="71"/>
      <c r="H335" s="71">
        <v>15000</v>
      </c>
      <c r="I335" s="69" t="s">
        <v>1624</v>
      </c>
      <c r="J335" s="69" t="s">
        <v>90</v>
      </c>
      <c r="K335" s="72" t="s">
        <v>90</v>
      </c>
    </row>
    <row r="336" spans="1:11" ht="18" customHeight="1">
      <c r="A336" s="68" t="s">
        <v>808</v>
      </c>
      <c r="B336" s="70" t="s">
        <v>19</v>
      </c>
      <c r="C336" s="70" t="s">
        <v>747</v>
      </c>
      <c r="D336" s="69" t="s">
        <v>748</v>
      </c>
      <c r="E336" s="71"/>
      <c r="F336" s="71">
        <v>47273</v>
      </c>
      <c r="G336" s="71"/>
      <c r="H336" s="71">
        <v>47273</v>
      </c>
      <c r="I336" s="69" t="s">
        <v>1625</v>
      </c>
      <c r="J336" s="69" t="s">
        <v>90</v>
      </c>
      <c r="K336" s="72" t="s">
        <v>90</v>
      </c>
    </row>
    <row r="337" spans="1:11" ht="18" customHeight="1">
      <c r="A337" s="68" t="s">
        <v>808</v>
      </c>
      <c r="B337" s="70" t="s">
        <v>19</v>
      </c>
      <c r="C337" s="70" t="s">
        <v>749</v>
      </c>
      <c r="D337" s="69" t="s">
        <v>750</v>
      </c>
      <c r="E337" s="71"/>
      <c r="F337" s="71">
        <v>16364</v>
      </c>
      <c r="G337" s="71"/>
      <c r="H337" s="71">
        <v>16364</v>
      </c>
      <c r="I337" s="69" t="s">
        <v>1626</v>
      </c>
      <c r="J337" s="69" t="s">
        <v>90</v>
      </c>
      <c r="K337" s="72" t="s">
        <v>90</v>
      </c>
    </row>
    <row r="338" spans="1:11" ht="18" customHeight="1">
      <c r="A338" s="68" t="s">
        <v>808</v>
      </c>
      <c r="B338" s="70" t="s">
        <v>19</v>
      </c>
      <c r="C338" s="70" t="s">
        <v>751</v>
      </c>
      <c r="D338" s="69" t="s">
        <v>752</v>
      </c>
      <c r="E338" s="71"/>
      <c r="F338" s="71">
        <v>281819</v>
      </c>
      <c r="G338" s="71"/>
      <c r="H338" s="71">
        <v>281819</v>
      </c>
      <c r="I338" s="69" t="s">
        <v>1627</v>
      </c>
      <c r="J338" s="69" t="s">
        <v>90</v>
      </c>
      <c r="K338" s="72" t="s">
        <v>90</v>
      </c>
    </row>
    <row r="339" spans="1:11" ht="18" customHeight="1">
      <c r="A339" s="68" t="s">
        <v>808</v>
      </c>
      <c r="B339" s="70" t="s">
        <v>19</v>
      </c>
      <c r="C339" s="70" t="s">
        <v>753</v>
      </c>
      <c r="D339" s="69" t="s">
        <v>754</v>
      </c>
      <c r="E339" s="71">
        <v>42546</v>
      </c>
      <c r="F339" s="71"/>
      <c r="G339" s="71"/>
      <c r="H339" s="71">
        <v>42546</v>
      </c>
      <c r="I339" s="69" t="s">
        <v>1628</v>
      </c>
      <c r="J339" s="69" t="s">
        <v>90</v>
      </c>
      <c r="K339" s="72" t="s">
        <v>90</v>
      </c>
    </row>
    <row r="340" spans="1:11" ht="18" customHeight="1">
      <c r="A340" s="68" t="s">
        <v>808</v>
      </c>
      <c r="B340" s="70" t="s">
        <v>19</v>
      </c>
      <c r="C340" s="70" t="s">
        <v>755</v>
      </c>
      <c r="D340" s="69" t="s">
        <v>756</v>
      </c>
      <c r="E340" s="71">
        <v>8327</v>
      </c>
      <c r="F340" s="71"/>
      <c r="G340" s="71"/>
      <c r="H340" s="71">
        <v>8327</v>
      </c>
      <c r="I340" s="69" t="s">
        <v>1629</v>
      </c>
      <c r="J340" s="69" t="s">
        <v>90</v>
      </c>
      <c r="K340" s="72" t="s">
        <v>90</v>
      </c>
    </row>
    <row r="341" spans="1:11" ht="18" customHeight="1">
      <c r="A341" s="68" t="s">
        <v>808</v>
      </c>
      <c r="B341" s="70" t="s">
        <v>19</v>
      </c>
      <c r="C341" s="70" t="s">
        <v>757</v>
      </c>
      <c r="D341" s="69" t="s">
        <v>758</v>
      </c>
      <c r="E341" s="71">
        <v>716400</v>
      </c>
      <c r="F341" s="71">
        <v>375000</v>
      </c>
      <c r="G341" s="71"/>
      <c r="H341" s="71">
        <v>1091400</v>
      </c>
      <c r="I341" s="69" t="s">
        <v>1630</v>
      </c>
      <c r="J341" s="69" t="s">
        <v>90</v>
      </c>
      <c r="K341" s="72" t="s">
        <v>90</v>
      </c>
    </row>
    <row r="342" spans="1:11" ht="18" customHeight="1">
      <c r="A342" s="68" t="s">
        <v>808</v>
      </c>
      <c r="B342" s="70" t="s">
        <v>19</v>
      </c>
      <c r="C342" s="70" t="s">
        <v>759</v>
      </c>
      <c r="D342" s="69" t="s">
        <v>760</v>
      </c>
      <c r="E342" s="71">
        <v>357100</v>
      </c>
      <c r="F342" s="71">
        <v>197824</v>
      </c>
      <c r="G342" s="71"/>
      <c r="H342" s="71">
        <v>554924</v>
      </c>
      <c r="I342" s="69" t="s">
        <v>1631</v>
      </c>
      <c r="J342" s="69" t="s">
        <v>90</v>
      </c>
      <c r="K342" s="72" t="s">
        <v>90</v>
      </c>
    </row>
    <row r="343" spans="1:11" ht="18" customHeight="1">
      <c r="A343" s="68" t="s">
        <v>808</v>
      </c>
      <c r="B343" s="70" t="s">
        <v>19</v>
      </c>
      <c r="C343" s="70" t="s">
        <v>761</v>
      </c>
      <c r="D343" s="69" t="s">
        <v>762</v>
      </c>
      <c r="E343" s="71">
        <v>1946000</v>
      </c>
      <c r="F343" s="71">
        <v>11812950</v>
      </c>
      <c r="G343" s="71"/>
      <c r="H343" s="71">
        <v>13758950</v>
      </c>
      <c r="I343" s="69" t="s">
        <v>1632</v>
      </c>
      <c r="J343" s="69" t="s">
        <v>90</v>
      </c>
      <c r="K343" s="72" t="s">
        <v>90</v>
      </c>
    </row>
    <row r="344" spans="1:11" ht="18" customHeight="1">
      <c r="A344" s="68" t="s">
        <v>808</v>
      </c>
      <c r="B344" s="70" t="s">
        <v>19</v>
      </c>
      <c r="C344" s="70" t="s">
        <v>763</v>
      </c>
      <c r="D344" s="69" t="s">
        <v>764</v>
      </c>
      <c r="E344" s="71">
        <v>55550</v>
      </c>
      <c r="F344" s="71"/>
      <c r="G344" s="71"/>
      <c r="H344" s="71">
        <v>55550</v>
      </c>
      <c r="I344" s="69" t="s">
        <v>1633</v>
      </c>
      <c r="J344" s="69" t="s">
        <v>90</v>
      </c>
      <c r="K344" s="72" t="s">
        <v>90</v>
      </c>
    </row>
    <row r="345" spans="1:11" ht="18" customHeight="1">
      <c r="A345" s="68" t="s">
        <v>808</v>
      </c>
      <c r="B345" s="70" t="s">
        <v>19</v>
      </c>
      <c r="C345" s="70" t="s">
        <v>765</v>
      </c>
      <c r="D345" s="69" t="s">
        <v>766</v>
      </c>
      <c r="E345" s="71">
        <v>147000</v>
      </c>
      <c r="F345" s="71">
        <v>1066909</v>
      </c>
      <c r="G345" s="71"/>
      <c r="H345" s="71">
        <v>1213909</v>
      </c>
      <c r="I345" s="69" t="s">
        <v>1634</v>
      </c>
      <c r="J345" s="69" t="s">
        <v>90</v>
      </c>
      <c r="K345" s="72" t="s">
        <v>90</v>
      </c>
    </row>
    <row r="346" spans="1:11" ht="18" customHeight="1">
      <c r="A346" s="68" t="s">
        <v>808</v>
      </c>
      <c r="B346" s="70" t="s">
        <v>19</v>
      </c>
      <c r="C346" s="70" t="s">
        <v>771</v>
      </c>
      <c r="D346" s="69" t="s">
        <v>772</v>
      </c>
      <c r="E346" s="71">
        <v>6314400</v>
      </c>
      <c r="F346" s="71"/>
      <c r="G346" s="71"/>
      <c r="H346" s="71">
        <v>6314400</v>
      </c>
      <c r="I346" s="69" t="s">
        <v>1635</v>
      </c>
      <c r="J346" s="69" t="s">
        <v>90</v>
      </c>
      <c r="K346" s="72" t="s">
        <v>90</v>
      </c>
    </row>
    <row r="347" spans="1:11" ht="18" customHeight="1">
      <c r="A347" s="68" t="s">
        <v>808</v>
      </c>
      <c r="B347" s="70" t="s">
        <v>19</v>
      </c>
      <c r="C347" s="70" t="s">
        <v>777</v>
      </c>
      <c r="D347" s="69" t="s">
        <v>778</v>
      </c>
      <c r="E347" s="71"/>
      <c r="F347" s="71">
        <v>3150000</v>
      </c>
      <c r="G347" s="71"/>
      <c r="H347" s="71">
        <v>3150000</v>
      </c>
      <c r="I347" s="69" t="s">
        <v>1636</v>
      </c>
      <c r="J347" s="69" t="s">
        <v>90</v>
      </c>
      <c r="K347" s="72" t="s">
        <v>90</v>
      </c>
    </row>
    <row r="348" spans="1:11" ht="18" customHeight="1">
      <c r="A348" s="68" t="s">
        <v>808</v>
      </c>
      <c r="B348" s="70" t="s">
        <v>19</v>
      </c>
      <c r="C348" s="70" t="s">
        <v>779</v>
      </c>
      <c r="D348" s="69" t="s">
        <v>780</v>
      </c>
      <c r="E348" s="71">
        <v>55000</v>
      </c>
      <c r="F348" s="71"/>
      <c r="G348" s="71"/>
      <c r="H348" s="71">
        <v>55000</v>
      </c>
      <c r="I348" s="69" t="s">
        <v>1637</v>
      </c>
      <c r="J348" s="69" t="s">
        <v>90</v>
      </c>
      <c r="K348" s="72" t="s">
        <v>90</v>
      </c>
    </row>
    <row r="349" spans="1:11" ht="18" customHeight="1">
      <c r="A349" s="68" t="s">
        <v>808</v>
      </c>
      <c r="B349" s="70" t="s">
        <v>19</v>
      </c>
      <c r="C349" s="70" t="s">
        <v>781</v>
      </c>
      <c r="D349" s="69" t="s">
        <v>782</v>
      </c>
      <c r="E349" s="71"/>
      <c r="F349" s="71">
        <v>5250000</v>
      </c>
      <c r="G349" s="71"/>
      <c r="H349" s="71">
        <v>5250000</v>
      </c>
      <c r="I349" s="69" t="s">
        <v>1638</v>
      </c>
      <c r="J349" s="69" t="s">
        <v>90</v>
      </c>
      <c r="K349" s="72" t="s">
        <v>90</v>
      </c>
    </row>
    <row r="350" spans="1:11" ht="18" customHeight="1" thickBot="1">
      <c r="A350" s="73" t="s">
        <v>808</v>
      </c>
      <c r="B350" s="75" t="s">
        <v>19</v>
      </c>
      <c r="C350" s="75" t="s">
        <v>783</v>
      </c>
      <c r="D350" s="74" t="s">
        <v>784</v>
      </c>
      <c r="E350" s="76">
        <v>488720</v>
      </c>
      <c r="F350" s="76"/>
      <c r="G350" s="76"/>
      <c r="H350" s="76">
        <v>488720</v>
      </c>
      <c r="I350" s="74" t="s">
        <v>1639</v>
      </c>
      <c r="J350" s="74" t="s">
        <v>90</v>
      </c>
      <c r="K350" s="77" t="s">
        <v>90</v>
      </c>
    </row>
    <row r="351" spans="1:11" ht="18" customHeight="1">
      <c r="A351" s="68" t="s">
        <v>808</v>
      </c>
      <c r="B351" s="70" t="s">
        <v>19</v>
      </c>
      <c r="C351" s="70" t="s">
        <v>785</v>
      </c>
      <c r="D351" s="69" t="s">
        <v>786</v>
      </c>
      <c r="E351" s="71">
        <v>370000</v>
      </c>
      <c r="F351" s="71"/>
      <c r="G351" s="71"/>
      <c r="H351" s="71">
        <v>370000</v>
      </c>
      <c r="I351" s="69" t="s">
        <v>1640</v>
      </c>
      <c r="J351" s="69" t="s">
        <v>90</v>
      </c>
      <c r="K351" s="72" t="s">
        <v>90</v>
      </c>
    </row>
    <row r="352" spans="1:11" ht="18" customHeight="1">
      <c r="A352" s="68" t="s">
        <v>808</v>
      </c>
      <c r="B352" s="70" t="s">
        <v>19</v>
      </c>
      <c r="C352" s="70" t="s">
        <v>787</v>
      </c>
      <c r="D352" s="69" t="s">
        <v>788</v>
      </c>
      <c r="E352" s="71">
        <v>556364</v>
      </c>
      <c r="F352" s="71"/>
      <c r="G352" s="71"/>
      <c r="H352" s="71">
        <v>556364</v>
      </c>
      <c r="I352" s="69" t="s">
        <v>1641</v>
      </c>
      <c r="J352" s="69" t="s">
        <v>90</v>
      </c>
      <c r="K352" s="72" t="s">
        <v>90</v>
      </c>
    </row>
    <row r="353" spans="1:11" ht="18" customHeight="1">
      <c r="A353" s="68" t="s">
        <v>808</v>
      </c>
      <c r="B353" s="70" t="s">
        <v>19</v>
      </c>
      <c r="C353" s="70" t="s">
        <v>789</v>
      </c>
      <c r="D353" s="69" t="s">
        <v>790</v>
      </c>
      <c r="E353" s="71">
        <v>45365000</v>
      </c>
      <c r="F353" s="71">
        <v>67014600</v>
      </c>
      <c r="G353" s="71"/>
      <c r="H353" s="71">
        <v>112379600</v>
      </c>
      <c r="I353" s="69" t="s">
        <v>1642</v>
      </c>
      <c r="J353" s="69" t="s">
        <v>90</v>
      </c>
      <c r="K353" s="72" t="s">
        <v>90</v>
      </c>
    </row>
    <row r="354" spans="1:11" ht="18" customHeight="1">
      <c r="A354" s="68" t="s">
        <v>808</v>
      </c>
      <c r="B354" s="70" t="s">
        <v>19</v>
      </c>
      <c r="C354" s="70" t="s">
        <v>791</v>
      </c>
      <c r="D354" s="69" t="s">
        <v>792</v>
      </c>
      <c r="E354" s="71">
        <v>2182</v>
      </c>
      <c r="F354" s="71"/>
      <c r="G354" s="71"/>
      <c r="H354" s="71">
        <v>2182</v>
      </c>
      <c r="I354" s="69" t="s">
        <v>1643</v>
      </c>
      <c r="J354" s="69" t="s">
        <v>90</v>
      </c>
      <c r="K354" s="72" t="s">
        <v>90</v>
      </c>
    </row>
    <row r="355" spans="1:11" ht="18" customHeight="1">
      <c r="A355" s="68" t="s">
        <v>808</v>
      </c>
      <c r="B355" s="70" t="s">
        <v>19</v>
      </c>
      <c r="C355" s="70" t="s">
        <v>793</v>
      </c>
      <c r="D355" s="69" t="s">
        <v>794</v>
      </c>
      <c r="E355" s="71">
        <v>154364</v>
      </c>
      <c r="F355" s="71"/>
      <c r="G355" s="71"/>
      <c r="H355" s="71">
        <v>154364</v>
      </c>
      <c r="I355" s="69" t="s">
        <v>1644</v>
      </c>
      <c r="J355" s="69" t="s">
        <v>90</v>
      </c>
      <c r="K355" s="72" t="s">
        <v>90</v>
      </c>
    </row>
    <row r="356" spans="1:11" ht="18" customHeight="1">
      <c r="A356" s="68" t="s">
        <v>808</v>
      </c>
      <c r="B356" s="70" t="s">
        <v>19</v>
      </c>
      <c r="C356" s="70" t="s">
        <v>795</v>
      </c>
      <c r="D356" s="69" t="s">
        <v>796</v>
      </c>
      <c r="E356" s="71">
        <v>9500</v>
      </c>
      <c r="F356" s="71"/>
      <c r="G356" s="71"/>
      <c r="H356" s="71">
        <v>9500</v>
      </c>
      <c r="I356" s="69" t="s">
        <v>1645</v>
      </c>
      <c r="J356" s="69" t="s">
        <v>90</v>
      </c>
      <c r="K356" s="72" t="s">
        <v>90</v>
      </c>
    </row>
    <row r="357" spans="1:11" ht="18" customHeight="1">
      <c r="A357" s="68" t="s">
        <v>808</v>
      </c>
      <c r="B357" s="70" t="s">
        <v>19</v>
      </c>
      <c r="C357" s="70" t="s">
        <v>797</v>
      </c>
      <c r="D357" s="69" t="s">
        <v>798</v>
      </c>
      <c r="E357" s="71">
        <v>39091</v>
      </c>
      <c r="F357" s="71"/>
      <c r="G357" s="71"/>
      <c r="H357" s="71">
        <v>39091</v>
      </c>
      <c r="I357" s="69" t="s">
        <v>1646</v>
      </c>
      <c r="J357" s="69" t="s">
        <v>90</v>
      </c>
      <c r="K357" s="72" t="s">
        <v>90</v>
      </c>
    </row>
    <row r="358" spans="1:11" ht="18" customHeight="1">
      <c r="A358" s="68" t="s">
        <v>808</v>
      </c>
      <c r="B358" s="70" t="s">
        <v>19</v>
      </c>
      <c r="C358" s="70" t="s">
        <v>799</v>
      </c>
      <c r="D358" s="69" t="s">
        <v>800</v>
      </c>
      <c r="E358" s="71"/>
      <c r="F358" s="71">
        <v>41000</v>
      </c>
      <c r="G358" s="71"/>
      <c r="H358" s="71">
        <v>41000</v>
      </c>
      <c r="I358" s="69" t="s">
        <v>1647</v>
      </c>
      <c r="J358" s="69" t="s">
        <v>90</v>
      </c>
      <c r="K358" s="72" t="s">
        <v>90</v>
      </c>
    </row>
    <row r="359" spans="1:11" ht="18" customHeight="1">
      <c r="A359" s="68" t="s">
        <v>808</v>
      </c>
      <c r="B359" s="70" t="s">
        <v>19</v>
      </c>
      <c r="C359" s="70" t="s">
        <v>801</v>
      </c>
      <c r="D359" s="69" t="s">
        <v>802</v>
      </c>
      <c r="E359" s="71">
        <v>96273</v>
      </c>
      <c r="F359" s="71"/>
      <c r="G359" s="71"/>
      <c r="H359" s="71">
        <v>96273</v>
      </c>
      <c r="I359" s="69" t="s">
        <v>1648</v>
      </c>
      <c r="J359" s="69" t="s">
        <v>90</v>
      </c>
      <c r="K359" s="72" t="s">
        <v>90</v>
      </c>
    </row>
    <row r="360" spans="1:11" ht="18" customHeight="1">
      <c r="A360" s="68" t="s">
        <v>808</v>
      </c>
      <c r="B360" s="70" t="s">
        <v>19</v>
      </c>
      <c r="C360" s="70" t="s">
        <v>803</v>
      </c>
      <c r="D360" s="69" t="s">
        <v>804</v>
      </c>
      <c r="E360" s="71">
        <v>40910</v>
      </c>
      <c r="F360" s="71">
        <v>60910</v>
      </c>
      <c r="G360" s="71"/>
      <c r="H360" s="71">
        <v>101820</v>
      </c>
      <c r="I360" s="69" t="s">
        <v>1649</v>
      </c>
      <c r="J360" s="69" t="s">
        <v>90</v>
      </c>
      <c r="K360" s="72" t="s">
        <v>90</v>
      </c>
    </row>
    <row r="361" spans="1:11" ht="18" customHeight="1">
      <c r="A361" s="68" t="s">
        <v>808</v>
      </c>
      <c r="B361" s="70" t="s">
        <v>19</v>
      </c>
      <c r="C361" s="70" t="s">
        <v>1041</v>
      </c>
      <c r="D361" s="69" t="s">
        <v>1042</v>
      </c>
      <c r="E361" s="71"/>
      <c r="F361" s="71">
        <v>30000</v>
      </c>
      <c r="G361" s="71"/>
      <c r="H361" s="71">
        <v>30000</v>
      </c>
      <c r="I361" s="69" t="s">
        <v>1650</v>
      </c>
      <c r="J361" s="69" t="s">
        <v>90</v>
      </c>
      <c r="K361" s="72" t="s">
        <v>90</v>
      </c>
    </row>
    <row r="362" spans="1:11" ht="18" customHeight="1">
      <c r="A362" s="68" t="s">
        <v>808</v>
      </c>
      <c r="B362" s="70" t="s">
        <v>19</v>
      </c>
      <c r="C362" s="70" t="s">
        <v>1045</v>
      </c>
      <c r="D362" s="69" t="s">
        <v>1046</v>
      </c>
      <c r="E362" s="71"/>
      <c r="F362" s="71">
        <v>72141086</v>
      </c>
      <c r="G362" s="71"/>
      <c r="H362" s="71">
        <v>72141086</v>
      </c>
      <c r="I362" s="69" t="s">
        <v>1651</v>
      </c>
      <c r="J362" s="69" t="s">
        <v>90</v>
      </c>
      <c r="K362" s="72" t="s">
        <v>90</v>
      </c>
    </row>
    <row r="363" spans="1:11" ht="18" customHeight="1">
      <c r="A363" s="68" t="s">
        <v>808</v>
      </c>
      <c r="B363" s="70" t="s">
        <v>19</v>
      </c>
      <c r="C363" s="70" t="s">
        <v>1049</v>
      </c>
      <c r="D363" s="69" t="s">
        <v>1050</v>
      </c>
      <c r="E363" s="71"/>
      <c r="F363" s="71">
        <v>202551319</v>
      </c>
      <c r="G363" s="71"/>
      <c r="H363" s="71">
        <v>202551319</v>
      </c>
      <c r="I363" s="69" t="s">
        <v>1506</v>
      </c>
      <c r="J363" s="69" t="s">
        <v>90</v>
      </c>
      <c r="K363" s="72" t="s">
        <v>90</v>
      </c>
    </row>
    <row r="364" spans="1:11" ht="18" customHeight="1">
      <c r="A364" s="68" t="s">
        <v>808</v>
      </c>
      <c r="B364" s="70" t="s">
        <v>19</v>
      </c>
      <c r="C364" s="70" t="s">
        <v>1059</v>
      </c>
      <c r="D364" s="69" t="s">
        <v>1060</v>
      </c>
      <c r="E364" s="71"/>
      <c r="F364" s="71">
        <v>3840000</v>
      </c>
      <c r="G364" s="71"/>
      <c r="H364" s="71">
        <v>3840000</v>
      </c>
      <c r="I364" s="69" t="s">
        <v>1652</v>
      </c>
      <c r="J364" s="69" t="s">
        <v>90</v>
      </c>
      <c r="K364" s="72" t="s">
        <v>90</v>
      </c>
    </row>
    <row r="365" spans="1:11" ht="18" customHeight="1">
      <c r="A365" s="68" t="s">
        <v>808</v>
      </c>
      <c r="B365" s="70" t="s">
        <v>19</v>
      </c>
      <c r="C365" s="70" t="s">
        <v>1061</v>
      </c>
      <c r="D365" s="69" t="s">
        <v>1062</v>
      </c>
      <c r="E365" s="71"/>
      <c r="F365" s="71">
        <v>204213500</v>
      </c>
      <c r="G365" s="71"/>
      <c r="H365" s="71">
        <v>204213500</v>
      </c>
      <c r="I365" s="69" t="s">
        <v>1653</v>
      </c>
      <c r="J365" s="69" t="s">
        <v>90</v>
      </c>
      <c r="K365" s="72" t="s">
        <v>90</v>
      </c>
    </row>
    <row r="366" spans="1:11" ht="18" customHeight="1">
      <c r="A366" s="68" t="s">
        <v>808</v>
      </c>
      <c r="B366" s="70" t="s">
        <v>19</v>
      </c>
      <c r="C366" s="70" t="s">
        <v>1155</v>
      </c>
      <c r="D366" s="69" t="s">
        <v>1156</v>
      </c>
      <c r="E366" s="71"/>
      <c r="F366" s="71">
        <v>475000</v>
      </c>
      <c r="G366" s="71"/>
      <c r="H366" s="71">
        <v>475000</v>
      </c>
      <c r="I366" s="69" t="s">
        <v>1654</v>
      </c>
      <c r="J366" s="69" t="s">
        <v>90</v>
      </c>
      <c r="K366" s="72" t="s">
        <v>90</v>
      </c>
    </row>
    <row r="367" spans="1:11" ht="18" customHeight="1">
      <c r="A367" s="68" t="s">
        <v>808</v>
      </c>
      <c r="B367" s="70" t="s">
        <v>19</v>
      </c>
      <c r="C367" s="70" t="s">
        <v>1157</v>
      </c>
      <c r="D367" s="69" t="s">
        <v>1158</v>
      </c>
      <c r="E367" s="71"/>
      <c r="F367" s="71">
        <v>76800</v>
      </c>
      <c r="G367" s="71"/>
      <c r="H367" s="71">
        <v>76800</v>
      </c>
      <c r="I367" s="69" t="s">
        <v>1655</v>
      </c>
      <c r="J367" s="69" t="s">
        <v>90</v>
      </c>
      <c r="K367" s="72" t="s">
        <v>90</v>
      </c>
    </row>
    <row r="368" spans="1:11" ht="18" customHeight="1">
      <c r="A368" s="68" t="s">
        <v>808</v>
      </c>
      <c r="B368" s="70" t="s">
        <v>19</v>
      </c>
      <c r="C368" s="70" t="s">
        <v>1159</v>
      </c>
      <c r="D368" s="69" t="s">
        <v>1160</v>
      </c>
      <c r="E368" s="71"/>
      <c r="F368" s="71">
        <v>63698835</v>
      </c>
      <c r="G368" s="71"/>
      <c r="H368" s="71">
        <v>63698835</v>
      </c>
      <c r="I368" s="69" t="s">
        <v>1656</v>
      </c>
      <c r="J368" s="69" t="s">
        <v>90</v>
      </c>
      <c r="K368" s="72" t="s">
        <v>90</v>
      </c>
    </row>
    <row r="369" spans="1:11" ht="18" customHeight="1">
      <c r="A369" s="68" t="s">
        <v>808</v>
      </c>
      <c r="B369" s="70" t="s">
        <v>19</v>
      </c>
      <c r="C369" s="70" t="s">
        <v>1161</v>
      </c>
      <c r="D369" s="69" t="s">
        <v>1162</v>
      </c>
      <c r="E369" s="71"/>
      <c r="F369" s="71">
        <v>13341600</v>
      </c>
      <c r="G369" s="71"/>
      <c r="H369" s="71">
        <v>13341600</v>
      </c>
      <c r="I369" s="69" t="s">
        <v>1657</v>
      </c>
      <c r="J369" s="69" t="s">
        <v>90</v>
      </c>
      <c r="K369" s="72" t="s">
        <v>90</v>
      </c>
    </row>
    <row r="370" spans="1:11" ht="18" customHeight="1">
      <c r="A370" s="68" t="s">
        <v>808</v>
      </c>
      <c r="B370" s="70" t="s">
        <v>19</v>
      </c>
      <c r="C370" s="70" t="s">
        <v>1065</v>
      </c>
      <c r="D370" s="69" t="s">
        <v>1066</v>
      </c>
      <c r="E370" s="71"/>
      <c r="F370" s="71">
        <v>28364</v>
      </c>
      <c r="G370" s="71"/>
      <c r="H370" s="71">
        <v>28364</v>
      </c>
      <c r="I370" s="69" t="s">
        <v>1658</v>
      </c>
      <c r="J370" s="69" t="s">
        <v>90</v>
      </c>
      <c r="K370" s="72" t="s">
        <v>90</v>
      </c>
    </row>
    <row r="371" spans="1:11" ht="18" customHeight="1">
      <c r="A371" s="68" t="s">
        <v>808</v>
      </c>
      <c r="B371" s="70" t="s">
        <v>19</v>
      </c>
      <c r="C371" s="70" t="s">
        <v>1163</v>
      </c>
      <c r="D371" s="69" t="s">
        <v>1164</v>
      </c>
      <c r="E371" s="71"/>
      <c r="F371" s="71">
        <v>16000</v>
      </c>
      <c r="G371" s="71"/>
      <c r="H371" s="71">
        <v>16000</v>
      </c>
      <c r="I371" s="69" t="s">
        <v>1659</v>
      </c>
      <c r="J371" s="69" t="s">
        <v>90</v>
      </c>
      <c r="K371" s="72" t="s">
        <v>90</v>
      </c>
    </row>
    <row r="372" spans="1:11" ht="18" customHeight="1">
      <c r="A372" s="68" t="s">
        <v>808</v>
      </c>
      <c r="B372" s="70" t="s">
        <v>19</v>
      </c>
      <c r="C372" s="70" t="s">
        <v>1001</v>
      </c>
      <c r="D372" s="69" t="s">
        <v>1002</v>
      </c>
      <c r="E372" s="71"/>
      <c r="F372" s="71">
        <v>180712</v>
      </c>
      <c r="G372" s="71"/>
      <c r="H372" s="71">
        <v>180712</v>
      </c>
      <c r="I372" s="69" t="s">
        <v>1437</v>
      </c>
      <c r="J372" s="69" t="s">
        <v>90</v>
      </c>
      <c r="K372" s="72" t="s">
        <v>90</v>
      </c>
    </row>
    <row r="373" spans="1:11" ht="18" customHeight="1">
      <c r="A373" s="68" t="s">
        <v>808</v>
      </c>
      <c r="B373" s="70" t="s">
        <v>19</v>
      </c>
      <c r="C373" s="70" t="s">
        <v>1067</v>
      </c>
      <c r="D373" s="69" t="s">
        <v>1068</v>
      </c>
      <c r="E373" s="71"/>
      <c r="F373" s="71">
        <v>28091</v>
      </c>
      <c r="G373" s="71"/>
      <c r="H373" s="71">
        <v>28091</v>
      </c>
      <c r="I373" s="69" t="s">
        <v>1660</v>
      </c>
      <c r="J373" s="69" t="s">
        <v>90</v>
      </c>
      <c r="K373" s="72" t="s">
        <v>90</v>
      </c>
    </row>
    <row r="374" spans="1:11" ht="18" customHeight="1">
      <c r="A374" s="68" t="s">
        <v>808</v>
      </c>
      <c r="B374" s="70" t="s">
        <v>19</v>
      </c>
      <c r="C374" s="70" t="s">
        <v>1075</v>
      </c>
      <c r="D374" s="69" t="s">
        <v>1076</v>
      </c>
      <c r="E374" s="71"/>
      <c r="F374" s="71">
        <v>735800</v>
      </c>
      <c r="G374" s="71"/>
      <c r="H374" s="71">
        <v>735800</v>
      </c>
      <c r="I374" s="69" t="s">
        <v>1661</v>
      </c>
      <c r="J374" s="69" t="s">
        <v>90</v>
      </c>
      <c r="K374" s="72" t="s">
        <v>90</v>
      </c>
    </row>
    <row r="375" spans="1:11" ht="18" customHeight="1">
      <c r="A375" s="68" t="s">
        <v>808</v>
      </c>
      <c r="B375" s="70" t="s">
        <v>19</v>
      </c>
      <c r="C375" s="70" t="s">
        <v>1165</v>
      </c>
      <c r="D375" s="69" t="s">
        <v>1166</v>
      </c>
      <c r="E375" s="71"/>
      <c r="F375" s="71">
        <v>4247000</v>
      </c>
      <c r="G375" s="71"/>
      <c r="H375" s="71">
        <v>4247000</v>
      </c>
      <c r="I375" s="69" t="s">
        <v>1662</v>
      </c>
      <c r="J375" s="69" t="s">
        <v>90</v>
      </c>
      <c r="K375" s="72" t="s">
        <v>90</v>
      </c>
    </row>
    <row r="376" spans="1:11" ht="18" customHeight="1">
      <c r="A376" s="68" t="s">
        <v>808</v>
      </c>
      <c r="B376" s="70" t="s">
        <v>19</v>
      </c>
      <c r="C376" s="70" t="s">
        <v>1167</v>
      </c>
      <c r="D376" s="69" t="s">
        <v>1168</v>
      </c>
      <c r="E376" s="71"/>
      <c r="F376" s="71">
        <v>48060170</v>
      </c>
      <c r="G376" s="71"/>
      <c r="H376" s="71">
        <v>48060170</v>
      </c>
      <c r="I376" s="69" t="s">
        <v>1663</v>
      </c>
      <c r="J376" s="69" t="s">
        <v>90</v>
      </c>
      <c r="K376" s="72" t="s">
        <v>90</v>
      </c>
    </row>
    <row r="377" spans="1:11" ht="18" customHeight="1">
      <c r="A377" s="68" t="s">
        <v>808</v>
      </c>
      <c r="B377" s="70" t="s">
        <v>19</v>
      </c>
      <c r="C377" s="70" t="s">
        <v>1169</v>
      </c>
      <c r="D377" s="69" t="s">
        <v>1170</v>
      </c>
      <c r="E377" s="71"/>
      <c r="F377" s="71">
        <v>29988000</v>
      </c>
      <c r="G377" s="71"/>
      <c r="H377" s="71">
        <v>29988000</v>
      </c>
      <c r="I377" s="69" t="s">
        <v>1664</v>
      </c>
      <c r="J377" s="69" t="s">
        <v>90</v>
      </c>
      <c r="K377" s="72" t="s">
        <v>90</v>
      </c>
    </row>
    <row r="378" spans="1:11" ht="18" customHeight="1">
      <c r="A378" s="68" t="s">
        <v>808</v>
      </c>
      <c r="B378" s="70" t="s">
        <v>19</v>
      </c>
      <c r="C378" s="70" t="s">
        <v>1085</v>
      </c>
      <c r="D378" s="69" t="s">
        <v>1086</v>
      </c>
      <c r="E378" s="71"/>
      <c r="F378" s="71">
        <v>19286800</v>
      </c>
      <c r="G378" s="71"/>
      <c r="H378" s="71">
        <v>19286800</v>
      </c>
      <c r="I378" s="69" t="s">
        <v>1558</v>
      </c>
      <c r="J378" s="69" t="s">
        <v>90</v>
      </c>
      <c r="K378" s="72" t="s">
        <v>90</v>
      </c>
    </row>
    <row r="379" spans="1:11" ht="18" customHeight="1">
      <c r="A379" s="68" t="s">
        <v>808</v>
      </c>
      <c r="B379" s="70" t="s">
        <v>19</v>
      </c>
      <c r="C379" s="70" t="s">
        <v>1089</v>
      </c>
      <c r="D379" s="69" t="s">
        <v>1090</v>
      </c>
      <c r="E379" s="71"/>
      <c r="F379" s="71">
        <v>25823132</v>
      </c>
      <c r="G379" s="71"/>
      <c r="H379" s="71">
        <v>25823132</v>
      </c>
      <c r="I379" s="69" t="s">
        <v>1665</v>
      </c>
      <c r="J379" s="69" t="s">
        <v>90</v>
      </c>
      <c r="K379" s="72" t="s">
        <v>90</v>
      </c>
    </row>
    <row r="380" spans="1:11" ht="18" customHeight="1">
      <c r="A380" s="68" t="s">
        <v>808</v>
      </c>
      <c r="B380" s="70" t="s">
        <v>19</v>
      </c>
      <c r="C380" s="70" t="s">
        <v>1091</v>
      </c>
      <c r="D380" s="69" t="s">
        <v>1092</v>
      </c>
      <c r="E380" s="71"/>
      <c r="F380" s="71">
        <v>29106080</v>
      </c>
      <c r="G380" s="71"/>
      <c r="H380" s="71">
        <v>29106080</v>
      </c>
      <c r="I380" s="69" t="s">
        <v>1666</v>
      </c>
      <c r="J380" s="69" t="s">
        <v>90</v>
      </c>
      <c r="K380" s="72" t="s">
        <v>90</v>
      </c>
    </row>
    <row r="381" spans="1:11" ht="18" customHeight="1">
      <c r="A381" s="68" t="s">
        <v>808</v>
      </c>
      <c r="B381" s="70" t="s">
        <v>19</v>
      </c>
      <c r="C381" s="70" t="s">
        <v>1171</v>
      </c>
      <c r="D381" s="69" t="s">
        <v>1172</v>
      </c>
      <c r="E381" s="71"/>
      <c r="F381" s="71">
        <v>7073575</v>
      </c>
      <c r="G381" s="71"/>
      <c r="H381" s="71">
        <v>7073575</v>
      </c>
      <c r="I381" s="69" t="s">
        <v>1667</v>
      </c>
      <c r="J381" s="69" t="s">
        <v>90</v>
      </c>
      <c r="K381" s="72" t="s">
        <v>90</v>
      </c>
    </row>
    <row r="382" spans="1:11" ht="18" customHeight="1">
      <c r="A382" s="68" t="s">
        <v>808</v>
      </c>
      <c r="B382" s="70" t="s">
        <v>19</v>
      </c>
      <c r="C382" s="70" t="s">
        <v>1173</v>
      </c>
      <c r="D382" s="69" t="s">
        <v>1174</v>
      </c>
      <c r="E382" s="71"/>
      <c r="F382" s="71">
        <v>7406300</v>
      </c>
      <c r="G382" s="71"/>
      <c r="H382" s="71">
        <v>7406300</v>
      </c>
      <c r="I382" s="69" t="s">
        <v>1668</v>
      </c>
      <c r="J382" s="69" t="s">
        <v>90</v>
      </c>
      <c r="K382" s="72" t="s">
        <v>90</v>
      </c>
    </row>
    <row r="383" spans="1:11" ht="18" customHeight="1">
      <c r="A383" s="68" t="s">
        <v>808</v>
      </c>
      <c r="B383" s="70" t="s">
        <v>19</v>
      </c>
      <c r="C383" s="70" t="s">
        <v>1099</v>
      </c>
      <c r="D383" s="69" t="s">
        <v>1100</v>
      </c>
      <c r="E383" s="71"/>
      <c r="F383" s="71">
        <v>50000</v>
      </c>
      <c r="G383" s="71"/>
      <c r="H383" s="71">
        <v>50000</v>
      </c>
      <c r="I383" s="69" t="s">
        <v>1669</v>
      </c>
      <c r="J383" s="69" t="s">
        <v>90</v>
      </c>
      <c r="K383" s="72" t="s">
        <v>90</v>
      </c>
    </row>
    <row r="384" spans="1:11" ht="18" customHeight="1">
      <c r="A384" s="68" t="s">
        <v>808</v>
      </c>
      <c r="B384" s="70" t="s">
        <v>19</v>
      </c>
      <c r="C384" s="70" t="s">
        <v>1101</v>
      </c>
      <c r="D384" s="69" t="s">
        <v>1102</v>
      </c>
      <c r="E384" s="71"/>
      <c r="F384" s="71">
        <v>76072300</v>
      </c>
      <c r="G384" s="71"/>
      <c r="H384" s="71">
        <v>76072300</v>
      </c>
      <c r="I384" s="69" t="s">
        <v>1670</v>
      </c>
      <c r="J384" s="69" t="s">
        <v>90</v>
      </c>
      <c r="K384" s="72" t="s">
        <v>90</v>
      </c>
    </row>
    <row r="385" spans="1:11" ht="18" customHeight="1">
      <c r="A385" s="68" t="s">
        <v>808</v>
      </c>
      <c r="B385" s="70" t="s">
        <v>19</v>
      </c>
      <c r="C385" s="70" t="s">
        <v>1175</v>
      </c>
      <c r="D385" s="69" t="s">
        <v>1176</v>
      </c>
      <c r="E385" s="71"/>
      <c r="F385" s="71">
        <v>78382090</v>
      </c>
      <c r="G385" s="71"/>
      <c r="H385" s="71">
        <v>78382090</v>
      </c>
      <c r="I385" s="69" t="s">
        <v>1671</v>
      </c>
      <c r="J385" s="69" t="s">
        <v>90</v>
      </c>
      <c r="K385" s="72" t="s">
        <v>90</v>
      </c>
    </row>
    <row r="386" spans="1:11" ht="18" customHeight="1">
      <c r="A386" s="68" t="s">
        <v>808</v>
      </c>
      <c r="B386" s="70" t="s">
        <v>19</v>
      </c>
      <c r="C386" s="70" t="s">
        <v>1117</v>
      </c>
      <c r="D386" s="69" t="s">
        <v>1118</v>
      </c>
      <c r="E386" s="71"/>
      <c r="F386" s="71">
        <v>100001</v>
      </c>
      <c r="G386" s="71"/>
      <c r="H386" s="71">
        <v>100001</v>
      </c>
      <c r="I386" s="69" t="s">
        <v>1672</v>
      </c>
      <c r="J386" s="69" t="s">
        <v>90</v>
      </c>
      <c r="K386" s="72" t="s">
        <v>90</v>
      </c>
    </row>
    <row r="387" spans="1:11" ht="18" customHeight="1" thickBot="1">
      <c r="A387" s="73" t="s">
        <v>808</v>
      </c>
      <c r="B387" s="75" t="s">
        <v>19</v>
      </c>
      <c r="C387" s="75" t="s">
        <v>1119</v>
      </c>
      <c r="D387" s="74" t="s">
        <v>1120</v>
      </c>
      <c r="E387" s="76"/>
      <c r="F387" s="76">
        <v>23637</v>
      </c>
      <c r="G387" s="76"/>
      <c r="H387" s="76">
        <v>23637</v>
      </c>
      <c r="I387" s="74" t="s">
        <v>1673</v>
      </c>
      <c r="J387" s="74" t="s">
        <v>90</v>
      </c>
      <c r="K387" s="77" t="s">
        <v>90</v>
      </c>
    </row>
    <row r="388" spans="1:11" ht="18" customHeight="1">
      <c r="A388" s="68" t="s">
        <v>808</v>
      </c>
      <c r="B388" s="70" t="s">
        <v>19</v>
      </c>
      <c r="C388" s="70" t="s">
        <v>1121</v>
      </c>
      <c r="D388" s="69" t="s">
        <v>1122</v>
      </c>
      <c r="E388" s="71"/>
      <c r="F388" s="71">
        <v>41656</v>
      </c>
      <c r="G388" s="71"/>
      <c r="H388" s="71">
        <v>41656</v>
      </c>
      <c r="I388" s="69" t="s">
        <v>1674</v>
      </c>
      <c r="J388" s="69" t="s">
        <v>90</v>
      </c>
      <c r="K388" s="72" t="s">
        <v>90</v>
      </c>
    </row>
    <row r="389" spans="1:11" ht="18" customHeight="1">
      <c r="A389" s="68" t="s">
        <v>808</v>
      </c>
      <c r="B389" s="70" t="s">
        <v>19</v>
      </c>
      <c r="C389" s="70" t="s">
        <v>1123</v>
      </c>
      <c r="D389" s="69" t="s">
        <v>1124</v>
      </c>
      <c r="E389" s="71"/>
      <c r="F389" s="71">
        <v>96000</v>
      </c>
      <c r="G389" s="71"/>
      <c r="H389" s="71">
        <v>96000</v>
      </c>
      <c r="I389" s="69" t="s">
        <v>1675</v>
      </c>
      <c r="J389" s="69" t="s">
        <v>90</v>
      </c>
      <c r="K389" s="72" t="s">
        <v>90</v>
      </c>
    </row>
    <row r="390" spans="1:11" ht="18" customHeight="1">
      <c r="A390" s="68" t="s">
        <v>808</v>
      </c>
      <c r="B390" s="70" t="s">
        <v>19</v>
      </c>
      <c r="C390" s="70" t="s">
        <v>1129</v>
      </c>
      <c r="D390" s="69" t="s">
        <v>1130</v>
      </c>
      <c r="E390" s="71"/>
      <c r="F390" s="71">
        <v>47273</v>
      </c>
      <c r="G390" s="71"/>
      <c r="H390" s="71">
        <v>47273</v>
      </c>
      <c r="I390" s="69" t="s">
        <v>1676</v>
      </c>
      <c r="J390" s="69" t="s">
        <v>90</v>
      </c>
      <c r="K390" s="72" t="s">
        <v>90</v>
      </c>
    </row>
    <row r="391" spans="1:11" ht="18" customHeight="1">
      <c r="A391" s="68" t="s">
        <v>808</v>
      </c>
      <c r="B391" s="70" t="s">
        <v>19</v>
      </c>
      <c r="C391" s="70" t="s">
        <v>1131</v>
      </c>
      <c r="D391" s="69" t="s">
        <v>1132</v>
      </c>
      <c r="E391" s="71"/>
      <c r="F391" s="71">
        <v>24546</v>
      </c>
      <c r="G391" s="71"/>
      <c r="H391" s="71">
        <v>24546</v>
      </c>
      <c r="I391" s="69" t="s">
        <v>1677</v>
      </c>
      <c r="J391" s="69" t="s">
        <v>90</v>
      </c>
      <c r="K391" s="72" t="s">
        <v>90</v>
      </c>
    </row>
    <row r="392" spans="1:11" ht="18" customHeight="1">
      <c r="A392" s="68" t="s">
        <v>808</v>
      </c>
      <c r="B392" s="70" t="s">
        <v>19</v>
      </c>
      <c r="C392" s="70" t="s">
        <v>1135</v>
      </c>
      <c r="D392" s="69" t="s">
        <v>1136</v>
      </c>
      <c r="E392" s="71"/>
      <c r="F392" s="71">
        <v>59091</v>
      </c>
      <c r="G392" s="71"/>
      <c r="H392" s="71">
        <v>59091</v>
      </c>
      <c r="I392" s="69" t="s">
        <v>1678</v>
      </c>
      <c r="J392" s="69" t="s">
        <v>90</v>
      </c>
      <c r="K392" s="72" t="s">
        <v>90</v>
      </c>
    </row>
    <row r="393" spans="1:11" ht="18" customHeight="1">
      <c r="A393" s="68" t="s">
        <v>808</v>
      </c>
      <c r="B393" s="70" t="s">
        <v>19</v>
      </c>
      <c r="C393" s="70" t="s">
        <v>1138</v>
      </c>
      <c r="D393" s="69" t="s">
        <v>1679</v>
      </c>
      <c r="E393" s="71"/>
      <c r="F393" s="71">
        <v>280168</v>
      </c>
      <c r="G393" s="71"/>
      <c r="H393" s="71">
        <v>280168</v>
      </c>
      <c r="I393" s="69" t="s">
        <v>1401</v>
      </c>
      <c r="J393" s="69" t="s">
        <v>90</v>
      </c>
      <c r="K393" s="72" t="s">
        <v>90</v>
      </c>
    </row>
    <row r="394" spans="1:11" ht="18" customHeight="1">
      <c r="A394" s="68" t="s">
        <v>808</v>
      </c>
      <c r="B394" s="70" t="s">
        <v>19</v>
      </c>
      <c r="C394" s="70" t="s">
        <v>1270</v>
      </c>
      <c r="D394" s="69" t="s">
        <v>1444</v>
      </c>
      <c r="E394" s="71"/>
      <c r="F394" s="71">
        <v>756053</v>
      </c>
      <c r="G394" s="71"/>
      <c r="H394" s="71">
        <v>756053</v>
      </c>
      <c r="I394" s="69" t="s">
        <v>1445</v>
      </c>
      <c r="J394" s="69" t="s">
        <v>90</v>
      </c>
      <c r="K394" s="72" t="s">
        <v>90</v>
      </c>
    </row>
    <row r="395" spans="1:11" ht="18" customHeight="1">
      <c r="A395" s="68" t="s">
        <v>808</v>
      </c>
      <c r="B395" s="70" t="s">
        <v>19</v>
      </c>
      <c r="C395" s="70" t="s">
        <v>1264</v>
      </c>
      <c r="D395" s="69" t="s">
        <v>1446</v>
      </c>
      <c r="E395" s="71">
        <v>1029280</v>
      </c>
      <c r="F395" s="71">
        <v>295304</v>
      </c>
      <c r="G395" s="71"/>
      <c r="H395" s="71">
        <v>1324584</v>
      </c>
      <c r="I395" s="69" t="s">
        <v>1447</v>
      </c>
      <c r="J395" s="69" t="s">
        <v>90</v>
      </c>
      <c r="K395" s="72" t="s">
        <v>90</v>
      </c>
    </row>
    <row r="396" spans="1:11" ht="18" customHeight="1">
      <c r="A396" s="68" t="s">
        <v>808</v>
      </c>
      <c r="B396" s="70" t="s">
        <v>19</v>
      </c>
      <c r="C396" s="70" t="s">
        <v>1265</v>
      </c>
      <c r="D396" s="69" t="s">
        <v>1680</v>
      </c>
      <c r="E396" s="71"/>
      <c r="F396" s="71">
        <v>8220000</v>
      </c>
      <c r="G396" s="71"/>
      <c r="H396" s="71">
        <v>8220000</v>
      </c>
      <c r="I396" s="69" t="s">
        <v>1575</v>
      </c>
      <c r="J396" s="69" t="s">
        <v>90</v>
      </c>
      <c r="K396" s="72" t="s">
        <v>90</v>
      </c>
    </row>
    <row r="397" spans="1:11" ht="18" customHeight="1">
      <c r="A397" s="68" t="s">
        <v>808</v>
      </c>
      <c r="B397" s="70" t="s">
        <v>19</v>
      </c>
      <c r="C397" s="70" t="s">
        <v>1009</v>
      </c>
      <c r="D397" s="69" t="s">
        <v>1681</v>
      </c>
      <c r="E397" s="71"/>
      <c r="F397" s="71">
        <v>57422717</v>
      </c>
      <c r="G397" s="71"/>
      <c r="H397" s="71">
        <v>57422717</v>
      </c>
      <c r="I397" s="69" t="s">
        <v>1599</v>
      </c>
      <c r="J397" s="69" t="s">
        <v>90</v>
      </c>
      <c r="K397" s="72" t="s">
        <v>90</v>
      </c>
    </row>
    <row r="398" spans="1:11" ht="18" customHeight="1">
      <c r="A398" s="68" t="s">
        <v>808</v>
      </c>
      <c r="B398" s="70" t="s">
        <v>19</v>
      </c>
      <c r="C398" s="70" t="s">
        <v>1682</v>
      </c>
      <c r="D398" s="69" t="s">
        <v>1683</v>
      </c>
      <c r="E398" s="71"/>
      <c r="F398" s="71">
        <v>9810000</v>
      </c>
      <c r="G398" s="71"/>
      <c r="H398" s="71">
        <v>9810000</v>
      </c>
      <c r="I398" s="69" t="s">
        <v>1574</v>
      </c>
      <c r="J398" s="69" t="s">
        <v>90</v>
      </c>
      <c r="K398" s="72" t="s">
        <v>90</v>
      </c>
    </row>
    <row r="399" spans="1:11" ht="18" customHeight="1">
      <c r="A399" s="68" t="s">
        <v>808</v>
      </c>
      <c r="B399" s="70" t="s">
        <v>19</v>
      </c>
      <c r="C399" s="70" t="s">
        <v>1448</v>
      </c>
      <c r="D399" s="69" t="s">
        <v>1449</v>
      </c>
      <c r="E399" s="71"/>
      <c r="F399" s="71">
        <v>286985</v>
      </c>
      <c r="G399" s="71"/>
      <c r="H399" s="71">
        <v>286985</v>
      </c>
      <c r="I399" s="69" t="s">
        <v>1450</v>
      </c>
      <c r="J399" s="69" t="s">
        <v>90</v>
      </c>
      <c r="K399" s="72" t="s">
        <v>90</v>
      </c>
    </row>
    <row r="400" spans="1:11" ht="18" customHeight="1">
      <c r="A400" s="68" t="s">
        <v>808</v>
      </c>
      <c r="B400" s="70" t="s">
        <v>19</v>
      </c>
      <c r="C400" s="70" t="s">
        <v>1684</v>
      </c>
      <c r="D400" s="69" t="s">
        <v>1685</v>
      </c>
      <c r="E400" s="71"/>
      <c r="F400" s="71">
        <v>422726</v>
      </c>
      <c r="G400" s="71"/>
      <c r="H400" s="71">
        <v>422726</v>
      </c>
      <c r="I400" s="69" t="s">
        <v>1686</v>
      </c>
      <c r="J400" s="69" t="s">
        <v>90</v>
      </c>
      <c r="K400" s="72" t="s">
        <v>90</v>
      </c>
    </row>
    <row r="401" spans="1:11" ht="18" customHeight="1">
      <c r="A401" s="68" t="s">
        <v>808</v>
      </c>
      <c r="B401" s="70" t="s">
        <v>19</v>
      </c>
      <c r="C401" s="70" t="s">
        <v>1687</v>
      </c>
      <c r="D401" s="69" t="s">
        <v>1688</v>
      </c>
      <c r="E401" s="71"/>
      <c r="F401" s="71">
        <v>515164699</v>
      </c>
      <c r="G401" s="71"/>
      <c r="H401" s="71">
        <v>515164699</v>
      </c>
      <c r="I401" s="69" t="s">
        <v>1602</v>
      </c>
      <c r="J401" s="69" t="s">
        <v>90</v>
      </c>
      <c r="K401" s="72" t="s">
        <v>90</v>
      </c>
    </row>
    <row r="402" spans="1:11" ht="18" customHeight="1">
      <c r="A402" s="68" t="s">
        <v>808</v>
      </c>
      <c r="B402" s="70" t="s">
        <v>19</v>
      </c>
      <c r="C402" s="70" t="s">
        <v>1689</v>
      </c>
      <c r="D402" s="69" t="s">
        <v>1690</v>
      </c>
      <c r="E402" s="71"/>
      <c r="F402" s="71">
        <v>60417</v>
      </c>
      <c r="G402" s="71"/>
      <c r="H402" s="71">
        <v>60417</v>
      </c>
      <c r="I402" s="69" t="s">
        <v>1567</v>
      </c>
      <c r="J402" s="69" t="s">
        <v>90</v>
      </c>
      <c r="K402" s="72" t="s">
        <v>90</v>
      </c>
    </row>
    <row r="403" spans="1:11" ht="18" customHeight="1">
      <c r="A403" s="68" t="s">
        <v>808</v>
      </c>
      <c r="B403" s="70" t="s">
        <v>19</v>
      </c>
      <c r="C403" s="70" t="s">
        <v>1691</v>
      </c>
      <c r="D403" s="69" t="s">
        <v>1692</v>
      </c>
      <c r="E403" s="71"/>
      <c r="F403" s="71">
        <v>909</v>
      </c>
      <c r="G403" s="71"/>
      <c r="H403" s="71">
        <v>909</v>
      </c>
      <c r="I403" s="69" t="s">
        <v>1693</v>
      </c>
      <c r="J403" s="69" t="s">
        <v>90</v>
      </c>
      <c r="K403" s="72" t="s">
        <v>90</v>
      </c>
    </row>
    <row r="404" spans="1:11" ht="18" customHeight="1">
      <c r="A404" s="68" t="s">
        <v>808</v>
      </c>
      <c r="B404" s="70" t="s">
        <v>19</v>
      </c>
      <c r="C404" s="70" t="s">
        <v>1694</v>
      </c>
      <c r="D404" s="69" t="s">
        <v>1695</v>
      </c>
      <c r="E404" s="71"/>
      <c r="F404" s="71">
        <v>102497113</v>
      </c>
      <c r="G404" s="71"/>
      <c r="H404" s="71">
        <v>102497113</v>
      </c>
      <c r="I404" s="69" t="s">
        <v>1696</v>
      </c>
      <c r="J404" s="69" t="s">
        <v>90</v>
      </c>
      <c r="K404" s="72" t="s">
        <v>90</v>
      </c>
    </row>
    <row r="405" spans="1:11" ht="18" customHeight="1">
      <c r="A405" s="68" t="s">
        <v>808</v>
      </c>
      <c r="B405" s="70" t="s">
        <v>19</v>
      </c>
      <c r="C405" s="70" t="s">
        <v>1697</v>
      </c>
      <c r="D405" s="69" t="s">
        <v>1698</v>
      </c>
      <c r="E405" s="71"/>
      <c r="F405" s="71">
        <v>105975</v>
      </c>
      <c r="G405" s="71"/>
      <c r="H405" s="71">
        <v>105975</v>
      </c>
      <c r="I405" s="69" t="s">
        <v>1699</v>
      </c>
      <c r="J405" s="69" t="s">
        <v>90</v>
      </c>
      <c r="K405" s="72" t="s">
        <v>90</v>
      </c>
    </row>
    <row r="406" spans="1:11" ht="18" customHeight="1">
      <c r="A406" s="68" t="s">
        <v>808</v>
      </c>
      <c r="B406" s="70" t="s">
        <v>19</v>
      </c>
      <c r="C406" s="70" t="s">
        <v>1700</v>
      </c>
      <c r="D406" s="69" t="s">
        <v>1701</v>
      </c>
      <c r="E406" s="71"/>
      <c r="F406" s="71">
        <v>10728</v>
      </c>
      <c r="G406" s="71"/>
      <c r="H406" s="71">
        <v>10728</v>
      </c>
      <c r="I406" s="69" t="s">
        <v>1702</v>
      </c>
      <c r="J406" s="69" t="s">
        <v>90</v>
      </c>
      <c r="K406" s="72" t="s">
        <v>90</v>
      </c>
    </row>
    <row r="407" spans="1:11" ht="18" customHeight="1">
      <c r="A407" s="68" t="s">
        <v>808</v>
      </c>
      <c r="B407" s="70" t="s">
        <v>19</v>
      </c>
      <c r="C407" s="70" t="s">
        <v>1703</v>
      </c>
      <c r="D407" s="69" t="s">
        <v>1704</v>
      </c>
      <c r="E407" s="71"/>
      <c r="F407" s="71">
        <v>456000</v>
      </c>
      <c r="G407" s="71"/>
      <c r="H407" s="71">
        <v>456000</v>
      </c>
      <c r="I407" s="69" t="s">
        <v>1705</v>
      </c>
      <c r="J407" s="69" t="s">
        <v>90</v>
      </c>
      <c r="K407" s="72" t="s">
        <v>90</v>
      </c>
    </row>
    <row r="408" spans="1:11" ht="18" customHeight="1">
      <c r="A408" s="68" t="s">
        <v>808</v>
      </c>
      <c r="B408" s="70" t="s">
        <v>19</v>
      </c>
      <c r="C408" s="70" t="s">
        <v>1706</v>
      </c>
      <c r="D408" s="69" t="s">
        <v>1707</v>
      </c>
      <c r="E408" s="71"/>
      <c r="F408" s="71">
        <v>1152000</v>
      </c>
      <c r="G408" s="71"/>
      <c r="H408" s="71">
        <v>1152000</v>
      </c>
      <c r="I408" s="69" t="s">
        <v>1708</v>
      </c>
      <c r="J408" s="69" t="s">
        <v>90</v>
      </c>
      <c r="K408" s="72" t="s">
        <v>90</v>
      </c>
    </row>
    <row r="409" spans="1:11" ht="18" customHeight="1">
      <c r="A409" s="68" t="s">
        <v>808</v>
      </c>
      <c r="B409" s="70" t="s">
        <v>19</v>
      </c>
      <c r="C409" s="70" t="s">
        <v>1709</v>
      </c>
      <c r="D409" s="69" t="s">
        <v>1710</v>
      </c>
      <c r="E409" s="71"/>
      <c r="F409" s="71">
        <v>963472</v>
      </c>
      <c r="G409" s="71"/>
      <c r="H409" s="71">
        <v>963472</v>
      </c>
      <c r="I409" s="69" t="s">
        <v>1711</v>
      </c>
      <c r="J409" s="69" t="s">
        <v>90</v>
      </c>
      <c r="K409" s="72" t="s">
        <v>90</v>
      </c>
    </row>
    <row r="410" spans="1:11" ht="18" customHeight="1">
      <c r="A410" s="68" t="s">
        <v>808</v>
      </c>
      <c r="B410" s="70" t="s">
        <v>19</v>
      </c>
      <c r="C410" s="70" t="s">
        <v>1712</v>
      </c>
      <c r="D410" s="69" t="s">
        <v>1713</v>
      </c>
      <c r="E410" s="71"/>
      <c r="F410" s="71">
        <v>160486</v>
      </c>
      <c r="G410" s="71"/>
      <c r="H410" s="71">
        <v>160486</v>
      </c>
      <c r="I410" s="69" t="s">
        <v>1565</v>
      </c>
      <c r="J410" s="69" t="s">
        <v>90</v>
      </c>
      <c r="K410" s="72" t="s">
        <v>90</v>
      </c>
    </row>
    <row r="411" spans="1:11" ht="18" customHeight="1">
      <c r="A411" s="68" t="s">
        <v>808</v>
      </c>
      <c r="B411" s="70" t="s">
        <v>19</v>
      </c>
      <c r="C411" s="70" t="s">
        <v>1714</v>
      </c>
      <c r="D411" s="69" t="s">
        <v>1715</v>
      </c>
      <c r="E411" s="71"/>
      <c r="F411" s="71">
        <v>67246</v>
      </c>
      <c r="G411" s="71"/>
      <c r="H411" s="71">
        <v>67246</v>
      </c>
      <c r="I411" s="69" t="s">
        <v>1571</v>
      </c>
      <c r="J411" s="69" t="s">
        <v>90</v>
      </c>
      <c r="K411" s="72" t="s">
        <v>90</v>
      </c>
    </row>
    <row r="412" spans="1:11" ht="18" customHeight="1">
      <c r="A412" s="68" t="s">
        <v>808</v>
      </c>
      <c r="B412" s="70" t="s">
        <v>19</v>
      </c>
      <c r="C412" s="70" t="s">
        <v>1716</v>
      </c>
      <c r="D412" s="69" t="s">
        <v>1717</v>
      </c>
      <c r="E412" s="71"/>
      <c r="F412" s="71">
        <v>2507500</v>
      </c>
      <c r="G412" s="71"/>
      <c r="H412" s="71">
        <v>2507500</v>
      </c>
      <c r="I412" s="69" t="s">
        <v>1718</v>
      </c>
      <c r="J412" s="69" t="s">
        <v>90</v>
      </c>
      <c r="K412" s="72" t="s">
        <v>90</v>
      </c>
    </row>
    <row r="413" spans="1:11" ht="18" customHeight="1">
      <c r="A413" s="68" t="s">
        <v>808</v>
      </c>
      <c r="B413" s="70" t="s">
        <v>19</v>
      </c>
      <c r="C413" s="70" t="s">
        <v>1719</v>
      </c>
      <c r="D413" s="69" t="s">
        <v>1720</v>
      </c>
      <c r="E413" s="71"/>
      <c r="F413" s="71">
        <v>50000</v>
      </c>
      <c r="G413" s="71"/>
      <c r="H413" s="71">
        <v>50000</v>
      </c>
      <c r="I413" s="69" t="s">
        <v>1721</v>
      </c>
      <c r="J413" s="69" t="s">
        <v>90</v>
      </c>
      <c r="K413" s="72" t="s">
        <v>90</v>
      </c>
    </row>
    <row r="414" spans="1:11" ht="18" customHeight="1">
      <c r="A414" s="68" t="s">
        <v>808</v>
      </c>
      <c r="B414" s="70" t="s">
        <v>19</v>
      </c>
      <c r="C414" s="70" t="s">
        <v>1722</v>
      </c>
      <c r="D414" s="69" t="s">
        <v>1723</v>
      </c>
      <c r="E414" s="71"/>
      <c r="F414" s="71">
        <v>8167500</v>
      </c>
      <c r="G414" s="71"/>
      <c r="H414" s="71">
        <v>8167500</v>
      </c>
      <c r="I414" s="69" t="s">
        <v>1724</v>
      </c>
      <c r="J414" s="69" t="s">
        <v>90</v>
      </c>
      <c r="K414" s="72" t="s">
        <v>90</v>
      </c>
    </row>
    <row r="415" spans="1:11" ht="18" customHeight="1">
      <c r="A415" s="68" t="s">
        <v>808</v>
      </c>
      <c r="B415" s="70" t="s">
        <v>19</v>
      </c>
      <c r="C415" s="70" t="s">
        <v>1725</v>
      </c>
      <c r="D415" s="69" t="s">
        <v>1726</v>
      </c>
      <c r="E415" s="71"/>
      <c r="F415" s="71">
        <v>49000</v>
      </c>
      <c r="G415" s="71"/>
      <c r="H415" s="71">
        <v>49000</v>
      </c>
      <c r="I415" s="69" t="s">
        <v>1727</v>
      </c>
      <c r="J415" s="69" t="s">
        <v>90</v>
      </c>
      <c r="K415" s="72" t="s">
        <v>90</v>
      </c>
    </row>
    <row r="416" spans="1:11" ht="18" customHeight="1">
      <c r="A416" s="68" t="s">
        <v>808</v>
      </c>
      <c r="B416" s="70" t="s">
        <v>19</v>
      </c>
      <c r="C416" s="70" t="s">
        <v>1728</v>
      </c>
      <c r="D416" s="69" t="s">
        <v>1729</v>
      </c>
      <c r="E416" s="71"/>
      <c r="F416" s="71">
        <v>66781</v>
      </c>
      <c r="G416" s="71"/>
      <c r="H416" s="71">
        <v>66781</v>
      </c>
      <c r="I416" s="69" t="s">
        <v>1564</v>
      </c>
      <c r="J416" s="69" t="s">
        <v>90</v>
      </c>
      <c r="K416" s="72" t="s">
        <v>90</v>
      </c>
    </row>
    <row r="417" spans="1:11" ht="18" customHeight="1">
      <c r="A417" s="68" t="s">
        <v>808</v>
      </c>
      <c r="B417" s="70" t="s">
        <v>19</v>
      </c>
      <c r="C417" s="70" t="s">
        <v>1730</v>
      </c>
      <c r="D417" s="69" t="s">
        <v>1731</v>
      </c>
      <c r="E417" s="71"/>
      <c r="F417" s="71">
        <v>516782</v>
      </c>
      <c r="G417" s="71"/>
      <c r="H417" s="71">
        <v>516782</v>
      </c>
      <c r="I417" s="69" t="s">
        <v>1584</v>
      </c>
      <c r="J417" s="69" t="s">
        <v>90</v>
      </c>
      <c r="K417" s="72" t="s">
        <v>90</v>
      </c>
    </row>
    <row r="418" spans="1:11" ht="18" customHeight="1">
      <c r="A418" s="68" t="s">
        <v>808</v>
      </c>
      <c r="B418" s="70" t="s">
        <v>19</v>
      </c>
      <c r="C418" s="70" t="s">
        <v>1732</v>
      </c>
      <c r="D418" s="69" t="s">
        <v>1733</v>
      </c>
      <c r="E418" s="71"/>
      <c r="F418" s="71">
        <v>192000</v>
      </c>
      <c r="G418" s="71"/>
      <c r="H418" s="71">
        <v>192000</v>
      </c>
      <c r="I418" s="69" t="s">
        <v>1734</v>
      </c>
      <c r="J418" s="69" t="s">
        <v>90</v>
      </c>
      <c r="K418" s="72" t="s">
        <v>90</v>
      </c>
    </row>
    <row r="419" spans="1:11" ht="18" customHeight="1" thickBot="1">
      <c r="A419" s="68" t="s">
        <v>808</v>
      </c>
      <c r="B419" s="70" t="s">
        <v>19</v>
      </c>
      <c r="C419" s="70" t="s">
        <v>1735</v>
      </c>
      <c r="D419" s="69" t="s">
        <v>1736</v>
      </c>
      <c r="E419" s="71"/>
      <c r="F419" s="71">
        <v>5000</v>
      </c>
      <c r="G419" s="71"/>
      <c r="H419" s="71">
        <v>5000</v>
      </c>
      <c r="I419" s="69" t="s">
        <v>1573</v>
      </c>
      <c r="J419" s="69" t="s">
        <v>90</v>
      </c>
      <c r="K419" s="72" t="s">
        <v>90</v>
      </c>
    </row>
    <row r="420" spans="1:11" ht="18" customHeight="1" thickBot="1">
      <c r="A420" s="78" t="s">
        <v>363</v>
      </c>
      <c r="B420" s="80" t="s">
        <v>90</v>
      </c>
      <c r="C420" s="80" t="s">
        <v>90</v>
      </c>
      <c r="D420" s="79" t="s">
        <v>90</v>
      </c>
      <c r="E420" s="81">
        <v>13711156</v>
      </c>
      <c r="F420" s="81">
        <v>4508979865</v>
      </c>
      <c r="G420" s="81">
        <v>4482693599</v>
      </c>
      <c r="H420" s="221">
        <v>39997422</v>
      </c>
      <c r="I420" s="79" t="s">
        <v>90</v>
      </c>
      <c r="J420" s="79" t="s">
        <v>90</v>
      </c>
      <c r="K420" s="82" t="s">
        <v>90</v>
      </c>
    </row>
    <row r="423" spans="1:11" ht="31.5" hidden="1" customHeight="1">
      <c r="F423" s="61" t="s">
        <v>821</v>
      </c>
    </row>
    <row r="424" spans="1:11" ht="7.9" hidden="1" customHeight="1"/>
    <row r="425" spans="1:11" ht="15" hidden="1" customHeight="1">
      <c r="F425" s="62" t="s">
        <v>996</v>
      </c>
    </row>
    <row r="426" spans="1:11" ht="20.100000000000001" hidden="1" customHeight="1"/>
    <row r="427" spans="1:11" ht="15" hidden="1" customHeight="1" thickBot="1">
      <c r="A427" s="63" t="s">
        <v>1013</v>
      </c>
      <c r="K427" s="64" t="s">
        <v>336</v>
      </c>
    </row>
    <row r="428" spans="1:11" ht="18" hidden="1" customHeight="1" thickBot="1">
      <c r="A428" s="65" t="s">
        <v>337</v>
      </c>
      <c r="B428" s="66" t="s">
        <v>338</v>
      </c>
      <c r="C428" s="66" t="s">
        <v>337</v>
      </c>
      <c r="D428" s="66" t="s">
        <v>339</v>
      </c>
      <c r="E428" s="66" t="s">
        <v>1369</v>
      </c>
      <c r="F428" s="66" t="s">
        <v>997</v>
      </c>
      <c r="G428" s="66" t="s">
        <v>998</v>
      </c>
      <c r="H428" s="66" t="s">
        <v>340</v>
      </c>
      <c r="I428" s="66" t="s">
        <v>1370</v>
      </c>
      <c r="J428" s="66" t="s">
        <v>1371</v>
      </c>
      <c r="K428" s="67" t="s">
        <v>331</v>
      </c>
    </row>
    <row r="429" spans="1:11" ht="18" hidden="1" customHeight="1">
      <c r="A429" s="68" t="s">
        <v>822</v>
      </c>
      <c r="B429" s="70" t="s">
        <v>823</v>
      </c>
      <c r="C429" s="70" t="s">
        <v>90</v>
      </c>
      <c r="D429" s="69" t="s">
        <v>447</v>
      </c>
      <c r="E429" s="71"/>
      <c r="F429" s="71">
        <v>3760776</v>
      </c>
      <c r="G429" s="71">
        <v>1518643216</v>
      </c>
      <c r="H429" s="71">
        <v>-1514882440</v>
      </c>
      <c r="I429" s="69" t="s">
        <v>90</v>
      </c>
      <c r="J429" s="69" t="s">
        <v>90</v>
      </c>
      <c r="K429" s="72" t="s">
        <v>90</v>
      </c>
    </row>
    <row r="430" spans="1:11" ht="18" hidden="1" customHeight="1">
      <c r="A430" s="68" t="s">
        <v>822</v>
      </c>
      <c r="B430" s="70" t="s">
        <v>823</v>
      </c>
      <c r="C430" s="70" t="s">
        <v>478</v>
      </c>
      <c r="D430" s="69" t="s">
        <v>479</v>
      </c>
      <c r="E430" s="71"/>
      <c r="F430" s="71">
        <v>1401218516</v>
      </c>
      <c r="G430" s="71"/>
      <c r="H430" s="71">
        <v>1401218516</v>
      </c>
      <c r="I430" s="69" t="s">
        <v>1737</v>
      </c>
      <c r="J430" s="69" t="s">
        <v>90</v>
      </c>
      <c r="K430" s="72" t="s">
        <v>90</v>
      </c>
    </row>
    <row r="431" spans="1:11" ht="18" hidden="1" customHeight="1">
      <c r="A431" s="68" t="s">
        <v>822</v>
      </c>
      <c r="B431" s="70" t="s">
        <v>823</v>
      </c>
      <c r="C431" s="70" t="s">
        <v>1023</v>
      </c>
      <c r="D431" s="69" t="s">
        <v>1024</v>
      </c>
      <c r="E431" s="71"/>
      <c r="F431" s="71">
        <v>57260217</v>
      </c>
      <c r="G431" s="71"/>
      <c r="H431" s="71">
        <v>57260217</v>
      </c>
      <c r="I431" s="69" t="s">
        <v>1738</v>
      </c>
      <c r="J431" s="69" t="s">
        <v>90</v>
      </c>
      <c r="K431" s="72" t="s">
        <v>90</v>
      </c>
    </row>
    <row r="432" spans="1:11" ht="18" hidden="1" customHeight="1">
      <c r="A432" s="68" t="s">
        <v>822</v>
      </c>
      <c r="B432" s="70" t="s">
        <v>823</v>
      </c>
      <c r="C432" s="70" t="s">
        <v>1177</v>
      </c>
      <c r="D432" s="69" t="s">
        <v>1178</v>
      </c>
      <c r="E432" s="71"/>
      <c r="F432" s="71">
        <v>4826750</v>
      </c>
      <c r="G432" s="71"/>
      <c r="H432" s="71">
        <v>4826750</v>
      </c>
      <c r="I432" s="69" t="s">
        <v>90</v>
      </c>
      <c r="J432" s="69" t="s">
        <v>90</v>
      </c>
      <c r="K432" s="72" t="s">
        <v>90</v>
      </c>
    </row>
    <row r="433" spans="1:11" ht="18" hidden="1" customHeight="1">
      <c r="A433" s="68" t="s">
        <v>822</v>
      </c>
      <c r="B433" s="70" t="s">
        <v>823</v>
      </c>
      <c r="C433" s="70" t="s">
        <v>824</v>
      </c>
      <c r="D433" s="69" t="s">
        <v>825</v>
      </c>
      <c r="E433" s="71"/>
      <c r="F433" s="71">
        <v>22443970</v>
      </c>
      <c r="G433" s="71"/>
      <c r="H433" s="71">
        <v>22443970</v>
      </c>
      <c r="I433" s="69" t="s">
        <v>90</v>
      </c>
      <c r="J433" s="69" t="s">
        <v>90</v>
      </c>
      <c r="K433" s="72" t="s">
        <v>90</v>
      </c>
    </row>
    <row r="434" spans="1:11" ht="18" hidden="1" customHeight="1">
      <c r="A434" s="68" t="s">
        <v>822</v>
      </c>
      <c r="B434" s="70" t="s">
        <v>823</v>
      </c>
      <c r="C434" s="70" t="s">
        <v>562</v>
      </c>
      <c r="D434" s="69" t="s">
        <v>563</v>
      </c>
      <c r="E434" s="71"/>
      <c r="F434" s="71">
        <v>23888880</v>
      </c>
      <c r="G434" s="71"/>
      <c r="H434" s="71">
        <v>23888880</v>
      </c>
      <c r="I434" s="69" t="s">
        <v>1739</v>
      </c>
      <c r="J434" s="69" t="s">
        <v>90</v>
      </c>
      <c r="K434" s="72" t="s">
        <v>90</v>
      </c>
    </row>
    <row r="435" spans="1:11" ht="18" hidden="1" customHeight="1">
      <c r="A435" s="68" t="s">
        <v>822</v>
      </c>
      <c r="B435" s="70" t="s">
        <v>823</v>
      </c>
      <c r="C435" s="70" t="s">
        <v>564</v>
      </c>
      <c r="D435" s="69" t="s">
        <v>565</v>
      </c>
      <c r="E435" s="71"/>
      <c r="F435" s="71">
        <v>1631220</v>
      </c>
      <c r="G435" s="71"/>
      <c r="H435" s="71">
        <v>1631220</v>
      </c>
      <c r="I435" s="69" t="s">
        <v>1740</v>
      </c>
      <c r="J435" s="69" t="s">
        <v>90</v>
      </c>
      <c r="K435" s="72" t="s">
        <v>90</v>
      </c>
    </row>
    <row r="436" spans="1:11" ht="18" hidden="1" customHeight="1">
      <c r="A436" s="68" t="s">
        <v>822</v>
      </c>
      <c r="B436" s="70" t="s">
        <v>823</v>
      </c>
      <c r="C436" s="70" t="s">
        <v>566</v>
      </c>
      <c r="D436" s="69" t="s">
        <v>567</v>
      </c>
      <c r="E436" s="71"/>
      <c r="F436" s="71">
        <v>1425</v>
      </c>
      <c r="G436" s="71"/>
      <c r="H436" s="71">
        <v>1425</v>
      </c>
      <c r="I436" s="69" t="s">
        <v>1741</v>
      </c>
      <c r="J436" s="69" t="s">
        <v>90</v>
      </c>
      <c r="K436" s="72" t="s">
        <v>90</v>
      </c>
    </row>
    <row r="437" spans="1:11" ht="18" hidden="1" customHeight="1">
      <c r="A437" s="68" t="s">
        <v>822</v>
      </c>
      <c r="B437" s="70" t="s">
        <v>823</v>
      </c>
      <c r="C437" s="70" t="s">
        <v>570</v>
      </c>
      <c r="D437" s="69" t="s">
        <v>571</v>
      </c>
      <c r="E437" s="71"/>
      <c r="F437" s="71">
        <v>40000</v>
      </c>
      <c r="G437" s="71"/>
      <c r="H437" s="71">
        <v>40000</v>
      </c>
      <c r="I437" s="69" t="s">
        <v>1742</v>
      </c>
      <c r="J437" s="69" t="s">
        <v>90</v>
      </c>
      <c r="K437" s="72" t="s">
        <v>90</v>
      </c>
    </row>
    <row r="438" spans="1:11" ht="18" hidden="1" customHeight="1">
      <c r="A438" s="68" t="s">
        <v>822</v>
      </c>
      <c r="B438" s="70" t="s">
        <v>823</v>
      </c>
      <c r="C438" s="70" t="s">
        <v>1179</v>
      </c>
      <c r="D438" s="69" t="s">
        <v>1180</v>
      </c>
      <c r="E438" s="71"/>
      <c r="F438" s="71">
        <v>2256450</v>
      </c>
      <c r="G438" s="71"/>
      <c r="H438" s="71">
        <v>2256450</v>
      </c>
      <c r="I438" s="69" t="s">
        <v>90</v>
      </c>
      <c r="J438" s="69" t="s">
        <v>90</v>
      </c>
      <c r="K438" s="72" t="s">
        <v>90</v>
      </c>
    </row>
    <row r="439" spans="1:11" ht="18" hidden="1" customHeight="1">
      <c r="A439" s="68" t="s">
        <v>822</v>
      </c>
      <c r="B439" s="70" t="s">
        <v>823</v>
      </c>
      <c r="C439" s="70" t="s">
        <v>1181</v>
      </c>
      <c r="D439" s="69" t="s">
        <v>1182</v>
      </c>
      <c r="E439" s="71"/>
      <c r="F439" s="71">
        <v>38661</v>
      </c>
      <c r="G439" s="71"/>
      <c r="H439" s="71">
        <v>38661</v>
      </c>
      <c r="I439" s="69" t="s">
        <v>1743</v>
      </c>
      <c r="J439" s="69" t="s">
        <v>90</v>
      </c>
      <c r="K439" s="72" t="s">
        <v>90</v>
      </c>
    </row>
    <row r="440" spans="1:11" ht="18" hidden="1" customHeight="1">
      <c r="A440" s="68" t="s">
        <v>822</v>
      </c>
      <c r="B440" s="70" t="s">
        <v>823</v>
      </c>
      <c r="C440" s="70" t="s">
        <v>1183</v>
      </c>
      <c r="D440" s="69" t="s">
        <v>1184</v>
      </c>
      <c r="E440" s="71"/>
      <c r="F440" s="71">
        <v>2056617</v>
      </c>
      <c r="G440" s="71"/>
      <c r="H440" s="71">
        <v>2056617</v>
      </c>
      <c r="I440" s="69" t="s">
        <v>1744</v>
      </c>
      <c r="J440" s="69" t="s">
        <v>90</v>
      </c>
      <c r="K440" s="72" t="s">
        <v>90</v>
      </c>
    </row>
    <row r="441" spans="1:11" ht="18" hidden="1" customHeight="1">
      <c r="A441" s="68" t="s">
        <v>822</v>
      </c>
      <c r="B441" s="70" t="s">
        <v>823</v>
      </c>
      <c r="C441" s="70" t="s">
        <v>1185</v>
      </c>
      <c r="D441" s="69" t="s">
        <v>1186</v>
      </c>
      <c r="E441" s="71"/>
      <c r="F441" s="71">
        <v>284960</v>
      </c>
      <c r="G441" s="71"/>
      <c r="H441" s="71">
        <v>284960</v>
      </c>
      <c r="I441" s="69" t="s">
        <v>1745</v>
      </c>
      <c r="J441" s="69" t="s">
        <v>90</v>
      </c>
      <c r="K441" s="72" t="s">
        <v>90</v>
      </c>
    </row>
    <row r="442" spans="1:11" ht="18" hidden="1" customHeight="1">
      <c r="A442" s="68" t="s">
        <v>822</v>
      </c>
      <c r="B442" s="70" t="s">
        <v>823</v>
      </c>
      <c r="C442" s="70" t="s">
        <v>1097</v>
      </c>
      <c r="D442" s="69" t="s">
        <v>1098</v>
      </c>
      <c r="E442" s="71"/>
      <c r="F442" s="71">
        <v>100000</v>
      </c>
      <c r="G442" s="71"/>
      <c r="H442" s="71">
        <v>100000</v>
      </c>
      <c r="I442" s="69" t="s">
        <v>1746</v>
      </c>
      <c r="J442" s="69" t="s">
        <v>90</v>
      </c>
      <c r="K442" s="72" t="s">
        <v>90</v>
      </c>
    </row>
    <row r="443" spans="1:11" ht="18" hidden="1" customHeight="1">
      <c r="A443" s="68" t="s">
        <v>822</v>
      </c>
      <c r="B443" s="70" t="s">
        <v>823</v>
      </c>
      <c r="C443" s="70" t="s">
        <v>1105</v>
      </c>
      <c r="D443" s="69" t="s">
        <v>1106</v>
      </c>
      <c r="E443" s="71"/>
      <c r="F443" s="71">
        <v>241744</v>
      </c>
      <c r="G443" s="71"/>
      <c r="H443" s="71">
        <v>241744</v>
      </c>
      <c r="I443" s="69" t="s">
        <v>1747</v>
      </c>
      <c r="J443" s="69" t="s">
        <v>90</v>
      </c>
      <c r="K443" s="72" t="s">
        <v>90</v>
      </c>
    </row>
    <row r="444" spans="1:11" ht="18" hidden="1" customHeight="1">
      <c r="A444" s="68" t="s">
        <v>822</v>
      </c>
      <c r="B444" s="70" t="s">
        <v>823</v>
      </c>
      <c r="C444" s="70" t="s">
        <v>1109</v>
      </c>
      <c r="D444" s="69" t="s">
        <v>1110</v>
      </c>
      <c r="E444" s="71"/>
      <c r="F444" s="71">
        <v>150000</v>
      </c>
      <c r="G444" s="71"/>
      <c r="H444" s="71">
        <v>150000</v>
      </c>
      <c r="I444" s="69" t="s">
        <v>1748</v>
      </c>
      <c r="J444" s="69" t="s">
        <v>90</v>
      </c>
      <c r="K444" s="72" t="s">
        <v>90</v>
      </c>
    </row>
    <row r="445" spans="1:11" ht="18" hidden="1" customHeight="1">
      <c r="A445" s="68" t="s">
        <v>822</v>
      </c>
      <c r="B445" s="70" t="s">
        <v>823</v>
      </c>
      <c r="C445" s="70" t="s">
        <v>1111</v>
      </c>
      <c r="D445" s="69" t="s">
        <v>1112</v>
      </c>
      <c r="E445" s="71"/>
      <c r="F445" s="71">
        <v>114830</v>
      </c>
      <c r="G445" s="71"/>
      <c r="H445" s="71">
        <v>114830</v>
      </c>
      <c r="I445" s="69" t="s">
        <v>1749</v>
      </c>
      <c r="J445" s="69" t="s">
        <v>90</v>
      </c>
      <c r="K445" s="72" t="s">
        <v>90</v>
      </c>
    </row>
    <row r="446" spans="1:11" ht="18" hidden="1" customHeight="1">
      <c r="A446" s="68" t="s">
        <v>822</v>
      </c>
      <c r="B446" s="70" t="s">
        <v>823</v>
      </c>
      <c r="C446" s="70" t="s">
        <v>1187</v>
      </c>
      <c r="D446" s="69" t="s">
        <v>1188</v>
      </c>
      <c r="E446" s="71"/>
      <c r="F446" s="71">
        <v>35000</v>
      </c>
      <c r="G446" s="71"/>
      <c r="H446" s="71">
        <v>35000</v>
      </c>
      <c r="I446" s="69" t="s">
        <v>1750</v>
      </c>
      <c r="J446" s="69" t="s">
        <v>90</v>
      </c>
      <c r="K446" s="72" t="s">
        <v>90</v>
      </c>
    </row>
    <row r="447" spans="1:11" ht="18" hidden="1" customHeight="1" thickBot="1">
      <c r="A447" s="68" t="s">
        <v>822</v>
      </c>
      <c r="B447" s="70" t="s">
        <v>823</v>
      </c>
      <c r="C447" s="70" t="s">
        <v>368</v>
      </c>
      <c r="D447" s="69" t="s">
        <v>369</v>
      </c>
      <c r="E447" s="71"/>
      <c r="F447" s="71">
        <v>-1706800</v>
      </c>
      <c r="G447" s="71"/>
      <c r="H447" s="71">
        <v>-1706800</v>
      </c>
      <c r="I447" s="69" t="s">
        <v>90</v>
      </c>
      <c r="J447" s="69" t="s">
        <v>1398</v>
      </c>
      <c r="K447" s="72" t="s">
        <v>90</v>
      </c>
    </row>
    <row r="448" spans="1:11" ht="18" hidden="1" customHeight="1" thickBot="1">
      <c r="A448" s="78" t="s">
        <v>363</v>
      </c>
      <c r="B448" s="80" t="s">
        <v>90</v>
      </c>
      <c r="C448" s="80" t="s">
        <v>90</v>
      </c>
      <c r="D448" s="79" t="s">
        <v>90</v>
      </c>
      <c r="E448" s="81"/>
      <c r="F448" s="81">
        <v>1518643216</v>
      </c>
      <c r="G448" s="81">
        <v>1518643216</v>
      </c>
      <c r="H448" s="81"/>
      <c r="I448" s="79" t="s">
        <v>90</v>
      </c>
      <c r="J448" s="79" t="s">
        <v>90</v>
      </c>
      <c r="K448" s="82" t="s">
        <v>90</v>
      </c>
    </row>
    <row r="449" spans="1:11" ht="5.25" hidden="1" customHeight="1"/>
    <row r="450" spans="1:11" ht="31.5" hidden="1" customHeight="1">
      <c r="F450" s="61" t="s">
        <v>826</v>
      </c>
    </row>
    <row r="451" spans="1:11" ht="7.9" hidden="1" customHeight="1"/>
    <row r="452" spans="1:11" ht="15" hidden="1" customHeight="1">
      <c r="F452" s="62" t="s">
        <v>996</v>
      </c>
    </row>
    <row r="453" spans="1:11" ht="20.100000000000001" hidden="1" customHeight="1"/>
    <row r="454" spans="1:11" ht="15" hidden="1" customHeight="1" thickBot="1">
      <c r="A454" s="63" t="s">
        <v>1013</v>
      </c>
      <c r="K454" s="64" t="s">
        <v>336</v>
      </c>
    </row>
    <row r="455" spans="1:11" ht="18" hidden="1" customHeight="1" thickBot="1">
      <c r="A455" s="65" t="s">
        <v>337</v>
      </c>
      <c r="B455" s="66" t="s">
        <v>338</v>
      </c>
      <c r="C455" s="66" t="s">
        <v>337</v>
      </c>
      <c r="D455" s="66" t="s">
        <v>339</v>
      </c>
      <c r="E455" s="66" t="s">
        <v>1369</v>
      </c>
      <c r="F455" s="66" t="s">
        <v>997</v>
      </c>
      <c r="G455" s="66" t="s">
        <v>998</v>
      </c>
      <c r="H455" s="66" t="s">
        <v>340</v>
      </c>
      <c r="I455" s="66" t="s">
        <v>1370</v>
      </c>
      <c r="J455" s="66" t="s">
        <v>1371</v>
      </c>
      <c r="K455" s="67" t="s">
        <v>331</v>
      </c>
    </row>
    <row r="456" spans="1:11" ht="18" hidden="1" customHeight="1" thickBot="1">
      <c r="A456" s="68" t="s">
        <v>827</v>
      </c>
      <c r="B456" s="70" t="s">
        <v>18</v>
      </c>
      <c r="C456" s="70" t="s">
        <v>90</v>
      </c>
      <c r="D456" s="69" t="s">
        <v>447</v>
      </c>
      <c r="E456" s="71">
        <v>202215005</v>
      </c>
      <c r="F456" s="71"/>
      <c r="G456" s="71">
        <v>157035693</v>
      </c>
      <c r="H456" s="71">
        <v>45179312</v>
      </c>
      <c r="I456" s="69" t="s">
        <v>90</v>
      </c>
      <c r="J456" s="69" t="s">
        <v>90</v>
      </c>
      <c r="K456" s="72" t="s">
        <v>90</v>
      </c>
    </row>
    <row r="457" spans="1:11" ht="18" hidden="1" customHeight="1" thickBot="1">
      <c r="A457" s="78" t="s">
        <v>363</v>
      </c>
      <c r="B457" s="80" t="s">
        <v>90</v>
      </c>
      <c r="C457" s="80" t="s">
        <v>90</v>
      </c>
      <c r="D457" s="79" t="s">
        <v>90</v>
      </c>
      <c r="E457" s="81">
        <v>202215005</v>
      </c>
      <c r="F457" s="81"/>
      <c r="G457" s="81">
        <v>157035693</v>
      </c>
      <c r="H457" s="81">
        <v>45179312</v>
      </c>
      <c r="I457" s="79" t="s">
        <v>90</v>
      </c>
      <c r="J457" s="79" t="s">
        <v>90</v>
      </c>
      <c r="K457" s="82" t="s">
        <v>90</v>
      </c>
    </row>
    <row r="458" spans="1:11" ht="5.25" hidden="1" customHeight="1"/>
    <row r="459" spans="1:11" ht="31.5" hidden="1" customHeight="1">
      <c r="F459" s="61" t="s">
        <v>828</v>
      </c>
    </row>
    <row r="460" spans="1:11" ht="8.1" hidden="1" customHeight="1"/>
    <row r="461" spans="1:11" ht="15" hidden="1" customHeight="1">
      <c r="F461" s="62" t="s">
        <v>996</v>
      </c>
    </row>
    <row r="462" spans="1:11" ht="20.100000000000001" hidden="1" customHeight="1"/>
    <row r="463" spans="1:11" ht="15" hidden="1" customHeight="1" thickBot="1">
      <c r="A463" s="63" t="s">
        <v>1013</v>
      </c>
      <c r="K463" s="64" t="s">
        <v>336</v>
      </c>
    </row>
    <row r="464" spans="1:11" ht="18" hidden="1" customHeight="1" thickBot="1">
      <c r="A464" s="65" t="s">
        <v>337</v>
      </c>
      <c r="B464" s="66" t="s">
        <v>338</v>
      </c>
      <c r="C464" s="66" t="s">
        <v>337</v>
      </c>
      <c r="D464" s="66" t="s">
        <v>339</v>
      </c>
      <c r="E464" s="66" t="s">
        <v>1369</v>
      </c>
      <c r="F464" s="66" t="s">
        <v>997</v>
      </c>
      <c r="G464" s="66" t="s">
        <v>998</v>
      </c>
      <c r="H464" s="66" t="s">
        <v>340</v>
      </c>
      <c r="I464" s="66" t="s">
        <v>1370</v>
      </c>
      <c r="J464" s="66" t="s">
        <v>1371</v>
      </c>
      <c r="K464" s="67" t="s">
        <v>331</v>
      </c>
    </row>
    <row r="465" spans="1:11" ht="18" hidden="1" customHeight="1" thickBot="1">
      <c r="A465" s="68" t="s">
        <v>829</v>
      </c>
      <c r="B465" s="70" t="s">
        <v>22</v>
      </c>
      <c r="C465" s="70" t="s">
        <v>830</v>
      </c>
      <c r="D465" s="69" t="s">
        <v>831</v>
      </c>
      <c r="E465" s="71">
        <v>468405</v>
      </c>
      <c r="F465" s="71">
        <v>802980</v>
      </c>
      <c r="G465" s="71"/>
      <c r="H465" s="71">
        <v>1271385</v>
      </c>
      <c r="I465" s="69" t="s">
        <v>90</v>
      </c>
      <c r="J465" s="69" t="s">
        <v>90</v>
      </c>
      <c r="K465" s="72" t="s">
        <v>90</v>
      </c>
    </row>
    <row r="466" spans="1:11" ht="18" hidden="1" customHeight="1" thickBot="1">
      <c r="A466" s="78" t="s">
        <v>363</v>
      </c>
      <c r="B466" s="80" t="s">
        <v>90</v>
      </c>
      <c r="C466" s="80" t="s">
        <v>90</v>
      </c>
      <c r="D466" s="79" t="s">
        <v>90</v>
      </c>
      <c r="E466" s="81">
        <v>468405</v>
      </c>
      <c r="F466" s="81">
        <v>802980</v>
      </c>
      <c r="G466" s="81"/>
      <c r="H466" s="81">
        <v>1271385</v>
      </c>
      <c r="I466" s="79" t="s">
        <v>90</v>
      </c>
      <c r="J466" s="79" t="s">
        <v>90</v>
      </c>
      <c r="K466" s="82" t="s">
        <v>90</v>
      </c>
    </row>
    <row r="467" spans="1:11" hidden="1"/>
    <row r="468" spans="1:11" hidden="1"/>
    <row r="469" spans="1:11" ht="31.5" hidden="1" customHeight="1">
      <c r="F469" s="61" t="s">
        <v>1189</v>
      </c>
    </row>
    <row r="470" spans="1:11" ht="7.9" hidden="1" customHeight="1"/>
    <row r="471" spans="1:11" ht="15" hidden="1" customHeight="1">
      <c r="F471" s="62" t="s">
        <v>996</v>
      </c>
    </row>
    <row r="472" spans="1:11" ht="20.100000000000001" hidden="1" customHeight="1"/>
    <row r="473" spans="1:11" ht="15" hidden="1" customHeight="1" thickBot="1">
      <c r="A473" s="63" t="s">
        <v>1013</v>
      </c>
      <c r="K473" s="64" t="s">
        <v>336</v>
      </c>
    </row>
    <row r="474" spans="1:11" ht="18" hidden="1" customHeight="1" thickBot="1">
      <c r="A474" s="65" t="s">
        <v>337</v>
      </c>
      <c r="B474" s="66" t="s">
        <v>338</v>
      </c>
      <c r="C474" s="66" t="s">
        <v>337</v>
      </c>
      <c r="D474" s="66" t="s">
        <v>339</v>
      </c>
      <c r="E474" s="66" t="s">
        <v>1369</v>
      </c>
      <c r="F474" s="66" t="s">
        <v>997</v>
      </c>
      <c r="G474" s="66" t="s">
        <v>998</v>
      </c>
      <c r="H474" s="66" t="s">
        <v>340</v>
      </c>
      <c r="I474" s="66" t="s">
        <v>1370</v>
      </c>
      <c r="J474" s="66" t="s">
        <v>1371</v>
      </c>
      <c r="K474" s="67" t="s">
        <v>331</v>
      </c>
    </row>
    <row r="475" spans="1:11" ht="18" hidden="1" customHeight="1">
      <c r="A475" s="68" t="s">
        <v>1190</v>
      </c>
      <c r="B475" s="70" t="s">
        <v>24</v>
      </c>
      <c r="C475" s="70" t="s">
        <v>90</v>
      </c>
      <c r="D475" s="69" t="s">
        <v>447</v>
      </c>
      <c r="E475" s="71">
        <v>3522693120</v>
      </c>
      <c r="F475" s="71"/>
      <c r="G475" s="71"/>
      <c r="H475" s="71">
        <v>3522693120</v>
      </c>
      <c r="I475" s="69" t="s">
        <v>90</v>
      </c>
      <c r="J475" s="69" t="s">
        <v>90</v>
      </c>
      <c r="K475" s="72" t="s">
        <v>90</v>
      </c>
    </row>
    <row r="476" spans="1:11" ht="18" hidden="1" customHeight="1">
      <c r="A476" s="68" t="s">
        <v>1190</v>
      </c>
      <c r="B476" s="70" t="s">
        <v>24</v>
      </c>
      <c r="C476" s="70" t="s">
        <v>502</v>
      </c>
      <c r="D476" s="69" t="s">
        <v>503</v>
      </c>
      <c r="E476" s="71">
        <v>5295740</v>
      </c>
      <c r="F476" s="71"/>
      <c r="G476" s="71"/>
      <c r="H476" s="71">
        <v>5295740</v>
      </c>
      <c r="I476" s="69" t="s">
        <v>1751</v>
      </c>
      <c r="J476" s="69" t="s">
        <v>90</v>
      </c>
      <c r="K476" s="72" t="s">
        <v>90</v>
      </c>
    </row>
    <row r="477" spans="1:11" ht="18" hidden="1" customHeight="1" thickBot="1">
      <c r="A477" s="68" t="s">
        <v>1190</v>
      </c>
      <c r="B477" s="70" t="s">
        <v>24</v>
      </c>
      <c r="C477" s="70" t="s">
        <v>450</v>
      </c>
      <c r="D477" s="69" t="s">
        <v>451</v>
      </c>
      <c r="E477" s="71">
        <v>52495250</v>
      </c>
      <c r="F477" s="71"/>
      <c r="G477" s="71"/>
      <c r="H477" s="71">
        <v>52495250</v>
      </c>
      <c r="I477" s="69" t="s">
        <v>90</v>
      </c>
      <c r="J477" s="69" t="s">
        <v>90</v>
      </c>
      <c r="K477" s="72" t="s">
        <v>90</v>
      </c>
    </row>
    <row r="478" spans="1:11" ht="18" hidden="1" customHeight="1" thickBot="1">
      <c r="A478" s="78" t="s">
        <v>363</v>
      </c>
      <c r="B478" s="80" t="s">
        <v>90</v>
      </c>
      <c r="C478" s="80" t="s">
        <v>90</v>
      </c>
      <c r="D478" s="79" t="s">
        <v>90</v>
      </c>
      <c r="E478" s="81">
        <v>3580484110</v>
      </c>
      <c r="F478" s="81"/>
      <c r="G478" s="81"/>
      <c r="H478" s="81">
        <v>3580484110</v>
      </c>
      <c r="I478" s="79" t="s">
        <v>90</v>
      </c>
      <c r="J478" s="79" t="s">
        <v>90</v>
      </c>
      <c r="K478" s="82" t="s">
        <v>90</v>
      </c>
    </row>
    <row r="479" spans="1:11" ht="5.25" hidden="1" customHeight="1"/>
    <row r="480" spans="1:11" ht="31.5" hidden="1" customHeight="1">
      <c r="F480" s="61" t="s">
        <v>1191</v>
      </c>
    </row>
    <row r="481" spans="1:11" ht="8.1" hidden="1" customHeight="1"/>
    <row r="482" spans="1:11" ht="15" hidden="1" customHeight="1">
      <c r="F482" s="62" t="s">
        <v>996</v>
      </c>
    </row>
    <row r="483" spans="1:11" ht="20.100000000000001" hidden="1" customHeight="1"/>
    <row r="484" spans="1:11" ht="15" hidden="1" customHeight="1" thickBot="1">
      <c r="A484" s="63" t="s">
        <v>1013</v>
      </c>
      <c r="K484" s="64" t="s">
        <v>336</v>
      </c>
    </row>
    <row r="485" spans="1:11" ht="18" hidden="1" customHeight="1" thickBot="1">
      <c r="A485" s="65" t="s">
        <v>337</v>
      </c>
      <c r="B485" s="66" t="s">
        <v>338</v>
      </c>
      <c r="C485" s="66" t="s">
        <v>337</v>
      </c>
      <c r="D485" s="66" t="s">
        <v>339</v>
      </c>
      <c r="E485" s="66" t="s">
        <v>1369</v>
      </c>
      <c r="F485" s="66" t="s">
        <v>997</v>
      </c>
      <c r="G485" s="66" t="s">
        <v>998</v>
      </c>
      <c r="H485" s="66" t="s">
        <v>340</v>
      </c>
      <c r="I485" s="66" t="s">
        <v>1370</v>
      </c>
      <c r="J485" s="66" t="s">
        <v>1371</v>
      </c>
      <c r="K485" s="67" t="s">
        <v>331</v>
      </c>
    </row>
    <row r="486" spans="1:11" ht="18" hidden="1" customHeight="1">
      <c r="A486" s="68" t="s">
        <v>1192</v>
      </c>
      <c r="B486" s="70" t="s">
        <v>25</v>
      </c>
      <c r="C486" s="70" t="s">
        <v>90</v>
      </c>
      <c r="D486" s="69" t="s">
        <v>447</v>
      </c>
      <c r="E486" s="71">
        <v>6395304665</v>
      </c>
      <c r="F486" s="71"/>
      <c r="G486" s="71"/>
      <c r="H486" s="71">
        <v>6395304665</v>
      </c>
      <c r="I486" s="69" t="s">
        <v>90</v>
      </c>
      <c r="J486" s="69" t="s">
        <v>90</v>
      </c>
      <c r="K486" s="72" t="s">
        <v>90</v>
      </c>
    </row>
    <row r="487" spans="1:11" ht="18" hidden="1" customHeight="1">
      <c r="A487" s="68" t="s">
        <v>1192</v>
      </c>
      <c r="B487" s="70" t="s">
        <v>25</v>
      </c>
      <c r="C487" s="70" t="s">
        <v>502</v>
      </c>
      <c r="D487" s="69" t="s">
        <v>503</v>
      </c>
      <c r="E487" s="71">
        <v>2133500</v>
      </c>
      <c r="F487" s="71"/>
      <c r="G487" s="71"/>
      <c r="H487" s="71">
        <v>2133500</v>
      </c>
      <c r="I487" s="69" t="s">
        <v>1751</v>
      </c>
      <c r="J487" s="69" t="s">
        <v>90</v>
      </c>
      <c r="K487" s="72" t="s">
        <v>90</v>
      </c>
    </row>
    <row r="488" spans="1:11" ht="18" hidden="1" customHeight="1">
      <c r="A488" s="68" t="s">
        <v>1192</v>
      </c>
      <c r="B488" s="70" t="s">
        <v>25</v>
      </c>
      <c r="C488" s="70" t="s">
        <v>1193</v>
      </c>
      <c r="D488" s="69" t="s">
        <v>1194</v>
      </c>
      <c r="E488" s="71">
        <v>12250000</v>
      </c>
      <c r="F488" s="71"/>
      <c r="G488" s="71"/>
      <c r="H488" s="71">
        <v>12250000</v>
      </c>
      <c r="I488" s="69" t="s">
        <v>1752</v>
      </c>
      <c r="J488" s="69" t="s">
        <v>90</v>
      </c>
      <c r="K488" s="72" t="s">
        <v>90</v>
      </c>
    </row>
    <row r="489" spans="1:11" ht="18" hidden="1" customHeight="1">
      <c r="A489" s="68" t="s">
        <v>1192</v>
      </c>
      <c r="B489" s="70" t="s">
        <v>25</v>
      </c>
      <c r="C489" s="70" t="s">
        <v>1195</v>
      </c>
      <c r="D489" s="69" t="s">
        <v>1196</v>
      </c>
      <c r="E489" s="71">
        <v>21190909</v>
      </c>
      <c r="F489" s="71"/>
      <c r="G489" s="71"/>
      <c r="H489" s="71">
        <v>21190909</v>
      </c>
      <c r="I489" s="69" t="s">
        <v>1753</v>
      </c>
      <c r="J489" s="69" t="s">
        <v>90</v>
      </c>
      <c r="K489" s="72" t="s">
        <v>90</v>
      </c>
    </row>
    <row r="490" spans="1:11" ht="18" hidden="1" customHeight="1" thickBot="1">
      <c r="A490" s="68" t="s">
        <v>1192</v>
      </c>
      <c r="B490" s="70" t="s">
        <v>25</v>
      </c>
      <c r="C490" s="70" t="s">
        <v>1197</v>
      </c>
      <c r="D490" s="69" t="s">
        <v>1198</v>
      </c>
      <c r="E490" s="71">
        <v>150000000</v>
      </c>
      <c r="F490" s="71"/>
      <c r="G490" s="71"/>
      <c r="H490" s="71">
        <v>150000000</v>
      </c>
      <c r="I490" s="69" t="s">
        <v>1754</v>
      </c>
      <c r="J490" s="69" t="s">
        <v>90</v>
      </c>
      <c r="K490" s="72" t="s">
        <v>90</v>
      </c>
    </row>
    <row r="491" spans="1:11" ht="18" hidden="1" customHeight="1" thickBot="1">
      <c r="A491" s="78" t="s">
        <v>363</v>
      </c>
      <c r="B491" s="80" t="s">
        <v>90</v>
      </c>
      <c r="C491" s="80" t="s">
        <v>90</v>
      </c>
      <c r="D491" s="79" t="s">
        <v>90</v>
      </c>
      <c r="E491" s="81">
        <v>6580879074</v>
      </c>
      <c r="F491" s="81"/>
      <c r="G491" s="81"/>
      <c r="H491" s="81">
        <v>6580879074</v>
      </c>
      <c r="I491" s="79" t="s">
        <v>90</v>
      </c>
      <c r="J491" s="79" t="s">
        <v>90</v>
      </c>
      <c r="K491" s="82" t="s">
        <v>90</v>
      </c>
    </row>
    <row r="492" spans="1:11" ht="5.25" hidden="1" customHeight="1"/>
    <row r="493" spans="1:11" ht="31.5" hidden="1" customHeight="1">
      <c r="F493" s="61" t="s">
        <v>1199</v>
      </c>
    </row>
    <row r="494" spans="1:11" ht="8.1" hidden="1" customHeight="1"/>
    <row r="495" spans="1:11" ht="15" hidden="1" customHeight="1">
      <c r="F495" s="62" t="s">
        <v>996</v>
      </c>
    </row>
    <row r="496" spans="1:11" ht="20.100000000000001" hidden="1" customHeight="1"/>
    <row r="497" spans="1:11" ht="15" hidden="1" customHeight="1" thickBot="1">
      <c r="A497" s="63" t="s">
        <v>1013</v>
      </c>
      <c r="K497" s="64" t="s">
        <v>336</v>
      </c>
    </row>
    <row r="498" spans="1:11" ht="18" hidden="1" customHeight="1" thickBot="1">
      <c r="A498" s="65" t="s">
        <v>337</v>
      </c>
      <c r="B498" s="66" t="s">
        <v>338</v>
      </c>
      <c r="C498" s="66" t="s">
        <v>337</v>
      </c>
      <c r="D498" s="66" t="s">
        <v>339</v>
      </c>
      <c r="E498" s="66" t="s">
        <v>1369</v>
      </c>
      <c r="F498" s="66" t="s">
        <v>997</v>
      </c>
      <c r="G498" s="66" t="s">
        <v>998</v>
      </c>
      <c r="H498" s="66" t="s">
        <v>340</v>
      </c>
      <c r="I498" s="66" t="s">
        <v>1370</v>
      </c>
      <c r="J498" s="66" t="s">
        <v>1371</v>
      </c>
      <c r="K498" s="67" t="s">
        <v>331</v>
      </c>
    </row>
    <row r="499" spans="1:11" ht="18" hidden="1" customHeight="1" thickBot="1">
      <c r="A499" s="68" t="s">
        <v>1200</v>
      </c>
      <c r="B499" s="70" t="s">
        <v>26</v>
      </c>
      <c r="C499" s="70" t="s">
        <v>90</v>
      </c>
      <c r="D499" s="69" t="s">
        <v>447</v>
      </c>
      <c r="E499" s="71">
        <v>531813277</v>
      </c>
      <c r="F499" s="71">
        <v>164521976</v>
      </c>
      <c r="G499" s="71"/>
      <c r="H499" s="71">
        <v>696335253</v>
      </c>
      <c r="I499" s="69" t="s">
        <v>90</v>
      </c>
      <c r="J499" s="69" t="s">
        <v>90</v>
      </c>
      <c r="K499" s="72" t="s">
        <v>90</v>
      </c>
    </row>
    <row r="500" spans="1:11" ht="18" hidden="1" customHeight="1" thickBot="1">
      <c r="A500" s="78" t="s">
        <v>363</v>
      </c>
      <c r="B500" s="80" t="s">
        <v>90</v>
      </c>
      <c r="C500" s="80" t="s">
        <v>90</v>
      </c>
      <c r="D500" s="79" t="s">
        <v>90</v>
      </c>
      <c r="E500" s="81">
        <v>531813277</v>
      </c>
      <c r="F500" s="81">
        <v>164521976</v>
      </c>
      <c r="G500" s="81"/>
      <c r="H500" s="81">
        <v>696335253</v>
      </c>
      <c r="I500" s="79" t="s">
        <v>90</v>
      </c>
      <c r="J500" s="79" t="s">
        <v>90</v>
      </c>
      <c r="K500" s="82" t="s">
        <v>90</v>
      </c>
    </row>
    <row r="501" spans="1:11" ht="5.25" hidden="1" customHeight="1"/>
    <row r="502" spans="1:11" ht="31.5" hidden="1" customHeight="1">
      <c r="F502" s="61" t="s">
        <v>1201</v>
      </c>
    </row>
    <row r="503" spans="1:11" ht="7.9" hidden="1" customHeight="1"/>
    <row r="504" spans="1:11" ht="15" hidden="1" customHeight="1">
      <c r="F504" s="62" t="s">
        <v>996</v>
      </c>
    </row>
    <row r="505" spans="1:11" ht="20.100000000000001" hidden="1" customHeight="1"/>
    <row r="506" spans="1:11" ht="15" hidden="1" customHeight="1" thickBot="1">
      <c r="A506" s="63" t="s">
        <v>1013</v>
      </c>
      <c r="K506" s="64" t="s">
        <v>336</v>
      </c>
    </row>
    <row r="507" spans="1:11" ht="18" hidden="1" customHeight="1" thickBot="1">
      <c r="A507" s="65" t="s">
        <v>337</v>
      </c>
      <c r="B507" s="66" t="s">
        <v>338</v>
      </c>
      <c r="C507" s="66" t="s">
        <v>337</v>
      </c>
      <c r="D507" s="66" t="s">
        <v>339</v>
      </c>
      <c r="E507" s="66" t="s">
        <v>1369</v>
      </c>
      <c r="F507" s="66" t="s">
        <v>997</v>
      </c>
      <c r="G507" s="66" t="s">
        <v>998</v>
      </c>
      <c r="H507" s="66" t="s">
        <v>340</v>
      </c>
      <c r="I507" s="66" t="s">
        <v>1370</v>
      </c>
      <c r="J507" s="66" t="s">
        <v>1371</v>
      </c>
      <c r="K507" s="67" t="s">
        <v>331</v>
      </c>
    </row>
    <row r="508" spans="1:11" ht="18" hidden="1" customHeight="1">
      <c r="A508" s="68" t="s">
        <v>1202</v>
      </c>
      <c r="B508" s="70" t="s">
        <v>27</v>
      </c>
      <c r="C508" s="70" t="s">
        <v>90</v>
      </c>
      <c r="D508" s="69" t="s">
        <v>447</v>
      </c>
      <c r="E508" s="71">
        <v>6600000</v>
      </c>
      <c r="F508" s="71"/>
      <c r="G508" s="71"/>
      <c r="H508" s="71">
        <v>6600000</v>
      </c>
      <c r="I508" s="69" t="s">
        <v>90</v>
      </c>
      <c r="J508" s="69" t="s">
        <v>90</v>
      </c>
      <c r="K508" s="72" t="s">
        <v>90</v>
      </c>
    </row>
    <row r="509" spans="1:11" ht="18" hidden="1" customHeight="1" thickBot="1">
      <c r="A509" s="68" t="s">
        <v>1202</v>
      </c>
      <c r="B509" s="70" t="s">
        <v>27</v>
      </c>
      <c r="C509" s="70" t="s">
        <v>1203</v>
      </c>
      <c r="D509" s="69" t="s">
        <v>1204</v>
      </c>
      <c r="E509" s="71">
        <v>1600000</v>
      </c>
      <c r="F509" s="71"/>
      <c r="G509" s="71"/>
      <c r="H509" s="71">
        <v>1600000</v>
      </c>
      <c r="I509" s="69" t="s">
        <v>1755</v>
      </c>
      <c r="J509" s="69" t="s">
        <v>90</v>
      </c>
      <c r="K509" s="72" t="s">
        <v>90</v>
      </c>
    </row>
    <row r="510" spans="1:11" ht="18" hidden="1" customHeight="1" thickBot="1">
      <c r="A510" s="78" t="s">
        <v>363</v>
      </c>
      <c r="B510" s="80" t="s">
        <v>90</v>
      </c>
      <c r="C510" s="80" t="s">
        <v>90</v>
      </c>
      <c r="D510" s="79" t="s">
        <v>90</v>
      </c>
      <c r="E510" s="81">
        <v>8200000</v>
      </c>
      <c r="F510" s="81"/>
      <c r="G510" s="81"/>
      <c r="H510" s="81">
        <v>8200000</v>
      </c>
      <c r="I510" s="79" t="s">
        <v>90</v>
      </c>
      <c r="J510" s="79" t="s">
        <v>90</v>
      </c>
      <c r="K510" s="82" t="s">
        <v>90</v>
      </c>
    </row>
    <row r="511" spans="1:11" hidden="1"/>
    <row r="512" spans="1:11" hidden="1"/>
    <row r="513" spans="1:11" ht="31.5" hidden="1" customHeight="1">
      <c r="F513" s="61" t="s">
        <v>1199</v>
      </c>
    </row>
    <row r="514" spans="1:11" ht="7.9" hidden="1" customHeight="1"/>
    <row r="515" spans="1:11" ht="15" hidden="1" customHeight="1">
      <c r="F515" s="62" t="s">
        <v>996</v>
      </c>
    </row>
    <row r="516" spans="1:11" ht="20.100000000000001" hidden="1" customHeight="1"/>
    <row r="517" spans="1:11" ht="15" hidden="1" customHeight="1" thickBot="1">
      <c r="A517" s="63" t="s">
        <v>1013</v>
      </c>
      <c r="K517" s="64" t="s">
        <v>336</v>
      </c>
    </row>
    <row r="518" spans="1:11" ht="18" hidden="1" customHeight="1" thickBot="1">
      <c r="A518" s="65" t="s">
        <v>337</v>
      </c>
      <c r="B518" s="66" t="s">
        <v>338</v>
      </c>
      <c r="C518" s="66" t="s">
        <v>337</v>
      </c>
      <c r="D518" s="66" t="s">
        <v>339</v>
      </c>
      <c r="E518" s="66" t="s">
        <v>1369</v>
      </c>
      <c r="F518" s="66" t="s">
        <v>997</v>
      </c>
      <c r="G518" s="66" t="s">
        <v>998</v>
      </c>
      <c r="H518" s="66" t="s">
        <v>340</v>
      </c>
      <c r="I518" s="66" t="s">
        <v>1370</v>
      </c>
      <c r="J518" s="66" t="s">
        <v>1371</v>
      </c>
      <c r="K518" s="67" t="s">
        <v>331</v>
      </c>
    </row>
    <row r="519" spans="1:11" ht="18" hidden="1" customHeight="1" thickBot="1">
      <c r="A519" s="68" t="s">
        <v>1205</v>
      </c>
      <c r="B519" s="70" t="s">
        <v>26</v>
      </c>
      <c r="C519" s="70" t="s">
        <v>90</v>
      </c>
      <c r="D519" s="69" t="s">
        <v>447</v>
      </c>
      <c r="E519" s="71">
        <v>7753006</v>
      </c>
      <c r="F519" s="71">
        <v>201143</v>
      </c>
      <c r="G519" s="71"/>
      <c r="H519" s="71">
        <v>7954149</v>
      </c>
      <c r="I519" s="69" t="s">
        <v>90</v>
      </c>
      <c r="J519" s="69" t="s">
        <v>90</v>
      </c>
      <c r="K519" s="72" t="s">
        <v>90</v>
      </c>
    </row>
    <row r="520" spans="1:11" ht="18" hidden="1" customHeight="1" thickBot="1">
      <c r="A520" s="78" t="s">
        <v>363</v>
      </c>
      <c r="B520" s="80" t="s">
        <v>90</v>
      </c>
      <c r="C520" s="80" t="s">
        <v>90</v>
      </c>
      <c r="D520" s="79" t="s">
        <v>90</v>
      </c>
      <c r="E520" s="81">
        <v>7753006</v>
      </c>
      <c r="F520" s="81">
        <v>201143</v>
      </c>
      <c r="G520" s="81"/>
      <c r="H520" s="81">
        <v>7954149</v>
      </c>
      <c r="I520" s="79" t="s">
        <v>90</v>
      </c>
      <c r="J520" s="79" t="s">
        <v>90</v>
      </c>
      <c r="K520" s="82" t="s">
        <v>90</v>
      </c>
    </row>
    <row r="521" spans="1:11" ht="5.25" hidden="1" customHeight="1"/>
    <row r="522" spans="1:11" ht="31.5" hidden="1" customHeight="1">
      <c r="F522" s="61" t="s">
        <v>1206</v>
      </c>
    </row>
    <row r="523" spans="1:11" ht="8.1" hidden="1" customHeight="1"/>
    <row r="524" spans="1:11" ht="15" hidden="1" customHeight="1">
      <c r="F524" s="62" t="s">
        <v>996</v>
      </c>
    </row>
    <row r="525" spans="1:11" ht="20.100000000000001" hidden="1" customHeight="1"/>
    <row r="526" spans="1:11" ht="15" hidden="1" customHeight="1" thickBot="1">
      <c r="A526" s="63" t="s">
        <v>1013</v>
      </c>
      <c r="K526" s="64" t="s">
        <v>336</v>
      </c>
    </row>
    <row r="527" spans="1:11" ht="18" hidden="1" customHeight="1" thickBot="1">
      <c r="A527" s="65" t="s">
        <v>337</v>
      </c>
      <c r="B527" s="66" t="s">
        <v>338</v>
      </c>
      <c r="C527" s="66" t="s">
        <v>337</v>
      </c>
      <c r="D527" s="66" t="s">
        <v>339</v>
      </c>
      <c r="E527" s="66" t="s">
        <v>1369</v>
      </c>
      <c r="F527" s="66" t="s">
        <v>997</v>
      </c>
      <c r="G527" s="66" t="s">
        <v>998</v>
      </c>
      <c r="H527" s="66" t="s">
        <v>340</v>
      </c>
      <c r="I527" s="66" t="s">
        <v>1370</v>
      </c>
      <c r="J527" s="66" t="s">
        <v>1371</v>
      </c>
      <c r="K527" s="67" t="s">
        <v>331</v>
      </c>
    </row>
    <row r="528" spans="1:11" ht="18" hidden="1" customHeight="1">
      <c r="A528" s="68" t="s">
        <v>1207</v>
      </c>
      <c r="B528" s="70" t="s">
        <v>28</v>
      </c>
      <c r="C528" s="70" t="s">
        <v>90</v>
      </c>
      <c r="D528" s="69" t="s">
        <v>447</v>
      </c>
      <c r="E528" s="71">
        <v>195002397</v>
      </c>
      <c r="F528" s="71"/>
      <c r="G528" s="71"/>
      <c r="H528" s="71">
        <v>195002397</v>
      </c>
      <c r="I528" s="69" t="s">
        <v>90</v>
      </c>
      <c r="J528" s="69" t="s">
        <v>90</v>
      </c>
      <c r="K528" s="72" t="s">
        <v>90</v>
      </c>
    </row>
    <row r="529" spans="1:11" ht="18" hidden="1" customHeight="1">
      <c r="A529" s="68" t="s">
        <v>1207</v>
      </c>
      <c r="B529" s="70" t="s">
        <v>28</v>
      </c>
      <c r="C529" s="70" t="s">
        <v>1208</v>
      </c>
      <c r="D529" s="69" t="s">
        <v>1209</v>
      </c>
      <c r="E529" s="71">
        <v>17550000</v>
      </c>
      <c r="F529" s="71"/>
      <c r="G529" s="71"/>
      <c r="H529" s="71">
        <v>17550000</v>
      </c>
      <c r="I529" s="69" t="s">
        <v>1756</v>
      </c>
      <c r="J529" s="69" t="s">
        <v>90</v>
      </c>
      <c r="K529" s="72" t="s">
        <v>90</v>
      </c>
    </row>
    <row r="530" spans="1:11" ht="18" hidden="1" customHeight="1">
      <c r="A530" s="68" t="s">
        <v>1207</v>
      </c>
      <c r="B530" s="70" t="s">
        <v>28</v>
      </c>
      <c r="C530" s="70" t="s">
        <v>1210</v>
      </c>
      <c r="D530" s="69" t="s">
        <v>1211</v>
      </c>
      <c r="E530" s="71">
        <v>-62986668</v>
      </c>
      <c r="F530" s="71"/>
      <c r="G530" s="71"/>
      <c r="H530" s="71">
        <v>-62986668</v>
      </c>
      <c r="I530" s="69" t="s">
        <v>1757</v>
      </c>
      <c r="J530" s="69" t="s">
        <v>90</v>
      </c>
      <c r="K530" s="72" t="s">
        <v>90</v>
      </c>
    </row>
    <row r="531" spans="1:11" ht="18" hidden="1" customHeight="1">
      <c r="A531" s="68" t="s">
        <v>1207</v>
      </c>
      <c r="B531" s="70" t="s">
        <v>28</v>
      </c>
      <c r="C531" s="70" t="s">
        <v>1212</v>
      </c>
      <c r="D531" s="69" t="s">
        <v>1213</v>
      </c>
      <c r="E531" s="71">
        <v>67195040</v>
      </c>
      <c r="F531" s="71"/>
      <c r="G531" s="71"/>
      <c r="H531" s="71">
        <v>67195040</v>
      </c>
      <c r="I531" s="69" t="s">
        <v>1758</v>
      </c>
      <c r="J531" s="69" t="s">
        <v>90</v>
      </c>
      <c r="K531" s="72" t="s">
        <v>90</v>
      </c>
    </row>
    <row r="532" spans="1:11" ht="18" hidden="1" customHeight="1">
      <c r="A532" s="68" t="s">
        <v>1207</v>
      </c>
      <c r="B532" s="70" t="s">
        <v>28</v>
      </c>
      <c r="C532" s="70" t="s">
        <v>1214</v>
      </c>
      <c r="D532" s="69" t="s">
        <v>1215</v>
      </c>
      <c r="E532" s="71">
        <v>18232000</v>
      </c>
      <c r="F532" s="71"/>
      <c r="G532" s="71"/>
      <c r="H532" s="71">
        <v>18232000</v>
      </c>
      <c r="I532" s="69" t="s">
        <v>1759</v>
      </c>
      <c r="J532" s="69" t="s">
        <v>90</v>
      </c>
      <c r="K532" s="72" t="s">
        <v>90</v>
      </c>
    </row>
    <row r="533" spans="1:11" ht="18" hidden="1" customHeight="1">
      <c r="A533" s="68" t="s">
        <v>1207</v>
      </c>
      <c r="B533" s="70" t="s">
        <v>28</v>
      </c>
      <c r="C533" s="70" t="s">
        <v>1216</v>
      </c>
      <c r="D533" s="69" t="s">
        <v>1217</v>
      </c>
      <c r="E533" s="71">
        <v>6415710</v>
      </c>
      <c r="F533" s="71"/>
      <c r="G533" s="71"/>
      <c r="H533" s="71">
        <v>6415710</v>
      </c>
      <c r="I533" s="69" t="s">
        <v>1760</v>
      </c>
      <c r="J533" s="69" t="s">
        <v>90</v>
      </c>
      <c r="K533" s="72" t="s">
        <v>90</v>
      </c>
    </row>
    <row r="534" spans="1:11" ht="18" hidden="1" customHeight="1">
      <c r="A534" s="68" t="s">
        <v>1207</v>
      </c>
      <c r="B534" s="70" t="s">
        <v>28</v>
      </c>
      <c r="C534" s="70" t="s">
        <v>1218</v>
      </c>
      <c r="D534" s="69" t="s">
        <v>1219</v>
      </c>
      <c r="E534" s="71">
        <v>62722901</v>
      </c>
      <c r="F534" s="71"/>
      <c r="G534" s="71"/>
      <c r="H534" s="71">
        <v>62722901</v>
      </c>
      <c r="I534" s="69" t="s">
        <v>1761</v>
      </c>
      <c r="J534" s="69" t="s">
        <v>90</v>
      </c>
      <c r="K534" s="72" t="s">
        <v>90</v>
      </c>
    </row>
    <row r="535" spans="1:11" ht="18" hidden="1" customHeight="1">
      <c r="A535" s="68" t="s">
        <v>1207</v>
      </c>
      <c r="B535" s="70" t="s">
        <v>28</v>
      </c>
      <c r="C535" s="70" t="s">
        <v>1220</v>
      </c>
      <c r="D535" s="69" t="s">
        <v>1221</v>
      </c>
      <c r="E535" s="71">
        <v>60000000</v>
      </c>
      <c r="F535" s="71"/>
      <c r="G535" s="71"/>
      <c r="H535" s="71">
        <v>60000000</v>
      </c>
      <c r="I535" s="69" t="s">
        <v>1762</v>
      </c>
      <c r="J535" s="69" t="s">
        <v>90</v>
      </c>
      <c r="K535" s="72" t="s">
        <v>90</v>
      </c>
    </row>
    <row r="536" spans="1:11" ht="18" hidden="1" customHeight="1">
      <c r="A536" s="68" t="s">
        <v>1207</v>
      </c>
      <c r="B536" s="70" t="s">
        <v>28</v>
      </c>
      <c r="C536" s="70" t="s">
        <v>1222</v>
      </c>
      <c r="D536" s="69" t="s">
        <v>1223</v>
      </c>
      <c r="E536" s="71">
        <v>39515799</v>
      </c>
      <c r="F536" s="71"/>
      <c r="G536" s="71"/>
      <c r="H536" s="71">
        <v>39515799</v>
      </c>
      <c r="I536" s="69" t="s">
        <v>1763</v>
      </c>
      <c r="J536" s="69" t="s">
        <v>90</v>
      </c>
      <c r="K536" s="72" t="s">
        <v>90</v>
      </c>
    </row>
    <row r="537" spans="1:11" ht="18" hidden="1" customHeight="1">
      <c r="A537" s="68" t="s">
        <v>1207</v>
      </c>
      <c r="B537" s="70" t="s">
        <v>28</v>
      </c>
      <c r="C537" s="70" t="s">
        <v>1224</v>
      </c>
      <c r="D537" s="69" t="s">
        <v>1225</v>
      </c>
      <c r="E537" s="71">
        <v>-7413000</v>
      </c>
      <c r="F537" s="71"/>
      <c r="G537" s="71"/>
      <c r="H537" s="71">
        <v>-7413000</v>
      </c>
      <c r="I537" s="69" t="s">
        <v>1764</v>
      </c>
      <c r="J537" s="69" t="s">
        <v>90</v>
      </c>
      <c r="K537" s="72" t="s">
        <v>90</v>
      </c>
    </row>
    <row r="538" spans="1:11" ht="18" hidden="1" customHeight="1">
      <c r="A538" s="68" t="s">
        <v>1207</v>
      </c>
      <c r="B538" s="70" t="s">
        <v>28</v>
      </c>
      <c r="C538" s="70" t="s">
        <v>1226</v>
      </c>
      <c r="D538" s="69" t="s">
        <v>1227</v>
      </c>
      <c r="E538" s="71">
        <v>-54876740</v>
      </c>
      <c r="F538" s="71"/>
      <c r="G538" s="71"/>
      <c r="H538" s="71">
        <v>-54876740</v>
      </c>
      <c r="I538" s="69" t="s">
        <v>1765</v>
      </c>
      <c r="J538" s="69" t="s">
        <v>90</v>
      </c>
      <c r="K538" s="72" t="s">
        <v>90</v>
      </c>
    </row>
    <row r="539" spans="1:11" ht="18" hidden="1" customHeight="1">
      <c r="A539" s="68" t="s">
        <v>1207</v>
      </c>
      <c r="B539" s="70" t="s">
        <v>28</v>
      </c>
      <c r="C539" s="70" t="s">
        <v>1228</v>
      </c>
      <c r="D539" s="69" t="s">
        <v>1229</v>
      </c>
      <c r="E539" s="71">
        <v>45405000</v>
      </c>
      <c r="F539" s="71"/>
      <c r="G539" s="71"/>
      <c r="H539" s="71">
        <v>45405000</v>
      </c>
      <c r="I539" s="69" t="s">
        <v>1766</v>
      </c>
      <c r="J539" s="69" t="s">
        <v>90</v>
      </c>
      <c r="K539" s="72" t="s">
        <v>90</v>
      </c>
    </row>
    <row r="540" spans="1:11" ht="18" hidden="1" customHeight="1">
      <c r="A540" s="68" t="s">
        <v>1207</v>
      </c>
      <c r="B540" s="70" t="s">
        <v>28</v>
      </c>
      <c r="C540" s="70" t="s">
        <v>1230</v>
      </c>
      <c r="D540" s="69" t="s">
        <v>1231</v>
      </c>
      <c r="E540" s="71">
        <v>-25692280</v>
      </c>
      <c r="F540" s="71"/>
      <c r="G540" s="71"/>
      <c r="H540" s="71">
        <v>-25692280</v>
      </c>
      <c r="I540" s="69" t="s">
        <v>1767</v>
      </c>
      <c r="J540" s="69" t="s">
        <v>90</v>
      </c>
      <c r="K540" s="72" t="s">
        <v>90</v>
      </c>
    </row>
    <row r="541" spans="1:11" ht="18" hidden="1" customHeight="1">
      <c r="A541" s="68" t="s">
        <v>1207</v>
      </c>
      <c r="B541" s="70" t="s">
        <v>28</v>
      </c>
      <c r="C541" s="70" t="s">
        <v>1232</v>
      </c>
      <c r="D541" s="69" t="s">
        <v>1233</v>
      </c>
      <c r="E541" s="71">
        <v>22830000</v>
      </c>
      <c r="F541" s="71"/>
      <c r="G541" s="71"/>
      <c r="H541" s="71">
        <v>22830000</v>
      </c>
      <c r="I541" s="69" t="s">
        <v>1768</v>
      </c>
      <c r="J541" s="69" t="s">
        <v>90</v>
      </c>
      <c r="K541" s="72" t="s">
        <v>90</v>
      </c>
    </row>
    <row r="542" spans="1:11" ht="18" hidden="1" customHeight="1">
      <c r="A542" s="68" t="s">
        <v>1207</v>
      </c>
      <c r="B542" s="70" t="s">
        <v>28</v>
      </c>
      <c r="C542" s="70" t="s">
        <v>1234</v>
      </c>
      <c r="D542" s="69" t="s">
        <v>1235</v>
      </c>
      <c r="E542" s="71">
        <v>-23557310</v>
      </c>
      <c r="F542" s="71"/>
      <c r="G542" s="71"/>
      <c r="H542" s="71">
        <v>-23557310</v>
      </c>
      <c r="I542" s="69" t="s">
        <v>1769</v>
      </c>
      <c r="J542" s="69" t="s">
        <v>90</v>
      </c>
      <c r="K542" s="72" t="s">
        <v>90</v>
      </c>
    </row>
    <row r="543" spans="1:11" ht="18" hidden="1" customHeight="1">
      <c r="A543" s="68" t="s">
        <v>1207</v>
      </c>
      <c r="B543" s="70" t="s">
        <v>28</v>
      </c>
      <c r="C543" s="70" t="s">
        <v>1236</v>
      </c>
      <c r="D543" s="69" t="s">
        <v>1237</v>
      </c>
      <c r="E543" s="71">
        <v>-8971150</v>
      </c>
      <c r="F543" s="71"/>
      <c r="G543" s="71"/>
      <c r="H543" s="71">
        <v>-8971150</v>
      </c>
      <c r="I543" s="69" t="s">
        <v>1770</v>
      </c>
      <c r="J543" s="69" t="s">
        <v>90</v>
      </c>
      <c r="K543" s="72" t="s">
        <v>90</v>
      </c>
    </row>
    <row r="544" spans="1:11" ht="18" hidden="1" customHeight="1" thickBot="1">
      <c r="A544" s="68" t="s">
        <v>1207</v>
      </c>
      <c r="B544" s="70" t="s">
        <v>28</v>
      </c>
      <c r="C544" s="70" t="s">
        <v>1238</v>
      </c>
      <c r="D544" s="69" t="s">
        <v>1239</v>
      </c>
      <c r="E544" s="71">
        <v>-10694545</v>
      </c>
      <c r="F544" s="71"/>
      <c r="G544" s="71"/>
      <c r="H544" s="71">
        <v>-10694545</v>
      </c>
      <c r="I544" s="69" t="s">
        <v>1771</v>
      </c>
      <c r="J544" s="69" t="s">
        <v>90</v>
      </c>
      <c r="K544" s="72" t="s">
        <v>90</v>
      </c>
    </row>
    <row r="545" spans="1:11" ht="18" hidden="1" customHeight="1" thickBot="1">
      <c r="A545" s="78" t="s">
        <v>363</v>
      </c>
      <c r="B545" s="80" t="s">
        <v>90</v>
      </c>
      <c r="C545" s="80" t="s">
        <v>90</v>
      </c>
      <c r="D545" s="79" t="s">
        <v>90</v>
      </c>
      <c r="E545" s="81">
        <v>340677154</v>
      </c>
      <c r="F545" s="81"/>
      <c r="G545" s="81"/>
      <c r="H545" s="81">
        <v>340677154</v>
      </c>
      <c r="I545" s="79" t="s">
        <v>90</v>
      </c>
      <c r="J545" s="79" t="s">
        <v>90</v>
      </c>
      <c r="K545" s="82" t="s">
        <v>90</v>
      </c>
    </row>
    <row r="546" spans="1:11" ht="5.25" hidden="1" customHeight="1"/>
    <row r="547" spans="1:11" ht="31.5" hidden="1" customHeight="1">
      <c r="F547" s="61" t="s">
        <v>1199</v>
      </c>
    </row>
    <row r="548" spans="1:11" ht="8.1" hidden="1" customHeight="1"/>
    <row r="549" spans="1:11" ht="15" hidden="1" customHeight="1">
      <c r="F549" s="62" t="s">
        <v>996</v>
      </c>
    </row>
    <row r="550" spans="1:11" ht="20.100000000000001" hidden="1" customHeight="1"/>
    <row r="551" spans="1:11" ht="15" hidden="1" customHeight="1" thickBot="1">
      <c r="A551" s="63" t="s">
        <v>1013</v>
      </c>
      <c r="K551" s="64" t="s">
        <v>336</v>
      </c>
    </row>
    <row r="552" spans="1:11" ht="18" hidden="1" customHeight="1" thickBot="1">
      <c r="A552" s="65" t="s">
        <v>337</v>
      </c>
      <c r="B552" s="66" t="s">
        <v>338</v>
      </c>
      <c r="C552" s="66" t="s">
        <v>337</v>
      </c>
      <c r="D552" s="66" t="s">
        <v>339</v>
      </c>
      <c r="E552" s="66" t="s">
        <v>1369</v>
      </c>
      <c r="F552" s="66" t="s">
        <v>997</v>
      </c>
      <c r="G552" s="66" t="s">
        <v>998</v>
      </c>
      <c r="H552" s="66" t="s">
        <v>340</v>
      </c>
      <c r="I552" s="66" t="s">
        <v>1370</v>
      </c>
      <c r="J552" s="66" t="s">
        <v>1371</v>
      </c>
      <c r="K552" s="67" t="s">
        <v>331</v>
      </c>
    </row>
    <row r="553" spans="1:11" ht="18" hidden="1" customHeight="1" thickBot="1">
      <c r="A553" s="68" t="s">
        <v>1240</v>
      </c>
      <c r="B553" s="70" t="s">
        <v>26</v>
      </c>
      <c r="C553" s="70" t="s">
        <v>90</v>
      </c>
      <c r="D553" s="69" t="s">
        <v>447</v>
      </c>
      <c r="E553" s="71">
        <v>277893334</v>
      </c>
      <c r="F553" s="71">
        <v>22844628</v>
      </c>
      <c r="G553" s="71"/>
      <c r="H553" s="71">
        <v>300737962</v>
      </c>
      <c r="I553" s="69" t="s">
        <v>90</v>
      </c>
      <c r="J553" s="69" t="s">
        <v>90</v>
      </c>
      <c r="K553" s="72" t="s">
        <v>90</v>
      </c>
    </row>
    <row r="554" spans="1:11" ht="18" hidden="1" customHeight="1" thickBot="1">
      <c r="A554" s="78" t="s">
        <v>363</v>
      </c>
      <c r="B554" s="80" t="s">
        <v>90</v>
      </c>
      <c r="C554" s="80" t="s">
        <v>90</v>
      </c>
      <c r="D554" s="79" t="s">
        <v>90</v>
      </c>
      <c r="E554" s="81">
        <v>277893334</v>
      </c>
      <c r="F554" s="81">
        <v>22844628</v>
      </c>
      <c r="G554" s="81"/>
      <c r="H554" s="81">
        <v>300737962</v>
      </c>
      <c r="I554" s="79" t="s">
        <v>90</v>
      </c>
      <c r="J554" s="79" t="s">
        <v>90</v>
      </c>
      <c r="K554" s="82" t="s">
        <v>90</v>
      </c>
    </row>
    <row r="555" spans="1:11" hidden="1"/>
    <row r="556" spans="1:11" hidden="1"/>
    <row r="557" spans="1:11" ht="31.5" hidden="1" customHeight="1">
      <c r="F557" s="61" t="s">
        <v>1241</v>
      </c>
    </row>
    <row r="558" spans="1:11" ht="7.9" hidden="1" customHeight="1"/>
    <row r="559" spans="1:11" ht="15" hidden="1" customHeight="1">
      <c r="F559" s="62" t="s">
        <v>996</v>
      </c>
    </row>
    <row r="560" spans="1:11" ht="20.100000000000001" hidden="1" customHeight="1"/>
    <row r="561" spans="1:11" ht="15" hidden="1" customHeight="1" thickBot="1">
      <c r="A561" s="63" t="s">
        <v>1013</v>
      </c>
      <c r="K561" s="64" t="s">
        <v>336</v>
      </c>
    </row>
    <row r="562" spans="1:11" ht="18" hidden="1" customHeight="1" thickBot="1">
      <c r="A562" s="65" t="s">
        <v>337</v>
      </c>
      <c r="B562" s="66" t="s">
        <v>338</v>
      </c>
      <c r="C562" s="66" t="s">
        <v>337</v>
      </c>
      <c r="D562" s="66" t="s">
        <v>339</v>
      </c>
      <c r="E562" s="66" t="s">
        <v>1369</v>
      </c>
      <c r="F562" s="66" t="s">
        <v>997</v>
      </c>
      <c r="G562" s="66" t="s">
        <v>998</v>
      </c>
      <c r="H562" s="66" t="s">
        <v>340</v>
      </c>
      <c r="I562" s="66" t="s">
        <v>1370</v>
      </c>
      <c r="J562" s="66" t="s">
        <v>1371</v>
      </c>
      <c r="K562" s="67" t="s">
        <v>331</v>
      </c>
    </row>
    <row r="563" spans="1:11" ht="18" hidden="1" customHeight="1">
      <c r="A563" s="68" t="s">
        <v>1242</v>
      </c>
      <c r="B563" s="70" t="s">
        <v>29</v>
      </c>
      <c r="C563" s="70" t="s">
        <v>90</v>
      </c>
      <c r="D563" s="69" t="s">
        <v>447</v>
      </c>
      <c r="E563" s="71">
        <v>84451229</v>
      </c>
      <c r="F563" s="71"/>
      <c r="G563" s="71"/>
      <c r="H563" s="71">
        <v>84451229</v>
      </c>
      <c r="I563" s="69" t="s">
        <v>90</v>
      </c>
      <c r="J563" s="69" t="s">
        <v>90</v>
      </c>
      <c r="K563" s="72" t="s">
        <v>90</v>
      </c>
    </row>
    <row r="564" spans="1:11" ht="18" hidden="1" customHeight="1">
      <c r="A564" s="68" t="s">
        <v>1242</v>
      </c>
      <c r="B564" s="70" t="s">
        <v>29</v>
      </c>
      <c r="C564" s="70" t="s">
        <v>608</v>
      </c>
      <c r="D564" s="69" t="s">
        <v>609</v>
      </c>
      <c r="E564" s="71"/>
      <c r="F564" s="71">
        <v>14800000</v>
      </c>
      <c r="G564" s="71"/>
      <c r="H564" s="71">
        <v>14800000</v>
      </c>
      <c r="I564" s="69" t="s">
        <v>1583</v>
      </c>
      <c r="J564" s="69" t="s">
        <v>90</v>
      </c>
      <c r="K564" s="72" t="s">
        <v>90</v>
      </c>
    </row>
    <row r="565" spans="1:11" ht="18" hidden="1" customHeight="1">
      <c r="A565" s="68" t="s">
        <v>1242</v>
      </c>
      <c r="B565" s="70" t="s">
        <v>29</v>
      </c>
      <c r="C565" s="70" t="s">
        <v>628</v>
      </c>
      <c r="D565" s="69" t="s">
        <v>629</v>
      </c>
      <c r="E565" s="71"/>
      <c r="F565" s="71">
        <v>14852000</v>
      </c>
      <c r="G565" s="71"/>
      <c r="H565" s="71">
        <v>14852000</v>
      </c>
      <c r="I565" s="69" t="s">
        <v>1772</v>
      </c>
      <c r="J565" s="69" t="s">
        <v>90</v>
      </c>
      <c r="K565" s="72" t="s">
        <v>90</v>
      </c>
    </row>
    <row r="566" spans="1:11" ht="18" hidden="1" customHeight="1">
      <c r="A566" s="68" t="s">
        <v>1242</v>
      </c>
      <c r="B566" s="70" t="s">
        <v>29</v>
      </c>
      <c r="C566" s="70" t="s">
        <v>631</v>
      </c>
      <c r="D566" s="69" t="s">
        <v>632</v>
      </c>
      <c r="E566" s="71"/>
      <c r="F566" s="71">
        <v>1450000</v>
      </c>
      <c r="G566" s="71"/>
      <c r="H566" s="71">
        <v>1450000</v>
      </c>
      <c r="I566" s="69" t="s">
        <v>1773</v>
      </c>
      <c r="J566" s="69" t="s">
        <v>90</v>
      </c>
      <c r="K566" s="72" t="s">
        <v>90</v>
      </c>
    </row>
    <row r="567" spans="1:11" ht="18" hidden="1" customHeight="1">
      <c r="A567" s="68" t="s">
        <v>1242</v>
      </c>
      <c r="B567" s="70" t="s">
        <v>29</v>
      </c>
      <c r="C567" s="70" t="s">
        <v>633</v>
      </c>
      <c r="D567" s="69" t="s">
        <v>634</v>
      </c>
      <c r="E567" s="71"/>
      <c r="F567" s="71">
        <v>11021079</v>
      </c>
      <c r="G567" s="71"/>
      <c r="H567" s="71">
        <v>11021079</v>
      </c>
      <c r="I567" s="69" t="s">
        <v>1774</v>
      </c>
      <c r="J567" s="69" t="s">
        <v>90</v>
      </c>
      <c r="K567" s="72" t="s">
        <v>90</v>
      </c>
    </row>
    <row r="568" spans="1:11" ht="18" hidden="1" customHeight="1">
      <c r="A568" s="68" t="s">
        <v>1242</v>
      </c>
      <c r="B568" s="70" t="s">
        <v>29</v>
      </c>
      <c r="C568" s="70" t="s">
        <v>643</v>
      </c>
      <c r="D568" s="69" t="s">
        <v>644</v>
      </c>
      <c r="E568" s="71">
        <v>2520000</v>
      </c>
      <c r="F568" s="71">
        <v>3550000</v>
      </c>
      <c r="G568" s="71"/>
      <c r="H568" s="71">
        <v>6070000</v>
      </c>
      <c r="I568" s="69" t="s">
        <v>1594</v>
      </c>
      <c r="J568" s="69" t="s">
        <v>90</v>
      </c>
      <c r="K568" s="72" t="s">
        <v>90</v>
      </c>
    </row>
    <row r="569" spans="1:11" ht="18" hidden="1" customHeight="1">
      <c r="A569" s="68" t="s">
        <v>1242</v>
      </c>
      <c r="B569" s="70" t="s">
        <v>29</v>
      </c>
      <c r="C569" s="70" t="s">
        <v>655</v>
      </c>
      <c r="D569" s="69" t="s">
        <v>656</v>
      </c>
      <c r="E569" s="71">
        <v>53120300</v>
      </c>
      <c r="F569" s="71">
        <v>190105759</v>
      </c>
      <c r="G569" s="71"/>
      <c r="H569" s="71">
        <v>243226059</v>
      </c>
      <c r="I569" s="69" t="s">
        <v>1502</v>
      </c>
      <c r="J569" s="69" t="s">
        <v>90</v>
      </c>
      <c r="K569" s="72" t="s">
        <v>90</v>
      </c>
    </row>
    <row r="570" spans="1:11" ht="18" hidden="1" customHeight="1">
      <c r="A570" s="68" t="s">
        <v>1242</v>
      </c>
      <c r="B570" s="70" t="s">
        <v>29</v>
      </c>
      <c r="C570" s="70" t="s">
        <v>672</v>
      </c>
      <c r="D570" s="69" t="s">
        <v>673</v>
      </c>
      <c r="E570" s="71">
        <v>2036364</v>
      </c>
      <c r="F570" s="71"/>
      <c r="G570" s="71"/>
      <c r="H570" s="71">
        <v>2036364</v>
      </c>
      <c r="I570" s="69" t="s">
        <v>1775</v>
      </c>
      <c r="J570" s="69" t="s">
        <v>90</v>
      </c>
      <c r="K570" s="72" t="s">
        <v>90</v>
      </c>
    </row>
    <row r="571" spans="1:11" ht="18" hidden="1" customHeight="1">
      <c r="A571" s="68" t="s">
        <v>1242</v>
      </c>
      <c r="B571" s="70" t="s">
        <v>29</v>
      </c>
      <c r="C571" s="70" t="s">
        <v>708</v>
      </c>
      <c r="D571" s="69" t="s">
        <v>709</v>
      </c>
      <c r="E571" s="71"/>
      <c r="F571" s="71">
        <v>46274500</v>
      </c>
      <c r="G571" s="71"/>
      <c r="H571" s="71">
        <v>46274500</v>
      </c>
      <c r="I571" s="69" t="s">
        <v>1776</v>
      </c>
      <c r="J571" s="69" t="s">
        <v>90</v>
      </c>
      <c r="K571" s="72" t="s">
        <v>90</v>
      </c>
    </row>
    <row r="572" spans="1:11" ht="18" hidden="1" customHeight="1">
      <c r="A572" s="68" t="s">
        <v>1242</v>
      </c>
      <c r="B572" s="70" t="s">
        <v>29</v>
      </c>
      <c r="C572" s="70" t="s">
        <v>710</v>
      </c>
      <c r="D572" s="69" t="s">
        <v>711</v>
      </c>
      <c r="E572" s="71">
        <v>10400000</v>
      </c>
      <c r="F572" s="71"/>
      <c r="G572" s="71"/>
      <c r="H572" s="71">
        <v>10400000</v>
      </c>
      <c r="I572" s="69" t="s">
        <v>1777</v>
      </c>
      <c r="J572" s="69" t="s">
        <v>90</v>
      </c>
      <c r="K572" s="72" t="s">
        <v>90</v>
      </c>
    </row>
    <row r="573" spans="1:11" ht="18" hidden="1" customHeight="1">
      <c r="A573" s="68" t="s">
        <v>1242</v>
      </c>
      <c r="B573" s="70" t="s">
        <v>29</v>
      </c>
      <c r="C573" s="70" t="s">
        <v>715</v>
      </c>
      <c r="D573" s="69" t="s">
        <v>716</v>
      </c>
      <c r="E573" s="71">
        <v>3950000</v>
      </c>
      <c r="F573" s="71">
        <v>3950000</v>
      </c>
      <c r="G573" s="71"/>
      <c r="H573" s="71">
        <v>7900000</v>
      </c>
      <c r="I573" s="69" t="s">
        <v>1778</v>
      </c>
      <c r="J573" s="69" t="s">
        <v>90</v>
      </c>
      <c r="K573" s="72" t="s">
        <v>90</v>
      </c>
    </row>
    <row r="574" spans="1:11" ht="18" hidden="1" customHeight="1">
      <c r="A574" s="68" t="s">
        <v>1242</v>
      </c>
      <c r="B574" s="70" t="s">
        <v>29</v>
      </c>
      <c r="C574" s="70" t="s">
        <v>733</v>
      </c>
      <c r="D574" s="69" t="s">
        <v>734</v>
      </c>
      <c r="E574" s="71">
        <v>88848356</v>
      </c>
      <c r="F574" s="71"/>
      <c r="G574" s="71"/>
      <c r="H574" s="71">
        <v>88848356</v>
      </c>
      <c r="I574" s="69" t="s">
        <v>1779</v>
      </c>
      <c r="J574" s="69" t="s">
        <v>90</v>
      </c>
      <c r="K574" s="72" t="s">
        <v>90</v>
      </c>
    </row>
    <row r="575" spans="1:11" ht="18" hidden="1" customHeight="1">
      <c r="A575" s="68" t="s">
        <v>1242</v>
      </c>
      <c r="B575" s="70" t="s">
        <v>29</v>
      </c>
      <c r="C575" s="70" t="s">
        <v>470</v>
      </c>
      <c r="D575" s="69" t="s">
        <v>471</v>
      </c>
      <c r="E575" s="71">
        <v>162430000</v>
      </c>
      <c r="F575" s="71">
        <v>199591900</v>
      </c>
      <c r="G575" s="71"/>
      <c r="H575" s="71">
        <v>362021900</v>
      </c>
      <c r="I575" s="69" t="s">
        <v>1780</v>
      </c>
      <c r="J575" s="69" t="s">
        <v>90</v>
      </c>
      <c r="K575" s="72" t="s">
        <v>90</v>
      </c>
    </row>
    <row r="576" spans="1:11" ht="18" hidden="1" customHeight="1">
      <c r="A576" s="68" t="s">
        <v>1242</v>
      </c>
      <c r="B576" s="70" t="s">
        <v>29</v>
      </c>
      <c r="C576" s="70" t="s">
        <v>735</v>
      </c>
      <c r="D576" s="69" t="s">
        <v>736</v>
      </c>
      <c r="E576" s="71">
        <v>3740000</v>
      </c>
      <c r="F576" s="71"/>
      <c r="G576" s="71"/>
      <c r="H576" s="71">
        <v>3740000</v>
      </c>
      <c r="I576" s="69" t="s">
        <v>1781</v>
      </c>
      <c r="J576" s="69" t="s">
        <v>90</v>
      </c>
      <c r="K576" s="72" t="s">
        <v>90</v>
      </c>
    </row>
    <row r="577" spans="1:11" ht="18" hidden="1" customHeight="1">
      <c r="A577" s="68" t="s">
        <v>1242</v>
      </c>
      <c r="B577" s="70" t="s">
        <v>29</v>
      </c>
      <c r="C577" s="70" t="s">
        <v>737</v>
      </c>
      <c r="D577" s="69" t="s">
        <v>738</v>
      </c>
      <c r="E577" s="71">
        <v>4363636</v>
      </c>
      <c r="F577" s="71">
        <v>4400000</v>
      </c>
      <c r="G577" s="71"/>
      <c r="H577" s="71">
        <v>8763636</v>
      </c>
      <c r="I577" s="69" t="s">
        <v>1782</v>
      </c>
      <c r="J577" s="69" t="s">
        <v>90</v>
      </c>
      <c r="K577" s="72" t="s">
        <v>90</v>
      </c>
    </row>
    <row r="578" spans="1:11" ht="18" hidden="1" customHeight="1">
      <c r="A578" s="68" t="s">
        <v>1242</v>
      </c>
      <c r="B578" s="70" t="s">
        <v>29</v>
      </c>
      <c r="C578" s="70" t="s">
        <v>1047</v>
      </c>
      <c r="D578" s="69" t="s">
        <v>1048</v>
      </c>
      <c r="E578" s="71"/>
      <c r="F578" s="71">
        <v>3145456</v>
      </c>
      <c r="G578" s="71"/>
      <c r="H578" s="71">
        <v>3145456</v>
      </c>
      <c r="I578" s="69" t="s">
        <v>1783</v>
      </c>
      <c r="J578" s="69" t="s">
        <v>90</v>
      </c>
      <c r="K578" s="72" t="s">
        <v>90</v>
      </c>
    </row>
    <row r="579" spans="1:11" ht="18" hidden="1" customHeight="1">
      <c r="A579" s="68" t="s">
        <v>1242</v>
      </c>
      <c r="B579" s="70" t="s">
        <v>29</v>
      </c>
      <c r="C579" s="70" t="s">
        <v>1053</v>
      </c>
      <c r="D579" s="69" t="s">
        <v>1054</v>
      </c>
      <c r="E579" s="71"/>
      <c r="F579" s="71">
        <v>15000000</v>
      </c>
      <c r="G579" s="71"/>
      <c r="H579" s="71">
        <v>15000000</v>
      </c>
      <c r="I579" s="69" t="s">
        <v>1784</v>
      </c>
      <c r="J579" s="69" t="s">
        <v>90</v>
      </c>
      <c r="K579" s="72" t="s">
        <v>90</v>
      </c>
    </row>
    <row r="580" spans="1:11" ht="18" hidden="1" customHeight="1">
      <c r="A580" s="68" t="s">
        <v>1242</v>
      </c>
      <c r="B580" s="70" t="s">
        <v>29</v>
      </c>
      <c r="C580" s="70" t="s">
        <v>1069</v>
      </c>
      <c r="D580" s="69" t="s">
        <v>1070</v>
      </c>
      <c r="E580" s="71"/>
      <c r="F580" s="71">
        <v>47250000</v>
      </c>
      <c r="G580" s="71"/>
      <c r="H580" s="71">
        <v>47250000</v>
      </c>
      <c r="I580" s="69" t="s">
        <v>1785</v>
      </c>
      <c r="J580" s="69" t="s">
        <v>90</v>
      </c>
      <c r="K580" s="72" t="s">
        <v>90</v>
      </c>
    </row>
    <row r="581" spans="1:11" ht="18" hidden="1" customHeight="1">
      <c r="A581" s="68" t="s">
        <v>1242</v>
      </c>
      <c r="B581" s="70" t="s">
        <v>29</v>
      </c>
      <c r="C581" s="70" t="s">
        <v>1079</v>
      </c>
      <c r="D581" s="69" t="s">
        <v>1080</v>
      </c>
      <c r="E581" s="71"/>
      <c r="F581" s="71">
        <v>159800000</v>
      </c>
      <c r="G581" s="71"/>
      <c r="H581" s="71">
        <v>159800000</v>
      </c>
      <c r="I581" s="69" t="s">
        <v>1786</v>
      </c>
      <c r="J581" s="69" t="s">
        <v>90</v>
      </c>
      <c r="K581" s="72" t="s">
        <v>90</v>
      </c>
    </row>
    <row r="582" spans="1:11" ht="18" hidden="1" customHeight="1">
      <c r="A582" s="68" t="s">
        <v>1242</v>
      </c>
      <c r="B582" s="70" t="s">
        <v>29</v>
      </c>
      <c r="C582" s="70" t="s">
        <v>1095</v>
      </c>
      <c r="D582" s="69" t="s">
        <v>1096</v>
      </c>
      <c r="E582" s="71"/>
      <c r="F582" s="71">
        <v>4115000</v>
      </c>
      <c r="G582" s="71"/>
      <c r="H582" s="71">
        <v>4115000</v>
      </c>
      <c r="I582" s="69" t="s">
        <v>1787</v>
      </c>
      <c r="J582" s="69" t="s">
        <v>90</v>
      </c>
      <c r="K582" s="72" t="s">
        <v>90</v>
      </c>
    </row>
    <row r="583" spans="1:11" ht="18" hidden="1" customHeight="1">
      <c r="A583" s="68" t="s">
        <v>1242</v>
      </c>
      <c r="B583" s="70" t="s">
        <v>29</v>
      </c>
      <c r="C583" s="70" t="s">
        <v>1243</v>
      </c>
      <c r="D583" s="69" t="s">
        <v>1244</v>
      </c>
      <c r="E583" s="71"/>
      <c r="F583" s="71">
        <v>2250000</v>
      </c>
      <c r="G583" s="71"/>
      <c r="H583" s="71">
        <v>2250000</v>
      </c>
      <c r="I583" s="69" t="s">
        <v>1788</v>
      </c>
      <c r="J583" s="69" t="s">
        <v>90</v>
      </c>
      <c r="K583" s="72" t="s">
        <v>90</v>
      </c>
    </row>
    <row r="584" spans="1:11" ht="18" hidden="1" customHeight="1">
      <c r="A584" s="68" t="s">
        <v>1242</v>
      </c>
      <c r="B584" s="70" t="s">
        <v>29</v>
      </c>
      <c r="C584" s="70" t="s">
        <v>1133</v>
      </c>
      <c r="D584" s="69" t="s">
        <v>1134</v>
      </c>
      <c r="E584" s="71"/>
      <c r="F584" s="71">
        <v>12484459</v>
      </c>
      <c r="G584" s="71"/>
      <c r="H584" s="71">
        <v>12484459</v>
      </c>
      <c r="I584" s="69" t="s">
        <v>1789</v>
      </c>
      <c r="J584" s="69" t="s">
        <v>90</v>
      </c>
      <c r="K584" s="72" t="s">
        <v>90</v>
      </c>
    </row>
    <row r="585" spans="1:11" ht="18" hidden="1" customHeight="1">
      <c r="A585" s="68" t="s">
        <v>1242</v>
      </c>
      <c r="B585" s="70" t="s">
        <v>29</v>
      </c>
      <c r="C585" s="70" t="s">
        <v>1008</v>
      </c>
      <c r="D585" s="69" t="s">
        <v>1790</v>
      </c>
      <c r="E585" s="71"/>
      <c r="F585" s="71">
        <v>2967489</v>
      </c>
      <c r="G585" s="71"/>
      <c r="H585" s="71">
        <v>2967489</v>
      </c>
      <c r="I585" s="69" t="s">
        <v>1774</v>
      </c>
      <c r="J585" s="69" t="s">
        <v>90</v>
      </c>
      <c r="K585" s="72" t="s">
        <v>90</v>
      </c>
    </row>
    <row r="586" spans="1:11" ht="18" hidden="1" customHeight="1">
      <c r="A586" s="68" t="s">
        <v>1242</v>
      </c>
      <c r="B586" s="70" t="s">
        <v>29</v>
      </c>
      <c r="C586" s="70" t="s">
        <v>1791</v>
      </c>
      <c r="D586" s="69" t="s">
        <v>1792</v>
      </c>
      <c r="E586" s="71"/>
      <c r="F586" s="71">
        <v>2040000</v>
      </c>
      <c r="G586" s="71"/>
      <c r="H586" s="71">
        <v>2040000</v>
      </c>
      <c r="I586" s="69" t="s">
        <v>1793</v>
      </c>
      <c r="J586" s="69" t="s">
        <v>90</v>
      </c>
      <c r="K586" s="72" t="s">
        <v>90</v>
      </c>
    </row>
    <row r="587" spans="1:11" ht="18" hidden="1" customHeight="1">
      <c r="A587" s="68" t="s">
        <v>1242</v>
      </c>
      <c r="B587" s="70" t="s">
        <v>29</v>
      </c>
      <c r="C587" s="70" t="s">
        <v>1794</v>
      </c>
      <c r="D587" s="69" t="s">
        <v>1795</v>
      </c>
      <c r="E587" s="71"/>
      <c r="F587" s="71">
        <v>1100000</v>
      </c>
      <c r="G587" s="71"/>
      <c r="H587" s="71">
        <v>1100000</v>
      </c>
      <c r="I587" s="69" t="s">
        <v>1796</v>
      </c>
      <c r="J587" s="69" t="s">
        <v>90</v>
      </c>
      <c r="K587" s="72" t="s">
        <v>90</v>
      </c>
    </row>
    <row r="588" spans="1:11" ht="18" hidden="1" customHeight="1">
      <c r="A588" s="68" t="s">
        <v>1242</v>
      </c>
      <c r="B588" s="70" t="s">
        <v>29</v>
      </c>
      <c r="C588" s="70" t="s">
        <v>1797</v>
      </c>
      <c r="D588" s="69" t="s">
        <v>1798</v>
      </c>
      <c r="E588" s="71"/>
      <c r="F588" s="71">
        <v>161640000</v>
      </c>
      <c r="G588" s="71"/>
      <c r="H588" s="71">
        <v>161640000</v>
      </c>
      <c r="I588" s="69" t="s">
        <v>1799</v>
      </c>
      <c r="J588" s="69" t="s">
        <v>90</v>
      </c>
      <c r="K588" s="72" t="s">
        <v>90</v>
      </c>
    </row>
    <row r="589" spans="1:11" ht="18" hidden="1" customHeight="1">
      <c r="A589" s="68" t="s">
        <v>1242</v>
      </c>
      <c r="B589" s="70" t="s">
        <v>29</v>
      </c>
      <c r="C589" s="70" t="s">
        <v>1800</v>
      </c>
      <c r="D589" s="69" t="s">
        <v>1801</v>
      </c>
      <c r="E589" s="71"/>
      <c r="F589" s="71">
        <v>8025000</v>
      </c>
      <c r="G589" s="71"/>
      <c r="H589" s="71">
        <v>8025000</v>
      </c>
      <c r="I589" s="69" t="s">
        <v>1802</v>
      </c>
      <c r="J589" s="69" t="s">
        <v>90</v>
      </c>
      <c r="K589" s="72" t="s">
        <v>90</v>
      </c>
    </row>
    <row r="590" spans="1:11" ht="18" hidden="1" customHeight="1">
      <c r="A590" s="68" t="s">
        <v>1242</v>
      </c>
      <c r="B590" s="70" t="s">
        <v>29</v>
      </c>
      <c r="C590" s="70" t="s">
        <v>1803</v>
      </c>
      <c r="D590" s="69" t="s">
        <v>1804</v>
      </c>
      <c r="E590" s="71"/>
      <c r="F590" s="71">
        <v>4100000</v>
      </c>
      <c r="G590" s="71"/>
      <c r="H590" s="71">
        <v>4100000</v>
      </c>
      <c r="I590" s="69" t="s">
        <v>1805</v>
      </c>
      <c r="J590" s="69" t="s">
        <v>90</v>
      </c>
      <c r="K590" s="72" t="s">
        <v>90</v>
      </c>
    </row>
    <row r="591" spans="1:11" ht="18" hidden="1" customHeight="1" thickBot="1">
      <c r="A591" s="68" t="s">
        <v>1242</v>
      </c>
      <c r="B591" s="70" t="s">
        <v>29</v>
      </c>
      <c r="C591" s="70" t="s">
        <v>1806</v>
      </c>
      <c r="D591" s="69" t="s">
        <v>1807</v>
      </c>
      <c r="E591" s="71"/>
      <c r="F591" s="71">
        <v>563000</v>
      </c>
      <c r="G591" s="71"/>
      <c r="H591" s="71">
        <v>563000</v>
      </c>
      <c r="I591" s="69" t="s">
        <v>1808</v>
      </c>
      <c r="J591" s="69" t="s">
        <v>90</v>
      </c>
      <c r="K591" s="72" t="s">
        <v>90</v>
      </c>
    </row>
    <row r="592" spans="1:11" ht="18" hidden="1" customHeight="1" thickBot="1">
      <c r="A592" s="78" t="s">
        <v>363</v>
      </c>
      <c r="B592" s="80" t="s">
        <v>90</v>
      </c>
      <c r="C592" s="80" t="s">
        <v>90</v>
      </c>
      <c r="D592" s="79" t="s">
        <v>90</v>
      </c>
      <c r="E592" s="81">
        <v>415859885</v>
      </c>
      <c r="F592" s="81">
        <v>914475642</v>
      </c>
      <c r="G592" s="81"/>
      <c r="H592" s="81">
        <v>1330335527</v>
      </c>
      <c r="I592" s="79" t="s">
        <v>90</v>
      </c>
      <c r="J592" s="79" t="s">
        <v>90</v>
      </c>
      <c r="K592" s="82" t="s">
        <v>90</v>
      </c>
    </row>
    <row r="593" spans="1:11" ht="5.25" hidden="1" customHeight="1"/>
    <row r="594" spans="1:11" ht="31.5" hidden="1" customHeight="1">
      <c r="F594" s="61" t="s">
        <v>1199</v>
      </c>
    </row>
    <row r="595" spans="1:11" ht="7.9" hidden="1" customHeight="1"/>
    <row r="596" spans="1:11" ht="15" hidden="1" customHeight="1">
      <c r="F596" s="62" t="s">
        <v>996</v>
      </c>
    </row>
    <row r="597" spans="1:11" ht="20.100000000000001" hidden="1" customHeight="1"/>
    <row r="598" spans="1:11" ht="15" hidden="1" customHeight="1" thickBot="1">
      <c r="A598" s="63" t="s">
        <v>1013</v>
      </c>
      <c r="K598" s="64" t="s">
        <v>336</v>
      </c>
    </row>
    <row r="599" spans="1:11" ht="18" hidden="1" customHeight="1" thickBot="1">
      <c r="A599" s="65" t="s">
        <v>337</v>
      </c>
      <c r="B599" s="66" t="s">
        <v>338</v>
      </c>
      <c r="C599" s="66" t="s">
        <v>337</v>
      </c>
      <c r="D599" s="66" t="s">
        <v>339</v>
      </c>
      <c r="E599" s="66" t="s">
        <v>1369</v>
      </c>
      <c r="F599" s="66" t="s">
        <v>997</v>
      </c>
      <c r="G599" s="66" t="s">
        <v>998</v>
      </c>
      <c r="H599" s="66" t="s">
        <v>340</v>
      </c>
      <c r="I599" s="66" t="s">
        <v>1370</v>
      </c>
      <c r="J599" s="66" t="s">
        <v>1371</v>
      </c>
      <c r="K599" s="67" t="s">
        <v>331</v>
      </c>
    </row>
    <row r="600" spans="1:11" ht="18" hidden="1" customHeight="1" thickBot="1">
      <c r="A600" s="73" t="s">
        <v>1245</v>
      </c>
      <c r="B600" s="75" t="s">
        <v>26</v>
      </c>
      <c r="C600" s="75" t="s">
        <v>90</v>
      </c>
      <c r="D600" s="74" t="s">
        <v>447</v>
      </c>
      <c r="E600" s="76">
        <v>62986540</v>
      </c>
      <c r="F600" s="76">
        <v>268551452</v>
      </c>
      <c r="G600" s="76"/>
      <c r="H600" s="76">
        <v>331537992</v>
      </c>
      <c r="I600" s="74" t="s">
        <v>90</v>
      </c>
      <c r="J600" s="74" t="s">
        <v>90</v>
      </c>
      <c r="K600" s="77" t="s">
        <v>90</v>
      </c>
    </row>
    <row r="601" spans="1:11" ht="18" hidden="1" customHeight="1" thickBot="1">
      <c r="A601" s="78" t="s">
        <v>363</v>
      </c>
      <c r="B601" s="80" t="s">
        <v>90</v>
      </c>
      <c r="C601" s="80" t="s">
        <v>90</v>
      </c>
      <c r="D601" s="79" t="s">
        <v>90</v>
      </c>
      <c r="E601" s="81">
        <v>62986540</v>
      </c>
      <c r="F601" s="81">
        <v>268551452</v>
      </c>
      <c r="G601" s="81"/>
      <c r="H601" s="81">
        <v>331537992</v>
      </c>
      <c r="I601" s="79" t="s">
        <v>90</v>
      </c>
      <c r="J601" s="79" t="s">
        <v>90</v>
      </c>
      <c r="K601" s="82" t="s">
        <v>90</v>
      </c>
    </row>
    <row r="602" spans="1:11" ht="5.25" hidden="1" customHeight="1"/>
    <row r="603" spans="1:11" ht="31.5" hidden="1" customHeight="1">
      <c r="F603" s="61" t="s">
        <v>1246</v>
      </c>
    </row>
    <row r="604" spans="1:11" ht="8.1" hidden="1" customHeight="1"/>
    <row r="605" spans="1:11" ht="15" hidden="1" customHeight="1">
      <c r="F605" s="62" t="s">
        <v>996</v>
      </c>
    </row>
    <row r="606" spans="1:11" ht="20.100000000000001" hidden="1" customHeight="1"/>
    <row r="607" spans="1:11" ht="15" hidden="1" customHeight="1" thickBot="1">
      <c r="A607" s="63" t="s">
        <v>1013</v>
      </c>
      <c r="K607" s="64" t="s">
        <v>336</v>
      </c>
    </row>
    <row r="608" spans="1:11" ht="18" hidden="1" customHeight="1" thickBot="1">
      <c r="A608" s="65" t="s">
        <v>337</v>
      </c>
      <c r="B608" s="66" t="s">
        <v>338</v>
      </c>
      <c r="C608" s="66" t="s">
        <v>337</v>
      </c>
      <c r="D608" s="66" t="s">
        <v>339</v>
      </c>
      <c r="E608" s="66" t="s">
        <v>1369</v>
      </c>
      <c r="F608" s="66" t="s">
        <v>997</v>
      </c>
      <c r="G608" s="66" t="s">
        <v>998</v>
      </c>
      <c r="H608" s="66" t="s">
        <v>340</v>
      </c>
      <c r="I608" s="66" t="s">
        <v>1370</v>
      </c>
      <c r="J608" s="66" t="s">
        <v>1371</v>
      </c>
      <c r="K608" s="67" t="s">
        <v>331</v>
      </c>
    </row>
    <row r="609" spans="1:11" ht="18" hidden="1" customHeight="1">
      <c r="A609" s="68" t="s">
        <v>1247</v>
      </c>
      <c r="B609" s="70" t="s">
        <v>30</v>
      </c>
      <c r="C609" s="70" t="s">
        <v>90</v>
      </c>
      <c r="D609" s="69" t="s">
        <v>447</v>
      </c>
      <c r="E609" s="71">
        <v>-16378812</v>
      </c>
      <c r="F609" s="71"/>
      <c r="G609" s="71">
        <v>3948637</v>
      </c>
      <c r="H609" s="71">
        <v>-20327449</v>
      </c>
      <c r="I609" s="69" t="s">
        <v>90</v>
      </c>
      <c r="J609" s="69" t="s">
        <v>90</v>
      </c>
      <c r="K609" s="72" t="s">
        <v>90</v>
      </c>
    </row>
    <row r="610" spans="1:11" ht="18" hidden="1" customHeight="1">
      <c r="A610" s="68" t="s">
        <v>1247</v>
      </c>
      <c r="B610" s="70" t="s">
        <v>30</v>
      </c>
      <c r="C610" s="70" t="s">
        <v>1027</v>
      </c>
      <c r="D610" s="69" t="s">
        <v>1028</v>
      </c>
      <c r="E610" s="71">
        <v>7669518</v>
      </c>
      <c r="F610" s="71"/>
      <c r="G610" s="71"/>
      <c r="H610" s="71">
        <v>7669518</v>
      </c>
      <c r="I610" s="69" t="s">
        <v>1809</v>
      </c>
      <c r="J610" s="69" t="s">
        <v>90</v>
      </c>
      <c r="K610" s="72" t="s">
        <v>90</v>
      </c>
    </row>
    <row r="611" spans="1:11" ht="18" hidden="1" customHeight="1">
      <c r="A611" s="68" t="s">
        <v>1247</v>
      </c>
      <c r="B611" s="70" t="s">
        <v>30</v>
      </c>
      <c r="C611" s="70" t="s">
        <v>1248</v>
      </c>
      <c r="D611" s="69" t="s">
        <v>1249</v>
      </c>
      <c r="E611" s="71">
        <v>960000</v>
      </c>
      <c r="F611" s="71"/>
      <c r="G611" s="71"/>
      <c r="H611" s="71">
        <v>960000</v>
      </c>
      <c r="I611" s="69" t="s">
        <v>1810</v>
      </c>
      <c r="J611" s="69" t="s">
        <v>90</v>
      </c>
      <c r="K611" s="72" t="s">
        <v>90</v>
      </c>
    </row>
    <row r="612" spans="1:11" ht="18" hidden="1" customHeight="1">
      <c r="A612" s="68" t="s">
        <v>1247</v>
      </c>
      <c r="B612" s="70" t="s">
        <v>30</v>
      </c>
      <c r="C612" s="70" t="s">
        <v>512</v>
      </c>
      <c r="D612" s="69" t="s">
        <v>513</v>
      </c>
      <c r="E612" s="71">
        <v>25845455</v>
      </c>
      <c r="F612" s="71"/>
      <c r="G612" s="71"/>
      <c r="H612" s="71">
        <v>25845455</v>
      </c>
      <c r="I612" s="69" t="s">
        <v>1811</v>
      </c>
      <c r="J612" s="69" t="s">
        <v>90</v>
      </c>
      <c r="K612" s="72" t="s">
        <v>90</v>
      </c>
    </row>
    <row r="613" spans="1:11" ht="18" hidden="1" customHeight="1">
      <c r="A613" s="68" t="s">
        <v>1247</v>
      </c>
      <c r="B613" s="70" t="s">
        <v>30</v>
      </c>
      <c r="C613" s="70" t="s">
        <v>1250</v>
      </c>
      <c r="D613" s="69" t="s">
        <v>1251</v>
      </c>
      <c r="E613" s="71">
        <v>16358000</v>
      </c>
      <c r="F613" s="71"/>
      <c r="G613" s="71"/>
      <c r="H613" s="71">
        <v>16358000</v>
      </c>
      <c r="I613" s="69" t="s">
        <v>1812</v>
      </c>
      <c r="J613" s="69" t="s">
        <v>90</v>
      </c>
      <c r="K613" s="72" t="s">
        <v>90</v>
      </c>
    </row>
    <row r="614" spans="1:11" ht="18" hidden="1" customHeight="1">
      <c r="A614" s="68" t="s">
        <v>1247</v>
      </c>
      <c r="B614" s="70" t="s">
        <v>30</v>
      </c>
      <c r="C614" s="70" t="s">
        <v>1252</v>
      </c>
      <c r="D614" s="69" t="s">
        <v>1253</v>
      </c>
      <c r="E614" s="71">
        <v>1120000</v>
      </c>
      <c r="F614" s="71"/>
      <c r="G614" s="71"/>
      <c r="H614" s="71">
        <v>1120000</v>
      </c>
      <c r="I614" s="69" t="s">
        <v>1813</v>
      </c>
      <c r="J614" s="69" t="s">
        <v>90</v>
      </c>
      <c r="K614" s="72" t="s">
        <v>90</v>
      </c>
    </row>
    <row r="615" spans="1:11" ht="18" hidden="1" customHeight="1">
      <c r="A615" s="68" t="s">
        <v>1247</v>
      </c>
      <c r="B615" s="70" t="s">
        <v>30</v>
      </c>
      <c r="C615" s="70" t="s">
        <v>1254</v>
      </c>
      <c r="D615" s="69" t="s">
        <v>1255</v>
      </c>
      <c r="E615" s="71">
        <v>27272727</v>
      </c>
      <c r="F615" s="71"/>
      <c r="G615" s="71"/>
      <c r="H615" s="71">
        <v>27272727</v>
      </c>
      <c r="I615" s="69" t="s">
        <v>1814</v>
      </c>
      <c r="J615" s="69" t="s">
        <v>90</v>
      </c>
      <c r="K615" s="72" t="s">
        <v>90</v>
      </c>
    </row>
    <row r="616" spans="1:11" ht="18" hidden="1" customHeight="1">
      <c r="A616" s="68" t="s">
        <v>1247</v>
      </c>
      <c r="B616" s="70" t="s">
        <v>30</v>
      </c>
      <c r="C616" s="70" t="s">
        <v>548</v>
      </c>
      <c r="D616" s="69" t="s">
        <v>549</v>
      </c>
      <c r="E616" s="71">
        <v>8000000</v>
      </c>
      <c r="F616" s="71"/>
      <c r="G616" s="71"/>
      <c r="H616" s="71">
        <v>8000000</v>
      </c>
      <c r="I616" s="69" t="s">
        <v>1499</v>
      </c>
      <c r="J616" s="69" t="s">
        <v>90</v>
      </c>
      <c r="K616" s="72" t="s">
        <v>90</v>
      </c>
    </row>
    <row r="617" spans="1:11" ht="18" hidden="1" customHeight="1">
      <c r="A617" s="68" t="s">
        <v>1247</v>
      </c>
      <c r="B617" s="70" t="s">
        <v>30</v>
      </c>
      <c r="C617" s="70" t="s">
        <v>1256</v>
      </c>
      <c r="D617" s="69" t="s">
        <v>1257</v>
      </c>
      <c r="E617" s="71">
        <v>3948637</v>
      </c>
      <c r="F617" s="71"/>
      <c r="G617" s="71"/>
      <c r="H617" s="71">
        <v>3948637</v>
      </c>
      <c r="I617" s="69" t="s">
        <v>1815</v>
      </c>
      <c r="J617" s="69" t="s">
        <v>90</v>
      </c>
      <c r="K617" s="72" t="s">
        <v>90</v>
      </c>
    </row>
    <row r="618" spans="1:11" ht="18" hidden="1" customHeight="1">
      <c r="A618" s="68" t="s">
        <v>1247</v>
      </c>
      <c r="B618" s="70" t="s">
        <v>30</v>
      </c>
      <c r="C618" s="70" t="s">
        <v>1258</v>
      </c>
      <c r="D618" s="69" t="s">
        <v>1259</v>
      </c>
      <c r="E618" s="71">
        <v>6070000</v>
      </c>
      <c r="F618" s="71"/>
      <c r="G618" s="71"/>
      <c r="H618" s="71">
        <v>6070000</v>
      </c>
      <c r="I618" s="69" t="s">
        <v>1816</v>
      </c>
      <c r="J618" s="69" t="s">
        <v>90</v>
      </c>
      <c r="K618" s="72" t="s">
        <v>90</v>
      </c>
    </row>
    <row r="619" spans="1:11" ht="18" hidden="1" customHeight="1">
      <c r="A619" s="68" t="s">
        <v>1247</v>
      </c>
      <c r="B619" s="70" t="s">
        <v>30</v>
      </c>
      <c r="C619" s="70" t="s">
        <v>706</v>
      </c>
      <c r="D619" s="69" t="s">
        <v>707</v>
      </c>
      <c r="E619" s="71">
        <v>8850000</v>
      </c>
      <c r="F619" s="71"/>
      <c r="G619" s="71"/>
      <c r="H619" s="71">
        <v>8850000</v>
      </c>
      <c r="I619" s="69" t="s">
        <v>1817</v>
      </c>
      <c r="J619" s="69" t="s">
        <v>90</v>
      </c>
      <c r="K619" s="72" t="s">
        <v>90</v>
      </c>
    </row>
    <row r="620" spans="1:11" ht="18" hidden="1" customHeight="1">
      <c r="A620" s="68" t="s">
        <v>1247</v>
      </c>
      <c r="B620" s="70" t="s">
        <v>30</v>
      </c>
      <c r="C620" s="70" t="s">
        <v>743</v>
      </c>
      <c r="D620" s="69" t="s">
        <v>744</v>
      </c>
      <c r="E620" s="71">
        <v>2409090</v>
      </c>
      <c r="F620" s="71"/>
      <c r="G620" s="71"/>
      <c r="H620" s="71">
        <v>2409090</v>
      </c>
      <c r="I620" s="69" t="s">
        <v>1818</v>
      </c>
      <c r="J620" s="69" t="s">
        <v>90</v>
      </c>
      <c r="K620" s="72" t="s">
        <v>90</v>
      </c>
    </row>
    <row r="621" spans="1:11" ht="18" hidden="1" customHeight="1">
      <c r="A621" s="68" t="s">
        <v>1247</v>
      </c>
      <c r="B621" s="70" t="s">
        <v>30</v>
      </c>
      <c r="C621" s="70" t="s">
        <v>1055</v>
      </c>
      <c r="D621" s="69" t="s">
        <v>1056</v>
      </c>
      <c r="E621" s="71"/>
      <c r="F621" s="71">
        <v>17118000</v>
      </c>
      <c r="G621" s="71"/>
      <c r="H621" s="71">
        <v>17118000</v>
      </c>
      <c r="I621" s="69" t="s">
        <v>1819</v>
      </c>
      <c r="J621" s="69" t="s">
        <v>90</v>
      </c>
      <c r="K621" s="72" t="s">
        <v>90</v>
      </c>
    </row>
    <row r="622" spans="1:11" ht="18" hidden="1" customHeight="1">
      <c r="A622" s="68" t="s">
        <v>1247</v>
      </c>
      <c r="B622" s="70" t="s">
        <v>30</v>
      </c>
      <c r="C622" s="70" t="s">
        <v>1071</v>
      </c>
      <c r="D622" s="69" t="s">
        <v>1072</v>
      </c>
      <c r="E622" s="71"/>
      <c r="F622" s="71">
        <v>4500000</v>
      </c>
      <c r="G622" s="71"/>
      <c r="H622" s="71">
        <v>4500000</v>
      </c>
      <c r="I622" s="69" t="s">
        <v>1820</v>
      </c>
      <c r="J622" s="69" t="s">
        <v>90</v>
      </c>
      <c r="K622" s="72" t="s">
        <v>90</v>
      </c>
    </row>
    <row r="623" spans="1:11" ht="18" hidden="1" customHeight="1">
      <c r="A623" s="68" t="s">
        <v>1247</v>
      </c>
      <c r="B623" s="70" t="s">
        <v>30</v>
      </c>
      <c r="C623" s="70" t="s">
        <v>1113</v>
      </c>
      <c r="D623" s="69" t="s">
        <v>1114</v>
      </c>
      <c r="E623" s="71"/>
      <c r="F623" s="71">
        <v>3450000</v>
      </c>
      <c r="G623" s="71"/>
      <c r="H623" s="71">
        <v>3450000</v>
      </c>
      <c r="I623" s="69" t="s">
        <v>1821</v>
      </c>
      <c r="J623" s="69" t="s">
        <v>90</v>
      </c>
      <c r="K623" s="72" t="s">
        <v>90</v>
      </c>
    </row>
    <row r="624" spans="1:11" ht="18" hidden="1" customHeight="1">
      <c r="A624" s="68" t="s">
        <v>1247</v>
      </c>
      <c r="B624" s="70" t="s">
        <v>30</v>
      </c>
      <c r="C624" s="70" t="s">
        <v>1822</v>
      </c>
      <c r="D624" s="69" t="s">
        <v>1137</v>
      </c>
      <c r="E624" s="71"/>
      <c r="F624" s="71">
        <v>9866182</v>
      </c>
      <c r="G624" s="71"/>
      <c r="H624" s="71">
        <v>9866182</v>
      </c>
      <c r="I624" s="69" t="s">
        <v>1823</v>
      </c>
      <c r="J624" s="69" t="s">
        <v>90</v>
      </c>
      <c r="K624" s="72" t="s">
        <v>90</v>
      </c>
    </row>
    <row r="625" spans="1:11" ht="18" hidden="1" customHeight="1">
      <c r="A625" s="68" t="s">
        <v>1247</v>
      </c>
      <c r="B625" s="70" t="s">
        <v>30</v>
      </c>
      <c r="C625" s="70" t="s">
        <v>1824</v>
      </c>
      <c r="D625" s="69" t="s">
        <v>1825</v>
      </c>
      <c r="E625" s="71"/>
      <c r="F625" s="71">
        <v>3845454</v>
      </c>
      <c r="G625" s="71"/>
      <c r="H625" s="71">
        <v>3845454</v>
      </c>
      <c r="I625" s="69" t="s">
        <v>1826</v>
      </c>
      <c r="J625" s="69" t="s">
        <v>90</v>
      </c>
      <c r="K625" s="72" t="s">
        <v>90</v>
      </c>
    </row>
    <row r="626" spans="1:11" ht="18" hidden="1" customHeight="1">
      <c r="A626" s="68" t="s">
        <v>1247</v>
      </c>
      <c r="B626" s="70" t="s">
        <v>30</v>
      </c>
      <c r="C626" s="70" t="s">
        <v>1827</v>
      </c>
      <c r="D626" s="69" t="s">
        <v>1828</v>
      </c>
      <c r="E626" s="71"/>
      <c r="F626" s="71">
        <v>3160000</v>
      </c>
      <c r="G626" s="71"/>
      <c r="H626" s="71">
        <v>3160000</v>
      </c>
      <c r="I626" s="69" t="s">
        <v>1829</v>
      </c>
      <c r="J626" s="69" t="s">
        <v>90</v>
      </c>
      <c r="K626" s="72" t="s">
        <v>90</v>
      </c>
    </row>
    <row r="627" spans="1:11" ht="18" hidden="1" customHeight="1" thickBot="1">
      <c r="A627" s="68" t="s">
        <v>1247</v>
      </c>
      <c r="B627" s="70" t="s">
        <v>30</v>
      </c>
      <c r="C627" s="70" t="s">
        <v>1830</v>
      </c>
      <c r="D627" s="69" t="s">
        <v>1831</v>
      </c>
      <c r="E627" s="71"/>
      <c r="F627" s="71">
        <v>47390000</v>
      </c>
      <c r="G627" s="71"/>
      <c r="H627" s="71">
        <v>47390000</v>
      </c>
      <c r="I627" s="69" t="s">
        <v>1832</v>
      </c>
      <c r="J627" s="69" t="s">
        <v>90</v>
      </c>
      <c r="K627" s="72" t="s">
        <v>90</v>
      </c>
    </row>
    <row r="628" spans="1:11" ht="18" hidden="1" customHeight="1" thickBot="1">
      <c r="A628" s="169" t="s">
        <v>363</v>
      </c>
      <c r="B628" s="170" t="s">
        <v>90</v>
      </c>
      <c r="C628" s="170" t="s">
        <v>90</v>
      </c>
      <c r="D628" s="171" t="s">
        <v>90</v>
      </c>
      <c r="E628" s="172">
        <v>92124615</v>
      </c>
      <c r="F628" s="172">
        <v>89329636</v>
      </c>
      <c r="G628" s="172">
        <v>3948637</v>
      </c>
      <c r="H628" s="172">
        <v>177505614</v>
      </c>
      <c r="I628" s="171" t="s">
        <v>90</v>
      </c>
      <c r="J628" s="171" t="s">
        <v>90</v>
      </c>
      <c r="K628" s="173" t="s">
        <v>90</v>
      </c>
    </row>
    <row r="629" spans="1:11" ht="5.25" hidden="1" customHeight="1"/>
    <row r="630" spans="1:11" ht="31.5" hidden="1" customHeight="1">
      <c r="F630" s="61" t="s">
        <v>1199</v>
      </c>
    </row>
    <row r="631" spans="1:11" ht="8.1" hidden="1" customHeight="1"/>
    <row r="632" spans="1:11" ht="15" hidden="1" customHeight="1">
      <c r="F632" s="62" t="s">
        <v>996</v>
      </c>
    </row>
    <row r="633" spans="1:11" ht="20.100000000000001" hidden="1" customHeight="1"/>
    <row r="634" spans="1:11" ht="15" hidden="1" customHeight="1" thickBot="1">
      <c r="A634" s="63" t="s">
        <v>1013</v>
      </c>
      <c r="K634" s="64" t="s">
        <v>336</v>
      </c>
    </row>
    <row r="635" spans="1:11" ht="18" hidden="1" customHeight="1" thickBot="1">
      <c r="A635" s="65" t="s">
        <v>337</v>
      </c>
      <c r="B635" s="66" t="s">
        <v>338</v>
      </c>
      <c r="C635" s="66" t="s">
        <v>337</v>
      </c>
      <c r="D635" s="66" t="s">
        <v>339</v>
      </c>
      <c r="E635" s="66" t="s">
        <v>1369</v>
      </c>
      <c r="F635" s="66" t="s">
        <v>997</v>
      </c>
      <c r="G635" s="66" t="s">
        <v>998</v>
      </c>
      <c r="H635" s="66" t="s">
        <v>340</v>
      </c>
      <c r="I635" s="66" t="s">
        <v>1370</v>
      </c>
      <c r="J635" s="66" t="s">
        <v>1371</v>
      </c>
      <c r="K635" s="67" t="s">
        <v>331</v>
      </c>
    </row>
    <row r="636" spans="1:11" ht="18" hidden="1" customHeight="1" thickBot="1">
      <c r="A636" s="68" t="s">
        <v>1260</v>
      </c>
      <c r="B636" s="70" t="s">
        <v>26</v>
      </c>
      <c r="C636" s="70" t="s">
        <v>90</v>
      </c>
      <c r="D636" s="69" t="s">
        <v>447</v>
      </c>
      <c r="E636" s="71">
        <v>63115789</v>
      </c>
      <c r="F636" s="71">
        <v>23894136</v>
      </c>
      <c r="G636" s="71">
        <v>3616894</v>
      </c>
      <c r="H636" s="71">
        <v>83393031</v>
      </c>
      <c r="I636" s="69" t="s">
        <v>90</v>
      </c>
      <c r="J636" s="69" t="s">
        <v>90</v>
      </c>
      <c r="K636" s="72" t="s">
        <v>90</v>
      </c>
    </row>
    <row r="637" spans="1:11" ht="18" hidden="1" customHeight="1" thickBot="1">
      <c r="A637" s="78" t="s">
        <v>363</v>
      </c>
      <c r="B637" s="80" t="s">
        <v>90</v>
      </c>
      <c r="C637" s="80" t="s">
        <v>90</v>
      </c>
      <c r="D637" s="79" t="s">
        <v>90</v>
      </c>
      <c r="E637" s="81">
        <v>63115789</v>
      </c>
      <c r="F637" s="81">
        <v>23894136</v>
      </c>
      <c r="G637" s="81">
        <v>3616894</v>
      </c>
      <c r="H637" s="81">
        <v>83393031</v>
      </c>
      <c r="I637" s="79" t="s">
        <v>90</v>
      </c>
      <c r="J637" s="79" t="s">
        <v>90</v>
      </c>
      <c r="K637" s="82" t="s">
        <v>90</v>
      </c>
    </row>
    <row r="638" spans="1:11" hidden="1"/>
    <row r="639" spans="1:11" hidden="1"/>
    <row r="640" spans="1:11" ht="31.5" hidden="1" customHeight="1">
      <c r="F640" s="61" t="s">
        <v>1261</v>
      </c>
    </row>
    <row r="641" spans="1:11" ht="7.9" hidden="1" customHeight="1"/>
    <row r="642" spans="1:11" ht="15" hidden="1" customHeight="1">
      <c r="F642" s="62" t="s">
        <v>996</v>
      </c>
    </row>
    <row r="643" spans="1:11" ht="20.100000000000001" hidden="1" customHeight="1"/>
    <row r="644" spans="1:11" ht="15" hidden="1" customHeight="1" thickBot="1">
      <c r="A644" s="63" t="s">
        <v>1013</v>
      </c>
      <c r="K644" s="64" t="s">
        <v>336</v>
      </c>
    </row>
    <row r="645" spans="1:11" ht="18" hidden="1" customHeight="1" thickBot="1">
      <c r="A645" s="65" t="s">
        <v>337</v>
      </c>
      <c r="B645" s="66" t="s">
        <v>338</v>
      </c>
      <c r="C645" s="66" t="s">
        <v>337</v>
      </c>
      <c r="D645" s="66" t="s">
        <v>339</v>
      </c>
      <c r="E645" s="66" t="s">
        <v>1369</v>
      </c>
      <c r="F645" s="66" t="s">
        <v>997</v>
      </c>
      <c r="G645" s="66" t="s">
        <v>998</v>
      </c>
      <c r="H645" s="66" t="s">
        <v>340</v>
      </c>
      <c r="I645" s="66" t="s">
        <v>1370</v>
      </c>
      <c r="J645" s="66" t="s">
        <v>1371</v>
      </c>
      <c r="K645" s="67" t="s">
        <v>331</v>
      </c>
    </row>
    <row r="646" spans="1:11" ht="18" hidden="1" customHeight="1">
      <c r="A646" s="68" t="s">
        <v>1262</v>
      </c>
      <c r="B646" s="70" t="s">
        <v>31</v>
      </c>
      <c r="C646" s="70" t="s">
        <v>90</v>
      </c>
      <c r="D646" s="69" t="s">
        <v>447</v>
      </c>
      <c r="E646" s="71">
        <v>517890000</v>
      </c>
      <c r="F646" s="71"/>
      <c r="G646" s="71">
        <v>206770000</v>
      </c>
      <c r="H646" s="71">
        <v>311120000</v>
      </c>
      <c r="I646" s="69" t="s">
        <v>90</v>
      </c>
      <c r="J646" s="69" t="s">
        <v>90</v>
      </c>
      <c r="K646" s="72" t="s">
        <v>90</v>
      </c>
    </row>
    <row r="647" spans="1:11" ht="18" hidden="1" customHeight="1">
      <c r="A647" s="68" t="s">
        <v>1262</v>
      </c>
      <c r="B647" s="70" t="s">
        <v>31</v>
      </c>
      <c r="C647" s="70" t="s">
        <v>484</v>
      </c>
      <c r="D647" s="69" t="s">
        <v>485</v>
      </c>
      <c r="E647" s="71">
        <v>37580000</v>
      </c>
      <c r="F647" s="71"/>
      <c r="G647" s="71"/>
      <c r="H647" s="71">
        <v>37580000</v>
      </c>
      <c r="I647" s="69" t="s">
        <v>1833</v>
      </c>
      <c r="J647" s="69" t="s">
        <v>90</v>
      </c>
      <c r="K647" s="72" t="s">
        <v>90</v>
      </c>
    </row>
    <row r="648" spans="1:11" ht="18" hidden="1" customHeight="1">
      <c r="A648" s="68" t="s">
        <v>1262</v>
      </c>
      <c r="B648" s="70" t="s">
        <v>31</v>
      </c>
      <c r="C648" s="70" t="s">
        <v>512</v>
      </c>
      <c r="D648" s="69" t="s">
        <v>513</v>
      </c>
      <c r="E648" s="71">
        <v>33900000</v>
      </c>
      <c r="F648" s="71">
        <v>28490000</v>
      </c>
      <c r="G648" s="71"/>
      <c r="H648" s="71">
        <v>62390000</v>
      </c>
      <c r="I648" s="69" t="s">
        <v>1811</v>
      </c>
      <c r="J648" s="69" t="s">
        <v>90</v>
      </c>
      <c r="K648" s="72" t="s">
        <v>90</v>
      </c>
    </row>
    <row r="649" spans="1:11" ht="18" hidden="1" customHeight="1">
      <c r="A649" s="68" t="s">
        <v>1262</v>
      </c>
      <c r="B649" s="70" t="s">
        <v>31</v>
      </c>
      <c r="C649" s="70" t="s">
        <v>466</v>
      </c>
      <c r="D649" s="69" t="s">
        <v>467</v>
      </c>
      <c r="E649" s="71">
        <v>10500000</v>
      </c>
      <c r="F649" s="71"/>
      <c r="G649" s="71"/>
      <c r="H649" s="71">
        <v>10500000</v>
      </c>
      <c r="I649" s="69" t="s">
        <v>1834</v>
      </c>
      <c r="J649" s="69" t="s">
        <v>90</v>
      </c>
      <c r="K649" s="72" t="s">
        <v>90</v>
      </c>
    </row>
    <row r="650" spans="1:11" ht="18" hidden="1" customHeight="1">
      <c r="A650" s="68" t="s">
        <v>1262</v>
      </c>
      <c r="B650" s="70" t="s">
        <v>31</v>
      </c>
      <c r="C650" s="70" t="s">
        <v>590</v>
      </c>
      <c r="D650" s="69" t="s">
        <v>591</v>
      </c>
      <c r="E650" s="71">
        <v>56000000</v>
      </c>
      <c r="F650" s="71"/>
      <c r="G650" s="71"/>
      <c r="H650" s="71">
        <v>56000000</v>
      </c>
      <c r="I650" s="69" t="s">
        <v>1835</v>
      </c>
      <c r="J650" s="69" t="s">
        <v>90</v>
      </c>
      <c r="K650" s="72" t="s">
        <v>90</v>
      </c>
    </row>
    <row r="651" spans="1:11" ht="18" hidden="1" customHeight="1">
      <c r="A651" s="68" t="s">
        <v>1262</v>
      </c>
      <c r="B651" s="70" t="s">
        <v>31</v>
      </c>
      <c r="C651" s="70" t="s">
        <v>610</v>
      </c>
      <c r="D651" s="69" t="s">
        <v>611</v>
      </c>
      <c r="E651" s="71">
        <v>100000000</v>
      </c>
      <c r="F651" s="71"/>
      <c r="G651" s="71"/>
      <c r="H651" s="71">
        <v>100000000</v>
      </c>
      <c r="I651" s="69" t="s">
        <v>1836</v>
      </c>
      <c r="J651" s="69" t="s">
        <v>90</v>
      </c>
      <c r="K651" s="72" t="s">
        <v>90</v>
      </c>
    </row>
    <row r="652" spans="1:11" ht="18" hidden="1" customHeight="1">
      <c r="A652" s="68" t="s">
        <v>1262</v>
      </c>
      <c r="B652" s="70" t="s">
        <v>31</v>
      </c>
      <c r="C652" s="70" t="s">
        <v>622</v>
      </c>
      <c r="D652" s="69" t="s">
        <v>623</v>
      </c>
      <c r="E652" s="71">
        <v>1616900000</v>
      </c>
      <c r="F652" s="71">
        <v>2605786364</v>
      </c>
      <c r="G652" s="71"/>
      <c r="H652" s="71">
        <v>4222686364</v>
      </c>
      <c r="I652" s="69" t="s">
        <v>1837</v>
      </c>
      <c r="J652" s="69" t="s">
        <v>90</v>
      </c>
      <c r="K652" s="72" t="s">
        <v>90</v>
      </c>
    </row>
    <row r="653" spans="1:11" ht="18" hidden="1" customHeight="1">
      <c r="A653" s="68" t="s">
        <v>1262</v>
      </c>
      <c r="B653" s="70" t="s">
        <v>31</v>
      </c>
      <c r="C653" s="70" t="s">
        <v>739</v>
      </c>
      <c r="D653" s="69" t="s">
        <v>740</v>
      </c>
      <c r="E653" s="71"/>
      <c r="F653" s="71">
        <v>7900000</v>
      </c>
      <c r="G653" s="71"/>
      <c r="H653" s="71">
        <v>7900000</v>
      </c>
      <c r="I653" s="69" t="s">
        <v>1838</v>
      </c>
      <c r="J653" s="69" t="s">
        <v>90</v>
      </c>
      <c r="K653" s="72" t="s">
        <v>90</v>
      </c>
    </row>
    <row r="654" spans="1:11" ht="18" hidden="1" customHeight="1">
      <c r="A654" s="68" t="s">
        <v>1262</v>
      </c>
      <c r="B654" s="70" t="s">
        <v>31</v>
      </c>
      <c r="C654" s="70" t="s">
        <v>999</v>
      </c>
      <c r="D654" s="69" t="s">
        <v>1000</v>
      </c>
      <c r="E654" s="71">
        <v>1044689480</v>
      </c>
      <c r="F654" s="71"/>
      <c r="G654" s="71"/>
      <c r="H654" s="71">
        <v>1044689480</v>
      </c>
      <c r="I654" s="69" t="s">
        <v>1839</v>
      </c>
      <c r="J654" s="69" t="s">
        <v>90</v>
      </c>
      <c r="K654" s="72" t="s">
        <v>90</v>
      </c>
    </row>
    <row r="655" spans="1:11" ht="18" hidden="1" customHeight="1">
      <c r="A655" s="68" t="s">
        <v>1262</v>
      </c>
      <c r="B655" s="70" t="s">
        <v>31</v>
      </c>
      <c r="C655" s="70" t="s">
        <v>1077</v>
      </c>
      <c r="D655" s="69" t="s">
        <v>1078</v>
      </c>
      <c r="E655" s="71"/>
      <c r="F655" s="71">
        <v>88700000</v>
      </c>
      <c r="G655" s="71"/>
      <c r="H655" s="71">
        <v>88700000</v>
      </c>
      <c r="I655" s="69" t="s">
        <v>1840</v>
      </c>
      <c r="J655" s="69" t="s">
        <v>90</v>
      </c>
      <c r="K655" s="72" t="s">
        <v>90</v>
      </c>
    </row>
    <row r="656" spans="1:11" s="88" customFormat="1" ht="18" hidden="1" customHeight="1" thickBot="1">
      <c r="A656" s="83" t="s">
        <v>1262</v>
      </c>
      <c r="B656" s="85" t="s">
        <v>31</v>
      </c>
      <c r="C656" s="85" t="s">
        <v>1841</v>
      </c>
      <c r="D656" s="84" t="s">
        <v>1842</v>
      </c>
      <c r="E656" s="86"/>
      <c r="F656" s="86">
        <v>742000000</v>
      </c>
      <c r="G656" s="86"/>
      <c r="H656" s="86">
        <v>742000000</v>
      </c>
      <c r="I656" s="84" t="s">
        <v>1843</v>
      </c>
      <c r="J656" s="84" t="s">
        <v>90</v>
      </c>
      <c r="K656" s="87" t="s">
        <v>90</v>
      </c>
    </row>
    <row r="657" spans="1:11" ht="18" hidden="1" customHeight="1" thickBot="1">
      <c r="A657" s="78" t="s">
        <v>363</v>
      </c>
      <c r="B657" s="80" t="s">
        <v>90</v>
      </c>
      <c r="C657" s="80" t="s">
        <v>90</v>
      </c>
      <c r="D657" s="79" t="s">
        <v>90</v>
      </c>
      <c r="E657" s="81">
        <v>3417459480</v>
      </c>
      <c r="F657" s="81">
        <v>3472876364</v>
      </c>
      <c r="G657" s="81">
        <v>206770000</v>
      </c>
      <c r="H657" s="81">
        <v>6683565844</v>
      </c>
      <c r="I657" s="79" t="s">
        <v>90</v>
      </c>
      <c r="J657" s="79" t="s">
        <v>90</v>
      </c>
      <c r="K657" s="82" t="s">
        <v>90</v>
      </c>
    </row>
    <row r="658" spans="1:11" ht="5.25" hidden="1" customHeight="1"/>
    <row r="659" spans="1:11" ht="31.5" hidden="1" customHeight="1">
      <c r="F659" s="61" t="s">
        <v>1199</v>
      </c>
    </row>
    <row r="660" spans="1:11" ht="7.9" hidden="1" customHeight="1"/>
    <row r="661" spans="1:11" ht="15" hidden="1" customHeight="1">
      <c r="F661" s="62" t="s">
        <v>996</v>
      </c>
    </row>
    <row r="662" spans="1:11" ht="20.100000000000001" hidden="1" customHeight="1"/>
    <row r="663" spans="1:11" ht="15" hidden="1" customHeight="1" thickBot="1">
      <c r="A663" s="63" t="s">
        <v>1013</v>
      </c>
      <c r="K663" s="64" t="s">
        <v>336</v>
      </c>
    </row>
    <row r="664" spans="1:11" ht="18" hidden="1" customHeight="1" thickBot="1">
      <c r="A664" s="65" t="s">
        <v>337</v>
      </c>
      <c r="B664" s="66" t="s">
        <v>338</v>
      </c>
      <c r="C664" s="66" t="s">
        <v>337</v>
      </c>
      <c r="D664" s="66" t="s">
        <v>339</v>
      </c>
      <c r="E664" s="66" t="s">
        <v>1369</v>
      </c>
      <c r="F664" s="66" t="s">
        <v>997</v>
      </c>
      <c r="G664" s="66" t="s">
        <v>998</v>
      </c>
      <c r="H664" s="66" t="s">
        <v>340</v>
      </c>
      <c r="I664" s="66" t="s">
        <v>1370</v>
      </c>
      <c r="J664" s="66" t="s">
        <v>1371</v>
      </c>
      <c r="K664" s="67" t="s">
        <v>331</v>
      </c>
    </row>
    <row r="665" spans="1:11" s="88" customFormat="1" ht="18" hidden="1" customHeight="1" thickBot="1">
      <c r="A665" s="83" t="s">
        <v>1263</v>
      </c>
      <c r="B665" s="85" t="s">
        <v>26</v>
      </c>
      <c r="C665" s="85" t="s">
        <v>90</v>
      </c>
      <c r="D665" s="84" t="s">
        <v>447</v>
      </c>
      <c r="E665" s="86">
        <v>1074262983</v>
      </c>
      <c r="F665" s="86">
        <v>1239935709</v>
      </c>
      <c r="G665" s="86">
        <v>191254372</v>
      </c>
      <c r="H665" s="86">
        <v>2122944320</v>
      </c>
      <c r="I665" s="84" t="s">
        <v>90</v>
      </c>
      <c r="J665" s="84" t="s">
        <v>90</v>
      </c>
      <c r="K665" s="87" t="s">
        <v>90</v>
      </c>
    </row>
    <row r="666" spans="1:11" ht="18" hidden="1" customHeight="1" thickBot="1">
      <c r="A666" s="78" t="s">
        <v>363</v>
      </c>
      <c r="B666" s="80" t="s">
        <v>90</v>
      </c>
      <c r="C666" s="80" t="s">
        <v>90</v>
      </c>
      <c r="D666" s="79" t="s">
        <v>90</v>
      </c>
      <c r="E666" s="81">
        <v>1074262983</v>
      </c>
      <c r="F666" s="81">
        <v>1239935709</v>
      </c>
      <c r="G666" s="81">
        <v>191254372</v>
      </c>
      <c r="H666" s="81">
        <v>2122944320</v>
      </c>
      <c r="I666" s="79" t="s">
        <v>90</v>
      </c>
      <c r="J666" s="79" t="s">
        <v>90</v>
      </c>
      <c r="K666" s="82" t="s">
        <v>90</v>
      </c>
    </row>
    <row r="667" spans="1:11" ht="5.25" hidden="1" customHeight="1"/>
    <row r="668" spans="1:11" ht="31.5" hidden="1" customHeight="1">
      <c r="F668" s="61" t="s">
        <v>1844</v>
      </c>
    </row>
    <row r="669" spans="1:11" ht="8.1" hidden="1" customHeight="1"/>
    <row r="670" spans="1:11" ht="15" hidden="1" customHeight="1">
      <c r="F670" s="62" t="s">
        <v>996</v>
      </c>
    </row>
    <row r="671" spans="1:11" ht="20.100000000000001" hidden="1" customHeight="1"/>
    <row r="672" spans="1:11" ht="15" hidden="1" customHeight="1" thickBot="1">
      <c r="A672" s="63" t="s">
        <v>1013</v>
      </c>
      <c r="K672" s="64" t="s">
        <v>336</v>
      </c>
    </row>
    <row r="673" spans="1:11" ht="18" hidden="1" customHeight="1" thickBot="1">
      <c r="A673" s="65" t="s">
        <v>337</v>
      </c>
      <c r="B673" s="66" t="s">
        <v>338</v>
      </c>
      <c r="C673" s="66" t="s">
        <v>337</v>
      </c>
      <c r="D673" s="66" t="s">
        <v>339</v>
      </c>
      <c r="E673" s="66" t="s">
        <v>1369</v>
      </c>
      <c r="F673" s="66" t="s">
        <v>997</v>
      </c>
      <c r="G673" s="66" t="s">
        <v>998</v>
      </c>
      <c r="H673" s="66" t="s">
        <v>340</v>
      </c>
      <c r="I673" s="66" t="s">
        <v>1370</v>
      </c>
      <c r="J673" s="66" t="s">
        <v>1371</v>
      </c>
      <c r="K673" s="67" t="s">
        <v>331</v>
      </c>
    </row>
    <row r="674" spans="1:11" s="88" customFormat="1" ht="18" hidden="1" customHeight="1">
      <c r="A674" s="83" t="s">
        <v>1845</v>
      </c>
      <c r="B674" s="85" t="s">
        <v>1846</v>
      </c>
      <c r="C674" s="85" t="s">
        <v>90</v>
      </c>
      <c r="D674" s="84" t="s">
        <v>447</v>
      </c>
      <c r="E674" s="86"/>
      <c r="F674" s="86"/>
      <c r="G674" s="86">
        <v>127325958</v>
      </c>
      <c r="H674" s="86">
        <v>-127325958</v>
      </c>
      <c r="I674" s="84" t="s">
        <v>90</v>
      </c>
      <c r="J674" s="84" t="s">
        <v>90</v>
      </c>
      <c r="K674" s="87" t="s">
        <v>90</v>
      </c>
    </row>
    <row r="675" spans="1:11" s="88" customFormat="1" ht="18" hidden="1" customHeight="1" thickBot="1">
      <c r="A675" s="83" t="s">
        <v>1845</v>
      </c>
      <c r="B675" s="85" t="s">
        <v>1846</v>
      </c>
      <c r="C675" s="85" t="s">
        <v>1513</v>
      </c>
      <c r="D675" s="84" t="s">
        <v>896</v>
      </c>
      <c r="E675" s="86"/>
      <c r="F675" s="86">
        <v>1175277500</v>
      </c>
      <c r="G675" s="86"/>
      <c r="H675" s="86">
        <v>1175277500</v>
      </c>
      <c r="I675" s="84" t="s">
        <v>90</v>
      </c>
      <c r="J675" s="84" t="s">
        <v>90</v>
      </c>
      <c r="K675" s="87" t="s">
        <v>90</v>
      </c>
    </row>
    <row r="676" spans="1:11" ht="18" hidden="1" customHeight="1" thickBot="1">
      <c r="A676" s="78" t="s">
        <v>363</v>
      </c>
      <c r="B676" s="80" t="s">
        <v>90</v>
      </c>
      <c r="C676" s="80" t="s">
        <v>90</v>
      </c>
      <c r="D676" s="79" t="s">
        <v>90</v>
      </c>
      <c r="E676" s="81"/>
      <c r="F676" s="81">
        <v>1175277500</v>
      </c>
      <c r="G676" s="81">
        <v>127325958</v>
      </c>
      <c r="H676" s="81">
        <v>1047951542</v>
      </c>
      <c r="I676" s="79" t="s">
        <v>90</v>
      </c>
      <c r="J676" s="79" t="s">
        <v>90</v>
      </c>
      <c r="K676" s="82" t="s">
        <v>90</v>
      </c>
    </row>
    <row r="677" spans="1:11" ht="5.25" hidden="1" customHeight="1"/>
    <row r="678" spans="1:11" ht="31.5" hidden="1" customHeight="1">
      <c r="F678" s="61" t="s">
        <v>834</v>
      </c>
    </row>
    <row r="679" spans="1:11" ht="7.9" hidden="1" customHeight="1"/>
    <row r="680" spans="1:11" ht="15" hidden="1" customHeight="1">
      <c r="F680" s="62" t="s">
        <v>996</v>
      </c>
    </row>
    <row r="681" spans="1:11" ht="20.100000000000001" hidden="1" customHeight="1"/>
    <row r="682" spans="1:11" ht="15" hidden="1" customHeight="1" thickBot="1">
      <c r="A682" s="63" t="s">
        <v>1013</v>
      </c>
      <c r="K682" s="64" t="s">
        <v>336</v>
      </c>
    </row>
    <row r="683" spans="1:11" ht="18" hidden="1" customHeight="1" thickBot="1">
      <c r="A683" s="65" t="s">
        <v>337</v>
      </c>
      <c r="B683" s="66" t="s">
        <v>338</v>
      </c>
      <c r="C683" s="66" t="s">
        <v>337</v>
      </c>
      <c r="D683" s="66" t="s">
        <v>339</v>
      </c>
      <c r="E683" s="66" t="s">
        <v>1369</v>
      </c>
      <c r="F683" s="66" t="s">
        <v>997</v>
      </c>
      <c r="G683" s="66" t="s">
        <v>998</v>
      </c>
      <c r="H683" s="66" t="s">
        <v>340</v>
      </c>
      <c r="I683" s="66" t="s">
        <v>1370</v>
      </c>
      <c r="J683" s="66" t="s">
        <v>1371</v>
      </c>
      <c r="K683" s="67" t="s">
        <v>331</v>
      </c>
    </row>
    <row r="684" spans="1:11" ht="18" hidden="1" customHeight="1" thickBot="1">
      <c r="A684" s="73" t="s">
        <v>835</v>
      </c>
      <c r="B684" s="75" t="s">
        <v>33</v>
      </c>
      <c r="C684" s="75" t="s">
        <v>90</v>
      </c>
      <c r="D684" s="74" t="s">
        <v>447</v>
      </c>
      <c r="E684" s="76">
        <v>1000</v>
      </c>
      <c r="F684" s="76"/>
      <c r="G684" s="76"/>
      <c r="H684" s="76">
        <v>1000</v>
      </c>
      <c r="I684" s="74" t="s">
        <v>90</v>
      </c>
      <c r="J684" s="74" t="s">
        <v>90</v>
      </c>
      <c r="K684" s="77" t="s">
        <v>90</v>
      </c>
    </row>
    <row r="685" spans="1:11" hidden="1"/>
    <row r="686" spans="1:11" hidden="1"/>
    <row r="687" spans="1:11" ht="31.5" hidden="1" customHeight="1">
      <c r="F687" s="61" t="s">
        <v>834</v>
      </c>
    </row>
    <row r="688" spans="1:11" ht="7.9" hidden="1" customHeight="1"/>
    <row r="689" spans="1:11" ht="15" hidden="1" customHeight="1">
      <c r="F689" s="62" t="s">
        <v>996</v>
      </c>
    </row>
    <row r="690" spans="1:11" ht="20.100000000000001" hidden="1" customHeight="1"/>
    <row r="691" spans="1:11" ht="15" hidden="1" customHeight="1" thickBot="1">
      <c r="A691" s="63" t="s">
        <v>1013</v>
      </c>
      <c r="K691" s="64" t="s">
        <v>336</v>
      </c>
    </row>
    <row r="692" spans="1:11" ht="18" hidden="1" customHeight="1" thickBot="1">
      <c r="A692" s="65" t="s">
        <v>337</v>
      </c>
      <c r="B692" s="66" t="s">
        <v>338</v>
      </c>
      <c r="C692" s="66" t="s">
        <v>337</v>
      </c>
      <c r="D692" s="66" t="s">
        <v>339</v>
      </c>
      <c r="E692" s="66" t="s">
        <v>1369</v>
      </c>
      <c r="F692" s="66" t="s">
        <v>997</v>
      </c>
      <c r="G692" s="66" t="s">
        <v>998</v>
      </c>
      <c r="H692" s="66" t="s">
        <v>340</v>
      </c>
      <c r="I692" s="66" t="s">
        <v>1370</v>
      </c>
      <c r="J692" s="66" t="s">
        <v>1371</v>
      </c>
      <c r="K692" s="67" t="s">
        <v>331</v>
      </c>
    </row>
    <row r="693" spans="1:11" ht="18" hidden="1" customHeight="1" thickBot="1">
      <c r="A693" s="78" t="s">
        <v>363</v>
      </c>
      <c r="B693" s="80" t="s">
        <v>90</v>
      </c>
      <c r="C693" s="80" t="s">
        <v>90</v>
      </c>
      <c r="D693" s="79" t="s">
        <v>90</v>
      </c>
      <c r="E693" s="81">
        <v>1000</v>
      </c>
      <c r="F693" s="81"/>
      <c r="G693" s="81"/>
      <c r="H693" s="81">
        <v>1000</v>
      </c>
      <c r="I693" s="79" t="s">
        <v>90</v>
      </c>
      <c r="J693" s="79" t="s">
        <v>90</v>
      </c>
      <c r="K693" s="82" t="s">
        <v>90</v>
      </c>
    </row>
    <row r="694" spans="1:11" ht="5.25" hidden="1" customHeight="1"/>
    <row r="695" spans="1:11" ht="31.5" hidden="1" customHeight="1">
      <c r="F695" s="61" t="s">
        <v>836</v>
      </c>
    </row>
    <row r="696" spans="1:11" ht="8.1" hidden="1" customHeight="1"/>
    <row r="697" spans="1:11" ht="15" hidden="1" customHeight="1">
      <c r="F697" s="62" t="s">
        <v>996</v>
      </c>
    </row>
    <row r="698" spans="1:11" ht="20.100000000000001" hidden="1" customHeight="1"/>
    <row r="699" spans="1:11" ht="15" hidden="1" customHeight="1" thickBot="1">
      <c r="A699" s="63" t="s">
        <v>1013</v>
      </c>
      <c r="K699" s="64" t="s">
        <v>336</v>
      </c>
    </row>
    <row r="700" spans="1:11" ht="18" hidden="1" customHeight="1" thickBot="1">
      <c r="A700" s="65" t="s">
        <v>337</v>
      </c>
      <c r="B700" s="66" t="s">
        <v>338</v>
      </c>
      <c r="C700" s="66" t="s">
        <v>337</v>
      </c>
      <c r="D700" s="66" t="s">
        <v>339</v>
      </c>
      <c r="E700" s="66" t="s">
        <v>1369</v>
      </c>
      <c r="F700" s="66" t="s">
        <v>997</v>
      </c>
      <c r="G700" s="66" t="s">
        <v>998</v>
      </c>
      <c r="H700" s="66" t="s">
        <v>340</v>
      </c>
      <c r="I700" s="66" t="s">
        <v>1370</v>
      </c>
      <c r="J700" s="66" t="s">
        <v>1371</v>
      </c>
      <c r="K700" s="67" t="s">
        <v>331</v>
      </c>
    </row>
    <row r="701" spans="1:11" ht="18" hidden="1" customHeight="1" thickBot="1">
      <c r="A701" s="68" t="s">
        <v>837</v>
      </c>
      <c r="B701" s="70" t="s">
        <v>34</v>
      </c>
      <c r="C701" s="70" t="s">
        <v>90</v>
      </c>
      <c r="D701" s="69" t="s">
        <v>447</v>
      </c>
      <c r="E701" s="71">
        <v>2000</v>
      </c>
      <c r="F701" s="71"/>
      <c r="G701" s="71"/>
      <c r="H701" s="71">
        <v>2000</v>
      </c>
      <c r="I701" s="69" t="s">
        <v>90</v>
      </c>
      <c r="J701" s="69" t="s">
        <v>90</v>
      </c>
      <c r="K701" s="72" t="s">
        <v>90</v>
      </c>
    </row>
    <row r="702" spans="1:11" ht="18" hidden="1" customHeight="1" thickBot="1">
      <c r="A702" s="78" t="s">
        <v>363</v>
      </c>
      <c r="B702" s="80" t="s">
        <v>90</v>
      </c>
      <c r="C702" s="80" t="s">
        <v>90</v>
      </c>
      <c r="D702" s="79" t="s">
        <v>90</v>
      </c>
      <c r="E702" s="81">
        <v>2000</v>
      </c>
      <c r="F702" s="81"/>
      <c r="G702" s="81"/>
      <c r="H702" s="81">
        <v>2000</v>
      </c>
      <c r="I702" s="79" t="s">
        <v>90</v>
      </c>
      <c r="J702" s="79" t="s">
        <v>90</v>
      </c>
      <c r="K702" s="82" t="s">
        <v>90</v>
      </c>
    </row>
    <row r="703" spans="1:11" ht="5.25" hidden="1" customHeight="1"/>
    <row r="704" spans="1:11" ht="31.5" hidden="1" customHeight="1">
      <c r="F704" s="61" t="s">
        <v>838</v>
      </c>
    </row>
    <row r="705" spans="1:11" ht="8.1" hidden="1" customHeight="1"/>
    <row r="706" spans="1:11" ht="15" hidden="1" customHeight="1">
      <c r="F706" s="62" t="s">
        <v>996</v>
      </c>
    </row>
    <row r="707" spans="1:11" ht="20.25" hidden="1" customHeight="1"/>
    <row r="708" spans="1:11" ht="15" hidden="1" customHeight="1" thickBot="1">
      <c r="A708" s="63" t="s">
        <v>1013</v>
      </c>
      <c r="K708" s="64" t="s">
        <v>336</v>
      </c>
    </row>
    <row r="709" spans="1:11" ht="18" hidden="1" customHeight="1" thickBot="1">
      <c r="A709" s="65" t="s">
        <v>337</v>
      </c>
      <c r="B709" s="66" t="s">
        <v>338</v>
      </c>
      <c r="C709" s="66" t="s">
        <v>337</v>
      </c>
      <c r="D709" s="66" t="s">
        <v>339</v>
      </c>
      <c r="E709" s="66" t="s">
        <v>1369</v>
      </c>
      <c r="F709" s="66" t="s">
        <v>997</v>
      </c>
      <c r="G709" s="66" t="s">
        <v>998</v>
      </c>
      <c r="H709" s="66" t="s">
        <v>340</v>
      </c>
      <c r="I709" s="66" t="s">
        <v>1370</v>
      </c>
      <c r="J709" s="66" t="s">
        <v>1371</v>
      </c>
      <c r="K709" s="67" t="s">
        <v>331</v>
      </c>
    </row>
    <row r="710" spans="1:11" ht="18" hidden="1" customHeight="1">
      <c r="A710" s="68" t="s">
        <v>839</v>
      </c>
      <c r="B710" s="70" t="s">
        <v>35</v>
      </c>
      <c r="C710" s="70" t="s">
        <v>90</v>
      </c>
      <c r="D710" s="69" t="s">
        <v>447</v>
      </c>
      <c r="E710" s="71">
        <v>-516666</v>
      </c>
      <c r="F710" s="71"/>
      <c r="G710" s="71">
        <v>6200000</v>
      </c>
      <c r="H710" s="71">
        <v>-6716666</v>
      </c>
      <c r="I710" s="69" t="s">
        <v>90</v>
      </c>
      <c r="J710" s="69" t="s">
        <v>90</v>
      </c>
      <c r="K710" s="72" t="s">
        <v>90</v>
      </c>
    </row>
    <row r="711" spans="1:11" ht="18" hidden="1" customHeight="1" thickBot="1">
      <c r="A711" s="68" t="s">
        <v>839</v>
      </c>
      <c r="B711" s="70" t="s">
        <v>35</v>
      </c>
      <c r="C711" s="70" t="s">
        <v>767</v>
      </c>
      <c r="D711" s="69" t="s">
        <v>768</v>
      </c>
      <c r="E711" s="71">
        <v>31000000</v>
      </c>
      <c r="F711" s="71"/>
      <c r="G711" s="71"/>
      <c r="H711" s="71">
        <v>31000000</v>
      </c>
      <c r="I711" s="69" t="s">
        <v>1847</v>
      </c>
      <c r="J711" s="69" t="s">
        <v>90</v>
      </c>
      <c r="K711" s="72" t="s">
        <v>90</v>
      </c>
    </row>
    <row r="712" spans="1:11" ht="18" hidden="1" customHeight="1" thickBot="1">
      <c r="A712" s="78" t="s">
        <v>363</v>
      </c>
      <c r="B712" s="80" t="s">
        <v>90</v>
      </c>
      <c r="C712" s="80" t="s">
        <v>90</v>
      </c>
      <c r="D712" s="79" t="s">
        <v>90</v>
      </c>
      <c r="E712" s="81">
        <v>30483334</v>
      </c>
      <c r="F712" s="81"/>
      <c r="G712" s="81">
        <v>6200000</v>
      </c>
      <c r="H712" s="81">
        <v>24283334</v>
      </c>
      <c r="I712" s="79" t="s">
        <v>90</v>
      </c>
      <c r="J712" s="79" t="s">
        <v>90</v>
      </c>
      <c r="K712" s="82" t="s">
        <v>90</v>
      </c>
    </row>
    <row r="713" spans="1:11" ht="5.25" hidden="1" customHeight="1"/>
    <row r="714" spans="1:11" ht="31.5" hidden="1" customHeight="1">
      <c r="F714" s="61" t="s">
        <v>840</v>
      </c>
    </row>
    <row r="715" spans="1:11" ht="7.9" hidden="1" customHeight="1"/>
    <row r="716" spans="1:11" ht="15" hidden="1" customHeight="1">
      <c r="F716" s="62" t="s">
        <v>996</v>
      </c>
    </row>
    <row r="717" spans="1:11" ht="20.100000000000001" hidden="1" customHeight="1"/>
    <row r="718" spans="1:11" ht="15" hidden="1" customHeight="1" thickBot="1">
      <c r="A718" s="63" t="s">
        <v>1013</v>
      </c>
      <c r="K718" s="64" t="s">
        <v>336</v>
      </c>
    </row>
    <row r="719" spans="1:11" ht="18" hidden="1" customHeight="1" thickBot="1">
      <c r="A719" s="65" t="s">
        <v>337</v>
      </c>
      <c r="B719" s="66" t="s">
        <v>338</v>
      </c>
      <c r="C719" s="66" t="s">
        <v>337</v>
      </c>
      <c r="D719" s="66" t="s">
        <v>339</v>
      </c>
      <c r="E719" s="66" t="s">
        <v>1369</v>
      </c>
      <c r="F719" s="66" t="s">
        <v>997</v>
      </c>
      <c r="G719" s="66" t="s">
        <v>998</v>
      </c>
      <c r="H719" s="66" t="s">
        <v>340</v>
      </c>
      <c r="I719" s="66" t="s">
        <v>1370</v>
      </c>
      <c r="J719" s="66" t="s">
        <v>1371</v>
      </c>
      <c r="K719" s="67" t="s">
        <v>331</v>
      </c>
    </row>
    <row r="720" spans="1:11" ht="18" hidden="1" customHeight="1">
      <c r="A720" s="68" t="s">
        <v>841</v>
      </c>
      <c r="B720" s="70" t="s">
        <v>44</v>
      </c>
      <c r="C720" s="70" t="s">
        <v>492</v>
      </c>
      <c r="D720" s="69" t="s">
        <v>493</v>
      </c>
      <c r="E720" s="71">
        <v>25431422</v>
      </c>
      <c r="F720" s="71">
        <v>65345880</v>
      </c>
      <c r="G720" s="71">
        <v>27641592</v>
      </c>
      <c r="H720" s="71">
        <v>63135710</v>
      </c>
      <c r="I720" s="69" t="s">
        <v>1520</v>
      </c>
      <c r="J720" s="69" t="s">
        <v>90</v>
      </c>
      <c r="K720" s="72" t="s">
        <v>90</v>
      </c>
    </row>
    <row r="721" spans="1:11" ht="18" hidden="1" customHeight="1">
      <c r="A721" s="68" t="s">
        <v>841</v>
      </c>
      <c r="B721" s="70" t="s">
        <v>44</v>
      </c>
      <c r="C721" s="70" t="s">
        <v>496</v>
      </c>
      <c r="D721" s="69" t="s">
        <v>497</v>
      </c>
      <c r="E721" s="71">
        <v>19817600</v>
      </c>
      <c r="F721" s="71">
        <v>184413680</v>
      </c>
      <c r="G721" s="71">
        <v>158968920</v>
      </c>
      <c r="H721" s="71">
        <v>45262360</v>
      </c>
      <c r="I721" s="69" t="s">
        <v>1521</v>
      </c>
      <c r="J721" s="69" t="s">
        <v>90</v>
      </c>
      <c r="K721" s="72" t="s">
        <v>90</v>
      </c>
    </row>
    <row r="722" spans="1:11" ht="18" hidden="1" customHeight="1">
      <c r="A722" s="68" t="s">
        <v>841</v>
      </c>
      <c r="B722" s="70" t="s">
        <v>44</v>
      </c>
      <c r="C722" s="70" t="s">
        <v>508</v>
      </c>
      <c r="D722" s="69" t="s">
        <v>509</v>
      </c>
      <c r="E722" s="71">
        <v>556254800</v>
      </c>
      <c r="F722" s="71">
        <v>1946495870</v>
      </c>
      <c r="G722" s="71">
        <v>1430000000</v>
      </c>
      <c r="H722" s="71">
        <v>1072750670</v>
      </c>
      <c r="I722" s="69" t="s">
        <v>1522</v>
      </c>
      <c r="J722" s="69" t="s">
        <v>90</v>
      </c>
      <c r="K722" s="72" t="s">
        <v>90</v>
      </c>
    </row>
    <row r="723" spans="1:11" ht="18" hidden="1" customHeight="1">
      <c r="A723" s="68" t="s">
        <v>841</v>
      </c>
      <c r="B723" s="70" t="s">
        <v>44</v>
      </c>
      <c r="C723" s="70" t="s">
        <v>510</v>
      </c>
      <c r="D723" s="69" t="s">
        <v>511</v>
      </c>
      <c r="E723" s="71">
        <v>429000</v>
      </c>
      <c r="F723" s="71">
        <v>7215120</v>
      </c>
      <c r="G723" s="71">
        <v>6390120</v>
      </c>
      <c r="H723" s="71">
        <v>1254000</v>
      </c>
      <c r="I723" s="69" t="s">
        <v>1523</v>
      </c>
      <c r="J723" s="69" t="s">
        <v>90</v>
      </c>
      <c r="K723" s="72" t="s">
        <v>90</v>
      </c>
    </row>
    <row r="724" spans="1:11" ht="18" hidden="1" customHeight="1">
      <c r="A724" s="68" t="s">
        <v>841</v>
      </c>
      <c r="B724" s="70" t="s">
        <v>44</v>
      </c>
      <c r="C724" s="70" t="s">
        <v>519</v>
      </c>
      <c r="D724" s="69" t="s">
        <v>520</v>
      </c>
      <c r="E724" s="71">
        <v>9894698</v>
      </c>
      <c r="F724" s="71">
        <v>41737376</v>
      </c>
      <c r="G724" s="71">
        <v>41048974</v>
      </c>
      <c r="H724" s="71">
        <v>10583100</v>
      </c>
      <c r="I724" s="69" t="s">
        <v>1525</v>
      </c>
      <c r="J724" s="69" t="s">
        <v>90</v>
      </c>
      <c r="K724" s="72" t="s">
        <v>90</v>
      </c>
    </row>
    <row r="725" spans="1:11" ht="18" hidden="1" customHeight="1">
      <c r="A725" s="68" t="s">
        <v>841</v>
      </c>
      <c r="B725" s="70" t="s">
        <v>44</v>
      </c>
      <c r="C725" s="70" t="s">
        <v>521</v>
      </c>
      <c r="D725" s="69" t="s">
        <v>522</v>
      </c>
      <c r="E725" s="71">
        <v>68790480</v>
      </c>
      <c r="F725" s="71">
        <v>659504560</v>
      </c>
      <c r="G725" s="71">
        <v>639882210</v>
      </c>
      <c r="H725" s="71">
        <v>88412830</v>
      </c>
      <c r="I725" s="69" t="s">
        <v>1526</v>
      </c>
      <c r="J725" s="69" t="s">
        <v>90</v>
      </c>
      <c r="K725" s="72" t="s">
        <v>90</v>
      </c>
    </row>
    <row r="726" spans="1:11" ht="18" hidden="1" customHeight="1">
      <c r="A726" s="68" t="s">
        <v>841</v>
      </c>
      <c r="B726" s="70" t="s">
        <v>44</v>
      </c>
      <c r="C726" s="70" t="s">
        <v>531</v>
      </c>
      <c r="D726" s="69" t="s">
        <v>532</v>
      </c>
      <c r="E726" s="71">
        <v>239384700</v>
      </c>
      <c r="F726" s="71">
        <v>507229250</v>
      </c>
      <c r="G726" s="71">
        <v>341238200</v>
      </c>
      <c r="H726" s="71">
        <v>405375750</v>
      </c>
      <c r="I726" s="69" t="s">
        <v>1529</v>
      </c>
      <c r="J726" s="69" t="s">
        <v>90</v>
      </c>
      <c r="K726" s="72" t="s">
        <v>90</v>
      </c>
    </row>
    <row r="727" spans="1:11" ht="18" hidden="1" customHeight="1">
      <c r="A727" s="68" t="s">
        <v>841</v>
      </c>
      <c r="B727" s="70" t="s">
        <v>44</v>
      </c>
      <c r="C727" s="70" t="s">
        <v>554</v>
      </c>
      <c r="D727" s="69" t="s">
        <v>555</v>
      </c>
      <c r="E727" s="71">
        <v>9086000</v>
      </c>
      <c r="F727" s="71">
        <v>200332440</v>
      </c>
      <c r="G727" s="71">
        <v>185065540</v>
      </c>
      <c r="H727" s="71">
        <v>24352900</v>
      </c>
      <c r="I727" s="69" t="s">
        <v>1533</v>
      </c>
      <c r="J727" s="69" t="s">
        <v>90</v>
      </c>
      <c r="K727" s="72" t="s">
        <v>90</v>
      </c>
    </row>
    <row r="728" spans="1:11" ht="18" hidden="1" customHeight="1">
      <c r="A728" s="68" t="s">
        <v>841</v>
      </c>
      <c r="B728" s="70" t="s">
        <v>44</v>
      </c>
      <c r="C728" s="70" t="s">
        <v>568</v>
      </c>
      <c r="D728" s="69" t="s">
        <v>569</v>
      </c>
      <c r="E728" s="71">
        <v>24803151</v>
      </c>
      <c r="F728" s="71">
        <v>374044852</v>
      </c>
      <c r="G728" s="71">
        <v>351909073</v>
      </c>
      <c r="H728" s="71">
        <v>46938930</v>
      </c>
      <c r="I728" s="69" t="s">
        <v>1577</v>
      </c>
      <c r="J728" s="69" t="s">
        <v>90</v>
      </c>
      <c r="K728" s="72" t="s">
        <v>90</v>
      </c>
    </row>
    <row r="729" spans="1:11" ht="18" hidden="1" customHeight="1">
      <c r="A729" s="68" t="s">
        <v>841</v>
      </c>
      <c r="B729" s="70" t="s">
        <v>44</v>
      </c>
      <c r="C729" s="70" t="s">
        <v>574</v>
      </c>
      <c r="D729" s="69" t="s">
        <v>575</v>
      </c>
      <c r="E729" s="71"/>
      <c r="F729" s="71">
        <v>30946190</v>
      </c>
      <c r="G729" s="71">
        <v>25484910</v>
      </c>
      <c r="H729" s="71">
        <v>5461280</v>
      </c>
      <c r="I729" s="69" t="s">
        <v>1535</v>
      </c>
      <c r="J729" s="69" t="s">
        <v>90</v>
      </c>
      <c r="K729" s="72" t="s">
        <v>90</v>
      </c>
    </row>
    <row r="730" spans="1:11" ht="18" hidden="1" customHeight="1">
      <c r="A730" s="68" t="s">
        <v>841</v>
      </c>
      <c r="B730" s="70" t="s">
        <v>44</v>
      </c>
      <c r="C730" s="70" t="s">
        <v>608</v>
      </c>
      <c r="D730" s="69" t="s">
        <v>609</v>
      </c>
      <c r="E730" s="71">
        <v>17617529</v>
      </c>
      <c r="F730" s="71">
        <v>185978580</v>
      </c>
      <c r="G730" s="71">
        <v>191671873</v>
      </c>
      <c r="H730" s="71">
        <v>11924236</v>
      </c>
      <c r="I730" s="69" t="s">
        <v>1583</v>
      </c>
      <c r="J730" s="69" t="s">
        <v>90</v>
      </c>
      <c r="K730" s="72" t="s">
        <v>90</v>
      </c>
    </row>
    <row r="731" spans="1:11" ht="18" hidden="1" customHeight="1" thickBot="1">
      <c r="A731" s="73" t="s">
        <v>841</v>
      </c>
      <c r="B731" s="75" t="s">
        <v>44</v>
      </c>
      <c r="C731" s="75" t="s">
        <v>612</v>
      </c>
      <c r="D731" s="74" t="s">
        <v>613</v>
      </c>
      <c r="E731" s="76">
        <v>25305429</v>
      </c>
      <c r="F731" s="76">
        <v>109882120</v>
      </c>
      <c r="G731" s="76">
        <v>129474329</v>
      </c>
      <c r="H731" s="76">
        <v>5713220</v>
      </c>
      <c r="I731" s="74" t="s">
        <v>1584</v>
      </c>
      <c r="J731" s="74" t="s">
        <v>90</v>
      </c>
      <c r="K731" s="77" t="s">
        <v>90</v>
      </c>
    </row>
    <row r="732" spans="1:11" ht="18" hidden="1" customHeight="1">
      <c r="A732" s="68" t="s">
        <v>841</v>
      </c>
      <c r="B732" s="70" t="s">
        <v>44</v>
      </c>
      <c r="C732" s="70" t="s">
        <v>614</v>
      </c>
      <c r="D732" s="69" t="s">
        <v>615</v>
      </c>
      <c r="E732" s="71">
        <v>97944620</v>
      </c>
      <c r="F732" s="71">
        <v>715388679</v>
      </c>
      <c r="G732" s="71">
        <v>745325422</v>
      </c>
      <c r="H732" s="71">
        <v>68007877</v>
      </c>
      <c r="I732" s="69" t="s">
        <v>1585</v>
      </c>
      <c r="J732" s="69" t="s">
        <v>90</v>
      </c>
      <c r="K732" s="72" t="s">
        <v>90</v>
      </c>
    </row>
    <row r="733" spans="1:11" ht="18" hidden="1" customHeight="1">
      <c r="A733" s="68" t="s">
        <v>841</v>
      </c>
      <c r="B733" s="70" t="s">
        <v>44</v>
      </c>
      <c r="C733" s="70" t="s">
        <v>618</v>
      </c>
      <c r="D733" s="69" t="s">
        <v>619</v>
      </c>
      <c r="E733" s="71">
        <v>23985896</v>
      </c>
      <c r="F733" s="71">
        <v>121844184</v>
      </c>
      <c r="G733" s="71">
        <v>143728200</v>
      </c>
      <c r="H733" s="71">
        <v>2101880</v>
      </c>
      <c r="I733" s="69" t="s">
        <v>1586</v>
      </c>
      <c r="J733" s="69" t="s">
        <v>90</v>
      </c>
      <c r="K733" s="72" t="s">
        <v>90</v>
      </c>
    </row>
    <row r="734" spans="1:11" ht="18" hidden="1" customHeight="1">
      <c r="A734" s="68" t="s">
        <v>841</v>
      </c>
      <c r="B734" s="70" t="s">
        <v>44</v>
      </c>
      <c r="C734" s="70" t="s">
        <v>1153</v>
      </c>
      <c r="D734" s="69" t="s">
        <v>1154</v>
      </c>
      <c r="E734" s="71"/>
      <c r="F734" s="71">
        <v>1996000</v>
      </c>
      <c r="G734" s="71">
        <v>1772000</v>
      </c>
      <c r="H734" s="71">
        <v>224000</v>
      </c>
      <c r="I734" s="69" t="s">
        <v>1588</v>
      </c>
      <c r="J734" s="69" t="s">
        <v>90</v>
      </c>
      <c r="K734" s="72" t="s">
        <v>90</v>
      </c>
    </row>
    <row r="735" spans="1:11" ht="18" hidden="1" customHeight="1">
      <c r="A735" s="68" t="s">
        <v>841</v>
      </c>
      <c r="B735" s="70" t="s">
        <v>44</v>
      </c>
      <c r="C735" s="70" t="s">
        <v>637</v>
      </c>
      <c r="D735" s="69" t="s">
        <v>638</v>
      </c>
      <c r="E735" s="71"/>
      <c r="F735" s="71">
        <v>1375000</v>
      </c>
      <c r="G735" s="71">
        <v>1188000</v>
      </c>
      <c r="H735" s="71">
        <v>187000</v>
      </c>
      <c r="I735" s="69" t="s">
        <v>1592</v>
      </c>
      <c r="J735" s="69" t="s">
        <v>90</v>
      </c>
      <c r="K735" s="72" t="s">
        <v>90</v>
      </c>
    </row>
    <row r="736" spans="1:11" ht="18" hidden="1" customHeight="1">
      <c r="A736" s="68" t="s">
        <v>841</v>
      </c>
      <c r="B736" s="70" t="s">
        <v>44</v>
      </c>
      <c r="C736" s="70" t="s">
        <v>645</v>
      </c>
      <c r="D736" s="69" t="s">
        <v>646</v>
      </c>
      <c r="E736" s="71">
        <v>11406750</v>
      </c>
      <c r="F736" s="71">
        <v>69316853</v>
      </c>
      <c r="G736" s="71">
        <v>70550059</v>
      </c>
      <c r="H736" s="71">
        <v>10173544</v>
      </c>
      <c r="I736" s="69" t="s">
        <v>1595</v>
      </c>
      <c r="J736" s="69" t="s">
        <v>90</v>
      </c>
      <c r="K736" s="72" t="s">
        <v>90</v>
      </c>
    </row>
    <row r="737" spans="1:11" ht="18" hidden="1" customHeight="1">
      <c r="A737" s="68" t="s">
        <v>841</v>
      </c>
      <c r="B737" s="70" t="s">
        <v>44</v>
      </c>
      <c r="C737" s="70" t="s">
        <v>647</v>
      </c>
      <c r="D737" s="69" t="s">
        <v>648</v>
      </c>
      <c r="E737" s="71">
        <v>10096430</v>
      </c>
      <c r="F737" s="71">
        <v>140088674</v>
      </c>
      <c r="G737" s="71">
        <v>130958754</v>
      </c>
      <c r="H737" s="71">
        <v>19226350</v>
      </c>
      <c r="I737" s="69" t="s">
        <v>1596</v>
      </c>
      <c r="J737" s="69" t="s">
        <v>90</v>
      </c>
      <c r="K737" s="72" t="s">
        <v>90</v>
      </c>
    </row>
    <row r="738" spans="1:11" ht="18" hidden="1" customHeight="1">
      <c r="A738" s="68" t="s">
        <v>841</v>
      </c>
      <c r="B738" s="70" t="s">
        <v>44</v>
      </c>
      <c r="C738" s="70" t="s">
        <v>815</v>
      </c>
      <c r="D738" s="69" t="s">
        <v>816</v>
      </c>
      <c r="E738" s="71">
        <v>4248000</v>
      </c>
      <c r="F738" s="71">
        <v>28456800</v>
      </c>
      <c r="G738" s="71">
        <v>31429800</v>
      </c>
      <c r="H738" s="71">
        <v>1275000</v>
      </c>
      <c r="I738" s="69" t="s">
        <v>1603</v>
      </c>
      <c r="J738" s="69" t="s">
        <v>90</v>
      </c>
      <c r="K738" s="72" t="s">
        <v>90</v>
      </c>
    </row>
    <row r="739" spans="1:11" ht="18" hidden="1" customHeight="1">
      <c r="A739" s="68" t="s">
        <v>841</v>
      </c>
      <c r="B739" s="70" t="s">
        <v>44</v>
      </c>
      <c r="C739" s="70" t="s">
        <v>719</v>
      </c>
      <c r="D739" s="69" t="s">
        <v>720</v>
      </c>
      <c r="E739" s="71">
        <v>181500</v>
      </c>
      <c r="F739" s="71">
        <v>32703000</v>
      </c>
      <c r="G739" s="71">
        <v>30569000</v>
      </c>
      <c r="H739" s="71">
        <v>2315500</v>
      </c>
      <c r="I739" s="69" t="s">
        <v>1617</v>
      </c>
      <c r="J739" s="69" t="s">
        <v>90</v>
      </c>
      <c r="K739" s="72" t="s">
        <v>90</v>
      </c>
    </row>
    <row r="740" spans="1:11" ht="18" hidden="1" customHeight="1">
      <c r="A740" s="68" t="s">
        <v>841</v>
      </c>
      <c r="B740" s="70" t="s">
        <v>44</v>
      </c>
      <c r="C740" s="70" t="s">
        <v>725</v>
      </c>
      <c r="D740" s="69" t="s">
        <v>726</v>
      </c>
      <c r="E740" s="71">
        <v>63678779</v>
      </c>
      <c r="F740" s="71">
        <v>772860722</v>
      </c>
      <c r="G740" s="71">
        <v>738301068</v>
      </c>
      <c r="H740" s="71">
        <v>98238433</v>
      </c>
      <c r="I740" s="69" t="s">
        <v>1620</v>
      </c>
      <c r="J740" s="69" t="s">
        <v>90</v>
      </c>
      <c r="K740" s="72" t="s">
        <v>90</v>
      </c>
    </row>
    <row r="741" spans="1:11" ht="18" hidden="1" customHeight="1">
      <c r="A741" s="68" t="s">
        <v>841</v>
      </c>
      <c r="B741" s="70" t="s">
        <v>44</v>
      </c>
      <c r="C741" s="70" t="s">
        <v>727</v>
      </c>
      <c r="D741" s="69" t="s">
        <v>728</v>
      </c>
      <c r="E741" s="71">
        <v>546480</v>
      </c>
      <c r="F741" s="71">
        <v>13168980</v>
      </c>
      <c r="G741" s="71">
        <v>12860100</v>
      </c>
      <c r="H741" s="71">
        <v>855360</v>
      </c>
      <c r="I741" s="69" t="s">
        <v>1621</v>
      </c>
      <c r="J741" s="69" t="s">
        <v>90</v>
      </c>
      <c r="K741" s="72" t="s">
        <v>90</v>
      </c>
    </row>
    <row r="742" spans="1:11" ht="18" hidden="1" customHeight="1">
      <c r="A742" s="68" t="s">
        <v>841</v>
      </c>
      <c r="B742" s="70" t="s">
        <v>44</v>
      </c>
      <c r="C742" s="70" t="s">
        <v>731</v>
      </c>
      <c r="D742" s="69" t="s">
        <v>732</v>
      </c>
      <c r="E742" s="71">
        <v>211200</v>
      </c>
      <c r="F742" s="71">
        <v>1878800</v>
      </c>
      <c r="G742" s="71">
        <v>1534500</v>
      </c>
      <c r="H742" s="71">
        <v>555500</v>
      </c>
      <c r="I742" s="69" t="s">
        <v>1623</v>
      </c>
      <c r="J742" s="69" t="s">
        <v>90</v>
      </c>
      <c r="K742" s="72" t="s">
        <v>90</v>
      </c>
    </row>
    <row r="743" spans="1:11" ht="18" hidden="1" customHeight="1">
      <c r="A743" s="68" t="s">
        <v>841</v>
      </c>
      <c r="B743" s="70" t="s">
        <v>44</v>
      </c>
      <c r="C743" s="70" t="s">
        <v>757</v>
      </c>
      <c r="D743" s="69" t="s">
        <v>758</v>
      </c>
      <c r="E743" s="71"/>
      <c r="F743" s="71">
        <v>412500</v>
      </c>
      <c r="G743" s="71">
        <v>330000</v>
      </c>
      <c r="H743" s="71">
        <v>82500</v>
      </c>
      <c r="I743" s="69" t="s">
        <v>1630</v>
      </c>
      <c r="J743" s="69" t="s">
        <v>90</v>
      </c>
      <c r="K743" s="72" t="s">
        <v>90</v>
      </c>
    </row>
    <row r="744" spans="1:11" ht="18" hidden="1" customHeight="1">
      <c r="A744" s="68" t="s">
        <v>841</v>
      </c>
      <c r="B744" s="70" t="s">
        <v>44</v>
      </c>
      <c r="C744" s="70" t="s">
        <v>759</v>
      </c>
      <c r="D744" s="69" t="s">
        <v>760</v>
      </c>
      <c r="E744" s="71"/>
      <c r="F744" s="71">
        <v>208824</v>
      </c>
      <c r="G744" s="71"/>
      <c r="H744" s="71">
        <v>208824</v>
      </c>
      <c r="I744" s="69" t="s">
        <v>1631</v>
      </c>
      <c r="J744" s="69" t="s">
        <v>90</v>
      </c>
      <c r="K744" s="72" t="s">
        <v>90</v>
      </c>
    </row>
    <row r="745" spans="1:11" ht="18" hidden="1" customHeight="1">
      <c r="A745" s="68" t="s">
        <v>841</v>
      </c>
      <c r="B745" s="70" t="s">
        <v>44</v>
      </c>
      <c r="C745" s="70" t="s">
        <v>761</v>
      </c>
      <c r="D745" s="69" t="s">
        <v>762</v>
      </c>
      <c r="E745" s="71">
        <v>504900</v>
      </c>
      <c r="F745" s="71">
        <v>12994245</v>
      </c>
      <c r="G745" s="71">
        <v>11576015</v>
      </c>
      <c r="H745" s="71">
        <v>1923130</v>
      </c>
      <c r="I745" s="69" t="s">
        <v>1632</v>
      </c>
      <c r="J745" s="69" t="s">
        <v>90</v>
      </c>
      <c r="K745" s="72" t="s">
        <v>90</v>
      </c>
    </row>
    <row r="746" spans="1:11" ht="18" hidden="1" customHeight="1">
      <c r="A746" s="68" t="s">
        <v>841</v>
      </c>
      <c r="B746" s="70" t="s">
        <v>44</v>
      </c>
      <c r="C746" s="70" t="s">
        <v>765</v>
      </c>
      <c r="D746" s="69" t="s">
        <v>766</v>
      </c>
      <c r="E746" s="71">
        <v>44000</v>
      </c>
      <c r="F746" s="71">
        <v>1173600</v>
      </c>
      <c r="G746" s="71">
        <v>928400</v>
      </c>
      <c r="H746" s="71">
        <v>289200</v>
      </c>
      <c r="I746" s="69" t="s">
        <v>1634</v>
      </c>
      <c r="J746" s="69" t="s">
        <v>90</v>
      </c>
      <c r="K746" s="72" t="s">
        <v>90</v>
      </c>
    </row>
    <row r="747" spans="1:11" ht="18" hidden="1" customHeight="1">
      <c r="A747" s="68" t="s">
        <v>841</v>
      </c>
      <c r="B747" s="70" t="s">
        <v>44</v>
      </c>
      <c r="C747" s="70" t="s">
        <v>1045</v>
      </c>
      <c r="D747" s="69" t="s">
        <v>1046</v>
      </c>
      <c r="E747" s="71"/>
      <c r="F747" s="71">
        <v>79355200</v>
      </c>
      <c r="G747" s="71">
        <v>74387200</v>
      </c>
      <c r="H747" s="71">
        <v>4968000</v>
      </c>
      <c r="I747" s="69" t="s">
        <v>1651</v>
      </c>
      <c r="J747" s="69" t="s">
        <v>90</v>
      </c>
      <c r="K747" s="72" t="s">
        <v>90</v>
      </c>
    </row>
    <row r="748" spans="1:11" ht="18" hidden="1" customHeight="1">
      <c r="A748" s="68" t="s">
        <v>841</v>
      </c>
      <c r="B748" s="70" t="s">
        <v>44</v>
      </c>
      <c r="C748" s="70" t="s">
        <v>1049</v>
      </c>
      <c r="D748" s="69" t="s">
        <v>1050</v>
      </c>
      <c r="E748" s="71"/>
      <c r="F748" s="71">
        <v>224747145</v>
      </c>
      <c r="G748" s="71">
        <v>200984774</v>
      </c>
      <c r="H748" s="71">
        <v>23762371</v>
      </c>
      <c r="I748" s="69" t="s">
        <v>1506</v>
      </c>
      <c r="J748" s="69" t="s">
        <v>90</v>
      </c>
      <c r="K748" s="72" t="s">
        <v>90</v>
      </c>
    </row>
    <row r="749" spans="1:11" ht="18" hidden="1" customHeight="1">
      <c r="A749" s="68" t="s">
        <v>841</v>
      </c>
      <c r="B749" s="70" t="s">
        <v>44</v>
      </c>
      <c r="C749" s="70" t="s">
        <v>1051</v>
      </c>
      <c r="D749" s="69" t="s">
        <v>1052</v>
      </c>
      <c r="E749" s="71"/>
      <c r="F749" s="71">
        <v>87503130</v>
      </c>
      <c r="G749" s="71">
        <v>84568630</v>
      </c>
      <c r="H749" s="71">
        <v>2934500</v>
      </c>
      <c r="I749" s="69" t="s">
        <v>1556</v>
      </c>
      <c r="J749" s="69" t="s">
        <v>90</v>
      </c>
      <c r="K749" s="72" t="s">
        <v>90</v>
      </c>
    </row>
    <row r="750" spans="1:11" ht="18" hidden="1" customHeight="1">
      <c r="A750" s="68" t="s">
        <v>841</v>
      </c>
      <c r="B750" s="70" t="s">
        <v>44</v>
      </c>
      <c r="C750" s="70" t="s">
        <v>1059</v>
      </c>
      <c r="D750" s="69" t="s">
        <v>1060</v>
      </c>
      <c r="E750" s="71"/>
      <c r="F750" s="71">
        <v>4977500</v>
      </c>
      <c r="G750" s="71">
        <v>3558500</v>
      </c>
      <c r="H750" s="71">
        <v>1419000</v>
      </c>
      <c r="I750" s="69" t="s">
        <v>1652</v>
      </c>
      <c r="J750" s="69" t="s">
        <v>90</v>
      </c>
      <c r="K750" s="72" t="s">
        <v>90</v>
      </c>
    </row>
    <row r="751" spans="1:11" ht="18" hidden="1" customHeight="1">
      <c r="A751" s="68" t="s">
        <v>841</v>
      </c>
      <c r="B751" s="70" t="s">
        <v>44</v>
      </c>
      <c r="C751" s="70" t="s">
        <v>1061</v>
      </c>
      <c r="D751" s="69" t="s">
        <v>1062</v>
      </c>
      <c r="E751" s="71"/>
      <c r="F751" s="71">
        <v>224634850</v>
      </c>
      <c r="G751" s="71">
        <v>195871060</v>
      </c>
      <c r="H751" s="71">
        <v>28763790</v>
      </c>
      <c r="I751" s="69" t="s">
        <v>1653</v>
      </c>
      <c r="J751" s="69" t="s">
        <v>90</v>
      </c>
      <c r="K751" s="72" t="s">
        <v>90</v>
      </c>
    </row>
    <row r="752" spans="1:11" ht="18" hidden="1" customHeight="1">
      <c r="A752" s="68" t="s">
        <v>841</v>
      </c>
      <c r="B752" s="70" t="s">
        <v>44</v>
      </c>
      <c r="C752" s="70" t="s">
        <v>1159</v>
      </c>
      <c r="D752" s="69" t="s">
        <v>1160</v>
      </c>
      <c r="E752" s="71"/>
      <c r="F752" s="71">
        <v>63698835</v>
      </c>
      <c r="G752" s="71">
        <v>56899285</v>
      </c>
      <c r="H752" s="71">
        <v>6799550</v>
      </c>
      <c r="I752" s="69" t="s">
        <v>1656</v>
      </c>
      <c r="J752" s="69" t="s">
        <v>90</v>
      </c>
      <c r="K752" s="72" t="s">
        <v>90</v>
      </c>
    </row>
    <row r="753" spans="1:11" ht="18" hidden="1" customHeight="1">
      <c r="A753" s="68" t="s">
        <v>841</v>
      </c>
      <c r="B753" s="70" t="s">
        <v>44</v>
      </c>
      <c r="C753" s="70" t="s">
        <v>1167</v>
      </c>
      <c r="D753" s="69" t="s">
        <v>1168</v>
      </c>
      <c r="E753" s="71"/>
      <c r="F753" s="71">
        <v>48060170</v>
      </c>
      <c r="G753" s="71">
        <v>41058885</v>
      </c>
      <c r="H753" s="71">
        <v>7001285</v>
      </c>
      <c r="I753" s="69" t="s">
        <v>1663</v>
      </c>
      <c r="J753" s="69" t="s">
        <v>90</v>
      </c>
      <c r="K753" s="72" t="s">
        <v>90</v>
      </c>
    </row>
    <row r="754" spans="1:11" ht="18" hidden="1" customHeight="1">
      <c r="A754" s="68" t="s">
        <v>841</v>
      </c>
      <c r="B754" s="70" t="s">
        <v>44</v>
      </c>
      <c r="C754" s="70" t="s">
        <v>1169</v>
      </c>
      <c r="D754" s="69" t="s">
        <v>1170</v>
      </c>
      <c r="E754" s="71"/>
      <c r="F754" s="71">
        <v>30167100</v>
      </c>
      <c r="G754" s="71">
        <v>26859100</v>
      </c>
      <c r="H754" s="71">
        <v>3308000</v>
      </c>
      <c r="I754" s="69" t="s">
        <v>1664</v>
      </c>
      <c r="J754" s="69" t="s">
        <v>90</v>
      </c>
      <c r="K754" s="72" t="s">
        <v>90</v>
      </c>
    </row>
    <row r="755" spans="1:11" ht="18" hidden="1" customHeight="1">
      <c r="A755" s="68" t="s">
        <v>841</v>
      </c>
      <c r="B755" s="70" t="s">
        <v>44</v>
      </c>
      <c r="C755" s="70" t="s">
        <v>1085</v>
      </c>
      <c r="D755" s="69" t="s">
        <v>1086</v>
      </c>
      <c r="E755" s="71"/>
      <c r="F755" s="71">
        <v>19526800</v>
      </c>
      <c r="G755" s="71">
        <v>17452600</v>
      </c>
      <c r="H755" s="71">
        <v>2074200</v>
      </c>
      <c r="I755" s="69" t="s">
        <v>1558</v>
      </c>
      <c r="J755" s="69" t="s">
        <v>90</v>
      </c>
      <c r="K755" s="72" t="s">
        <v>90</v>
      </c>
    </row>
    <row r="756" spans="1:11" ht="18" hidden="1" customHeight="1">
      <c r="A756" s="68" t="s">
        <v>841</v>
      </c>
      <c r="B756" s="70" t="s">
        <v>44</v>
      </c>
      <c r="C756" s="70" t="s">
        <v>1089</v>
      </c>
      <c r="D756" s="69" t="s">
        <v>1090</v>
      </c>
      <c r="E756" s="71"/>
      <c r="F756" s="71">
        <v>48453625</v>
      </c>
      <c r="G756" s="71">
        <v>45468975</v>
      </c>
      <c r="H756" s="71">
        <v>2984650</v>
      </c>
      <c r="I756" s="69" t="s">
        <v>1665</v>
      </c>
      <c r="J756" s="69" t="s">
        <v>90</v>
      </c>
      <c r="K756" s="72" t="s">
        <v>90</v>
      </c>
    </row>
    <row r="757" spans="1:11" ht="18" hidden="1" customHeight="1">
      <c r="A757" s="68" t="s">
        <v>841</v>
      </c>
      <c r="B757" s="70" t="s">
        <v>44</v>
      </c>
      <c r="C757" s="70" t="s">
        <v>1091</v>
      </c>
      <c r="D757" s="69" t="s">
        <v>1092</v>
      </c>
      <c r="E757" s="71"/>
      <c r="F757" s="71">
        <v>32016660</v>
      </c>
      <c r="G757" s="71">
        <v>28015350</v>
      </c>
      <c r="H757" s="71">
        <v>4001310</v>
      </c>
      <c r="I757" s="69" t="s">
        <v>1666</v>
      </c>
      <c r="J757" s="69" t="s">
        <v>90</v>
      </c>
      <c r="K757" s="72" t="s">
        <v>90</v>
      </c>
    </row>
    <row r="758" spans="1:11" ht="18" hidden="1" customHeight="1">
      <c r="A758" s="68" t="s">
        <v>841</v>
      </c>
      <c r="B758" s="70" t="s">
        <v>44</v>
      </c>
      <c r="C758" s="70" t="s">
        <v>1173</v>
      </c>
      <c r="D758" s="69" t="s">
        <v>1174</v>
      </c>
      <c r="E758" s="71"/>
      <c r="F758" s="71">
        <v>7406300</v>
      </c>
      <c r="G758" s="71">
        <v>6859800</v>
      </c>
      <c r="H758" s="71">
        <v>546500</v>
      </c>
      <c r="I758" s="69" t="s">
        <v>1668</v>
      </c>
      <c r="J758" s="69" t="s">
        <v>90</v>
      </c>
      <c r="K758" s="72" t="s">
        <v>90</v>
      </c>
    </row>
    <row r="759" spans="1:11" ht="18" hidden="1" customHeight="1">
      <c r="A759" s="68" t="s">
        <v>841</v>
      </c>
      <c r="B759" s="70" t="s">
        <v>44</v>
      </c>
      <c r="C759" s="70" t="s">
        <v>1101</v>
      </c>
      <c r="D759" s="69" t="s">
        <v>1102</v>
      </c>
      <c r="E759" s="71"/>
      <c r="F759" s="71">
        <v>84691404</v>
      </c>
      <c r="G759" s="71">
        <v>71441353</v>
      </c>
      <c r="H759" s="71">
        <v>13250051</v>
      </c>
      <c r="I759" s="69" t="s">
        <v>1670</v>
      </c>
      <c r="J759" s="69" t="s">
        <v>90</v>
      </c>
      <c r="K759" s="72" t="s">
        <v>90</v>
      </c>
    </row>
    <row r="760" spans="1:11" ht="18" hidden="1" customHeight="1">
      <c r="A760" s="68" t="s">
        <v>841</v>
      </c>
      <c r="B760" s="70" t="s">
        <v>44</v>
      </c>
      <c r="C760" s="70" t="s">
        <v>1265</v>
      </c>
      <c r="D760" s="69" t="s">
        <v>1680</v>
      </c>
      <c r="E760" s="71"/>
      <c r="F760" s="71">
        <v>9042000</v>
      </c>
      <c r="G760" s="71">
        <v>4029300</v>
      </c>
      <c r="H760" s="71">
        <v>5012700</v>
      </c>
      <c r="I760" s="69" t="s">
        <v>1575</v>
      </c>
      <c r="J760" s="69" t="s">
        <v>90</v>
      </c>
      <c r="K760" s="72" t="s">
        <v>90</v>
      </c>
    </row>
    <row r="761" spans="1:11" ht="18" hidden="1" customHeight="1">
      <c r="A761" s="68" t="s">
        <v>841</v>
      </c>
      <c r="B761" s="70" t="s">
        <v>44</v>
      </c>
      <c r="C761" s="70" t="s">
        <v>1009</v>
      </c>
      <c r="D761" s="69" t="s">
        <v>1681</v>
      </c>
      <c r="E761" s="71"/>
      <c r="F761" s="71">
        <v>63164990</v>
      </c>
      <c r="G761" s="71">
        <v>48167430</v>
      </c>
      <c r="H761" s="71">
        <v>14997560</v>
      </c>
      <c r="I761" s="69" t="s">
        <v>1599</v>
      </c>
      <c r="J761" s="69" t="s">
        <v>90</v>
      </c>
      <c r="K761" s="72" t="s">
        <v>90</v>
      </c>
    </row>
    <row r="762" spans="1:11" ht="18" hidden="1" customHeight="1">
      <c r="A762" s="68" t="s">
        <v>841</v>
      </c>
      <c r="B762" s="70" t="s">
        <v>44</v>
      </c>
      <c r="C762" s="70" t="s">
        <v>1682</v>
      </c>
      <c r="D762" s="69" t="s">
        <v>1683</v>
      </c>
      <c r="E762" s="71"/>
      <c r="F762" s="71">
        <v>10791000</v>
      </c>
      <c r="G762" s="71">
        <v>8217000</v>
      </c>
      <c r="H762" s="71">
        <v>2574000</v>
      </c>
      <c r="I762" s="69" t="s">
        <v>1574</v>
      </c>
      <c r="J762" s="69" t="s">
        <v>90</v>
      </c>
      <c r="K762" s="72" t="s">
        <v>90</v>
      </c>
    </row>
    <row r="763" spans="1:11" ht="18" hidden="1" customHeight="1">
      <c r="A763" s="68" t="s">
        <v>841</v>
      </c>
      <c r="B763" s="70" t="s">
        <v>44</v>
      </c>
      <c r="C763" s="70" t="s">
        <v>1687</v>
      </c>
      <c r="D763" s="69" t="s">
        <v>1688</v>
      </c>
      <c r="E763" s="71"/>
      <c r="F763" s="71">
        <v>515164699</v>
      </c>
      <c r="G763" s="71">
        <v>416255732</v>
      </c>
      <c r="H763" s="71">
        <v>98908967</v>
      </c>
      <c r="I763" s="69" t="s">
        <v>1602</v>
      </c>
      <c r="J763" s="69" t="s">
        <v>90</v>
      </c>
      <c r="K763" s="72" t="s">
        <v>90</v>
      </c>
    </row>
    <row r="764" spans="1:11" ht="18" hidden="1" customHeight="1">
      <c r="A764" s="68" t="s">
        <v>841</v>
      </c>
      <c r="B764" s="70" t="s">
        <v>44</v>
      </c>
      <c r="C764" s="70" t="s">
        <v>1694</v>
      </c>
      <c r="D764" s="69" t="s">
        <v>1695</v>
      </c>
      <c r="E764" s="71"/>
      <c r="F764" s="71">
        <v>106941250</v>
      </c>
      <c r="G764" s="71"/>
      <c r="H764" s="71">
        <v>106941250</v>
      </c>
      <c r="I764" s="69" t="s">
        <v>1696</v>
      </c>
      <c r="J764" s="69" t="s">
        <v>90</v>
      </c>
      <c r="K764" s="72" t="s">
        <v>90</v>
      </c>
    </row>
    <row r="765" spans="1:11" ht="18" hidden="1" customHeight="1">
      <c r="A765" s="68" t="s">
        <v>841</v>
      </c>
      <c r="B765" s="70" t="s">
        <v>44</v>
      </c>
      <c r="C765" s="70" t="s">
        <v>1709</v>
      </c>
      <c r="D765" s="69" t="s">
        <v>1710</v>
      </c>
      <c r="E765" s="71"/>
      <c r="F765" s="71">
        <v>1059818</v>
      </c>
      <c r="G765" s="71">
        <v>582249</v>
      </c>
      <c r="H765" s="71">
        <v>477569</v>
      </c>
      <c r="I765" s="69" t="s">
        <v>1711</v>
      </c>
      <c r="J765" s="69" t="s">
        <v>90</v>
      </c>
      <c r="K765" s="72" t="s">
        <v>90</v>
      </c>
    </row>
    <row r="766" spans="1:11" ht="18" hidden="1" customHeight="1" thickBot="1">
      <c r="A766" s="68" t="s">
        <v>841</v>
      </c>
      <c r="B766" s="70" t="s">
        <v>44</v>
      </c>
      <c r="C766" s="70" t="s">
        <v>1716</v>
      </c>
      <c r="D766" s="69" t="s">
        <v>1717</v>
      </c>
      <c r="E766" s="71"/>
      <c r="F766" s="71">
        <v>2758250</v>
      </c>
      <c r="G766" s="71">
        <v>1683000</v>
      </c>
      <c r="H766" s="71">
        <v>1075250</v>
      </c>
      <c r="I766" s="69" t="s">
        <v>1718</v>
      </c>
      <c r="J766" s="69" t="s">
        <v>90</v>
      </c>
      <c r="K766" s="72" t="s">
        <v>90</v>
      </c>
    </row>
    <row r="767" spans="1:11" ht="18" hidden="1" customHeight="1" thickBot="1">
      <c r="A767" s="78" t="s">
        <v>363</v>
      </c>
      <c r="B767" s="80" t="s">
        <v>90</v>
      </c>
      <c r="C767" s="80" t="s">
        <v>90</v>
      </c>
      <c r="D767" s="79" t="s">
        <v>90</v>
      </c>
      <c r="E767" s="81">
        <v>1209663364</v>
      </c>
      <c r="F767" s="81">
        <v>7891153505</v>
      </c>
      <c r="G767" s="81">
        <v>6782187282</v>
      </c>
      <c r="H767" s="81">
        <v>2318629587</v>
      </c>
      <c r="I767" s="79" t="s">
        <v>90</v>
      </c>
      <c r="J767" s="79" t="s">
        <v>90</v>
      </c>
      <c r="K767" s="82" t="s">
        <v>90</v>
      </c>
    </row>
    <row r="768" spans="1:11" hidden="1"/>
    <row r="769" spans="1:11" hidden="1"/>
    <row r="770" spans="1:11" ht="31.5" hidden="1" customHeight="1">
      <c r="F770" s="61" t="s">
        <v>842</v>
      </c>
    </row>
    <row r="771" spans="1:11" ht="7.9" hidden="1" customHeight="1"/>
    <row r="772" spans="1:11" ht="15" hidden="1" customHeight="1">
      <c r="F772" s="62" t="s">
        <v>996</v>
      </c>
    </row>
    <row r="773" spans="1:11" ht="20.100000000000001" hidden="1" customHeight="1"/>
    <row r="774" spans="1:11" ht="15" hidden="1" customHeight="1" thickBot="1">
      <c r="A774" s="63" t="s">
        <v>1013</v>
      </c>
      <c r="K774" s="64" t="s">
        <v>336</v>
      </c>
    </row>
    <row r="775" spans="1:11" ht="18" hidden="1" customHeight="1" thickBot="1">
      <c r="A775" s="65" t="s">
        <v>337</v>
      </c>
      <c r="B775" s="66" t="s">
        <v>338</v>
      </c>
      <c r="C775" s="66" t="s">
        <v>337</v>
      </c>
      <c r="D775" s="66" t="s">
        <v>339</v>
      </c>
      <c r="E775" s="66" t="s">
        <v>1369</v>
      </c>
      <c r="F775" s="66" t="s">
        <v>997</v>
      </c>
      <c r="G775" s="66" t="s">
        <v>998</v>
      </c>
      <c r="H775" s="66" t="s">
        <v>340</v>
      </c>
      <c r="I775" s="66" t="s">
        <v>1370</v>
      </c>
      <c r="J775" s="66" t="s">
        <v>1371</v>
      </c>
      <c r="K775" s="67" t="s">
        <v>331</v>
      </c>
    </row>
    <row r="776" spans="1:11" ht="18" hidden="1" customHeight="1">
      <c r="A776" s="68" t="s">
        <v>843</v>
      </c>
      <c r="B776" s="70" t="s">
        <v>45</v>
      </c>
      <c r="C776" s="70" t="s">
        <v>476</v>
      </c>
      <c r="D776" s="69" t="s">
        <v>477</v>
      </c>
      <c r="E776" s="71">
        <v>1191776</v>
      </c>
      <c r="F776" s="71">
        <v>15939187</v>
      </c>
      <c r="G776" s="71">
        <v>14273957</v>
      </c>
      <c r="H776" s="71">
        <v>2857006</v>
      </c>
      <c r="I776" s="69" t="s">
        <v>1518</v>
      </c>
      <c r="J776" s="69" t="s">
        <v>90</v>
      </c>
      <c r="K776" s="72" t="s">
        <v>90</v>
      </c>
    </row>
    <row r="777" spans="1:11" ht="18" hidden="1" customHeight="1">
      <c r="A777" s="68" t="s">
        <v>843</v>
      </c>
      <c r="B777" s="70" t="s">
        <v>45</v>
      </c>
      <c r="C777" s="70" t="s">
        <v>480</v>
      </c>
      <c r="D777" s="69" t="s">
        <v>481</v>
      </c>
      <c r="E777" s="71">
        <v>1129850</v>
      </c>
      <c r="F777" s="71">
        <v>15875173</v>
      </c>
      <c r="G777" s="71">
        <v>15765323</v>
      </c>
      <c r="H777" s="71">
        <v>1239700</v>
      </c>
      <c r="I777" s="69" t="s">
        <v>1848</v>
      </c>
      <c r="J777" s="69" t="s">
        <v>90</v>
      </c>
      <c r="K777" s="72" t="s">
        <v>90</v>
      </c>
    </row>
    <row r="778" spans="1:11" ht="18" hidden="1" customHeight="1">
      <c r="A778" s="68" t="s">
        <v>843</v>
      </c>
      <c r="B778" s="70" t="s">
        <v>45</v>
      </c>
      <c r="C778" s="70" t="s">
        <v>1849</v>
      </c>
      <c r="D778" s="69" t="s">
        <v>1850</v>
      </c>
      <c r="E778" s="71"/>
      <c r="F778" s="71">
        <v>2816000</v>
      </c>
      <c r="G778" s="71">
        <v>913000</v>
      </c>
      <c r="H778" s="71">
        <v>1903000</v>
      </c>
      <c r="I778" s="69" t="s">
        <v>1851</v>
      </c>
      <c r="J778" s="69" t="s">
        <v>90</v>
      </c>
      <c r="K778" s="72" t="s">
        <v>90</v>
      </c>
    </row>
    <row r="779" spans="1:11" ht="18" hidden="1" customHeight="1">
      <c r="A779" s="68" t="s">
        <v>843</v>
      </c>
      <c r="B779" s="70" t="s">
        <v>45</v>
      </c>
      <c r="C779" s="70" t="s">
        <v>844</v>
      </c>
      <c r="D779" s="69" t="s">
        <v>845</v>
      </c>
      <c r="E779" s="71">
        <v>571105688</v>
      </c>
      <c r="F779" s="71">
        <v>7482888149</v>
      </c>
      <c r="G779" s="71">
        <v>7059779425</v>
      </c>
      <c r="H779" s="71">
        <v>994214412</v>
      </c>
      <c r="I779" s="69" t="s">
        <v>90</v>
      </c>
      <c r="J779" s="69" t="s">
        <v>90</v>
      </c>
      <c r="K779" s="72" t="s">
        <v>90</v>
      </c>
    </row>
    <row r="780" spans="1:11" ht="18" hidden="1" customHeight="1">
      <c r="A780" s="68" t="s">
        <v>843</v>
      </c>
      <c r="B780" s="70" t="s">
        <v>45</v>
      </c>
      <c r="C780" s="70" t="s">
        <v>500</v>
      </c>
      <c r="D780" s="69" t="s">
        <v>501</v>
      </c>
      <c r="E780" s="71">
        <v>2278000</v>
      </c>
      <c r="F780" s="71">
        <v>52145350</v>
      </c>
      <c r="G780" s="71">
        <v>35352400</v>
      </c>
      <c r="H780" s="71">
        <v>19070950</v>
      </c>
      <c r="I780" s="69" t="s">
        <v>1852</v>
      </c>
      <c r="J780" s="69" t="s">
        <v>90</v>
      </c>
      <c r="K780" s="72" t="s">
        <v>90</v>
      </c>
    </row>
    <row r="781" spans="1:11" ht="18" hidden="1" customHeight="1">
      <c r="A781" s="68" t="s">
        <v>843</v>
      </c>
      <c r="B781" s="70" t="s">
        <v>45</v>
      </c>
      <c r="C781" s="70" t="s">
        <v>512</v>
      </c>
      <c r="D781" s="69" t="s">
        <v>513</v>
      </c>
      <c r="E781" s="71"/>
      <c r="F781" s="71">
        <v>48752000</v>
      </c>
      <c r="G781" s="71">
        <v>47212000</v>
      </c>
      <c r="H781" s="71">
        <v>1540000</v>
      </c>
      <c r="I781" s="69" t="s">
        <v>1811</v>
      </c>
      <c r="J781" s="69" t="s">
        <v>90</v>
      </c>
      <c r="K781" s="72" t="s">
        <v>90</v>
      </c>
    </row>
    <row r="782" spans="1:11" ht="18" hidden="1" customHeight="1">
      <c r="A782" s="68" t="s">
        <v>843</v>
      </c>
      <c r="B782" s="70" t="s">
        <v>45</v>
      </c>
      <c r="C782" s="70" t="s">
        <v>514</v>
      </c>
      <c r="D782" s="69" t="s">
        <v>515</v>
      </c>
      <c r="E782" s="71">
        <v>814000</v>
      </c>
      <c r="F782" s="71">
        <v>1056000</v>
      </c>
      <c r="G782" s="71">
        <v>1056000</v>
      </c>
      <c r="H782" s="71">
        <v>814000</v>
      </c>
      <c r="I782" s="69" t="s">
        <v>1853</v>
      </c>
      <c r="J782" s="69" t="s">
        <v>90</v>
      </c>
      <c r="K782" s="72" t="s">
        <v>90</v>
      </c>
    </row>
    <row r="783" spans="1:11" ht="18" hidden="1" customHeight="1">
      <c r="A783" s="68" t="s">
        <v>843</v>
      </c>
      <c r="B783" s="70" t="s">
        <v>45</v>
      </c>
      <c r="C783" s="70" t="s">
        <v>1029</v>
      </c>
      <c r="D783" s="69" t="s">
        <v>1030</v>
      </c>
      <c r="E783" s="71"/>
      <c r="F783" s="71">
        <v>390500</v>
      </c>
      <c r="G783" s="71">
        <v>358600</v>
      </c>
      <c r="H783" s="71">
        <v>31900</v>
      </c>
      <c r="I783" s="69" t="s">
        <v>1854</v>
      </c>
      <c r="J783" s="69" t="s">
        <v>90</v>
      </c>
      <c r="K783" s="72" t="s">
        <v>90</v>
      </c>
    </row>
    <row r="784" spans="1:11" ht="18" hidden="1" customHeight="1">
      <c r="A784" s="68" t="s">
        <v>843</v>
      </c>
      <c r="B784" s="70" t="s">
        <v>45</v>
      </c>
      <c r="C784" s="70" t="s">
        <v>525</v>
      </c>
      <c r="D784" s="69" t="s">
        <v>526</v>
      </c>
      <c r="E784" s="71"/>
      <c r="F784" s="71">
        <v>26400000</v>
      </c>
      <c r="G784" s="71">
        <v>22000000</v>
      </c>
      <c r="H784" s="71">
        <v>4400000</v>
      </c>
      <c r="I784" s="69" t="s">
        <v>1855</v>
      </c>
      <c r="J784" s="69" t="s">
        <v>90</v>
      </c>
      <c r="K784" s="72" t="s">
        <v>90</v>
      </c>
    </row>
    <row r="785" spans="1:11" ht="18" hidden="1" customHeight="1">
      <c r="A785" s="68" t="s">
        <v>843</v>
      </c>
      <c r="B785" s="70" t="s">
        <v>45</v>
      </c>
      <c r="C785" s="70" t="s">
        <v>1035</v>
      </c>
      <c r="D785" s="69" t="s">
        <v>1036</v>
      </c>
      <c r="E785" s="71"/>
      <c r="F785" s="71">
        <v>24750</v>
      </c>
      <c r="G785" s="71"/>
      <c r="H785" s="71">
        <v>24750</v>
      </c>
      <c r="I785" s="69" t="s">
        <v>1856</v>
      </c>
      <c r="J785" s="69" t="s">
        <v>90</v>
      </c>
      <c r="K785" s="72" t="s">
        <v>90</v>
      </c>
    </row>
    <row r="786" spans="1:11" ht="18" hidden="1" customHeight="1">
      <c r="A786" s="68" t="s">
        <v>843</v>
      </c>
      <c r="B786" s="70" t="s">
        <v>45</v>
      </c>
      <c r="C786" s="70" t="s">
        <v>533</v>
      </c>
      <c r="D786" s="69" t="s">
        <v>534</v>
      </c>
      <c r="E786" s="71"/>
      <c r="F786" s="71">
        <v>52800000</v>
      </c>
      <c r="G786" s="71">
        <v>44000000</v>
      </c>
      <c r="H786" s="71">
        <v>8800000</v>
      </c>
      <c r="I786" s="69" t="s">
        <v>1857</v>
      </c>
      <c r="J786" s="69" t="s">
        <v>90</v>
      </c>
      <c r="K786" s="72" t="s">
        <v>90</v>
      </c>
    </row>
    <row r="787" spans="1:11" ht="18" hidden="1" customHeight="1">
      <c r="A787" s="68" t="s">
        <v>843</v>
      </c>
      <c r="B787" s="70" t="s">
        <v>45</v>
      </c>
      <c r="C787" s="70" t="s">
        <v>542</v>
      </c>
      <c r="D787" s="69" t="s">
        <v>543</v>
      </c>
      <c r="E787" s="71">
        <v>7708800</v>
      </c>
      <c r="F787" s="71">
        <v>25411100</v>
      </c>
      <c r="G787" s="71">
        <v>24880900</v>
      </c>
      <c r="H787" s="71">
        <v>8239000</v>
      </c>
      <c r="I787" s="69" t="s">
        <v>1858</v>
      </c>
      <c r="J787" s="69" t="s">
        <v>90</v>
      </c>
      <c r="K787" s="72" t="s">
        <v>90</v>
      </c>
    </row>
    <row r="788" spans="1:11" ht="18" hidden="1" customHeight="1">
      <c r="A788" s="68" t="s">
        <v>843</v>
      </c>
      <c r="B788" s="70" t="s">
        <v>45</v>
      </c>
      <c r="C788" s="70" t="s">
        <v>546</v>
      </c>
      <c r="D788" s="69" t="s">
        <v>547</v>
      </c>
      <c r="E788" s="71">
        <v>479620</v>
      </c>
      <c r="F788" s="71">
        <v>2112000</v>
      </c>
      <c r="G788" s="71">
        <v>2112000</v>
      </c>
      <c r="H788" s="71">
        <v>479620</v>
      </c>
      <c r="I788" s="69" t="s">
        <v>1859</v>
      </c>
      <c r="J788" s="69" t="s">
        <v>90</v>
      </c>
      <c r="K788" s="72" t="s">
        <v>90</v>
      </c>
    </row>
    <row r="789" spans="1:11" ht="18" hidden="1" customHeight="1">
      <c r="A789" s="68" t="s">
        <v>843</v>
      </c>
      <c r="B789" s="70" t="s">
        <v>45</v>
      </c>
      <c r="C789" s="70" t="s">
        <v>548</v>
      </c>
      <c r="D789" s="69" t="s">
        <v>549</v>
      </c>
      <c r="E789" s="71">
        <v>990000</v>
      </c>
      <c r="F789" s="71">
        <v>7025810</v>
      </c>
      <c r="G789" s="71">
        <v>7025810</v>
      </c>
      <c r="H789" s="71">
        <v>990000</v>
      </c>
      <c r="I789" s="69" t="s">
        <v>1499</v>
      </c>
      <c r="J789" s="69" t="s">
        <v>90</v>
      </c>
      <c r="K789" s="72" t="s">
        <v>90</v>
      </c>
    </row>
    <row r="790" spans="1:11" ht="18" hidden="1" customHeight="1">
      <c r="A790" s="68" t="s">
        <v>843</v>
      </c>
      <c r="B790" s="70" t="s">
        <v>45</v>
      </c>
      <c r="C790" s="70" t="s">
        <v>846</v>
      </c>
      <c r="D790" s="69" t="s">
        <v>847</v>
      </c>
      <c r="E790" s="71">
        <v>221038</v>
      </c>
      <c r="F790" s="71">
        <v>95374</v>
      </c>
      <c r="G790" s="71">
        <v>293778</v>
      </c>
      <c r="H790" s="71">
        <v>22634</v>
      </c>
      <c r="I790" s="69" t="s">
        <v>90</v>
      </c>
      <c r="J790" s="69" t="s">
        <v>90</v>
      </c>
      <c r="K790" s="72" t="s">
        <v>90</v>
      </c>
    </row>
    <row r="791" spans="1:11" ht="18" hidden="1" customHeight="1">
      <c r="A791" s="68" t="s">
        <v>843</v>
      </c>
      <c r="B791" s="70" t="s">
        <v>45</v>
      </c>
      <c r="C791" s="70" t="s">
        <v>848</v>
      </c>
      <c r="D791" s="69" t="s">
        <v>849</v>
      </c>
      <c r="E791" s="71">
        <v>4304602</v>
      </c>
      <c r="F791" s="71">
        <v>45366546</v>
      </c>
      <c r="G791" s="71">
        <v>46142559</v>
      </c>
      <c r="H791" s="71">
        <v>3528589</v>
      </c>
      <c r="I791" s="69" t="s">
        <v>1860</v>
      </c>
      <c r="J791" s="69" t="s">
        <v>90</v>
      </c>
      <c r="K791" s="72" t="s">
        <v>90</v>
      </c>
    </row>
    <row r="792" spans="1:11" ht="18" hidden="1" customHeight="1">
      <c r="A792" s="68" t="s">
        <v>843</v>
      </c>
      <c r="B792" s="70" t="s">
        <v>45</v>
      </c>
      <c r="C792" s="70" t="s">
        <v>580</v>
      </c>
      <c r="D792" s="69" t="s">
        <v>581</v>
      </c>
      <c r="E792" s="71">
        <v>660000</v>
      </c>
      <c r="F792" s="71">
        <v>7920000</v>
      </c>
      <c r="G792" s="71">
        <v>7920000</v>
      </c>
      <c r="H792" s="71">
        <v>660000</v>
      </c>
      <c r="I792" s="69" t="s">
        <v>1861</v>
      </c>
      <c r="J792" s="69" t="s">
        <v>90</v>
      </c>
      <c r="K792" s="72" t="s">
        <v>90</v>
      </c>
    </row>
    <row r="793" spans="1:11" ht="18" hidden="1" customHeight="1">
      <c r="A793" s="68" t="s">
        <v>843</v>
      </c>
      <c r="B793" s="70" t="s">
        <v>45</v>
      </c>
      <c r="C793" s="70" t="s">
        <v>586</v>
      </c>
      <c r="D793" s="69" t="s">
        <v>587</v>
      </c>
      <c r="E793" s="71">
        <v>165000</v>
      </c>
      <c r="F793" s="71">
        <v>1980000</v>
      </c>
      <c r="G793" s="71">
        <v>1980000</v>
      </c>
      <c r="H793" s="71">
        <v>165000</v>
      </c>
      <c r="I793" s="69" t="s">
        <v>1862</v>
      </c>
      <c r="J793" s="69" t="s">
        <v>90</v>
      </c>
      <c r="K793" s="72" t="s">
        <v>90</v>
      </c>
    </row>
    <row r="794" spans="1:11" ht="18" hidden="1" customHeight="1">
      <c r="A794" s="68" t="s">
        <v>843</v>
      </c>
      <c r="B794" s="70" t="s">
        <v>45</v>
      </c>
      <c r="C794" s="70" t="s">
        <v>606</v>
      </c>
      <c r="D794" s="69" t="s">
        <v>607</v>
      </c>
      <c r="E794" s="71">
        <v>2200000</v>
      </c>
      <c r="F794" s="71">
        <v>5500000</v>
      </c>
      <c r="G794" s="71">
        <v>5500000</v>
      </c>
      <c r="H794" s="71">
        <v>2200000</v>
      </c>
      <c r="I794" s="69" t="s">
        <v>1863</v>
      </c>
      <c r="J794" s="69" t="s">
        <v>90</v>
      </c>
      <c r="K794" s="72" t="s">
        <v>90</v>
      </c>
    </row>
    <row r="795" spans="1:11" ht="18" hidden="1" customHeight="1">
      <c r="A795" s="68" t="s">
        <v>843</v>
      </c>
      <c r="B795" s="70" t="s">
        <v>45</v>
      </c>
      <c r="C795" s="70" t="s">
        <v>639</v>
      </c>
      <c r="D795" s="69" t="s">
        <v>640</v>
      </c>
      <c r="E795" s="71">
        <v>638219</v>
      </c>
      <c r="F795" s="71">
        <v>12195235</v>
      </c>
      <c r="G795" s="71">
        <v>11810000</v>
      </c>
      <c r="H795" s="71">
        <v>1023454</v>
      </c>
      <c r="I795" s="69" t="s">
        <v>1864</v>
      </c>
      <c r="J795" s="69" t="s">
        <v>90</v>
      </c>
      <c r="K795" s="72" t="s">
        <v>90</v>
      </c>
    </row>
    <row r="796" spans="1:11" ht="18" hidden="1" customHeight="1">
      <c r="A796" s="68" t="s">
        <v>843</v>
      </c>
      <c r="B796" s="70" t="s">
        <v>45</v>
      </c>
      <c r="C796" s="70" t="s">
        <v>651</v>
      </c>
      <c r="D796" s="69" t="s">
        <v>652</v>
      </c>
      <c r="E796" s="71">
        <v>3962860</v>
      </c>
      <c r="F796" s="71">
        <v>40991945</v>
      </c>
      <c r="G796" s="71">
        <v>40468502</v>
      </c>
      <c r="H796" s="71">
        <v>4486303</v>
      </c>
      <c r="I796" s="69" t="s">
        <v>1598</v>
      </c>
      <c r="J796" s="69" t="s">
        <v>90</v>
      </c>
      <c r="K796" s="72" t="s">
        <v>90</v>
      </c>
    </row>
    <row r="797" spans="1:11" ht="18" hidden="1" customHeight="1">
      <c r="A797" s="68" t="s">
        <v>843</v>
      </c>
      <c r="B797" s="70" t="s">
        <v>45</v>
      </c>
      <c r="C797" s="70" t="s">
        <v>1513</v>
      </c>
      <c r="D797" s="69" t="s">
        <v>896</v>
      </c>
      <c r="E797" s="71"/>
      <c r="F797" s="71">
        <v>2964317995</v>
      </c>
      <c r="G797" s="71">
        <v>2949095912</v>
      </c>
      <c r="H797" s="71">
        <v>15222083</v>
      </c>
      <c r="I797" s="69" t="s">
        <v>90</v>
      </c>
      <c r="J797" s="69" t="s">
        <v>90</v>
      </c>
      <c r="K797" s="72" t="s">
        <v>90</v>
      </c>
    </row>
    <row r="798" spans="1:11" ht="18" hidden="1" customHeight="1">
      <c r="A798" s="68" t="s">
        <v>843</v>
      </c>
      <c r="B798" s="70" t="s">
        <v>45</v>
      </c>
      <c r="C798" s="70" t="s">
        <v>670</v>
      </c>
      <c r="D798" s="69" t="s">
        <v>671</v>
      </c>
      <c r="E798" s="71"/>
      <c r="F798" s="71">
        <v>70108500</v>
      </c>
      <c r="G798" s="71">
        <v>57788500</v>
      </c>
      <c r="H798" s="71">
        <v>12320000</v>
      </c>
      <c r="I798" s="69" t="s">
        <v>1865</v>
      </c>
      <c r="J798" s="69" t="s">
        <v>90</v>
      </c>
      <c r="K798" s="72" t="s">
        <v>90</v>
      </c>
    </row>
    <row r="799" spans="1:11" ht="18" hidden="1" customHeight="1">
      <c r="A799" s="68" t="s">
        <v>843</v>
      </c>
      <c r="B799" s="70" t="s">
        <v>45</v>
      </c>
      <c r="C799" s="70" t="s">
        <v>686</v>
      </c>
      <c r="D799" s="69" t="s">
        <v>687</v>
      </c>
      <c r="E799" s="71">
        <v>1939300</v>
      </c>
      <c r="F799" s="71">
        <v>3102000</v>
      </c>
      <c r="G799" s="71">
        <v>4348300</v>
      </c>
      <c r="H799" s="71">
        <v>693000</v>
      </c>
      <c r="I799" s="69" t="s">
        <v>1866</v>
      </c>
      <c r="J799" s="69" t="s">
        <v>90</v>
      </c>
      <c r="K799" s="72" t="s">
        <v>90</v>
      </c>
    </row>
    <row r="800" spans="1:11" ht="18" hidden="1" customHeight="1">
      <c r="A800" s="68" t="s">
        <v>843</v>
      </c>
      <c r="B800" s="70" t="s">
        <v>45</v>
      </c>
      <c r="C800" s="70" t="s">
        <v>702</v>
      </c>
      <c r="D800" s="69" t="s">
        <v>703</v>
      </c>
      <c r="E800" s="71">
        <v>4438280</v>
      </c>
      <c r="F800" s="71">
        <v>39435330</v>
      </c>
      <c r="G800" s="71">
        <v>38432240</v>
      </c>
      <c r="H800" s="71">
        <v>5441370</v>
      </c>
      <c r="I800" s="69" t="s">
        <v>1867</v>
      </c>
      <c r="J800" s="69" t="s">
        <v>90</v>
      </c>
      <c r="K800" s="72" t="s">
        <v>90</v>
      </c>
    </row>
    <row r="801" spans="1:11" ht="18" hidden="1" customHeight="1">
      <c r="A801" s="68" t="s">
        <v>843</v>
      </c>
      <c r="B801" s="70" t="s">
        <v>45</v>
      </c>
      <c r="C801" s="70" t="s">
        <v>706</v>
      </c>
      <c r="D801" s="69" t="s">
        <v>707</v>
      </c>
      <c r="E801" s="71"/>
      <c r="F801" s="71">
        <v>440000</v>
      </c>
      <c r="G801" s="71"/>
      <c r="H801" s="71">
        <v>440000</v>
      </c>
      <c r="I801" s="69" t="s">
        <v>1817</v>
      </c>
      <c r="J801" s="69" t="s">
        <v>90</v>
      </c>
      <c r="K801" s="72" t="s">
        <v>90</v>
      </c>
    </row>
    <row r="802" spans="1:11" ht="18" hidden="1" customHeight="1">
      <c r="A802" s="68" t="s">
        <v>843</v>
      </c>
      <c r="B802" s="70" t="s">
        <v>45</v>
      </c>
      <c r="C802" s="70" t="s">
        <v>712</v>
      </c>
      <c r="D802" s="69" t="s">
        <v>713</v>
      </c>
      <c r="E802" s="71">
        <v>4950000</v>
      </c>
      <c r="F802" s="71">
        <v>78489630</v>
      </c>
      <c r="G802" s="71">
        <v>78636920</v>
      </c>
      <c r="H802" s="71">
        <v>4802710</v>
      </c>
      <c r="I802" s="69" t="s">
        <v>1868</v>
      </c>
      <c r="J802" s="69" t="s">
        <v>90</v>
      </c>
      <c r="K802" s="72" t="s">
        <v>90</v>
      </c>
    </row>
    <row r="803" spans="1:11" ht="18" hidden="1" customHeight="1">
      <c r="A803" s="68" t="s">
        <v>843</v>
      </c>
      <c r="B803" s="70" t="s">
        <v>45</v>
      </c>
      <c r="C803" s="70" t="s">
        <v>714</v>
      </c>
      <c r="D803" s="69" t="s">
        <v>630</v>
      </c>
      <c r="E803" s="71">
        <v>2750000</v>
      </c>
      <c r="F803" s="71">
        <v>46200000</v>
      </c>
      <c r="G803" s="71">
        <v>45100000</v>
      </c>
      <c r="H803" s="71">
        <v>3850000</v>
      </c>
      <c r="I803" s="69" t="s">
        <v>1869</v>
      </c>
      <c r="J803" s="69" t="s">
        <v>90</v>
      </c>
      <c r="K803" s="72" t="s">
        <v>90</v>
      </c>
    </row>
    <row r="804" spans="1:11" ht="18" hidden="1" customHeight="1">
      <c r="A804" s="68" t="s">
        <v>843</v>
      </c>
      <c r="B804" s="70" t="s">
        <v>45</v>
      </c>
      <c r="C804" s="70" t="s">
        <v>767</v>
      </c>
      <c r="D804" s="69" t="s">
        <v>768</v>
      </c>
      <c r="E804" s="71">
        <v>17050000</v>
      </c>
      <c r="F804" s="71">
        <v>5280000</v>
      </c>
      <c r="G804" s="71">
        <v>21890000</v>
      </c>
      <c r="H804" s="71">
        <v>440000</v>
      </c>
      <c r="I804" s="69" t="s">
        <v>1847</v>
      </c>
      <c r="J804" s="69" t="s">
        <v>90</v>
      </c>
      <c r="K804" s="72" t="s">
        <v>90</v>
      </c>
    </row>
    <row r="805" spans="1:11" ht="18" hidden="1" customHeight="1">
      <c r="A805" s="68" t="s">
        <v>843</v>
      </c>
      <c r="B805" s="70" t="s">
        <v>45</v>
      </c>
      <c r="C805" s="70" t="s">
        <v>769</v>
      </c>
      <c r="D805" s="69" t="s">
        <v>770</v>
      </c>
      <c r="E805" s="71"/>
      <c r="F805" s="71">
        <v>248744220</v>
      </c>
      <c r="G805" s="71">
        <v>240022391</v>
      </c>
      <c r="H805" s="71">
        <v>8721829</v>
      </c>
      <c r="I805" s="69" t="s">
        <v>1870</v>
      </c>
      <c r="J805" s="69" t="s">
        <v>90</v>
      </c>
      <c r="K805" s="72" t="s">
        <v>90</v>
      </c>
    </row>
    <row r="806" spans="1:11" ht="18" hidden="1" customHeight="1">
      <c r="A806" s="68" t="s">
        <v>843</v>
      </c>
      <c r="B806" s="70" t="s">
        <v>45</v>
      </c>
      <c r="C806" s="70" t="s">
        <v>773</v>
      </c>
      <c r="D806" s="69" t="s">
        <v>774</v>
      </c>
      <c r="E806" s="71"/>
      <c r="F806" s="71">
        <v>524959215</v>
      </c>
      <c r="G806" s="71">
        <v>475601995</v>
      </c>
      <c r="H806" s="71">
        <v>49357220</v>
      </c>
      <c r="I806" s="69" t="s">
        <v>1871</v>
      </c>
      <c r="J806" s="69" t="s">
        <v>90</v>
      </c>
      <c r="K806" s="72" t="s">
        <v>90</v>
      </c>
    </row>
    <row r="807" spans="1:11" ht="18" hidden="1" customHeight="1">
      <c r="A807" s="68" t="s">
        <v>843</v>
      </c>
      <c r="B807" s="70" t="s">
        <v>45</v>
      </c>
      <c r="C807" s="70" t="s">
        <v>777</v>
      </c>
      <c r="D807" s="69" t="s">
        <v>778</v>
      </c>
      <c r="E807" s="71"/>
      <c r="F807" s="71">
        <v>43548305</v>
      </c>
      <c r="G807" s="71">
        <v>41964305</v>
      </c>
      <c r="H807" s="71">
        <v>1584000</v>
      </c>
      <c r="I807" s="69" t="s">
        <v>1636</v>
      </c>
      <c r="J807" s="69" t="s">
        <v>90</v>
      </c>
      <c r="K807" s="72" t="s">
        <v>90</v>
      </c>
    </row>
    <row r="808" spans="1:11" ht="18" hidden="1" customHeight="1">
      <c r="A808" s="68" t="s">
        <v>843</v>
      </c>
      <c r="B808" s="70" t="s">
        <v>45</v>
      </c>
      <c r="C808" s="70" t="s">
        <v>1872</v>
      </c>
      <c r="D808" s="69" t="s">
        <v>1873</v>
      </c>
      <c r="E808" s="71"/>
      <c r="F808" s="71">
        <v>13081700</v>
      </c>
      <c r="G808" s="71">
        <v>12421100</v>
      </c>
      <c r="H808" s="71">
        <v>660600</v>
      </c>
      <c r="I808" s="69" t="s">
        <v>1874</v>
      </c>
      <c r="J808" s="69" t="s">
        <v>90</v>
      </c>
      <c r="K808" s="72" t="s">
        <v>90</v>
      </c>
    </row>
    <row r="809" spans="1:11" ht="18" hidden="1" customHeight="1">
      <c r="A809" s="68" t="s">
        <v>843</v>
      </c>
      <c r="B809" s="70" t="s">
        <v>45</v>
      </c>
      <c r="C809" s="70" t="s">
        <v>1043</v>
      </c>
      <c r="D809" s="69" t="s">
        <v>1044</v>
      </c>
      <c r="E809" s="71"/>
      <c r="F809" s="71">
        <v>7265610</v>
      </c>
      <c r="G809" s="71">
        <v>6483840</v>
      </c>
      <c r="H809" s="71">
        <v>781770</v>
      </c>
      <c r="I809" s="69" t="s">
        <v>1875</v>
      </c>
      <c r="J809" s="69" t="s">
        <v>90</v>
      </c>
      <c r="K809" s="72" t="s">
        <v>90</v>
      </c>
    </row>
    <row r="810" spans="1:11" ht="18" hidden="1" customHeight="1">
      <c r="A810" s="68" t="s">
        <v>843</v>
      </c>
      <c r="B810" s="70" t="s">
        <v>45</v>
      </c>
      <c r="C810" s="70" t="s">
        <v>1183</v>
      </c>
      <c r="D810" s="69" t="s">
        <v>1184</v>
      </c>
      <c r="E810" s="71"/>
      <c r="F810" s="71">
        <v>2056617</v>
      </c>
      <c r="G810" s="71">
        <v>1883139</v>
      </c>
      <c r="H810" s="71">
        <v>173478</v>
      </c>
      <c r="I810" s="69" t="s">
        <v>1744</v>
      </c>
      <c r="J810" s="69" t="s">
        <v>90</v>
      </c>
      <c r="K810" s="72" t="s">
        <v>90</v>
      </c>
    </row>
    <row r="811" spans="1:11" ht="18" hidden="1" customHeight="1">
      <c r="A811" s="68" t="s">
        <v>843</v>
      </c>
      <c r="B811" s="70" t="s">
        <v>45</v>
      </c>
      <c r="C811" s="70" t="s">
        <v>1053</v>
      </c>
      <c r="D811" s="69" t="s">
        <v>1054</v>
      </c>
      <c r="E811" s="71"/>
      <c r="F811" s="71">
        <v>16632000</v>
      </c>
      <c r="G811" s="71">
        <v>16500000</v>
      </c>
      <c r="H811" s="71">
        <v>132000</v>
      </c>
      <c r="I811" s="69" t="s">
        <v>1784</v>
      </c>
      <c r="J811" s="69" t="s">
        <v>90</v>
      </c>
      <c r="K811" s="72" t="s">
        <v>90</v>
      </c>
    </row>
    <row r="812" spans="1:11" ht="18" hidden="1" customHeight="1" thickBot="1">
      <c r="A812" s="73" t="s">
        <v>843</v>
      </c>
      <c r="B812" s="75" t="s">
        <v>45</v>
      </c>
      <c r="C812" s="75" t="s">
        <v>1073</v>
      </c>
      <c r="D812" s="74" t="s">
        <v>1074</v>
      </c>
      <c r="E812" s="76"/>
      <c r="F812" s="76">
        <v>13204847</v>
      </c>
      <c r="G812" s="76">
        <v>12319347</v>
      </c>
      <c r="H812" s="76">
        <v>885500</v>
      </c>
      <c r="I812" s="74" t="s">
        <v>1876</v>
      </c>
      <c r="J812" s="74" t="s">
        <v>90</v>
      </c>
      <c r="K812" s="77" t="s">
        <v>90</v>
      </c>
    </row>
    <row r="813" spans="1:11" ht="18" hidden="1" customHeight="1">
      <c r="A813" s="68" t="s">
        <v>843</v>
      </c>
      <c r="B813" s="70" t="s">
        <v>45</v>
      </c>
      <c r="C813" s="70" t="s">
        <v>1081</v>
      </c>
      <c r="D813" s="69" t="s">
        <v>1082</v>
      </c>
      <c r="E813" s="71"/>
      <c r="F813" s="71">
        <v>25386765</v>
      </c>
      <c r="G813" s="71">
        <v>22410685</v>
      </c>
      <c r="H813" s="71">
        <v>2976080</v>
      </c>
      <c r="I813" s="69" t="s">
        <v>1877</v>
      </c>
      <c r="J813" s="69" t="s">
        <v>90</v>
      </c>
      <c r="K813" s="72" t="s">
        <v>90</v>
      </c>
    </row>
    <row r="814" spans="1:11" ht="18" hidden="1" customHeight="1">
      <c r="A814" s="68" t="s">
        <v>843</v>
      </c>
      <c r="B814" s="70" t="s">
        <v>45</v>
      </c>
      <c r="C814" s="70" t="s">
        <v>1083</v>
      </c>
      <c r="D814" s="69" t="s">
        <v>1084</v>
      </c>
      <c r="E814" s="71"/>
      <c r="F814" s="71">
        <v>3684593</v>
      </c>
      <c r="G814" s="71">
        <v>1661033</v>
      </c>
      <c r="H814" s="71">
        <v>2023560</v>
      </c>
      <c r="I814" s="69" t="s">
        <v>1878</v>
      </c>
      <c r="J814" s="69" t="s">
        <v>90</v>
      </c>
      <c r="K814" s="72" t="s">
        <v>90</v>
      </c>
    </row>
    <row r="815" spans="1:11" ht="18" hidden="1" customHeight="1">
      <c r="A815" s="68" t="s">
        <v>843</v>
      </c>
      <c r="B815" s="70" t="s">
        <v>45</v>
      </c>
      <c r="C815" s="70" t="s">
        <v>1006</v>
      </c>
      <c r="D815" s="69" t="s">
        <v>1007</v>
      </c>
      <c r="E815" s="71"/>
      <c r="F815" s="71">
        <v>1603008</v>
      </c>
      <c r="G815" s="71">
        <v>1427008</v>
      </c>
      <c r="H815" s="71">
        <v>176000</v>
      </c>
      <c r="I815" s="69" t="s">
        <v>1443</v>
      </c>
      <c r="J815" s="69" t="s">
        <v>90</v>
      </c>
      <c r="K815" s="72" t="s">
        <v>90</v>
      </c>
    </row>
    <row r="816" spans="1:11" ht="18" hidden="1" customHeight="1">
      <c r="A816" s="68" t="s">
        <v>843</v>
      </c>
      <c r="B816" s="70" t="s">
        <v>45</v>
      </c>
      <c r="C816" s="70" t="s">
        <v>1115</v>
      </c>
      <c r="D816" s="69" t="s">
        <v>1116</v>
      </c>
      <c r="E816" s="71"/>
      <c r="F816" s="71">
        <v>14008720</v>
      </c>
      <c r="G816" s="71">
        <v>11783915</v>
      </c>
      <c r="H816" s="71">
        <v>2224805</v>
      </c>
      <c r="I816" s="69" t="s">
        <v>1879</v>
      </c>
      <c r="J816" s="69" t="s">
        <v>90</v>
      </c>
      <c r="K816" s="72" t="s">
        <v>90</v>
      </c>
    </row>
    <row r="817" spans="1:11" ht="18" hidden="1" customHeight="1">
      <c r="A817" s="68" t="s">
        <v>843</v>
      </c>
      <c r="B817" s="70" t="s">
        <v>45</v>
      </c>
      <c r="C817" s="70" t="s">
        <v>1127</v>
      </c>
      <c r="D817" s="69" t="s">
        <v>1128</v>
      </c>
      <c r="E817" s="71"/>
      <c r="F817" s="71">
        <v>2255000</v>
      </c>
      <c r="G817" s="71">
        <v>1127500</v>
      </c>
      <c r="H817" s="71">
        <v>1127500</v>
      </c>
      <c r="I817" s="69" t="s">
        <v>1880</v>
      </c>
      <c r="J817" s="69" t="s">
        <v>90</v>
      </c>
      <c r="K817" s="72" t="s">
        <v>90</v>
      </c>
    </row>
    <row r="818" spans="1:11" ht="18" hidden="1" customHeight="1">
      <c r="A818" s="68" t="s">
        <v>843</v>
      </c>
      <c r="B818" s="70" t="s">
        <v>45</v>
      </c>
      <c r="C818" s="70" t="s">
        <v>1133</v>
      </c>
      <c r="D818" s="69" t="s">
        <v>1134</v>
      </c>
      <c r="E818" s="71"/>
      <c r="F818" s="71">
        <v>16922616</v>
      </c>
      <c r="G818" s="71">
        <v>16320531</v>
      </c>
      <c r="H818" s="71">
        <v>602085</v>
      </c>
      <c r="I818" s="69" t="s">
        <v>1789</v>
      </c>
      <c r="J818" s="69" t="s">
        <v>90</v>
      </c>
      <c r="K818" s="72" t="s">
        <v>90</v>
      </c>
    </row>
    <row r="819" spans="1:11" ht="18" hidden="1" customHeight="1">
      <c r="A819" s="68" t="s">
        <v>843</v>
      </c>
      <c r="B819" s="70" t="s">
        <v>45</v>
      </c>
      <c r="C819" s="70" t="s">
        <v>1270</v>
      </c>
      <c r="D819" s="69" t="s">
        <v>1444</v>
      </c>
      <c r="E819" s="71"/>
      <c r="F819" s="71">
        <v>17675041</v>
      </c>
      <c r="G819" s="71">
        <v>15053977</v>
      </c>
      <c r="H819" s="71">
        <v>2621064</v>
      </c>
      <c r="I819" s="69" t="s">
        <v>1445</v>
      </c>
      <c r="J819" s="69" t="s">
        <v>90</v>
      </c>
      <c r="K819" s="72" t="s">
        <v>90</v>
      </c>
    </row>
    <row r="820" spans="1:11" ht="18" hidden="1" customHeight="1">
      <c r="A820" s="68" t="s">
        <v>843</v>
      </c>
      <c r="B820" s="70" t="s">
        <v>45</v>
      </c>
      <c r="C820" s="70" t="s">
        <v>1264</v>
      </c>
      <c r="D820" s="69" t="s">
        <v>1446</v>
      </c>
      <c r="E820" s="71"/>
      <c r="F820" s="71">
        <v>5774655</v>
      </c>
      <c r="G820" s="71"/>
      <c r="H820" s="71">
        <v>5774655</v>
      </c>
      <c r="I820" s="69" t="s">
        <v>1447</v>
      </c>
      <c r="J820" s="69" t="s">
        <v>90</v>
      </c>
      <c r="K820" s="72" t="s">
        <v>90</v>
      </c>
    </row>
    <row r="821" spans="1:11" ht="18" hidden="1" customHeight="1">
      <c r="A821" s="68" t="s">
        <v>843</v>
      </c>
      <c r="B821" s="70" t="s">
        <v>45</v>
      </c>
      <c r="C821" s="70" t="s">
        <v>1881</v>
      </c>
      <c r="D821" s="69" t="s">
        <v>1882</v>
      </c>
      <c r="E821" s="71"/>
      <c r="F821" s="71">
        <v>9735000</v>
      </c>
      <c r="G821" s="71">
        <v>7711000</v>
      </c>
      <c r="H821" s="71">
        <v>2024000</v>
      </c>
      <c r="I821" s="69" t="s">
        <v>1883</v>
      </c>
      <c r="J821" s="69" t="s">
        <v>90</v>
      </c>
      <c r="K821" s="72" t="s">
        <v>90</v>
      </c>
    </row>
    <row r="822" spans="1:11" ht="18" hidden="1" customHeight="1">
      <c r="A822" s="68" t="s">
        <v>843</v>
      </c>
      <c r="B822" s="70" t="s">
        <v>45</v>
      </c>
      <c r="C822" s="70" t="s">
        <v>1884</v>
      </c>
      <c r="D822" s="69" t="s">
        <v>1885</v>
      </c>
      <c r="E822" s="71"/>
      <c r="F822" s="71">
        <v>1997500</v>
      </c>
      <c r="G822" s="71"/>
      <c r="H822" s="71">
        <v>1997500</v>
      </c>
      <c r="I822" s="69" t="s">
        <v>90</v>
      </c>
      <c r="J822" s="69" t="s">
        <v>90</v>
      </c>
      <c r="K822" s="72" t="s">
        <v>90</v>
      </c>
    </row>
    <row r="823" spans="1:11" ht="18" hidden="1" customHeight="1">
      <c r="A823" s="68" t="s">
        <v>843</v>
      </c>
      <c r="B823" s="70" t="s">
        <v>45</v>
      </c>
      <c r="C823" s="70" t="s">
        <v>1886</v>
      </c>
      <c r="D823" s="69" t="s">
        <v>1887</v>
      </c>
      <c r="E823" s="71"/>
      <c r="F823" s="71">
        <v>2090000</v>
      </c>
      <c r="G823" s="71">
        <v>1430000</v>
      </c>
      <c r="H823" s="71">
        <v>660000</v>
      </c>
      <c r="I823" s="69" t="s">
        <v>1888</v>
      </c>
      <c r="J823" s="69" t="s">
        <v>90</v>
      </c>
      <c r="K823" s="72" t="s">
        <v>90</v>
      </c>
    </row>
    <row r="824" spans="1:11" ht="18" hidden="1" customHeight="1">
      <c r="A824" s="68" t="s">
        <v>843</v>
      </c>
      <c r="B824" s="70" t="s">
        <v>45</v>
      </c>
      <c r="C824" s="70" t="s">
        <v>1889</v>
      </c>
      <c r="D824" s="69" t="s">
        <v>1890</v>
      </c>
      <c r="E824" s="71"/>
      <c r="F824" s="71">
        <v>6801960</v>
      </c>
      <c r="G824" s="71">
        <v>5943080</v>
      </c>
      <c r="H824" s="71">
        <v>858880</v>
      </c>
      <c r="I824" s="69" t="s">
        <v>1891</v>
      </c>
      <c r="J824" s="69" t="s">
        <v>90</v>
      </c>
      <c r="K824" s="72" t="s">
        <v>90</v>
      </c>
    </row>
    <row r="825" spans="1:11" ht="18" hidden="1" customHeight="1">
      <c r="A825" s="68" t="s">
        <v>843</v>
      </c>
      <c r="B825" s="70" t="s">
        <v>45</v>
      </c>
      <c r="C825" s="70" t="s">
        <v>1892</v>
      </c>
      <c r="D825" s="69" t="s">
        <v>1893</v>
      </c>
      <c r="E825" s="71"/>
      <c r="F825" s="71">
        <v>998000</v>
      </c>
      <c r="G825" s="71">
        <v>657000</v>
      </c>
      <c r="H825" s="71">
        <v>341000</v>
      </c>
      <c r="I825" s="69" t="s">
        <v>1894</v>
      </c>
      <c r="J825" s="69" t="s">
        <v>90</v>
      </c>
      <c r="K825" s="72" t="s">
        <v>90</v>
      </c>
    </row>
    <row r="826" spans="1:11" ht="18" hidden="1" customHeight="1">
      <c r="A826" s="68" t="s">
        <v>843</v>
      </c>
      <c r="B826" s="70" t="s">
        <v>45</v>
      </c>
      <c r="C826" s="70" t="s">
        <v>1895</v>
      </c>
      <c r="D826" s="69" t="s">
        <v>1896</v>
      </c>
      <c r="E826" s="71"/>
      <c r="F826" s="71">
        <v>1187840</v>
      </c>
      <c r="G826" s="71">
        <v>919900</v>
      </c>
      <c r="H826" s="71">
        <v>267940</v>
      </c>
      <c r="I826" s="69" t="s">
        <v>90</v>
      </c>
      <c r="J826" s="69" t="s">
        <v>90</v>
      </c>
      <c r="K826" s="72" t="s">
        <v>90</v>
      </c>
    </row>
    <row r="827" spans="1:11" ht="18" hidden="1" customHeight="1">
      <c r="A827" s="68" t="s">
        <v>843</v>
      </c>
      <c r="B827" s="70" t="s">
        <v>45</v>
      </c>
      <c r="C827" s="70" t="s">
        <v>1897</v>
      </c>
      <c r="D827" s="69" t="s">
        <v>850</v>
      </c>
      <c r="E827" s="71">
        <v>51961648</v>
      </c>
      <c r="F827" s="71">
        <v>462555835</v>
      </c>
      <c r="G827" s="71">
        <v>480917805</v>
      </c>
      <c r="H827" s="71">
        <v>33599678</v>
      </c>
      <c r="I827" s="69" t="s">
        <v>90</v>
      </c>
      <c r="J827" s="69" t="s">
        <v>90</v>
      </c>
      <c r="K827" s="72" t="s">
        <v>90</v>
      </c>
    </row>
    <row r="828" spans="1:11" ht="18" hidden="1" customHeight="1">
      <c r="A828" s="68" t="s">
        <v>843</v>
      </c>
      <c r="B828" s="70" t="s">
        <v>45</v>
      </c>
      <c r="C828" s="70" t="s">
        <v>1898</v>
      </c>
      <c r="D828" s="69" t="s">
        <v>1899</v>
      </c>
      <c r="E828" s="71"/>
      <c r="F828" s="71">
        <v>345580</v>
      </c>
      <c r="G828" s="71"/>
      <c r="H828" s="71">
        <v>345580</v>
      </c>
      <c r="I828" s="69" t="s">
        <v>90</v>
      </c>
      <c r="J828" s="69" t="s">
        <v>90</v>
      </c>
      <c r="K828" s="72" t="s">
        <v>90</v>
      </c>
    </row>
    <row r="829" spans="1:11" ht="18" hidden="1" customHeight="1">
      <c r="A829" s="68" t="s">
        <v>843</v>
      </c>
      <c r="B829" s="70" t="s">
        <v>45</v>
      </c>
      <c r="C829" s="70" t="s">
        <v>1900</v>
      </c>
      <c r="D829" s="69" t="s">
        <v>1901</v>
      </c>
      <c r="E829" s="71"/>
      <c r="F829" s="71">
        <v>1514990</v>
      </c>
      <c r="G829" s="71">
        <v>1259910</v>
      </c>
      <c r="H829" s="71">
        <v>255080</v>
      </c>
      <c r="I829" s="69" t="s">
        <v>90</v>
      </c>
      <c r="J829" s="69" t="s">
        <v>90</v>
      </c>
      <c r="K829" s="72" t="s">
        <v>90</v>
      </c>
    </row>
    <row r="830" spans="1:11" ht="18" hidden="1" customHeight="1">
      <c r="A830" s="68" t="s">
        <v>843</v>
      </c>
      <c r="B830" s="70" t="s">
        <v>45</v>
      </c>
      <c r="C830" s="70" t="s">
        <v>1902</v>
      </c>
      <c r="D830" s="69" t="s">
        <v>1903</v>
      </c>
      <c r="E830" s="71"/>
      <c r="F830" s="71">
        <v>5365640</v>
      </c>
      <c r="G830" s="71">
        <v>3538400</v>
      </c>
      <c r="H830" s="71">
        <v>1827240</v>
      </c>
      <c r="I830" s="69" t="s">
        <v>90</v>
      </c>
      <c r="J830" s="69" t="s">
        <v>90</v>
      </c>
      <c r="K830" s="72" t="s">
        <v>90</v>
      </c>
    </row>
    <row r="831" spans="1:11" ht="18" hidden="1" customHeight="1" thickBot="1">
      <c r="A831" s="68" t="s">
        <v>843</v>
      </c>
      <c r="B831" s="70" t="s">
        <v>45</v>
      </c>
      <c r="C831" s="70" t="s">
        <v>1904</v>
      </c>
      <c r="D831" s="69" t="s">
        <v>1905</v>
      </c>
      <c r="E831" s="71"/>
      <c r="F831" s="71">
        <v>2141100</v>
      </c>
      <c r="G831" s="71">
        <v>1687110</v>
      </c>
      <c r="H831" s="71">
        <v>453990</v>
      </c>
      <c r="I831" s="69" t="s">
        <v>90</v>
      </c>
      <c r="J831" s="69" t="s">
        <v>90</v>
      </c>
      <c r="K831" s="72" t="s">
        <v>90</v>
      </c>
    </row>
    <row r="832" spans="1:11" ht="18" hidden="1" customHeight="1" thickBot="1">
      <c r="A832" s="78" t="s">
        <v>363</v>
      </c>
      <c r="B832" s="80" t="s">
        <v>90</v>
      </c>
      <c r="C832" s="80" t="s">
        <v>90</v>
      </c>
      <c r="D832" s="79" t="s">
        <v>90</v>
      </c>
      <c r="E832" s="81">
        <v>680938681</v>
      </c>
      <c r="F832" s="81">
        <v>12506594931</v>
      </c>
      <c r="G832" s="81">
        <v>11965181097</v>
      </c>
      <c r="H832" s="81">
        <v>1222352515</v>
      </c>
      <c r="I832" s="79" t="s">
        <v>90</v>
      </c>
      <c r="J832" s="79" t="s">
        <v>90</v>
      </c>
      <c r="K832" s="82" t="s">
        <v>90</v>
      </c>
    </row>
    <row r="833" spans="1:11" ht="5.25" hidden="1" customHeight="1"/>
    <row r="834" spans="1:11" ht="31.5" hidden="1" customHeight="1">
      <c r="F834" s="61" t="s">
        <v>851</v>
      </c>
    </row>
    <row r="835" spans="1:11" ht="7.9" hidden="1" customHeight="1"/>
    <row r="836" spans="1:11" ht="15" hidden="1" customHeight="1">
      <c r="F836" s="62" t="s">
        <v>996</v>
      </c>
    </row>
    <row r="837" spans="1:11" ht="20.100000000000001" hidden="1" customHeight="1"/>
    <row r="838" spans="1:11" ht="15" hidden="1" customHeight="1" thickBot="1">
      <c r="A838" s="63" t="s">
        <v>1013</v>
      </c>
      <c r="K838" s="64" t="s">
        <v>336</v>
      </c>
    </row>
    <row r="839" spans="1:11" ht="18" hidden="1" customHeight="1" thickBot="1">
      <c r="A839" s="65" t="s">
        <v>337</v>
      </c>
      <c r="B839" s="66" t="s">
        <v>338</v>
      </c>
      <c r="C839" s="66" t="s">
        <v>337</v>
      </c>
      <c r="D839" s="66" t="s">
        <v>339</v>
      </c>
      <c r="E839" s="66" t="s">
        <v>1369</v>
      </c>
      <c r="F839" s="66" t="s">
        <v>997</v>
      </c>
      <c r="G839" s="66" t="s">
        <v>998</v>
      </c>
      <c r="H839" s="66" t="s">
        <v>340</v>
      </c>
      <c r="I839" s="66" t="s">
        <v>1370</v>
      </c>
      <c r="J839" s="66" t="s">
        <v>1371</v>
      </c>
      <c r="K839" s="67" t="s">
        <v>331</v>
      </c>
    </row>
    <row r="840" spans="1:11" ht="18" hidden="1" customHeight="1">
      <c r="A840" s="68" t="s">
        <v>852</v>
      </c>
      <c r="B840" s="70" t="s">
        <v>46</v>
      </c>
      <c r="C840" s="70" t="s">
        <v>90</v>
      </c>
      <c r="D840" s="69" t="s">
        <v>447</v>
      </c>
      <c r="E840" s="71"/>
      <c r="F840" s="71">
        <v>4293280</v>
      </c>
      <c r="G840" s="71">
        <v>4016780</v>
      </c>
      <c r="H840" s="71">
        <v>276500</v>
      </c>
      <c r="I840" s="69" t="s">
        <v>90</v>
      </c>
      <c r="J840" s="69" t="s">
        <v>90</v>
      </c>
      <c r="K840" s="72" t="s">
        <v>90</v>
      </c>
    </row>
    <row r="841" spans="1:11" ht="18" hidden="1" customHeight="1">
      <c r="A841" s="68" t="s">
        <v>852</v>
      </c>
      <c r="B841" s="70" t="s">
        <v>46</v>
      </c>
      <c r="C841" s="70" t="s">
        <v>853</v>
      </c>
      <c r="D841" s="69" t="s">
        <v>854</v>
      </c>
      <c r="E841" s="71">
        <v>20588310</v>
      </c>
      <c r="F841" s="71">
        <v>260311743</v>
      </c>
      <c r="G841" s="71">
        <v>256467225</v>
      </c>
      <c r="H841" s="71">
        <v>24432828</v>
      </c>
      <c r="I841" s="69" t="s">
        <v>90</v>
      </c>
      <c r="J841" s="69" t="s">
        <v>90</v>
      </c>
      <c r="K841" s="72" t="s">
        <v>90</v>
      </c>
    </row>
    <row r="842" spans="1:11" ht="18" hidden="1" customHeight="1">
      <c r="A842" s="68" t="s">
        <v>852</v>
      </c>
      <c r="B842" s="70" t="s">
        <v>46</v>
      </c>
      <c r="C842" s="70" t="s">
        <v>855</v>
      </c>
      <c r="D842" s="69" t="s">
        <v>856</v>
      </c>
      <c r="E842" s="71">
        <v>4241550</v>
      </c>
      <c r="F842" s="71">
        <v>59620456</v>
      </c>
      <c r="G842" s="71">
        <v>58034746</v>
      </c>
      <c r="H842" s="71">
        <v>5827260</v>
      </c>
      <c r="I842" s="69" t="s">
        <v>90</v>
      </c>
      <c r="J842" s="69" t="s">
        <v>90</v>
      </c>
      <c r="K842" s="72" t="s">
        <v>90</v>
      </c>
    </row>
    <row r="843" spans="1:11" ht="18" hidden="1" customHeight="1">
      <c r="A843" s="68" t="s">
        <v>852</v>
      </c>
      <c r="B843" s="70" t="s">
        <v>46</v>
      </c>
      <c r="C843" s="70" t="s">
        <v>857</v>
      </c>
      <c r="D843" s="69" t="s">
        <v>858</v>
      </c>
      <c r="E843" s="71">
        <v>61356310</v>
      </c>
      <c r="F843" s="71">
        <v>324178730</v>
      </c>
      <c r="G843" s="71">
        <v>351204100</v>
      </c>
      <c r="H843" s="71">
        <v>34330940</v>
      </c>
      <c r="I843" s="69" t="s">
        <v>90</v>
      </c>
      <c r="J843" s="69" t="s">
        <v>90</v>
      </c>
      <c r="K843" s="72" t="s">
        <v>90</v>
      </c>
    </row>
    <row r="844" spans="1:11" ht="18" hidden="1" customHeight="1">
      <c r="A844" s="68" t="s">
        <v>852</v>
      </c>
      <c r="B844" s="70" t="s">
        <v>46</v>
      </c>
      <c r="C844" s="70" t="s">
        <v>859</v>
      </c>
      <c r="D844" s="69" t="s">
        <v>539</v>
      </c>
      <c r="E844" s="71">
        <v>6133610</v>
      </c>
      <c r="F844" s="71">
        <v>32426100</v>
      </c>
      <c r="G844" s="71">
        <v>35128090</v>
      </c>
      <c r="H844" s="71">
        <v>3431620</v>
      </c>
      <c r="I844" s="69" t="s">
        <v>90</v>
      </c>
      <c r="J844" s="69" t="s">
        <v>90</v>
      </c>
      <c r="K844" s="72" t="s">
        <v>90</v>
      </c>
    </row>
    <row r="845" spans="1:11" ht="18" hidden="1" customHeight="1">
      <c r="A845" s="68" t="s">
        <v>852</v>
      </c>
      <c r="B845" s="70" t="s">
        <v>46</v>
      </c>
      <c r="C845" s="70" t="s">
        <v>1906</v>
      </c>
      <c r="D845" s="69" t="s">
        <v>1907</v>
      </c>
      <c r="E845" s="71">
        <v>15623660</v>
      </c>
      <c r="F845" s="71">
        <v>236686895</v>
      </c>
      <c r="G845" s="71">
        <v>229811505</v>
      </c>
      <c r="H845" s="71">
        <v>22499050</v>
      </c>
      <c r="I845" s="69" t="s">
        <v>90</v>
      </c>
      <c r="J845" s="69" t="s">
        <v>90</v>
      </c>
      <c r="K845" s="72" t="s">
        <v>90</v>
      </c>
    </row>
    <row r="846" spans="1:11" ht="18" hidden="1" customHeight="1">
      <c r="A846" s="68" t="s">
        <v>852</v>
      </c>
      <c r="B846" s="70" t="s">
        <v>46</v>
      </c>
      <c r="C846" s="70" t="s">
        <v>1451</v>
      </c>
      <c r="D846" s="69" t="s">
        <v>1452</v>
      </c>
      <c r="E846" s="71"/>
      <c r="F846" s="71">
        <v>4242534</v>
      </c>
      <c r="G846" s="71">
        <v>2315054</v>
      </c>
      <c r="H846" s="71">
        <v>1927480</v>
      </c>
      <c r="I846" s="69" t="s">
        <v>90</v>
      </c>
      <c r="J846" s="69" t="s">
        <v>90</v>
      </c>
      <c r="K846" s="72" t="s">
        <v>90</v>
      </c>
    </row>
    <row r="847" spans="1:11" ht="18" hidden="1" customHeight="1">
      <c r="A847" s="68" t="s">
        <v>852</v>
      </c>
      <c r="B847" s="70" t="s">
        <v>46</v>
      </c>
      <c r="C847" s="70" t="s">
        <v>1908</v>
      </c>
      <c r="D847" s="69" t="s">
        <v>1909</v>
      </c>
      <c r="E847" s="71"/>
      <c r="F847" s="71">
        <v>23615851</v>
      </c>
      <c r="G847" s="71">
        <v>13667151</v>
      </c>
      <c r="H847" s="71">
        <v>9948700</v>
      </c>
      <c r="I847" s="69" t="s">
        <v>90</v>
      </c>
      <c r="J847" s="69" t="s">
        <v>90</v>
      </c>
      <c r="K847" s="72" t="s">
        <v>90</v>
      </c>
    </row>
    <row r="848" spans="1:11" ht="18" hidden="1" customHeight="1">
      <c r="A848" s="68" t="s">
        <v>852</v>
      </c>
      <c r="B848" s="70" t="s">
        <v>46</v>
      </c>
      <c r="C848" s="70" t="s">
        <v>1910</v>
      </c>
      <c r="D848" s="69" t="s">
        <v>1911</v>
      </c>
      <c r="E848" s="71"/>
      <c r="F848" s="71">
        <v>18823561</v>
      </c>
      <c r="G848" s="71">
        <v>10684401</v>
      </c>
      <c r="H848" s="71">
        <v>8139160</v>
      </c>
      <c r="I848" s="69" t="s">
        <v>90</v>
      </c>
      <c r="J848" s="69" t="s">
        <v>90</v>
      </c>
      <c r="K848" s="72" t="s">
        <v>90</v>
      </c>
    </row>
    <row r="849" spans="1:11" ht="18" hidden="1" customHeight="1">
      <c r="A849" s="68" t="s">
        <v>852</v>
      </c>
      <c r="B849" s="70" t="s">
        <v>46</v>
      </c>
      <c r="C849" s="70" t="s">
        <v>1912</v>
      </c>
      <c r="D849" s="69" t="s">
        <v>1913</v>
      </c>
      <c r="E849" s="71"/>
      <c r="F849" s="71">
        <v>1882319</v>
      </c>
      <c r="G849" s="71">
        <v>1068249</v>
      </c>
      <c r="H849" s="71">
        <v>814070</v>
      </c>
      <c r="I849" s="69" t="s">
        <v>90</v>
      </c>
      <c r="J849" s="69" t="s">
        <v>90</v>
      </c>
      <c r="K849" s="72" t="s">
        <v>90</v>
      </c>
    </row>
    <row r="850" spans="1:11" ht="18" hidden="1" customHeight="1" thickBot="1">
      <c r="A850" s="73" t="s">
        <v>852</v>
      </c>
      <c r="B850" s="75" t="s">
        <v>46</v>
      </c>
      <c r="C850" s="75" t="s">
        <v>1453</v>
      </c>
      <c r="D850" s="74" t="s">
        <v>1454</v>
      </c>
      <c r="E850" s="76"/>
      <c r="F850" s="76">
        <v>30919260</v>
      </c>
      <c r="G850" s="76">
        <v>20771510</v>
      </c>
      <c r="H850" s="76">
        <v>10147750</v>
      </c>
      <c r="I850" s="74" t="s">
        <v>90</v>
      </c>
      <c r="J850" s="74" t="s">
        <v>90</v>
      </c>
      <c r="K850" s="77" t="s">
        <v>90</v>
      </c>
    </row>
    <row r="851" spans="1:11" ht="18" hidden="1" customHeight="1">
      <c r="A851" s="68" t="s">
        <v>852</v>
      </c>
      <c r="B851" s="70" t="s">
        <v>46</v>
      </c>
      <c r="C851" s="70" t="s">
        <v>1455</v>
      </c>
      <c r="D851" s="69" t="s">
        <v>1456</v>
      </c>
      <c r="E851" s="71"/>
      <c r="F851" s="71">
        <v>3090600</v>
      </c>
      <c r="G851" s="71">
        <v>2075970</v>
      </c>
      <c r="H851" s="71">
        <v>1014630</v>
      </c>
      <c r="I851" s="69" t="s">
        <v>90</v>
      </c>
      <c r="J851" s="69" t="s">
        <v>90</v>
      </c>
      <c r="K851" s="72" t="s">
        <v>90</v>
      </c>
    </row>
    <row r="852" spans="1:11" ht="18" hidden="1" customHeight="1">
      <c r="A852" s="68" t="s">
        <v>852</v>
      </c>
      <c r="B852" s="70" t="s">
        <v>46</v>
      </c>
      <c r="C852" s="70" t="s">
        <v>1457</v>
      </c>
      <c r="D852" s="69" t="s">
        <v>1458</v>
      </c>
      <c r="E852" s="71"/>
      <c r="F852" s="71">
        <v>17749610</v>
      </c>
      <c r="G852" s="71">
        <v>9137710</v>
      </c>
      <c r="H852" s="71">
        <v>8611900</v>
      </c>
      <c r="I852" s="69" t="s">
        <v>90</v>
      </c>
      <c r="J852" s="69" t="s">
        <v>90</v>
      </c>
      <c r="K852" s="72" t="s">
        <v>90</v>
      </c>
    </row>
    <row r="853" spans="1:11" ht="18" hidden="1" customHeight="1">
      <c r="A853" s="68" t="s">
        <v>852</v>
      </c>
      <c r="B853" s="70" t="s">
        <v>46</v>
      </c>
      <c r="C853" s="70" t="s">
        <v>1459</v>
      </c>
      <c r="D853" s="69" t="s">
        <v>1460</v>
      </c>
      <c r="E853" s="71"/>
      <c r="F853" s="71">
        <v>53420</v>
      </c>
      <c r="G853" s="71"/>
      <c r="H853" s="71">
        <v>53420</v>
      </c>
      <c r="I853" s="69" t="s">
        <v>90</v>
      </c>
      <c r="J853" s="69" t="s">
        <v>90</v>
      </c>
      <c r="K853" s="72" t="s">
        <v>90</v>
      </c>
    </row>
    <row r="854" spans="1:11" ht="18" hidden="1" customHeight="1" thickBot="1">
      <c r="A854" s="68" t="s">
        <v>852</v>
      </c>
      <c r="B854" s="70" t="s">
        <v>46</v>
      </c>
      <c r="C854" s="70" t="s">
        <v>1914</v>
      </c>
      <c r="D854" s="69" t="s">
        <v>1915</v>
      </c>
      <c r="E854" s="71"/>
      <c r="F854" s="71">
        <v>1008210</v>
      </c>
      <c r="G854" s="71">
        <v>349030</v>
      </c>
      <c r="H854" s="71">
        <v>659180</v>
      </c>
      <c r="I854" s="69" t="s">
        <v>90</v>
      </c>
      <c r="J854" s="69" t="s">
        <v>90</v>
      </c>
      <c r="K854" s="72" t="s">
        <v>90</v>
      </c>
    </row>
    <row r="855" spans="1:11" ht="18" hidden="1" customHeight="1" thickBot="1">
      <c r="A855" s="78" t="s">
        <v>363</v>
      </c>
      <c r="B855" s="80" t="s">
        <v>90</v>
      </c>
      <c r="C855" s="80" t="s">
        <v>90</v>
      </c>
      <c r="D855" s="79" t="s">
        <v>90</v>
      </c>
      <c r="E855" s="81">
        <v>107943440</v>
      </c>
      <c r="F855" s="81">
        <v>1018902569</v>
      </c>
      <c r="G855" s="81">
        <v>994731521</v>
      </c>
      <c r="H855" s="81">
        <v>132114488</v>
      </c>
      <c r="I855" s="79" t="s">
        <v>90</v>
      </c>
      <c r="J855" s="79" t="s">
        <v>90</v>
      </c>
      <c r="K855" s="82" t="s">
        <v>90</v>
      </c>
    </row>
    <row r="856" spans="1:11" ht="5.25" hidden="1" customHeight="1"/>
    <row r="857" spans="1:11" ht="5.25" hidden="1" customHeight="1"/>
    <row r="858" spans="1:11" ht="31.5" hidden="1" customHeight="1">
      <c r="F858" s="61" t="s">
        <v>1266</v>
      </c>
    </row>
    <row r="859" spans="1:11" ht="7.9" hidden="1" customHeight="1"/>
    <row r="860" spans="1:11" ht="15" hidden="1" customHeight="1">
      <c r="F860" s="62" t="s">
        <v>996</v>
      </c>
    </row>
    <row r="861" spans="1:11" ht="20.100000000000001" hidden="1" customHeight="1"/>
    <row r="862" spans="1:11" ht="15" hidden="1" customHeight="1" thickBot="1">
      <c r="A862" s="63" t="s">
        <v>1013</v>
      </c>
      <c r="K862" s="64" t="s">
        <v>336</v>
      </c>
    </row>
    <row r="863" spans="1:11" ht="18" hidden="1" customHeight="1" thickBot="1">
      <c r="A863" s="65" t="s">
        <v>337</v>
      </c>
      <c r="B863" s="66" t="s">
        <v>338</v>
      </c>
      <c r="C863" s="66" t="s">
        <v>337</v>
      </c>
      <c r="D863" s="66" t="s">
        <v>339</v>
      </c>
      <c r="E863" s="66" t="s">
        <v>1369</v>
      </c>
      <c r="F863" s="66" t="s">
        <v>997</v>
      </c>
      <c r="G863" s="66" t="s">
        <v>998</v>
      </c>
      <c r="H863" s="66" t="s">
        <v>340</v>
      </c>
      <c r="I863" s="66" t="s">
        <v>1370</v>
      </c>
      <c r="J863" s="66" t="s">
        <v>1371</v>
      </c>
      <c r="K863" s="67" t="s">
        <v>331</v>
      </c>
    </row>
    <row r="864" spans="1:11" ht="18" hidden="1" customHeight="1" thickBot="1">
      <c r="A864" s="68" t="s">
        <v>1267</v>
      </c>
      <c r="B864" s="70" t="s">
        <v>48</v>
      </c>
      <c r="C864" s="70" t="s">
        <v>1268</v>
      </c>
      <c r="D864" s="69" t="s">
        <v>1269</v>
      </c>
      <c r="E864" s="71"/>
      <c r="F864" s="71">
        <v>32151000</v>
      </c>
      <c r="G864" s="71">
        <v>23251000</v>
      </c>
      <c r="H864" s="71">
        <v>8900000</v>
      </c>
      <c r="I864" s="69" t="s">
        <v>90</v>
      </c>
      <c r="J864" s="69" t="s">
        <v>90</v>
      </c>
      <c r="K864" s="72" t="s">
        <v>90</v>
      </c>
    </row>
    <row r="865" spans="1:11" ht="18" hidden="1" customHeight="1" thickBot="1">
      <c r="A865" s="78" t="s">
        <v>363</v>
      </c>
      <c r="B865" s="80" t="s">
        <v>90</v>
      </c>
      <c r="C865" s="80" t="s">
        <v>90</v>
      </c>
      <c r="D865" s="79" t="s">
        <v>90</v>
      </c>
      <c r="E865" s="81"/>
      <c r="F865" s="81">
        <v>32151000</v>
      </c>
      <c r="G865" s="81">
        <v>23251000</v>
      </c>
      <c r="H865" s="81">
        <v>8900000</v>
      </c>
      <c r="I865" s="79" t="s">
        <v>90</v>
      </c>
      <c r="J865" s="79" t="s">
        <v>90</v>
      </c>
      <c r="K865" s="82" t="s">
        <v>90</v>
      </c>
    </row>
    <row r="866" spans="1:11" ht="5.25" hidden="1" customHeight="1"/>
    <row r="867" spans="1:11" ht="31.5" hidden="1" customHeight="1">
      <c r="F867" s="61" t="s">
        <v>860</v>
      </c>
    </row>
    <row r="868" spans="1:11" ht="8.1" hidden="1" customHeight="1"/>
    <row r="869" spans="1:11" ht="15" hidden="1" customHeight="1">
      <c r="F869" s="62" t="s">
        <v>996</v>
      </c>
    </row>
    <row r="870" spans="1:11" ht="20.100000000000001" hidden="1" customHeight="1"/>
    <row r="871" spans="1:11" ht="15" hidden="1" customHeight="1" thickBot="1">
      <c r="A871" s="63" t="s">
        <v>1013</v>
      </c>
      <c r="K871" s="64" t="s">
        <v>336</v>
      </c>
    </row>
    <row r="872" spans="1:11" ht="18" hidden="1" customHeight="1" thickBot="1">
      <c r="A872" s="65" t="s">
        <v>337</v>
      </c>
      <c r="B872" s="66" t="s">
        <v>338</v>
      </c>
      <c r="C872" s="66" t="s">
        <v>337</v>
      </c>
      <c r="D872" s="66" t="s">
        <v>339</v>
      </c>
      <c r="E872" s="66" t="s">
        <v>1369</v>
      </c>
      <c r="F872" s="66" t="s">
        <v>997</v>
      </c>
      <c r="G872" s="66" t="s">
        <v>998</v>
      </c>
      <c r="H872" s="66" t="s">
        <v>340</v>
      </c>
      <c r="I872" s="66" t="s">
        <v>1370</v>
      </c>
      <c r="J872" s="66" t="s">
        <v>1371</v>
      </c>
      <c r="K872" s="67" t="s">
        <v>331</v>
      </c>
    </row>
    <row r="873" spans="1:11" ht="18" hidden="1" customHeight="1">
      <c r="A873" s="68" t="s">
        <v>861</v>
      </c>
      <c r="B873" s="70" t="s">
        <v>49</v>
      </c>
      <c r="C873" s="70" t="s">
        <v>1916</v>
      </c>
      <c r="D873" s="69" t="s">
        <v>1917</v>
      </c>
      <c r="E873" s="71"/>
      <c r="F873" s="71">
        <v>240000000</v>
      </c>
      <c r="G873" s="71"/>
      <c r="H873" s="71">
        <v>240000000</v>
      </c>
      <c r="I873" s="69" t="s">
        <v>90</v>
      </c>
      <c r="J873" s="69" t="s">
        <v>90</v>
      </c>
      <c r="K873" s="72" t="s">
        <v>90</v>
      </c>
    </row>
    <row r="874" spans="1:11" ht="18" hidden="1" customHeight="1">
      <c r="A874" s="68" t="s">
        <v>861</v>
      </c>
      <c r="B874" s="70" t="s">
        <v>49</v>
      </c>
      <c r="C874" s="70" t="s">
        <v>368</v>
      </c>
      <c r="D874" s="69" t="s">
        <v>369</v>
      </c>
      <c r="E874" s="71">
        <v>697799117</v>
      </c>
      <c r="F874" s="71">
        <v>864388661</v>
      </c>
      <c r="G874" s="71">
        <v>724858923</v>
      </c>
      <c r="H874" s="71">
        <v>837328855</v>
      </c>
      <c r="I874" s="69" t="s">
        <v>90</v>
      </c>
      <c r="J874" s="69" t="s">
        <v>1398</v>
      </c>
      <c r="K874" s="72" t="s">
        <v>90</v>
      </c>
    </row>
    <row r="875" spans="1:11" ht="18" hidden="1" customHeight="1">
      <c r="A875" s="68" t="s">
        <v>861</v>
      </c>
      <c r="B875" s="70" t="s">
        <v>49</v>
      </c>
      <c r="C875" s="70" t="s">
        <v>1272</v>
      </c>
      <c r="D875" s="69" t="s">
        <v>1918</v>
      </c>
      <c r="E875" s="71">
        <v>500000000</v>
      </c>
      <c r="F875" s="71"/>
      <c r="G875" s="71"/>
      <c r="H875" s="71">
        <v>500000000</v>
      </c>
      <c r="I875" s="69" t="s">
        <v>90</v>
      </c>
      <c r="J875" s="69" t="s">
        <v>1919</v>
      </c>
      <c r="K875" s="72" t="s">
        <v>90</v>
      </c>
    </row>
    <row r="876" spans="1:11" ht="18" hidden="1" customHeight="1">
      <c r="A876" s="68" t="s">
        <v>861</v>
      </c>
      <c r="B876" s="70" t="s">
        <v>49</v>
      </c>
      <c r="C876" s="70" t="s">
        <v>1920</v>
      </c>
      <c r="D876" s="69" t="s">
        <v>1271</v>
      </c>
      <c r="E876" s="71"/>
      <c r="F876" s="71">
        <v>1500000000</v>
      </c>
      <c r="G876" s="71"/>
      <c r="H876" s="71">
        <v>1500000000</v>
      </c>
      <c r="I876" s="69" t="s">
        <v>90</v>
      </c>
      <c r="J876" s="69" t="s">
        <v>1921</v>
      </c>
      <c r="K876" s="72" t="s">
        <v>90</v>
      </c>
    </row>
    <row r="877" spans="1:11" ht="18" hidden="1" customHeight="1">
      <c r="A877" s="68" t="s">
        <v>861</v>
      </c>
      <c r="B877" s="70" t="s">
        <v>49</v>
      </c>
      <c r="C877" s="70" t="s">
        <v>1273</v>
      </c>
      <c r="D877" s="69" t="s">
        <v>1274</v>
      </c>
      <c r="E877" s="71"/>
      <c r="F877" s="71">
        <v>500000000</v>
      </c>
      <c r="G877" s="71"/>
      <c r="H877" s="71">
        <v>500000000</v>
      </c>
      <c r="I877" s="69" t="s">
        <v>90</v>
      </c>
      <c r="J877" s="69" t="s">
        <v>1922</v>
      </c>
      <c r="K877" s="72" t="s">
        <v>90</v>
      </c>
    </row>
    <row r="878" spans="1:11" ht="18" hidden="1" customHeight="1">
      <c r="A878" s="68" t="s">
        <v>861</v>
      </c>
      <c r="B878" s="70" t="s">
        <v>49</v>
      </c>
      <c r="C878" s="70" t="s">
        <v>1275</v>
      </c>
      <c r="D878" s="69" t="s">
        <v>1276</v>
      </c>
      <c r="E878" s="71"/>
      <c r="F878" s="71">
        <v>200000000</v>
      </c>
      <c r="G878" s="71"/>
      <c r="H878" s="71">
        <v>200000000</v>
      </c>
      <c r="I878" s="69" t="s">
        <v>90</v>
      </c>
      <c r="J878" s="69" t="s">
        <v>1923</v>
      </c>
      <c r="K878" s="72" t="s">
        <v>90</v>
      </c>
    </row>
    <row r="879" spans="1:11" ht="18" hidden="1" customHeight="1" thickBot="1">
      <c r="A879" s="73" t="s">
        <v>861</v>
      </c>
      <c r="B879" s="75" t="s">
        <v>49</v>
      </c>
      <c r="C879" s="75" t="s">
        <v>1277</v>
      </c>
      <c r="D879" s="74" t="s">
        <v>1278</v>
      </c>
      <c r="E879" s="76"/>
      <c r="F879" s="76">
        <v>1500000000</v>
      </c>
      <c r="G879" s="76"/>
      <c r="H879" s="76">
        <v>1500000000</v>
      </c>
      <c r="I879" s="74" t="s">
        <v>90</v>
      </c>
      <c r="J879" s="74" t="s">
        <v>1924</v>
      </c>
      <c r="K879" s="77" t="s">
        <v>90</v>
      </c>
    </row>
    <row r="880" spans="1:11" ht="18" hidden="1" customHeight="1">
      <c r="A880" s="68" t="s">
        <v>861</v>
      </c>
      <c r="B880" s="70" t="s">
        <v>49</v>
      </c>
      <c r="C880" s="70" t="s">
        <v>1279</v>
      </c>
      <c r="D880" s="69" t="s">
        <v>1280</v>
      </c>
      <c r="E880" s="71"/>
      <c r="F880" s="71">
        <v>2000000000</v>
      </c>
      <c r="G880" s="71"/>
      <c r="H880" s="71">
        <v>2000000000</v>
      </c>
      <c r="I880" s="69" t="s">
        <v>90</v>
      </c>
      <c r="J880" s="69" t="s">
        <v>1925</v>
      </c>
      <c r="K880" s="72" t="s">
        <v>90</v>
      </c>
    </row>
    <row r="881" spans="1:11" ht="18" hidden="1" customHeight="1" thickBot="1">
      <c r="A881" s="68" t="s">
        <v>861</v>
      </c>
      <c r="B881" s="70" t="s">
        <v>49</v>
      </c>
      <c r="C881" s="70" t="s">
        <v>1281</v>
      </c>
      <c r="D881" s="69" t="s">
        <v>1282</v>
      </c>
      <c r="E881" s="71"/>
      <c r="F881" s="71">
        <v>840000000</v>
      </c>
      <c r="G881" s="71"/>
      <c r="H881" s="71">
        <v>840000000</v>
      </c>
      <c r="I881" s="69" t="s">
        <v>90</v>
      </c>
      <c r="J881" s="69" t="s">
        <v>1926</v>
      </c>
      <c r="K881" s="72" t="s">
        <v>90</v>
      </c>
    </row>
    <row r="882" spans="1:11" ht="18" hidden="1" customHeight="1" thickBot="1">
      <c r="A882" s="78" t="s">
        <v>363</v>
      </c>
      <c r="B882" s="80" t="s">
        <v>90</v>
      </c>
      <c r="C882" s="80" t="s">
        <v>90</v>
      </c>
      <c r="D882" s="79" t="s">
        <v>90</v>
      </c>
      <c r="E882" s="81">
        <v>1197799117</v>
      </c>
      <c r="F882" s="81">
        <v>7644388661</v>
      </c>
      <c r="G882" s="81">
        <v>724858923</v>
      </c>
      <c r="H882" s="81">
        <v>8117328855</v>
      </c>
      <c r="I882" s="79" t="s">
        <v>90</v>
      </c>
      <c r="J882" s="79" t="s">
        <v>90</v>
      </c>
      <c r="K882" s="82" t="s">
        <v>90</v>
      </c>
    </row>
    <row r="883" spans="1:11" ht="5.25" hidden="1" customHeight="1"/>
    <row r="884" spans="1:11" ht="31.5" hidden="1" customHeight="1">
      <c r="F884" s="61" t="s">
        <v>862</v>
      </c>
    </row>
    <row r="885" spans="1:11" ht="8.1" hidden="1" customHeight="1"/>
    <row r="886" spans="1:11" ht="15" hidden="1" customHeight="1">
      <c r="F886" s="62" t="s">
        <v>996</v>
      </c>
    </row>
    <row r="887" spans="1:11" ht="20.100000000000001" hidden="1" customHeight="1"/>
    <row r="888" spans="1:11" ht="15" hidden="1" customHeight="1" thickBot="1">
      <c r="A888" s="63" t="s">
        <v>1013</v>
      </c>
      <c r="K888" s="64" t="s">
        <v>336</v>
      </c>
    </row>
    <row r="889" spans="1:11" ht="18" hidden="1" customHeight="1" thickBot="1">
      <c r="A889" s="65" t="s">
        <v>337</v>
      </c>
      <c r="B889" s="66" t="s">
        <v>338</v>
      </c>
      <c r="C889" s="66" t="s">
        <v>337</v>
      </c>
      <c r="D889" s="66" t="s">
        <v>339</v>
      </c>
      <c r="E889" s="66" t="s">
        <v>1369</v>
      </c>
      <c r="F889" s="66" t="s">
        <v>997</v>
      </c>
      <c r="G889" s="66" t="s">
        <v>998</v>
      </c>
      <c r="H889" s="66" t="s">
        <v>340</v>
      </c>
      <c r="I889" s="66" t="s">
        <v>1370</v>
      </c>
      <c r="J889" s="66" t="s">
        <v>1371</v>
      </c>
      <c r="K889" s="67" t="s">
        <v>331</v>
      </c>
    </row>
    <row r="890" spans="1:11" ht="18" hidden="1" customHeight="1">
      <c r="A890" s="68" t="s">
        <v>863</v>
      </c>
      <c r="B890" s="70" t="s">
        <v>50</v>
      </c>
      <c r="C890" s="70" t="s">
        <v>90</v>
      </c>
      <c r="D890" s="69" t="s">
        <v>447</v>
      </c>
      <c r="E890" s="71"/>
      <c r="F890" s="71">
        <v>2047500</v>
      </c>
      <c r="G890" s="71">
        <v>1997500</v>
      </c>
      <c r="H890" s="71">
        <v>50000</v>
      </c>
      <c r="I890" s="69" t="s">
        <v>90</v>
      </c>
      <c r="J890" s="69" t="s">
        <v>90</v>
      </c>
      <c r="K890" s="72" t="s">
        <v>90</v>
      </c>
    </row>
    <row r="891" spans="1:11" ht="18" hidden="1" customHeight="1">
      <c r="A891" s="68" t="s">
        <v>863</v>
      </c>
      <c r="B891" s="70" t="s">
        <v>50</v>
      </c>
      <c r="C891" s="70" t="s">
        <v>844</v>
      </c>
      <c r="D891" s="69" t="s">
        <v>845</v>
      </c>
      <c r="E891" s="71">
        <v>254725996</v>
      </c>
      <c r="F891" s="71">
        <v>1048770</v>
      </c>
      <c r="G891" s="71">
        <v>254741496</v>
      </c>
      <c r="H891" s="71">
        <v>1033270</v>
      </c>
      <c r="I891" s="69" t="s">
        <v>90</v>
      </c>
      <c r="J891" s="69" t="s">
        <v>90</v>
      </c>
      <c r="K891" s="72" t="s">
        <v>90</v>
      </c>
    </row>
    <row r="892" spans="1:11" ht="18" hidden="1" customHeight="1">
      <c r="A892" s="68" t="s">
        <v>863</v>
      </c>
      <c r="B892" s="70" t="s">
        <v>50</v>
      </c>
      <c r="C892" s="70" t="s">
        <v>1283</v>
      </c>
      <c r="D892" s="69" t="s">
        <v>1284</v>
      </c>
      <c r="E892" s="71"/>
      <c r="F892" s="71">
        <v>444000</v>
      </c>
      <c r="G892" s="71">
        <v>280000</v>
      </c>
      <c r="H892" s="71">
        <v>164000</v>
      </c>
      <c r="I892" s="69" t="s">
        <v>90</v>
      </c>
      <c r="J892" s="69" t="s">
        <v>90</v>
      </c>
      <c r="K892" s="72" t="s">
        <v>90</v>
      </c>
    </row>
    <row r="893" spans="1:11" ht="18" hidden="1" customHeight="1">
      <c r="A893" s="68" t="s">
        <v>863</v>
      </c>
      <c r="B893" s="70" t="s">
        <v>50</v>
      </c>
      <c r="C893" s="70" t="s">
        <v>853</v>
      </c>
      <c r="D893" s="69" t="s">
        <v>854</v>
      </c>
      <c r="E893" s="71">
        <v>12386670</v>
      </c>
      <c r="F893" s="71">
        <v>23429172</v>
      </c>
      <c r="G893" s="71">
        <v>12386670</v>
      </c>
      <c r="H893" s="71">
        <v>23429172</v>
      </c>
      <c r="I893" s="69" t="s">
        <v>90</v>
      </c>
      <c r="J893" s="69" t="s">
        <v>90</v>
      </c>
      <c r="K893" s="72" t="s">
        <v>90</v>
      </c>
    </row>
    <row r="894" spans="1:11" ht="18" hidden="1" customHeight="1">
      <c r="A894" s="68" t="s">
        <v>863</v>
      </c>
      <c r="B894" s="70" t="s">
        <v>50</v>
      </c>
      <c r="C894" s="70" t="s">
        <v>855</v>
      </c>
      <c r="D894" s="69" t="s">
        <v>856</v>
      </c>
      <c r="E894" s="71">
        <v>7419710</v>
      </c>
      <c r="F894" s="71">
        <v>13697430</v>
      </c>
      <c r="G894" s="71">
        <v>7419710</v>
      </c>
      <c r="H894" s="71">
        <v>13697430</v>
      </c>
      <c r="I894" s="69" t="s">
        <v>90</v>
      </c>
      <c r="J894" s="69" t="s">
        <v>90</v>
      </c>
      <c r="K894" s="72" t="s">
        <v>90</v>
      </c>
    </row>
    <row r="895" spans="1:11" ht="18" hidden="1" customHeight="1">
      <c r="A895" s="68" t="s">
        <v>863</v>
      </c>
      <c r="B895" s="70" t="s">
        <v>50</v>
      </c>
      <c r="C895" s="70" t="s">
        <v>864</v>
      </c>
      <c r="D895" s="69" t="s">
        <v>865</v>
      </c>
      <c r="E895" s="71">
        <v>105300</v>
      </c>
      <c r="F895" s="71">
        <v>934580</v>
      </c>
      <c r="G895" s="71">
        <v>943320</v>
      </c>
      <c r="H895" s="71">
        <v>96560</v>
      </c>
      <c r="I895" s="69" t="s">
        <v>90</v>
      </c>
      <c r="J895" s="69" t="s">
        <v>90</v>
      </c>
      <c r="K895" s="72" t="s">
        <v>90</v>
      </c>
    </row>
    <row r="896" spans="1:11" ht="18" hidden="1" customHeight="1">
      <c r="A896" s="68" t="s">
        <v>863</v>
      </c>
      <c r="B896" s="70" t="s">
        <v>50</v>
      </c>
      <c r="C896" s="70" t="s">
        <v>1285</v>
      </c>
      <c r="D896" s="69" t="s">
        <v>1286</v>
      </c>
      <c r="E896" s="71"/>
      <c r="F896" s="71">
        <v>1731910</v>
      </c>
      <c r="G896" s="71">
        <v>1684910</v>
      </c>
      <c r="H896" s="71">
        <v>47000</v>
      </c>
      <c r="I896" s="69" t="s">
        <v>90</v>
      </c>
      <c r="J896" s="69" t="s">
        <v>90</v>
      </c>
      <c r="K896" s="72" t="s">
        <v>90</v>
      </c>
    </row>
    <row r="897" spans="1:11" ht="18" hidden="1" customHeight="1">
      <c r="A897" s="68" t="s">
        <v>863</v>
      </c>
      <c r="B897" s="70" t="s">
        <v>50</v>
      </c>
      <c r="C897" s="70" t="s">
        <v>1287</v>
      </c>
      <c r="D897" s="69" t="s">
        <v>1288</v>
      </c>
      <c r="E897" s="71"/>
      <c r="F897" s="71">
        <v>252790</v>
      </c>
      <c r="G897" s="71">
        <v>193290</v>
      </c>
      <c r="H897" s="71">
        <v>59500</v>
      </c>
      <c r="I897" s="69" t="s">
        <v>90</v>
      </c>
      <c r="J897" s="69" t="s">
        <v>90</v>
      </c>
      <c r="K897" s="72" t="s">
        <v>90</v>
      </c>
    </row>
    <row r="898" spans="1:11" ht="18" hidden="1" customHeight="1">
      <c r="A898" s="68" t="s">
        <v>863</v>
      </c>
      <c r="B898" s="70" t="s">
        <v>50</v>
      </c>
      <c r="C898" s="70" t="s">
        <v>866</v>
      </c>
      <c r="D898" s="69" t="s">
        <v>867</v>
      </c>
      <c r="E898" s="71">
        <v>35500</v>
      </c>
      <c r="F898" s="71">
        <v>1018700</v>
      </c>
      <c r="G898" s="71">
        <v>915200</v>
      </c>
      <c r="H898" s="71">
        <v>139000</v>
      </c>
      <c r="I898" s="69" t="s">
        <v>90</v>
      </c>
      <c r="J898" s="69" t="s">
        <v>90</v>
      </c>
      <c r="K898" s="72" t="s">
        <v>90</v>
      </c>
    </row>
    <row r="899" spans="1:11" ht="18" hidden="1" customHeight="1">
      <c r="A899" s="68" t="s">
        <v>863</v>
      </c>
      <c r="B899" s="70" t="s">
        <v>50</v>
      </c>
      <c r="C899" s="70" t="s">
        <v>868</v>
      </c>
      <c r="D899" s="69" t="s">
        <v>869</v>
      </c>
      <c r="E899" s="71">
        <v>29700</v>
      </c>
      <c r="F899" s="71">
        <v>1033300</v>
      </c>
      <c r="G899" s="71">
        <v>953500</v>
      </c>
      <c r="H899" s="71">
        <v>109500</v>
      </c>
      <c r="I899" s="69" t="s">
        <v>90</v>
      </c>
      <c r="J899" s="69" t="s">
        <v>90</v>
      </c>
      <c r="K899" s="72" t="s">
        <v>90</v>
      </c>
    </row>
    <row r="900" spans="1:11" ht="18" hidden="1" customHeight="1">
      <c r="A900" s="68" t="s">
        <v>863</v>
      </c>
      <c r="B900" s="70" t="s">
        <v>50</v>
      </c>
      <c r="C900" s="70" t="s">
        <v>870</v>
      </c>
      <c r="D900" s="69" t="s">
        <v>871</v>
      </c>
      <c r="E900" s="71">
        <v>717200</v>
      </c>
      <c r="F900" s="71">
        <v>2444570</v>
      </c>
      <c r="G900" s="71">
        <v>3032670</v>
      </c>
      <c r="H900" s="71">
        <v>129100</v>
      </c>
      <c r="I900" s="69" t="s">
        <v>90</v>
      </c>
      <c r="J900" s="69" t="s">
        <v>90</v>
      </c>
      <c r="K900" s="72" t="s">
        <v>90</v>
      </c>
    </row>
    <row r="901" spans="1:11" ht="18" hidden="1" customHeight="1">
      <c r="A901" s="68" t="s">
        <v>863</v>
      </c>
      <c r="B901" s="70" t="s">
        <v>50</v>
      </c>
      <c r="C901" s="70" t="s">
        <v>872</v>
      </c>
      <c r="D901" s="69" t="s">
        <v>873</v>
      </c>
      <c r="E901" s="71">
        <v>33000</v>
      </c>
      <c r="F901" s="71">
        <v>547200</v>
      </c>
      <c r="G901" s="71">
        <v>436200</v>
      </c>
      <c r="H901" s="71">
        <v>144000</v>
      </c>
      <c r="I901" s="69" t="s">
        <v>90</v>
      </c>
      <c r="J901" s="69" t="s">
        <v>90</v>
      </c>
      <c r="K901" s="72" t="s">
        <v>90</v>
      </c>
    </row>
    <row r="902" spans="1:11" ht="18" hidden="1" customHeight="1">
      <c r="A902" s="68" t="s">
        <v>863</v>
      </c>
      <c r="B902" s="70" t="s">
        <v>50</v>
      </c>
      <c r="C902" s="70" t="s">
        <v>874</v>
      </c>
      <c r="D902" s="69" t="s">
        <v>875</v>
      </c>
      <c r="E902" s="71">
        <v>200640</v>
      </c>
      <c r="F902" s="71">
        <v>188500</v>
      </c>
      <c r="G902" s="71">
        <v>374140</v>
      </c>
      <c r="H902" s="71">
        <v>15000</v>
      </c>
      <c r="I902" s="69" t="s">
        <v>90</v>
      </c>
      <c r="J902" s="69" t="s">
        <v>90</v>
      </c>
      <c r="K902" s="72" t="s">
        <v>90</v>
      </c>
    </row>
    <row r="903" spans="1:11" ht="18" hidden="1" customHeight="1">
      <c r="A903" s="68" t="s">
        <v>863</v>
      </c>
      <c r="B903" s="70" t="s">
        <v>50</v>
      </c>
      <c r="C903" s="70" t="s">
        <v>876</v>
      </c>
      <c r="D903" s="69" t="s">
        <v>877</v>
      </c>
      <c r="E903" s="71">
        <v>262340</v>
      </c>
      <c r="F903" s="71">
        <v>977000</v>
      </c>
      <c r="G903" s="71">
        <v>1232340</v>
      </c>
      <c r="H903" s="71">
        <v>7000</v>
      </c>
      <c r="I903" s="69" t="s">
        <v>90</v>
      </c>
      <c r="J903" s="69" t="s">
        <v>90</v>
      </c>
      <c r="K903" s="72" t="s">
        <v>90</v>
      </c>
    </row>
    <row r="904" spans="1:11" ht="18" hidden="1" customHeight="1">
      <c r="A904" s="68" t="s">
        <v>863</v>
      </c>
      <c r="B904" s="70" t="s">
        <v>50</v>
      </c>
      <c r="C904" s="70" t="s">
        <v>1289</v>
      </c>
      <c r="D904" s="69" t="s">
        <v>1290</v>
      </c>
      <c r="E904" s="71"/>
      <c r="F904" s="71">
        <v>307700</v>
      </c>
      <c r="G904" s="71"/>
      <c r="H904" s="71">
        <v>307700</v>
      </c>
      <c r="I904" s="69" t="s">
        <v>90</v>
      </c>
      <c r="J904" s="69" t="s">
        <v>90</v>
      </c>
      <c r="K904" s="72" t="s">
        <v>90</v>
      </c>
    </row>
    <row r="905" spans="1:11" ht="18" hidden="1" customHeight="1">
      <c r="A905" s="68" t="s">
        <v>863</v>
      </c>
      <c r="B905" s="70" t="s">
        <v>50</v>
      </c>
      <c r="C905" s="70" t="s">
        <v>1291</v>
      </c>
      <c r="D905" s="69" t="s">
        <v>275</v>
      </c>
      <c r="E905" s="71"/>
      <c r="F905" s="71">
        <v>44245407</v>
      </c>
      <c r="G905" s="71"/>
      <c r="H905" s="71">
        <v>44245407</v>
      </c>
      <c r="I905" s="69" t="s">
        <v>90</v>
      </c>
      <c r="J905" s="69" t="s">
        <v>90</v>
      </c>
      <c r="K905" s="72" t="s">
        <v>90</v>
      </c>
    </row>
    <row r="906" spans="1:11" ht="18" hidden="1" customHeight="1">
      <c r="A906" s="68" t="s">
        <v>863</v>
      </c>
      <c r="B906" s="70" t="s">
        <v>50</v>
      </c>
      <c r="C906" s="70" t="s">
        <v>1292</v>
      </c>
      <c r="D906" s="69" t="s">
        <v>1293</v>
      </c>
      <c r="E906" s="71"/>
      <c r="F906" s="71">
        <v>1083500</v>
      </c>
      <c r="G906" s="71">
        <v>1023500</v>
      </c>
      <c r="H906" s="71">
        <v>60000</v>
      </c>
      <c r="I906" s="69" t="s">
        <v>90</v>
      </c>
      <c r="J906" s="69" t="s">
        <v>90</v>
      </c>
      <c r="K906" s="72" t="s">
        <v>90</v>
      </c>
    </row>
    <row r="907" spans="1:11" ht="18" hidden="1" customHeight="1">
      <c r="A907" s="68" t="s">
        <v>863</v>
      </c>
      <c r="B907" s="70" t="s">
        <v>50</v>
      </c>
      <c r="C907" s="70" t="s">
        <v>667</v>
      </c>
      <c r="D907" s="69" t="s">
        <v>518</v>
      </c>
      <c r="E907" s="71"/>
      <c r="F907" s="71">
        <v>53026000</v>
      </c>
      <c r="G907" s="71">
        <v>50778000</v>
      </c>
      <c r="H907" s="71">
        <v>2248000</v>
      </c>
      <c r="I907" s="69" t="s">
        <v>1927</v>
      </c>
      <c r="J907" s="69" t="s">
        <v>90</v>
      </c>
      <c r="K907" s="72" t="s">
        <v>90</v>
      </c>
    </row>
    <row r="908" spans="1:11" ht="18" hidden="1" customHeight="1">
      <c r="A908" s="68" t="s">
        <v>863</v>
      </c>
      <c r="B908" s="70" t="s">
        <v>50</v>
      </c>
      <c r="C908" s="70" t="s">
        <v>676</v>
      </c>
      <c r="D908" s="69" t="s">
        <v>677</v>
      </c>
      <c r="E908" s="71"/>
      <c r="F908" s="71">
        <v>913000</v>
      </c>
      <c r="G908" s="71">
        <v>880000</v>
      </c>
      <c r="H908" s="71">
        <v>33000</v>
      </c>
      <c r="I908" s="69" t="s">
        <v>1928</v>
      </c>
      <c r="J908" s="69" t="s">
        <v>90</v>
      </c>
      <c r="K908" s="72" t="s">
        <v>90</v>
      </c>
    </row>
    <row r="909" spans="1:11" ht="18" hidden="1" customHeight="1">
      <c r="A909" s="68" t="s">
        <v>863</v>
      </c>
      <c r="B909" s="70" t="s">
        <v>50</v>
      </c>
      <c r="C909" s="70" t="s">
        <v>1929</v>
      </c>
      <c r="D909" s="69" t="s">
        <v>1930</v>
      </c>
      <c r="E909" s="71"/>
      <c r="F909" s="71">
        <v>52000</v>
      </c>
      <c r="G909" s="71">
        <v>26000</v>
      </c>
      <c r="H909" s="71">
        <v>26000</v>
      </c>
      <c r="I909" s="69" t="s">
        <v>1931</v>
      </c>
      <c r="J909" s="69" t="s">
        <v>90</v>
      </c>
      <c r="K909" s="72" t="s">
        <v>90</v>
      </c>
    </row>
    <row r="910" spans="1:11" ht="18" hidden="1" customHeight="1">
      <c r="A910" s="68" t="s">
        <v>863</v>
      </c>
      <c r="B910" s="70" t="s">
        <v>50</v>
      </c>
      <c r="C910" s="70" t="s">
        <v>878</v>
      </c>
      <c r="D910" s="69" t="s">
        <v>879</v>
      </c>
      <c r="E910" s="71">
        <v>188400</v>
      </c>
      <c r="F910" s="71">
        <v>857371</v>
      </c>
      <c r="G910" s="71">
        <v>1025771</v>
      </c>
      <c r="H910" s="71">
        <v>20000</v>
      </c>
      <c r="I910" s="69" t="s">
        <v>90</v>
      </c>
      <c r="J910" s="69" t="s">
        <v>90</v>
      </c>
      <c r="K910" s="72" t="s">
        <v>90</v>
      </c>
    </row>
    <row r="911" spans="1:11" ht="18" hidden="1" customHeight="1">
      <c r="A911" s="68" t="s">
        <v>863</v>
      </c>
      <c r="B911" s="70" t="s">
        <v>50</v>
      </c>
      <c r="C911" s="70" t="s">
        <v>1932</v>
      </c>
      <c r="D911" s="69" t="s">
        <v>1294</v>
      </c>
      <c r="E911" s="71"/>
      <c r="F911" s="71">
        <v>540190</v>
      </c>
      <c r="G911" s="71">
        <v>517500</v>
      </c>
      <c r="H911" s="71">
        <v>22690</v>
      </c>
      <c r="I911" s="69" t="s">
        <v>90</v>
      </c>
      <c r="J911" s="69" t="s">
        <v>90</v>
      </c>
      <c r="K911" s="72" t="s">
        <v>90</v>
      </c>
    </row>
    <row r="912" spans="1:11" ht="18" hidden="1" customHeight="1">
      <c r="A912" s="68" t="s">
        <v>863</v>
      </c>
      <c r="B912" s="70" t="s">
        <v>50</v>
      </c>
      <c r="C912" s="70" t="s">
        <v>1906</v>
      </c>
      <c r="D912" s="69" t="s">
        <v>1907</v>
      </c>
      <c r="E912" s="71">
        <v>16967710</v>
      </c>
      <c r="F912" s="71">
        <v>23677250</v>
      </c>
      <c r="G912" s="71">
        <v>16967710</v>
      </c>
      <c r="H912" s="71">
        <v>23677250</v>
      </c>
      <c r="I912" s="69" t="s">
        <v>90</v>
      </c>
      <c r="J912" s="69" t="s">
        <v>90</v>
      </c>
      <c r="K912" s="72" t="s">
        <v>90</v>
      </c>
    </row>
    <row r="913" spans="1:11" ht="18" hidden="1" customHeight="1">
      <c r="A913" s="68" t="s">
        <v>863</v>
      </c>
      <c r="B913" s="70" t="s">
        <v>50</v>
      </c>
      <c r="C913" s="70" t="s">
        <v>1933</v>
      </c>
      <c r="D913" s="69" t="s">
        <v>1934</v>
      </c>
      <c r="E913" s="71"/>
      <c r="F913" s="71">
        <v>191800</v>
      </c>
      <c r="G913" s="71"/>
      <c r="H913" s="71">
        <v>191800</v>
      </c>
      <c r="I913" s="69" t="s">
        <v>90</v>
      </c>
      <c r="J913" s="69" t="s">
        <v>90</v>
      </c>
      <c r="K913" s="72" t="s">
        <v>90</v>
      </c>
    </row>
    <row r="914" spans="1:11" ht="18" hidden="1" customHeight="1">
      <c r="A914" s="68" t="s">
        <v>863</v>
      </c>
      <c r="B914" s="70" t="s">
        <v>50</v>
      </c>
      <c r="C914" s="70" t="s">
        <v>1935</v>
      </c>
      <c r="D914" s="69" t="s">
        <v>1936</v>
      </c>
      <c r="E914" s="71"/>
      <c r="F914" s="71">
        <v>264990</v>
      </c>
      <c r="G914" s="71">
        <v>84990</v>
      </c>
      <c r="H914" s="71">
        <v>180000</v>
      </c>
      <c r="I914" s="69" t="s">
        <v>90</v>
      </c>
      <c r="J914" s="69" t="s">
        <v>90</v>
      </c>
      <c r="K914" s="72" t="s">
        <v>90</v>
      </c>
    </row>
    <row r="915" spans="1:11" ht="18" hidden="1" customHeight="1">
      <c r="A915" s="68" t="s">
        <v>863</v>
      </c>
      <c r="B915" s="70" t="s">
        <v>50</v>
      </c>
      <c r="C915" s="70" t="s">
        <v>368</v>
      </c>
      <c r="D915" s="69" t="s">
        <v>369</v>
      </c>
      <c r="E915" s="71">
        <v>7525427</v>
      </c>
      <c r="F915" s="71">
        <v>12854569</v>
      </c>
      <c r="G915" s="71">
        <v>7525427</v>
      </c>
      <c r="H915" s="71">
        <v>12854569</v>
      </c>
      <c r="I915" s="69" t="s">
        <v>90</v>
      </c>
      <c r="J915" s="69" t="s">
        <v>1398</v>
      </c>
      <c r="K915" s="72" t="s">
        <v>90</v>
      </c>
    </row>
    <row r="916" spans="1:11" ht="18" hidden="1" customHeight="1">
      <c r="A916" s="68" t="s">
        <v>863</v>
      </c>
      <c r="B916" s="70" t="s">
        <v>50</v>
      </c>
      <c r="C916" s="70" t="s">
        <v>1272</v>
      </c>
      <c r="D916" s="69" t="s">
        <v>1918</v>
      </c>
      <c r="E916" s="71">
        <v>1322876</v>
      </c>
      <c r="F916" s="71">
        <v>919158</v>
      </c>
      <c r="G916" s="71">
        <v>1322876</v>
      </c>
      <c r="H916" s="71">
        <v>919158</v>
      </c>
      <c r="I916" s="69" t="s">
        <v>90</v>
      </c>
      <c r="J916" s="69" t="s">
        <v>1919</v>
      </c>
      <c r="K916" s="72" t="s">
        <v>90</v>
      </c>
    </row>
    <row r="917" spans="1:11" ht="18" hidden="1" customHeight="1" thickBot="1">
      <c r="A917" s="73" t="s">
        <v>863</v>
      </c>
      <c r="B917" s="75" t="s">
        <v>50</v>
      </c>
      <c r="C917" s="75" t="s">
        <v>1920</v>
      </c>
      <c r="D917" s="74" t="s">
        <v>1271</v>
      </c>
      <c r="E917" s="76"/>
      <c r="F917" s="76">
        <v>5515396</v>
      </c>
      <c r="G917" s="76"/>
      <c r="H917" s="76">
        <v>5515396</v>
      </c>
      <c r="I917" s="74" t="s">
        <v>90</v>
      </c>
      <c r="J917" s="74" t="s">
        <v>1921</v>
      </c>
      <c r="K917" s="77" t="s">
        <v>90</v>
      </c>
    </row>
    <row r="918" spans="1:11" ht="18" hidden="1" customHeight="1">
      <c r="A918" s="68" t="s">
        <v>863</v>
      </c>
      <c r="B918" s="70" t="s">
        <v>50</v>
      </c>
      <c r="C918" s="70" t="s">
        <v>1273</v>
      </c>
      <c r="D918" s="69" t="s">
        <v>1274</v>
      </c>
      <c r="E918" s="71"/>
      <c r="F918" s="71">
        <v>1563298</v>
      </c>
      <c r="G918" s="71"/>
      <c r="H918" s="71">
        <v>1563298</v>
      </c>
      <c r="I918" s="69" t="s">
        <v>90</v>
      </c>
      <c r="J918" s="69" t="s">
        <v>1922</v>
      </c>
      <c r="K918" s="72" t="s">
        <v>90</v>
      </c>
    </row>
    <row r="919" spans="1:11" ht="18" hidden="1" customHeight="1">
      <c r="A919" s="68" t="s">
        <v>863</v>
      </c>
      <c r="B919" s="70" t="s">
        <v>50</v>
      </c>
      <c r="C919" s="70" t="s">
        <v>1295</v>
      </c>
      <c r="D919" s="69" t="s">
        <v>1296</v>
      </c>
      <c r="E919" s="71"/>
      <c r="F919" s="71">
        <v>3521939</v>
      </c>
      <c r="G919" s="71"/>
      <c r="H919" s="71">
        <v>3521939</v>
      </c>
      <c r="I919" s="69" t="s">
        <v>90</v>
      </c>
      <c r="J919" s="69" t="s">
        <v>1937</v>
      </c>
      <c r="K919" s="72" t="s">
        <v>90</v>
      </c>
    </row>
    <row r="920" spans="1:11" ht="18" hidden="1" customHeight="1">
      <c r="A920" s="68" t="s">
        <v>863</v>
      </c>
      <c r="B920" s="70" t="s">
        <v>50</v>
      </c>
      <c r="C920" s="70" t="s">
        <v>1275</v>
      </c>
      <c r="D920" s="69" t="s">
        <v>1276</v>
      </c>
      <c r="E920" s="71"/>
      <c r="F920" s="71">
        <v>337660</v>
      </c>
      <c r="G920" s="71"/>
      <c r="H920" s="71">
        <v>337660</v>
      </c>
      <c r="I920" s="69" t="s">
        <v>90</v>
      </c>
      <c r="J920" s="69" t="s">
        <v>1923</v>
      </c>
      <c r="K920" s="72" t="s">
        <v>90</v>
      </c>
    </row>
    <row r="921" spans="1:11" ht="18" hidden="1" customHeight="1">
      <c r="A921" s="68" t="s">
        <v>863</v>
      </c>
      <c r="B921" s="70" t="s">
        <v>50</v>
      </c>
      <c r="C921" s="70" t="s">
        <v>1277</v>
      </c>
      <c r="D921" s="69" t="s">
        <v>1278</v>
      </c>
      <c r="E921" s="71"/>
      <c r="F921" s="71">
        <v>4912397</v>
      </c>
      <c r="G921" s="71"/>
      <c r="H921" s="71">
        <v>4912397</v>
      </c>
      <c r="I921" s="69" t="s">
        <v>90</v>
      </c>
      <c r="J921" s="69" t="s">
        <v>1924</v>
      </c>
      <c r="K921" s="72" t="s">
        <v>90</v>
      </c>
    </row>
    <row r="922" spans="1:11" ht="18" hidden="1" customHeight="1">
      <c r="A922" s="68" t="s">
        <v>863</v>
      </c>
      <c r="B922" s="70" t="s">
        <v>50</v>
      </c>
      <c r="C922" s="70" t="s">
        <v>1279</v>
      </c>
      <c r="D922" s="69" t="s">
        <v>1280</v>
      </c>
      <c r="E922" s="71"/>
      <c r="F922" s="71">
        <v>5516716</v>
      </c>
      <c r="G922" s="71"/>
      <c r="H922" s="71">
        <v>5516716</v>
      </c>
      <c r="I922" s="69" t="s">
        <v>90</v>
      </c>
      <c r="J922" s="69" t="s">
        <v>1925</v>
      </c>
      <c r="K922" s="72" t="s">
        <v>90</v>
      </c>
    </row>
    <row r="923" spans="1:11" ht="18" hidden="1" customHeight="1" thickBot="1">
      <c r="A923" s="68" t="s">
        <v>863</v>
      </c>
      <c r="B923" s="70" t="s">
        <v>50</v>
      </c>
      <c r="C923" s="70" t="s">
        <v>1281</v>
      </c>
      <c r="D923" s="69" t="s">
        <v>1282</v>
      </c>
      <c r="E923" s="71"/>
      <c r="F923" s="71">
        <v>1388971</v>
      </c>
      <c r="G923" s="71"/>
      <c r="H923" s="71">
        <v>1388971</v>
      </c>
      <c r="I923" s="69" t="s">
        <v>90</v>
      </c>
      <c r="J923" s="69" t="s">
        <v>1926</v>
      </c>
      <c r="K923" s="72" t="s">
        <v>90</v>
      </c>
    </row>
    <row r="924" spans="1:11" ht="18" hidden="1" customHeight="1" thickBot="1">
      <c r="A924" s="78" t="s">
        <v>363</v>
      </c>
      <c r="B924" s="80" t="s">
        <v>90</v>
      </c>
      <c r="C924" s="80" t="s">
        <v>90</v>
      </c>
      <c r="D924" s="79" t="s">
        <v>90</v>
      </c>
      <c r="E924" s="81">
        <v>301920469</v>
      </c>
      <c r="F924" s="81">
        <v>211484734</v>
      </c>
      <c r="G924" s="81">
        <v>366742720</v>
      </c>
      <c r="H924" s="81">
        <v>146662483</v>
      </c>
      <c r="I924" s="79" t="s">
        <v>90</v>
      </c>
      <c r="J924" s="79" t="s">
        <v>90</v>
      </c>
      <c r="K924" s="82" t="s">
        <v>90</v>
      </c>
    </row>
    <row r="925" spans="1:11" ht="5.25" customHeight="1"/>
    <row r="926" spans="1:11" ht="31.5" customHeight="1">
      <c r="A926" s="222"/>
      <c r="B926" s="223"/>
      <c r="C926" s="222"/>
      <c r="D926" s="222"/>
      <c r="E926" s="222"/>
      <c r="F926" s="224" t="s">
        <v>880</v>
      </c>
      <c r="G926" s="222"/>
      <c r="H926" s="222"/>
      <c r="I926" s="222"/>
    </row>
    <row r="927" spans="1:11" ht="8.1" customHeight="1"/>
    <row r="928" spans="1:11" ht="15" customHeight="1">
      <c r="F928" s="62" t="s">
        <v>996</v>
      </c>
    </row>
    <row r="929" spans="1:11" ht="20.100000000000001" customHeight="1"/>
    <row r="930" spans="1:11" ht="15" customHeight="1" thickBot="1">
      <c r="A930" s="63" t="s">
        <v>1013</v>
      </c>
      <c r="K930" s="64" t="s">
        <v>336</v>
      </c>
    </row>
    <row r="931" spans="1:11" ht="18" customHeight="1" thickBot="1">
      <c r="A931" s="65" t="s">
        <v>337</v>
      </c>
      <c r="B931" s="66" t="s">
        <v>338</v>
      </c>
      <c r="C931" s="66" t="s">
        <v>337</v>
      </c>
      <c r="D931" s="66" t="s">
        <v>339</v>
      </c>
      <c r="E931" s="66" t="s">
        <v>1369</v>
      </c>
      <c r="F931" s="66" t="s">
        <v>997</v>
      </c>
      <c r="G931" s="66" t="s">
        <v>998</v>
      </c>
      <c r="H931" s="66" t="s">
        <v>340</v>
      </c>
      <c r="I931" s="66" t="s">
        <v>1370</v>
      </c>
      <c r="J931" s="66" t="s">
        <v>1371</v>
      </c>
      <c r="K931" s="67" t="s">
        <v>331</v>
      </c>
    </row>
    <row r="932" spans="1:11" ht="18" customHeight="1" thickBot="1">
      <c r="A932" s="68" t="s">
        <v>881</v>
      </c>
      <c r="B932" s="70" t="s">
        <v>51</v>
      </c>
      <c r="C932" s="70" t="s">
        <v>540</v>
      </c>
      <c r="D932" s="69" t="s">
        <v>541</v>
      </c>
      <c r="E932" s="71">
        <v>536666668</v>
      </c>
      <c r="F932" s="71"/>
      <c r="G932" s="71">
        <v>140000000</v>
      </c>
      <c r="H932" s="217">
        <v>396666668</v>
      </c>
      <c r="I932" s="69" t="s">
        <v>1938</v>
      </c>
      <c r="J932" s="69" t="s">
        <v>90</v>
      </c>
      <c r="K932" s="568" t="s">
        <v>2405</v>
      </c>
    </row>
    <row r="933" spans="1:11" ht="18" customHeight="1" thickBot="1">
      <c r="A933" s="78" t="s">
        <v>363</v>
      </c>
      <c r="B933" s="80" t="s">
        <v>90</v>
      </c>
      <c r="C933" s="80" t="s">
        <v>90</v>
      </c>
      <c r="D933" s="79" t="s">
        <v>90</v>
      </c>
      <c r="E933" s="81">
        <v>536666668</v>
      </c>
      <c r="F933" s="81"/>
      <c r="G933" s="81">
        <v>140000000</v>
      </c>
      <c r="H933" s="81">
        <v>396666668</v>
      </c>
      <c r="I933" s="79" t="s">
        <v>90</v>
      </c>
      <c r="J933" s="79" t="s">
        <v>90</v>
      </c>
      <c r="K933" s="82" t="s">
        <v>90</v>
      </c>
    </row>
    <row r="934" spans="1:11" ht="5.25" customHeight="1"/>
    <row r="935" spans="1:11" ht="31.5" hidden="1" customHeight="1">
      <c r="F935" s="61" t="s">
        <v>1939</v>
      </c>
    </row>
    <row r="936" spans="1:11" ht="8.1" hidden="1" customHeight="1"/>
    <row r="937" spans="1:11" ht="15" hidden="1" customHeight="1">
      <c r="F937" s="62" t="s">
        <v>996</v>
      </c>
    </row>
    <row r="938" spans="1:11" ht="20.100000000000001" hidden="1" customHeight="1"/>
    <row r="939" spans="1:11" ht="15" hidden="1" customHeight="1" thickBot="1">
      <c r="A939" s="63" t="s">
        <v>1013</v>
      </c>
      <c r="K939" s="64" t="s">
        <v>336</v>
      </c>
    </row>
    <row r="940" spans="1:11" ht="18" hidden="1" customHeight="1" thickBot="1">
      <c r="A940" s="65" t="s">
        <v>337</v>
      </c>
      <c r="B940" s="66" t="s">
        <v>338</v>
      </c>
      <c r="C940" s="66" t="s">
        <v>337</v>
      </c>
      <c r="D940" s="66" t="s">
        <v>339</v>
      </c>
      <c r="E940" s="66" t="s">
        <v>1369</v>
      </c>
      <c r="F940" s="66" t="s">
        <v>997</v>
      </c>
      <c r="G940" s="66" t="s">
        <v>998</v>
      </c>
      <c r="H940" s="66" t="s">
        <v>340</v>
      </c>
      <c r="I940" s="66" t="s">
        <v>1370</v>
      </c>
      <c r="J940" s="66" t="s">
        <v>1371</v>
      </c>
      <c r="K940" s="67" t="s">
        <v>331</v>
      </c>
    </row>
    <row r="941" spans="1:11" ht="18" hidden="1" customHeight="1">
      <c r="A941" s="68" t="s">
        <v>1940</v>
      </c>
      <c r="B941" s="70" t="s">
        <v>1941</v>
      </c>
      <c r="C941" s="70" t="s">
        <v>508</v>
      </c>
      <c r="D941" s="69" t="s">
        <v>509</v>
      </c>
      <c r="E941" s="71"/>
      <c r="F941" s="71">
        <v>100000000</v>
      </c>
      <c r="G941" s="71"/>
      <c r="H941" s="71">
        <v>100000000</v>
      </c>
      <c r="I941" s="69" t="s">
        <v>1522</v>
      </c>
      <c r="J941" s="69" t="s">
        <v>90</v>
      </c>
      <c r="K941" s="72" t="s">
        <v>90</v>
      </c>
    </row>
    <row r="942" spans="1:11" ht="18" hidden="1" customHeight="1">
      <c r="A942" s="68" t="s">
        <v>1940</v>
      </c>
      <c r="B942" s="70" t="s">
        <v>1941</v>
      </c>
      <c r="C942" s="70" t="s">
        <v>452</v>
      </c>
      <c r="D942" s="69" t="s">
        <v>453</v>
      </c>
      <c r="E942" s="71"/>
      <c r="F942" s="71">
        <v>80000000</v>
      </c>
      <c r="G942" s="71"/>
      <c r="H942" s="71">
        <v>80000000</v>
      </c>
      <c r="I942" s="69" t="s">
        <v>1439</v>
      </c>
      <c r="J942" s="69" t="s">
        <v>90</v>
      </c>
      <c r="K942" s="72" t="s">
        <v>90</v>
      </c>
    </row>
    <row r="943" spans="1:11" ht="18" hidden="1" customHeight="1" thickBot="1">
      <c r="A943" s="68" t="s">
        <v>1940</v>
      </c>
      <c r="B943" s="70" t="s">
        <v>1941</v>
      </c>
      <c r="C943" s="70" t="s">
        <v>600</v>
      </c>
      <c r="D943" s="69" t="s">
        <v>601</v>
      </c>
      <c r="E943" s="71"/>
      <c r="F943" s="71">
        <v>600000000</v>
      </c>
      <c r="G943" s="71"/>
      <c r="H943" s="71">
        <v>600000000</v>
      </c>
      <c r="I943" s="69" t="s">
        <v>1942</v>
      </c>
      <c r="J943" s="69" t="s">
        <v>90</v>
      </c>
      <c r="K943" s="72" t="s">
        <v>90</v>
      </c>
    </row>
    <row r="944" spans="1:11" ht="18" hidden="1" customHeight="1" thickBot="1">
      <c r="A944" s="78" t="s">
        <v>363</v>
      </c>
      <c r="B944" s="80" t="s">
        <v>90</v>
      </c>
      <c r="C944" s="80" t="s">
        <v>90</v>
      </c>
      <c r="D944" s="79" t="s">
        <v>90</v>
      </c>
      <c r="E944" s="81"/>
      <c r="F944" s="81">
        <v>780000000</v>
      </c>
      <c r="G944" s="81"/>
      <c r="H944" s="81">
        <v>780000000</v>
      </c>
      <c r="I944" s="79" t="s">
        <v>90</v>
      </c>
      <c r="J944" s="79" t="s">
        <v>90</v>
      </c>
      <c r="K944" s="82" t="s">
        <v>90</v>
      </c>
    </row>
    <row r="945" spans="1:11" ht="5.25" hidden="1" customHeight="1"/>
    <row r="946" spans="1:11" ht="31.5" hidden="1" customHeight="1">
      <c r="F946" s="61" t="s">
        <v>1943</v>
      </c>
    </row>
    <row r="947" spans="1:11" ht="7.9" hidden="1" customHeight="1"/>
    <row r="948" spans="1:11" ht="15" hidden="1" customHeight="1">
      <c r="F948" s="62" t="s">
        <v>996</v>
      </c>
    </row>
    <row r="949" spans="1:11" ht="20.100000000000001" hidden="1" customHeight="1"/>
    <row r="950" spans="1:11" ht="15" hidden="1" customHeight="1" thickBot="1">
      <c r="A950" s="63" t="s">
        <v>1013</v>
      </c>
      <c r="K950" s="64" t="s">
        <v>336</v>
      </c>
    </row>
    <row r="951" spans="1:11" ht="18" hidden="1" customHeight="1" thickBot="1">
      <c r="A951" s="65" t="s">
        <v>337</v>
      </c>
      <c r="B951" s="66" t="s">
        <v>338</v>
      </c>
      <c r="C951" s="66" t="s">
        <v>337</v>
      </c>
      <c r="D951" s="66" t="s">
        <v>339</v>
      </c>
      <c r="E951" s="66" t="s">
        <v>1369</v>
      </c>
      <c r="F951" s="66" t="s">
        <v>997</v>
      </c>
      <c r="G951" s="66" t="s">
        <v>998</v>
      </c>
      <c r="H951" s="66" t="s">
        <v>340</v>
      </c>
      <c r="I951" s="66" t="s">
        <v>1370</v>
      </c>
      <c r="J951" s="66" t="s">
        <v>1371</v>
      </c>
      <c r="K951" s="67" t="s">
        <v>331</v>
      </c>
    </row>
    <row r="952" spans="1:11" ht="18" hidden="1" customHeight="1" thickBot="1">
      <c r="A952" s="68" t="s">
        <v>1944</v>
      </c>
      <c r="B952" s="70" t="s">
        <v>1945</v>
      </c>
      <c r="C952" s="70" t="s">
        <v>1946</v>
      </c>
      <c r="D952" s="69" t="s">
        <v>1947</v>
      </c>
      <c r="E952" s="71"/>
      <c r="F952" s="71">
        <v>114740762</v>
      </c>
      <c r="G952" s="71">
        <v>112507522</v>
      </c>
      <c r="H952" s="71">
        <v>2233240</v>
      </c>
      <c r="I952" s="69" t="s">
        <v>90</v>
      </c>
      <c r="J952" s="69" t="s">
        <v>90</v>
      </c>
      <c r="K952" s="72" t="s">
        <v>90</v>
      </c>
    </row>
    <row r="953" spans="1:11" ht="18" hidden="1" customHeight="1" thickBot="1">
      <c r="A953" s="78" t="s">
        <v>363</v>
      </c>
      <c r="B953" s="80" t="s">
        <v>90</v>
      </c>
      <c r="C953" s="80" t="s">
        <v>90</v>
      </c>
      <c r="D953" s="79" t="s">
        <v>90</v>
      </c>
      <c r="E953" s="81"/>
      <c r="F953" s="81">
        <v>114740762</v>
      </c>
      <c r="G953" s="81">
        <v>112507522</v>
      </c>
      <c r="H953" s="81">
        <v>2233240</v>
      </c>
      <c r="I953" s="79" t="s">
        <v>90</v>
      </c>
      <c r="J953" s="79" t="s">
        <v>90</v>
      </c>
      <c r="K953" s="82" t="s">
        <v>90</v>
      </c>
    </row>
    <row r="954" spans="1:11" hidden="1"/>
    <row r="955" spans="1:11" hidden="1"/>
    <row r="956" spans="1:11" ht="31.5" hidden="1" customHeight="1">
      <c r="F956" s="61" t="s">
        <v>882</v>
      </c>
    </row>
    <row r="957" spans="1:11" ht="7.9" hidden="1" customHeight="1"/>
    <row r="958" spans="1:11" ht="15" hidden="1" customHeight="1">
      <c r="F958" s="62" t="s">
        <v>996</v>
      </c>
    </row>
    <row r="959" spans="1:11" ht="20.100000000000001" hidden="1" customHeight="1"/>
    <row r="960" spans="1:11" ht="15" hidden="1" customHeight="1" thickBot="1">
      <c r="A960" s="63" t="s">
        <v>1013</v>
      </c>
      <c r="K960" s="64" t="s">
        <v>336</v>
      </c>
    </row>
    <row r="961" spans="1:11" ht="18" hidden="1" customHeight="1" thickBot="1">
      <c r="A961" s="65" t="s">
        <v>337</v>
      </c>
      <c r="B961" s="66" t="s">
        <v>338</v>
      </c>
      <c r="C961" s="66" t="s">
        <v>337</v>
      </c>
      <c r="D961" s="66" t="s">
        <v>339</v>
      </c>
      <c r="E961" s="66" t="s">
        <v>1369</v>
      </c>
      <c r="F961" s="66" t="s">
        <v>997</v>
      </c>
      <c r="G961" s="66" t="s">
        <v>998</v>
      </c>
      <c r="H961" s="66" t="s">
        <v>340</v>
      </c>
      <c r="I961" s="66" t="s">
        <v>1370</v>
      </c>
      <c r="J961" s="66" t="s">
        <v>1371</v>
      </c>
      <c r="K961" s="67" t="s">
        <v>331</v>
      </c>
    </row>
    <row r="962" spans="1:11" ht="18" hidden="1" customHeight="1">
      <c r="A962" s="68" t="s">
        <v>883</v>
      </c>
      <c r="B962" s="70" t="s">
        <v>52</v>
      </c>
      <c r="C962" s="70" t="s">
        <v>90</v>
      </c>
      <c r="D962" s="69" t="s">
        <v>447</v>
      </c>
      <c r="E962" s="71">
        <v>101000000</v>
      </c>
      <c r="F962" s="71"/>
      <c r="G962" s="71"/>
      <c r="H962" s="71">
        <v>101000000</v>
      </c>
      <c r="I962" s="69" t="s">
        <v>90</v>
      </c>
      <c r="J962" s="69" t="s">
        <v>90</v>
      </c>
      <c r="K962" s="72" t="s">
        <v>90</v>
      </c>
    </row>
    <row r="963" spans="1:11" ht="18" hidden="1" customHeight="1">
      <c r="A963" s="68" t="s">
        <v>883</v>
      </c>
      <c r="B963" s="70" t="s">
        <v>52</v>
      </c>
      <c r="C963" s="70" t="s">
        <v>884</v>
      </c>
      <c r="D963" s="69" t="s">
        <v>885</v>
      </c>
      <c r="E963" s="71">
        <v>-7045820</v>
      </c>
      <c r="F963" s="71">
        <v>130000000</v>
      </c>
      <c r="G963" s="71">
        <v>143947120</v>
      </c>
      <c r="H963" s="71">
        <v>-20992940</v>
      </c>
      <c r="I963" s="69" t="s">
        <v>90</v>
      </c>
      <c r="J963" s="69" t="s">
        <v>90</v>
      </c>
      <c r="K963" s="72" t="s">
        <v>90</v>
      </c>
    </row>
    <row r="964" spans="1:11" ht="18" hidden="1" customHeight="1" thickBot="1">
      <c r="A964" s="68" t="s">
        <v>883</v>
      </c>
      <c r="B964" s="70" t="s">
        <v>52</v>
      </c>
      <c r="C964" s="70" t="s">
        <v>350</v>
      </c>
      <c r="D964" s="69" t="s">
        <v>351</v>
      </c>
      <c r="E964" s="71">
        <v>-1000000</v>
      </c>
      <c r="F964" s="71"/>
      <c r="G964" s="71"/>
      <c r="H964" s="71">
        <v>-1000000</v>
      </c>
      <c r="I964" s="69" t="s">
        <v>90</v>
      </c>
      <c r="J964" s="69" t="s">
        <v>1376</v>
      </c>
      <c r="K964" s="72" t="s">
        <v>90</v>
      </c>
    </row>
    <row r="965" spans="1:11" ht="18" hidden="1" customHeight="1" thickBot="1">
      <c r="A965" s="78" t="s">
        <v>363</v>
      </c>
      <c r="B965" s="80" t="s">
        <v>90</v>
      </c>
      <c r="C965" s="80" t="s">
        <v>90</v>
      </c>
      <c r="D965" s="79" t="s">
        <v>90</v>
      </c>
      <c r="E965" s="81">
        <v>92954180</v>
      </c>
      <c r="F965" s="81">
        <v>130000000</v>
      </c>
      <c r="G965" s="81">
        <v>143947120</v>
      </c>
      <c r="H965" s="81">
        <v>79007060</v>
      </c>
      <c r="I965" s="79" t="s">
        <v>90</v>
      </c>
      <c r="J965" s="79" t="s">
        <v>90</v>
      </c>
      <c r="K965" s="82" t="s">
        <v>90</v>
      </c>
    </row>
    <row r="966" spans="1:11" ht="5.25" hidden="1" customHeight="1"/>
    <row r="967" spans="1:11" ht="31.5" hidden="1" customHeight="1">
      <c r="F967" s="61" t="s">
        <v>886</v>
      </c>
    </row>
    <row r="968" spans="1:11" ht="8.1" hidden="1" customHeight="1"/>
    <row r="969" spans="1:11" ht="15" hidden="1" customHeight="1">
      <c r="F969" s="62" t="s">
        <v>996</v>
      </c>
    </row>
    <row r="970" spans="1:11" ht="20.100000000000001" hidden="1" customHeight="1"/>
    <row r="971" spans="1:11" ht="15" hidden="1" customHeight="1" thickBot="1">
      <c r="A971" s="63" t="s">
        <v>1013</v>
      </c>
      <c r="K971" s="64" t="s">
        <v>336</v>
      </c>
    </row>
    <row r="972" spans="1:11" ht="18" hidden="1" customHeight="1" thickBot="1">
      <c r="A972" s="65" t="s">
        <v>337</v>
      </c>
      <c r="B972" s="66" t="s">
        <v>338</v>
      </c>
      <c r="C972" s="66" t="s">
        <v>337</v>
      </c>
      <c r="D972" s="66" t="s">
        <v>339</v>
      </c>
      <c r="E972" s="66" t="s">
        <v>1369</v>
      </c>
      <c r="F972" s="66" t="s">
        <v>997</v>
      </c>
      <c r="G972" s="66" t="s">
        <v>998</v>
      </c>
      <c r="H972" s="66" t="s">
        <v>340</v>
      </c>
      <c r="I972" s="66" t="s">
        <v>1370</v>
      </c>
      <c r="J972" s="66" t="s">
        <v>1371</v>
      </c>
      <c r="K972" s="67" t="s">
        <v>331</v>
      </c>
    </row>
    <row r="973" spans="1:11" ht="18" hidden="1" customHeight="1" thickBot="1">
      <c r="A973" s="68" t="s">
        <v>887</v>
      </c>
      <c r="B973" s="70" t="s">
        <v>54</v>
      </c>
      <c r="C973" s="70" t="s">
        <v>1295</v>
      </c>
      <c r="D973" s="69" t="s">
        <v>1296</v>
      </c>
      <c r="E973" s="71"/>
      <c r="F973" s="71">
        <v>1000000000</v>
      </c>
      <c r="G973" s="71"/>
      <c r="H973" s="71">
        <v>1000000000</v>
      </c>
      <c r="I973" s="69" t="s">
        <v>90</v>
      </c>
      <c r="J973" s="69" t="s">
        <v>1937</v>
      </c>
      <c r="K973" s="72" t="s">
        <v>90</v>
      </c>
    </row>
    <row r="974" spans="1:11" ht="18" hidden="1" customHeight="1" thickBot="1">
      <c r="A974" s="78" t="s">
        <v>363</v>
      </c>
      <c r="B974" s="80" t="s">
        <v>90</v>
      </c>
      <c r="C974" s="80" t="s">
        <v>90</v>
      </c>
      <c r="D974" s="79" t="s">
        <v>90</v>
      </c>
      <c r="E974" s="81"/>
      <c r="F974" s="81">
        <v>1000000000</v>
      </c>
      <c r="G974" s="81"/>
      <c r="H974" s="81">
        <v>1000000000</v>
      </c>
      <c r="I974" s="79" t="s">
        <v>90</v>
      </c>
      <c r="J974" s="79" t="s">
        <v>90</v>
      </c>
      <c r="K974" s="82" t="s">
        <v>90</v>
      </c>
    </row>
    <row r="975" spans="1:11" ht="5.25" hidden="1" customHeight="1"/>
    <row r="976" spans="1:11" ht="31.5" hidden="1" customHeight="1">
      <c r="F976" s="61" t="s">
        <v>888</v>
      </c>
    </row>
    <row r="977" spans="1:11" ht="8.1" hidden="1" customHeight="1"/>
    <row r="978" spans="1:11" ht="15" hidden="1" customHeight="1">
      <c r="F978" s="62" t="s">
        <v>996</v>
      </c>
    </row>
    <row r="979" spans="1:11" ht="20.100000000000001" hidden="1" customHeight="1"/>
    <row r="980" spans="1:11" ht="15" hidden="1" customHeight="1" thickBot="1">
      <c r="A980" s="63" t="s">
        <v>1013</v>
      </c>
      <c r="K980" s="64" t="s">
        <v>336</v>
      </c>
    </row>
    <row r="981" spans="1:11" ht="18" hidden="1" customHeight="1" thickBot="1">
      <c r="A981" s="65" t="s">
        <v>337</v>
      </c>
      <c r="B981" s="66" t="s">
        <v>338</v>
      </c>
      <c r="C981" s="66" t="s">
        <v>337</v>
      </c>
      <c r="D981" s="66" t="s">
        <v>339</v>
      </c>
      <c r="E981" s="66" t="s">
        <v>1369</v>
      </c>
      <c r="F981" s="66" t="s">
        <v>997</v>
      </c>
      <c r="G981" s="66" t="s">
        <v>998</v>
      </c>
      <c r="H981" s="66" t="s">
        <v>340</v>
      </c>
      <c r="I981" s="66" t="s">
        <v>1370</v>
      </c>
      <c r="J981" s="66" t="s">
        <v>1371</v>
      </c>
      <c r="K981" s="67" t="s">
        <v>331</v>
      </c>
    </row>
    <row r="982" spans="1:11" ht="18" hidden="1" customHeight="1">
      <c r="A982" s="68" t="s">
        <v>889</v>
      </c>
      <c r="B982" s="70" t="s">
        <v>55</v>
      </c>
      <c r="C982" s="70" t="s">
        <v>90</v>
      </c>
      <c r="D982" s="69" t="s">
        <v>447</v>
      </c>
      <c r="E982" s="71">
        <v>1900000000</v>
      </c>
      <c r="F982" s="71"/>
      <c r="G982" s="71"/>
      <c r="H982" s="71">
        <v>1900000000</v>
      </c>
      <c r="I982" s="69" t="s">
        <v>90</v>
      </c>
      <c r="J982" s="69" t="s">
        <v>90</v>
      </c>
      <c r="K982" s="72" t="s">
        <v>90</v>
      </c>
    </row>
    <row r="983" spans="1:11" ht="18" hidden="1" customHeight="1" thickBot="1">
      <c r="A983" s="68" t="s">
        <v>889</v>
      </c>
      <c r="B983" s="70" t="s">
        <v>55</v>
      </c>
      <c r="C983" s="70" t="s">
        <v>884</v>
      </c>
      <c r="D983" s="69" t="s">
        <v>885</v>
      </c>
      <c r="E983" s="71"/>
      <c r="F983" s="71"/>
      <c r="G983" s="71">
        <v>130000000</v>
      </c>
      <c r="H983" s="71">
        <v>-130000000</v>
      </c>
      <c r="I983" s="69" t="s">
        <v>90</v>
      </c>
      <c r="J983" s="69" t="s">
        <v>90</v>
      </c>
      <c r="K983" s="72" t="s">
        <v>90</v>
      </c>
    </row>
    <row r="984" spans="1:11" ht="18" hidden="1" customHeight="1" thickBot="1">
      <c r="A984" s="78" t="s">
        <v>363</v>
      </c>
      <c r="B984" s="80" t="s">
        <v>90</v>
      </c>
      <c r="C984" s="80" t="s">
        <v>90</v>
      </c>
      <c r="D984" s="79" t="s">
        <v>90</v>
      </c>
      <c r="E984" s="81">
        <v>1900000000</v>
      </c>
      <c r="F984" s="81"/>
      <c r="G984" s="81">
        <v>130000000</v>
      </c>
      <c r="H984" s="81">
        <v>1770000000</v>
      </c>
      <c r="I984" s="79" t="s">
        <v>90</v>
      </c>
      <c r="J984" s="79" t="s">
        <v>90</v>
      </c>
      <c r="K984" s="82" t="s">
        <v>90</v>
      </c>
    </row>
    <row r="985" spans="1:11" ht="5.25" hidden="1" customHeight="1"/>
    <row r="986" spans="1:11" ht="31.5" hidden="1" customHeight="1">
      <c r="F986" s="61" t="s">
        <v>890</v>
      </c>
    </row>
    <row r="987" spans="1:11" ht="7.9" hidden="1" customHeight="1"/>
    <row r="988" spans="1:11" ht="15" hidden="1" customHeight="1">
      <c r="F988" s="62" t="s">
        <v>996</v>
      </c>
    </row>
    <row r="989" spans="1:11" ht="20.100000000000001" hidden="1" customHeight="1"/>
    <row r="990" spans="1:11" ht="15" hidden="1" customHeight="1" thickBot="1">
      <c r="A990" s="63" t="s">
        <v>1013</v>
      </c>
      <c r="K990" s="64" t="s">
        <v>336</v>
      </c>
    </row>
    <row r="991" spans="1:11" ht="18" hidden="1" customHeight="1" thickBot="1">
      <c r="A991" s="65" t="s">
        <v>337</v>
      </c>
      <c r="B991" s="66" t="s">
        <v>338</v>
      </c>
      <c r="C991" s="66" t="s">
        <v>337</v>
      </c>
      <c r="D991" s="66" t="s">
        <v>339</v>
      </c>
      <c r="E991" s="66" t="s">
        <v>1369</v>
      </c>
      <c r="F991" s="66" t="s">
        <v>997</v>
      </c>
      <c r="G991" s="66" t="s">
        <v>998</v>
      </c>
      <c r="H991" s="66" t="s">
        <v>340</v>
      </c>
      <c r="I991" s="66" t="s">
        <v>1370</v>
      </c>
      <c r="J991" s="66" t="s">
        <v>1371</v>
      </c>
      <c r="K991" s="67" t="s">
        <v>331</v>
      </c>
    </row>
    <row r="992" spans="1:11" ht="18" hidden="1" customHeight="1" thickBot="1">
      <c r="A992" s="68" t="s">
        <v>891</v>
      </c>
      <c r="B992" s="70" t="s">
        <v>59</v>
      </c>
      <c r="C992" s="70" t="s">
        <v>90</v>
      </c>
      <c r="D992" s="69" t="s">
        <v>447</v>
      </c>
      <c r="E992" s="71">
        <v>120000000</v>
      </c>
      <c r="F992" s="71"/>
      <c r="G992" s="71"/>
      <c r="H992" s="71">
        <v>120000000</v>
      </c>
      <c r="I992" s="69" t="s">
        <v>90</v>
      </c>
      <c r="J992" s="69" t="s">
        <v>90</v>
      </c>
      <c r="K992" s="72" t="s">
        <v>90</v>
      </c>
    </row>
    <row r="993" spans="1:11" ht="18" hidden="1" customHeight="1" thickBot="1">
      <c r="A993" s="78" t="s">
        <v>363</v>
      </c>
      <c r="B993" s="80" t="s">
        <v>90</v>
      </c>
      <c r="C993" s="80" t="s">
        <v>90</v>
      </c>
      <c r="D993" s="79" t="s">
        <v>90</v>
      </c>
      <c r="E993" s="81">
        <v>120000000</v>
      </c>
      <c r="F993" s="81"/>
      <c r="G993" s="81"/>
      <c r="H993" s="81">
        <v>120000000</v>
      </c>
      <c r="I993" s="79" t="s">
        <v>90</v>
      </c>
      <c r="J993" s="79" t="s">
        <v>90</v>
      </c>
      <c r="K993" s="82" t="s">
        <v>90</v>
      </c>
    </row>
    <row r="994" spans="1:11" ht="5.25" customHeight="1"/>
    <row r="995" spans="1:11" ht="31.5" customHeight="1">
      <c r="A995" s="222"/>
      <c r="B995" s="223"/>
      <c r="C995" s="222"/>
      <c r="D995" s="222"/>
      <c r="E995" s="222"/>
      <c r="F995" s="224" t="s">
        <v>892</v>
      </c>
      <c r="G995" s="222"/>
      <c r="H995" s="222"/>
      <c r="I995" s="222"/>
    </row>
    <row r="996" spans="1:11" ht="8.1" customHeight="1"/>
    <row r="997" spans="1:11" ht="15" customHeight="1">
      <c r="F997" s="62" t="s">
        <v>996</v>
      </c>
    </row>
    <row r="998" spans="1:11" ht="20.100000000000001" customHeight="1"/>
    <row r="999" spans="1:11" ht="15" customHeight="1" thickBot="1">
      <c r="A999" s="63" t="s">
        <v>1013</v>
      </c>
      <c r="K999" s="64" t="s">
        <v>336</v>
      </c>
    </row>
    <row r="1000" spans="1:11" ht="18" customHeight="1" thickBot="1">
      <c r="A1000" s="65" t="s">
        <v>337</v>
      </c>
      <c r="B1000" s="66" t="s">
        <v>338</v>
      </c>
      <c r="C1000" s="66" t="s">
        <v>337</v>
      </c>
      <c r="D1000" s="66" t="s">
        <v>339</v>
      </c>
      <c r="E1000" s="66" t="s">
        <v>1369</v>
      </c>
      <c r="F1000" s="66" t="s">
        <v>997</v>
      </c>
      <c r="G1000" s="66" t="s">
        <v>998</v>
      </c>
      <c r="H1000" s="66" t="s">
        <v>340</v>
      </c>
      <c r="I1000" s="66" t="s">
        <v>1370</v>
      </c>
      <c r="J1000" s="66" t="s">
        <v>1371</v>
      </c>
      <c r="K1000" s="67" t="s">
        <v>331</v>
      </c>
    </row>
    <row r="1001" spans="1:11" ht="18" customHeight="1" thickBot="1">
      <c r="A1001" s="73" t="s">
        <v>893</v>
      </c>
      <c r="B1001" s="75" t="s">
        <v>37</v>
      </c>
      <c r="C1001" s="75" t="s">
        <v>508</v>
      </c>
      <c r="D1001" s="74" t="s">
        <v>509</v>
      </c>
      <c r="E1001" s="76">
        <v>20000000</v>
      </c>
      <c r="F1001" s="76"/>
      <c r="G1001" s="76"/>
      <c r="H1001" s="76">
        <v>20000000</v>
      </c>
      <c r="I1001" s="74" t="s">
        <v>1522</v>
      </c>
      <c r="J1001" s="74" t="s">
        <v>90</v>
      </c>
      <c r="K1001" s="77" t="s">
        <v>90</v>
      </c>
    </row>
    <row r="1002" spans="1:11" ht="18" customHeight="1">
      <c r="A1002" s="68" t="s">
        <v>893</v>
      </c>
      <c r="B1002" s="70" t="s">
        <v>37</v>
      </c>
      <c r="C1002" s="70" t="s">
        <v>525</v>
      </c>
      <c r="D1002" s="69" t="s">
        <v>526</v>
      </c>
      <c r="E1002" s="71">
        <v>10000000</v>
      </c>
      <c r="F1002" s="71"/>
      <c r="G1002" s="71"/>
      <c r="H1002" s="71">
        <v>10000000</v>
      </c>
      <c r="I1002" s="69" t="s">
        <v>1855</v>
      </c>
      <c r="J1002" s="69" t="s">
        <v>90</v>
      </c>
      <c r="K1002" s="72" t="s">
        <v>90</v>
      </c>
    </row>
    <row r="1003" spans="1:11" ht="18" customHeight="1">
      <c r="A1003" s="68" t="s">
        <v>893</v>
      </c>
      <c r="B1003" s="70" t="s">
        <v>37</v>
      </c>
      <c r="C1003" s="70" t="s">
        <v>533</v>
      </c>
      <c r="D1003" s="69" t="s">
        <v>534</v>
      </c>
      <c r="E1003" s="71">
        <v>10000000</v>
      </c>
      <c r="F1003" s="71"/>
      <c r="G1003" s="71"/>
      <c r="H1003" s="71">
        <v>10000000</v>
      </c>
      <c r="I1003" s="69" t="s">
        <v>1857</v>
      </c>
      <c r="J1003" s="69" t="s">
        <v>90</v>
      </c>
      <c r="K1003" s="72" t="s">
        <v>90</v>
      </c>
    </row>
    <row r="1004" spans="1:11" ht="18" customHeight="1">
      <c r="A1004" s="68" t="s">
        <v>893</v>
      </c>
      <c r="B1004" s="70" t="s">
        <v>37</v>
      </c>
      <c r="C1004" s="70" t="s">
        <v>604</v>
      </c>
      <c r="D1004" s="69" t="s">
        <v>605</v>
      </c>
      <c r="E1004" s="71">
        <v>60000000</v>
      </c>
      <c r="F1004" s="71"/>
      <c r="G1004" s="71"/>
      <c r="H1004" s="71">
        <v>60000000</v>
      </c>
      <c r="I1004" s="69" t="s">
        <v>1948</v>
      </c>
      <c r="J1004" s="69" t="s">
        <v>90</v>
      </c>
      <c r="K1004" s="72" t="s">
        <v>90</v>
      </c>
    </row>
    <row r="1005" spans="1:11" ht="18" customHeight="1">
      <c r="A1005" s="68" t="s">
        <v>893</v>
      </c>
      <c r="B1005" s="70" t="s">
        <v>37</v>
      </c>
      <c r="C1005" s="70" t="s">
        <v>769</v>
      </c>
      <c r="D1005" s="69" t="s">
        <v>770</v>
      </c>
      <c r="E1005" s="71">
        <v>227035060</v>
      </c>
      <c r="F1005" s="71"/>
      <c r="G1005" s="71"/>
      <c r="H1005" s="217">
        <v>227035060</v>
      </c>
      <c r="I1005" s="69" t="s">
        <v>1870</v>
      </c>
      <c r="J1005" s="69" t="s">
        <v>90</v>
      </c>
      <c r="K1005" s="72" t="s">
        <v>2403</v>
      </c>
    </row>
    <row r="1006" spans="1:11" ht="18" customHeight="1">
      <c r="A1006" s="68" t="s">
        <v>893</v>
      </c>
      <c r="B1006" s="70" t="s">
        <v>37</v>
      </c>
      <c r="C1006" s="70" t="s">
        <v>1001</v>
      </c>
      <c r="D1006" s="69" t="s">
        <v>1002</v>
      </c>
      <c r="E1006" s="71"/>
      <c r="F1006" s="71">
        <v>20000000</v>
      </c>
      <c r="G1006" s="71"/>
      <c r="H1006" s="217">
        <v>20000000</v>
      </c>
      <c r="I1006" s="69" t="s">
        <v>1437</v>
      </c>
      <c r="J1006" s="69" t="s">
        <v>90</v>
      </c>
      <c r="K1006" s="72" t="s">
        <v>2407</v>
      </c>
    </row>
    <row r="1007" spans="1:11" ht="18" customHeight="1">
      <c r="A1007" s="68" t="s">
        <v>893</v>
      </c>
      <c r="B1007" s="70" t="s">
        <v>37</v>
      </c>
      <c r="C1007" s="70" t="s">
        <v>1297</v>
      </c>
      <c r="D1007" s="69" t="s">
        <v>1298</v>
      </c>
      <c r="E1007" s="71"/>
      <c r="F1007" s="71">
        <v>102000000</v>
      </c>
      <c r="G1007" s="71"/>
      <c r="H1007" s="217">
        <v>102000000</v>
      </c>
      <c r="I1007" s="69" t="s">
        <v>90</v>
      </c>
      <c r="J1007" s="69" t="s">
        <v>90</v>
      </c>
      <c r="K1007" s="72" t="s">
        <v>2410</v>
      </c>
    </row>
    <row r="1008" spans="1:11" ht="18" customHeight="1" thickBot="1">
      <c r="A1008" s="68" t="s">
        <v>893</v>
      </c>
      <c r="B1008" s="70" t="s">
        <v>37</v>
      </c>
      <c r="C1008" s="70" t="s">
        <v>1264</v>
      </c>
      <c r="D1008" s="69" t="s">
        <v>1446</v>
      </c>
      <c r="E1008" s="71">
        <v>450000000</v>
      </c>
      <c r="F1008" s="71"/>
      <c r="G1008" s="71"/>
      <c r="H1008" s="217">
        <v>450000000</v>
      </c>
      <c r="I1008" s="69" t="s">
        <v>1447</v>
      </c>
      <c r="J1008" s="69" t="s">
        <v>90</v>
      </c>
      <c r="K1008" s="72" t="s">
        <v>2405</v>
      </c>
    </row>
    <row r="1009" spans="1:11" ht="18" customHeight="1" thickBot="1">
      <c r="A1009" s="78" t="s">
        <v>363</v>
      </c>
      <c r="B1009" s="80" t="s">
        <v>90</v>
      </c>
      <c r="C1009" s="80" t="s">
        <v>90</v>
      </c>
      <c r="D1009" s="79" t="s">
        <v>90</v>
      </c>
      <c r="E1009" s="81">
        <v>777035060</v>
      </c>
      <c r="F1009" s="81">
        <v>122000000</v>
      </c>
      <c r="G1009" s="81"/>
      <c r="H1009" s="81">
        <v>899035060</v>
      </c>
      <c r="I1009" s="79" t="s">
        <v>90</v>
      </c>
      <c r="J1009" s="79" t="s">
        <v>90</v>
      </c>
      <c r="K1009" s="82" t="s">
        <v>90</v>
      </c>
    </row>
    <row r="1010" spans="1:11" ht="5.25" customHeight="1"/>
    <row r="1011" spans="1:11" ht="31.5" customHeight="1">
      <c r="F1011" s="61" t="s">
        <v>894</v>
      </c>
    </row>
    <row r="1012" spans="1:11" ht="8.1" customHeight="1"/>
    <row r="1013" spans="1:11" ht="15" customHeight="1">
      <c r="F1013" s="62" t="s">
        <v>996</v>
      </c>
    </row>
    <row r="1014" spans="1:11" ht="20.100000000000001" customHeight="1"/>
    <row r="1015" spans="1:11" ht="15" customHeight="1" thickBot="1">
      <c r="A1015" s="63" t="s">
        <v>1013</v>
      </c>
      <c r="K1015" s="64" t="s">
        <v>336</v>
      </c>
    </row>
    <row r="1016" spans="1:11" ht="18" customHeight="1" thickBot="1">
      <c r="A1016" s="65" t="s">
        <v>337</v>
      </c>
      <c r="B1016" s="66" t="s">
        <v>338</v>
      </c>
      <c r="C1016" s="66" t="s">
        <v>337</v>
      </c>
      <c r="D1016" s="66" t="s">
        <v>339</v>
      </c>
      <c r="E1016" s="66" t="s">
        <v>1369</v>
      </c>
      <c r="F1016" s="66" t="s">
        <v>997</v>
      </c>
      <c r="G1016" s="66" t="s">
        <v>998</v>
      </c>
      <c r="H1016" s="66" t="s">
        <v>340</v>
      </c>
      <c r="I1016" s="66" t="s">
        <v>1370</v>
      </c>
      <c r="J1016" s="66" t="s">
        <v>1371</v>
      </c>
      <c r="K1016" s="67" t="s">
        <v>331</v>
      </c>
    </row>
    <row r="1017" spans="1:11" ht="18" customHeight="1">
      <c r="A1017" s="68" t="s">
        <v>895</v>
      </c>
      <c r="B1017" s="70" t="s">
        <v>38</v>
      </c>
      <c r="C1017" s="70" t="s">
        <v>498</v>
      </c>
      <c r="D1017" s="69" t="s">
        <v>499</v>
      </c>
      <c r="E1017" s="71">
        <v>226800000</v>
      </c>
      <c r="F1017" s="71"/>
      <c r="G1017" s="71"/>
      <c r="H1017" s="71">
        <v>226800000</v>
      </c>
      <c r="I1017" s="69" t="s">
        <v>1949</v>
      </c>
      <c r="J1017" s="69" t="s">
        <v>90</v>
      </c>
      <c r="K1017" s="72" t="s">
        <v>90</v>
      </c>
    </row>
    <row r="1018" spans="1:11" ht="18" customHeight="1">
      <c r="A1018" s="68" t="s">
        <v>895</v>
      </c>
      <c r="B1018" s="70" t="s">
        <v>38</v>
      </c>
      <c r="C1018" s="70" t="s">
        <v>546</v>
      </c>
      <c r="D1018" s="69" t="s">
        <v>547</v>
      </c>
      <c r="E1018" s="71">
        <v>300000</v>
      </c>
      <c r="F1018" s="71"/>
      <c r="G1018" s="71"/>
      <c r="H1018" s="71">
        <v>300000</v>
      </c>
      <c r="I1018" s="69" t="s">
        <v>1859</v>
      </c>
      <c r="J1018" s="69" t="s">
        <v>90</v>
      </c>
      <c r="K1018" s="72" t="s">
        <v>90</v>
      </c>
    </row>
    <row r="1019" spans="1:11" ht="18" customHeight="1">
      <c r="A1019" s="68" t="s">
        <v>895</v>
      </c>
      <c r="B1019" s="70" t="s">
        <v>38</v>
      </c>
      <c r="C1019" s="70" t="s">
        <v>848</v>
      </c>
      <c r="D1019" s="69" t="s">
        <v>849</v>
      </c>
      <c r="E1019" s="71">
        <v>5500000</v>
      </c>
      <c r="F1019" s="71"/>
      <c r="G1019" s="71"/>
      <c r="H1019" s="71">
        <v>5500000</v>
      </c>
      <c r="I1019" s="69" t="s">
        <v>1860</v>
      </c>
      <c r="J1019" s="69" t="s">
        <v>90</v>
      </c>
      <c r="K1019" s="72" t="s">
        <v>90</v>
      </c>
    </row>
    <row r="1020" spans="1:11" ht="18" customHeight="1">
      <c r="A1020" s="68" t="s">
        <v>895</v>
      </c>
      <c r="B1020" s="70" t="s">
        <v>38</v>
      </c>
      <c r="C1020" s="70" t="s">
        <v>1513</v>
      </c>
      <c r="D1020" s="69" t="s">
        <v>896</v>
      </c>
      <c r="E1020" s="71">
        <v>443555000</v>
      </c>
      <c r="F1020" s="71">
        <v>7735000</v>
      </c>
      <c r="G1020" s="71"/>
      <c r="H1020" s="217">
        <v>451290000</v>
      </c>
      <c r="I1020" s="69" t="s">
        <v>90</v>
      </c>
      <c r="J1020" s="69" t="s">
        <v>90</v>
      </c>
      <c r="K1020" s="72" t="s">
        <v>2412</v>
      </c>
    </row>
    <row r="1021" spans="1:11" ht="18" customHeight="1" thickBot="1">
      <c r="A1021" s="68" t="s">
        <v>895</v>
      </c>
      <c r="B1021" s="70" t="s">
        <v>38</v>
      </c>
      <c r="C1021" s="70" t="s">
        <v>1299</v>
      </c>
      <c r="D1021" s="69" t="s">
        <v>1300</v>
      </c>
      <c r="E1021" s="71"/>
      <c r="F1021" s="71">
        <v>117996000</v>
      </c>
      <c r="G1021" s="71"/>
      <c r="H1021" s="71">
        <v>117996000</v>
      </c>
      <c r="I1021" s="69" t="s">
        <v>1950</v>
      </c>
      <c r="J1021" s="69" t="s">
        <v>90</v>
      </c>
      <c r="K1021" s="72" t="s">
        <v>90</v>
      </c>
    </row>
    <row r="1022" spans="1:11" ht="18" customHeight="1" thickBot="1">
      <c r="A1022" s="78" t="s">
        <v>363</v>
      </c>
      <c r="B1022" s="80" t="s">
        <v>90</v>
      </c>
      <c r="C1022" s="80" t="s">
        <v>90</v>
      </c>
      <c r="D1022" s="79" t="s">
        <v>90</v>
      </c>
      <c r="E1022" s="81">
        <v>676155000</v>
      </c>
      <c r="F1022" s="81">
        <v>125731000</v>
      </c>
      <c r="G1022" s="81"/>
      <c r="H1022" s="81">
        <v>801886000</v>
      </c>
      <c r="I1022" s="79" t="s">
        <v>90</v>
      </c>
      <c r="J1022" s="79" t="s">
        <v>90</v>
      </c>
      <c r="K1022" s="82" t="s">
        <v>90</v>
      </c>
    </row>
    <row r="1023" spans="1:11" ht="5.25" customHeight="1"/>
    <row r="1024" spans="1:11" ht="31.5" customHeight="1">
      <c r="F1024" s="61" t="s">
        <v>897</v>
      </c>
    </row>
    <row r="1025" spans="1:11" ht="8.1" customHeight="1"/>
    <row r="1026" spans="1:11" ht="15" customHeight="1">
      <c r="F1026" s="62" t="s">
        <v>996</v>
      </c>
    </row>
    <row r="1027" spans="1:11" ht="20.100000000000001" customHeight="1"/>
    <row r="1028" spans="1:11" ht="15" customHeight="1" thickBot="1">
      <c r="A1028" s="63" t="s">
        <v>1013</v>
      </c>
      <c r="K1028" s="64" t="s">
        <v>336</v>
      </c>
    </row>
    <row r="1029" spans="1:11" ht="18" customHeight="1" thickBot="1">
      <c r="A1029" s="65" t="s">
        <v>337</v>
      </c>
      <c r="B1029" s="66" t="s">
        <v>338</v>
      </c>
      <c r="C1029" s="66" t="s">
        <v>337</v>
      </c>
      <c r="D1029" s="66" t="s">
        <v>339</v>
      </c>
      <c r="E1029" s="66" t="s">
        <v>1369</v>
      </c>
      <c r="F1029" s="66" t="s">
        <v>997</v>
      </c>
      <c r="G1029" s="66" t="s">
        <v>998</v>
      </c>
      <c r="H1029" s="66" t="s">
        <v>340</v>
      </c>
      <c r="I1029" s="66" t="s">
        <v>1370</v>
      </c>
      <c r="J1029" s="66" t="s">
        <v>1371</v>
      </c>
      <c r="K1029" s="67" t="s">
        <v>331</v>
      </c>
    </row>
    <row r="1030" spans="1:11" ht="18" customHeight="1" thickBot="1">
      <c r="A1030" s="68" t="s">
        <v>898</v>
      </c>
      <c r="B1030" s="70" t="s">
        <v>40</v>
      </c>
      <c r="C1030" s="70" t="s">
        <v>90</v>
      </c>
      <c r="D1030" s="69" t="s">
        <v>447</v>
      </c>
      <c r="E1030" s="71">
        <v>600000</v>
      </c>
      <c r="F1030" s="71"/>
      <c r="G1030" s="71"/>
      <c r="H1030" s="71">
        <v>600000</v>
      </c>
      <c r="I1030" s="69" t="s">
        <v>90</v>
      </c>
      <c r="J1030" s="69" t="s">
        <v>90</v>
      </c>
      <c r="K1030" s="72" t="s">
        <v>90</v>
      </c>
    </row>
    <row r="1031" spans="1:11" ht="18" customHeight="1" thickBot="1">
      <c r="A1031" s="78" t="s">
        <v>363</v>
      </c>
      <c r="B1031" s="80" t="s">
        <v>90</v>
      </c>
      <c r="C1031" s="80" t="s">
        <v>90</v>
      </c>
      <c r="D1031" s="79" t="s">
        <v>90</v>
      </c>
      <c r="E1031" s="81">
        <v>600000</v>
      </c>
      <c r="F1031" s="81"/>
      <c r="G1031" s="81"/>
      <c r="H1031" s="81">
        <v>600000</v>
      </c>
      <c r="I1031" s="79" t="s">
        <v>90</v>
      </c>
      <c r="J1031" s="79" t="s">
        <v>90</v>
      </c>
      <c r="K1031" s="82" t="s">
        <v>90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3BF9-395F-40F3-8AA0-9F2FE733EAC6}">
  <sheetPr>
    <tabColor theme="4" tint="-0.249977111117893"/>
  </sheetPr>
  <dimension ref="A1:AD250"/>
  <sheetViews>
    <sheetView zoomScaleNormal="100" workbookViewId="0">
      <pane xSplit="1" ySplit="4" topLeftCell="E5" activePane="bottomRight" state="frozen"/>
      <selection activeCell="D94" sqref="D94"/>
      <selection pane="topRight" activeCell="D94" sqref="D94"/>
      <selection pane="bottomLeft" activeCell="D94" sqref="D94"/>
      <selection pane="bottomRight" activeCell="E14" sqref="E14"/>
    </sheetView>
  </sheetViews>
  <sheetFormatPr defaultRowHeight="24" customHeight="1"/>
  <cols>
    <col min="1" max="1" width="29.42578125" style="165" customWidth="1"/>
    <col min="2" max="2" width="29.42578125" style="318" customWidth="1"/>
    <col min="3" max="3" width="18.140625" style="165" customWidth="1"/>
    <col min="4" max="4" width="8.140625" style="165" customWidth="1"/>
    <col min="5" max="6" width="19.140625" style="165" customWidth="1"/>
    <col min="7" max="7" width="18.42578125" style="165" customWidth="1"/>
    <col min="8" max="9" width="19.140625" style="165" customWidth="1"/>
    <col min="10" max="12" width="18.140625" style="165" customWidth="1"/>
    <col min="13" max="13" width="15.42578125" style="165" customWidth="1"/>
    <col min="14" max="14" width="16.5703125" style="165" customWidth="1"/>
    <col min="15" max="15" width="11.5703125" style="165" bestFit="1" customWidth="1"/>
    <col min="16" max="16" width="18" style="165" bestFit="1" customWidth="1"/>
    <col min="17" max="17" width="17.28515625" style="165" customWidth="1"/>
    <col min="18" max="18" width="20.42578125" style="461" bestFit="1" customWidth="1"/>
    <col min="19" max="19" width="19.140625" style="56" customWidth="1"/>
    <col min="20" max="21" width="17" style="461" customWidth="1"/>
    <col min="22" max="22" width="19.85546875" style="461" customWidth="1"/>
    <col min="23" max="24" width="16" style="461" customWidth="1"/>
    <col min="25" max="25" width="21.140625" style="461" customWidth="1"/>
    <col min="26" max="26" width="9" style="56"/>
    <col min="27" max="257" width="9" style="165"/>
    <col min="258" max="258" width="23.5703125" style="165" customWidth="1"/>
    <col min="259" max="259" width="11.140625" style="165" bestFit="1" customWidth="1"/>
    <col min="260" max="261" width="0" style="165" hidden="1" customWidth="1"/>
    <col min="262" max="262" width="15.42578125" style="165" bestFit="1" customWidth="1"/>
    <col min="263" max="263" width="14.28515625" style="165" bestFit="1" customWidth="1"/>
    <col min="264" max="264" width="15.42578125" style="165" bestFit="1" customWidth="1"/>
    <col min="265" max="265" width="30.140625" style="165" bestFit="1" customWidth="1"/>
    <col min="266" max="266" width="15.42578125" style="165" bestFit="1" customWidth="1"/>
    <col min="267" max="267" width="5.140625" style="165" bestFit="1" customWidth="1"/>
    <col min="268" max="268" width="7.28515625" style="165" bestFit="1" customWidth="1"/>
    <col min="269" max="269" width="5.140625" style="165" bestFit="1" customWidth="1"/>
    <col min="270" max="270" width="14.28515625" style="165" bestFit="1" customWidth="1"/>
    <col min="271" max="271" width="11.5703125" style="165" bestFit="1" customWidth="1"/>
    <col min="272" max="272" width="18" style="165" bestFit="1" customWidth="1"/>
    <col min="273" max="273" width="15.42578125" style="165" bestFit="1" customWidth="1"/>
    <col min="274" max="513" width="9" style="165"/>
    <col min="514" max="514" width="23.5703125" style="165" customWidth="1"/>
    <col min="515" max="515" width="11.140625" style="165" bestFit="1" customWidth="1"/>
    <col min="516" max="517" width="0" style="165" hidden="1" customWidth="1"/>
    <col min="518" max="518" width="15.42578125" style="165" bestFit="1" customWidth="1"/>
    <col min="519" max="519" width="14.28515625" style="165" bestFit="1" customWidth="1"/>
    <col min="520" max="520" width="15.42578125" style="165" bestFit="1" customWidth="1"/>
    <col min="521" max="521" width="30.140625" style="165" bestFit="1" customWidth="1"/>
    <col min="522" max="522" width="15.42578125" style="165" bestFit="1" customWidth="1"/>
    <col min="523" max="523" width="5.140625" style="165" bestFit="1" customWidth="1"/>
    <col min="524" max="524" width="7.28515625" style="165" bestFit="1" customWidth="1"/>
    <col min="525" max="525" width="5.140625" style="165" bestFit="1" customWidth="1"/>
    <col min="526" max="526" width="14.28515625" style="165" bestFit="1" customWidth="1"/>
    <col min="527" max="527" width="11.5703125" style="165" bestFit="1" customWidth="1"/>
    <col min="528" max="528" width="18" style="165" bestFit="1" customWidth="1"/>
    <col min="529" max="529" width="15.42578125" style="165" bestFit="1" customWidth="1"/>
    <col min="530" max="769" width="9" style="165"/>
    <col min="770" max="770" width="23.5703125" style="165" customWidth="1"/>
    <col min="771" max="771" width="11.140625" style="165" bestFit="1" customWidth="1"/>
    <col min="772" max="773" width="0" style="165" hidden="1" customWidth="1"/>
    <col min="774" max="774" width="15.42578125" style="165" bestFit="1" customWidth="1"/>
    <col min="775" max="775" width="14.28515625" style="165" bestFit="1" customWidth="1"/>
    <col min="776" max="776" width="15.42578125" style="165" bestFit="1" customWidth="1"/>
    <col min="777" max="777" width="30.140625" style="165" bestFit="1" customWidth="1"/>
    <col min="778" max="778" width="15.42578125" style="165" bestFit="1" customWidth="1"/>
    <col min="779" max="779" width="5.140625" style="165" bestFit="1" customWidth="1"/>
    <col min="780" max="780" width="7.28515625" style="165" bestFit="1" customWidth="1"/>
    <col min="781" max="781" width="5.140625" style="165" bestFit="1" customWidth="1"/>
    <col min="782" max="782" width="14.28515625" style="165" bestFit="1" customWidth="1"/>
    <col min="783" max="783" width="11.5703125" style="165" bestFit="1" customWidth="1"/>
    <col min="784" max="784" width="18" style="165" bestFit="1" customWidth="1"/>
    <col min="785" max="785" width="15.42578125" style="165" bestFit="1" customWidth="1"/>
    <col min="786" max="1025" width="9" style="165"/>
    <col min="1026" max="1026" width="23.5703125" style="165" customWidth="1"/>
    <col min="1027" max="1027" width="11.140625" style="165" bestFit="1" customWidth="1"/>
    <col min="1028" max="1029" width="0" style="165" hidden="1" customWidth="1"/>
    <col min="1030" max="1030" width="15.42578125" style="165" bestFit="1" customWidth="1"/>
    <col min="1031" max="1031" width="14.28515625" style="165" bestFit="1" customWidth="1"/>
    <col min="1032" max="1032" width="15.42578125" style="165" bestFit="1" customWidth="1"/>
    <col min="1033" max="1033" width="30.140625" style="165" bestFit="1" customWidth="1"/>
    <col min="1034" max="1034" width="15.42578125" style="165" bestFit="1" customWidth="1"/>
    <col min="1035" max="1035" width="5.140625" style="165" bestFit="1" customWidth="1"/>
    <col min="1036" max="1036" width="7.28515625" style="165" bestFit="1" customWidth="1"/>
    <col min="1037" max="1037" width="5.140625" style="165" bestFit="1" customWidth="1"/>
    <col min="1038" max="1038" width="14.28515625" style="165" bestFit="1" customWidth="1"/>
    <col min="1039" max="1039" width="11.5703125" style="165" bestFit="1" customWidth="1"/>
    <col min="1040" max="1040" width="18" style="165" bestFit="1" customWidth="1"/>
    <col min="1041" max="1041" width="15.42578125" style="165" bestFit="1" customWidth="1"/>
    <col min="1042" max="1281" width="9" style="165"/>
    <col min="1282" max="1282" width="23.5703125" style="165" customWidth="1"/>
    <col min="1283" max="1283" width="11.140625" style="165" bestFit="1" customWidth="1"/>
    <col min="1284" max="1285" width="0" style="165" hidden="1" customWidth="1"/>
    <col min="1286" max="1286" width="15.42578125" style="165" bestFit="1" customWidth="1"/>
    <col min="1287" max="1287" width="14.28515625" style="165" bestFit="1" customWidth="1"/>
    <col min="1288" max="1288" width="15.42578125" style="165" bestFit="1" customWidth="1"/>
    <col min="1289" max="1289" width="30.140625" style="165" bestFit="1" customWidth="1"/>
    <col min="1290" max="1290" width="15.42578125" style="165" bestFit="1" customWidth="1"/>
    <col min="1291" max="1291" width="5.140625" style="165" bestFit="1" customWidth="1"/>
    <col min="1292" max="1292" width="7.28515625" style="165" bestFit="1" customWidth="1"/>
    <col min="1293" max="1293" width="5.140625" style="165" bestFit="1" customWidth="1"/>
    <col min="1294" max="1294" width="14.28515625" style="165" bestFit="1" customWidth="1"/>
    <col min="1295" max="1295" width="11.5703125" style="165" bestFit="1" customWidth="1"/>
    <col min="1296" max="1296" width="18" style="165" bestFit="1" customWidth="1"/>
    <col min="1297" max="1297" width="15.42578125" style="165" bestFit="1" customWidth="1"/>
    <col min="1298" max="1537" width="9" style="165"/>
    <col min="1538" max="1538" width="23.5703125" style="165" customWidth="1"/>
    <col min="1539" max="1539" width="11.140625" style="165" bestFit="1" customWidth="1"/>
    <col min="1540" max="1541" width="0" style="165" hidden="1" customWidth="1"/>
    <col min="1542" max="1542" width="15.42578125" style="165" bestFit="1" customWidth="1"/>
    <col min="1543" max="1543" width="14.28515625" style="165" bestFit="1" customWidth="1"/>
    <col min="1544" max="1544" width="15.42578125" style="165" bestFit="1" customWidth="1"/>
    <col min="1545" max="1545" width="30.140625" style="165" bestFit="1" customWidth="1"/>
    <col min="1546" max="1546" width="15.42578125" style="165" bestFit="1" customWidth="1"/>
    <col min="1547" max="1547" width="5.140625" style="165" bestFit="1" customWidth="1"/>
    <col min="1548" max="1548" width="7.28515625" style="165" bestFit="1" customWidth="1"/>
    <col min="1549" max="1549" width="5.140625" style="165" bestFit="1" customWidth="1"/>
    <col min="1550" max="1550" width="14.28515625" style="165" bestFit="1" customWidth="1"/>
    <col min="1551" max="1551" width="11.5703125" style="165" bestFit="1" customWidth="1"/>
    <col min="1552" max="1552" width="18" style="165" bestFit="1" customWidth="1"/>
    <col min="1553" max="1553" width="15.42578125" style="165" bestFit="1" customWidth="1"/>
    <col min="1554" max="1793" width="9" style="165"/>
    <col min="1794" max="1794" width="23.5703125" style="165" customWidth="1"/>
    <col min="1795" max="1795" width="11.140625" style="165" bestFit="1" customWidth="1"/>
    <col min="1796" max="1797" width="0" style="165" hidden="1" customWidth="1"/>
    <col min="1798" max="1798" width="15.42578125" style="165" bestFit="1" customWidth="1"/>
    <col min="1799" max="1799" width="14.28515625" style="165" bestFit="1" customWidth="1"/>
    <col min="1800" max="1800" width="15.42578125" style="165" bestFit="1" customWidth="1"/>
    <col min="1801" max="1801" width="30.140625" style="165" bestFit="1" customWidth="1"/>
    <col min="1802" max="1802" width="15.42578125" style="165" bestFit="1" customWidth="1"/>
    <col min="1803" max="1803" width="5.140625" style="165" bestFit="1" customWidth="1"/>
    <col min="1804" max="1804" width="7.28515625" style="165" bestFit="1" customWidth="1"/>
    <col min="1805" max="1805" width="5.140625" style="165" bestFit="1" customWidth="1"/>
    <col min="1806" max="1806" width="14.28515625" style="165" bestFit="1" customWidth="1"/>
    <col min="1807" max="1807" width="11.5703125" style="165" bestFit="1" customWidth="1"/>
    <col min="1808" max="1808" width="18" style="165" bestFit="1" customWidth="1"/>
    <col min="1809" max="1809" width="15.42578125" style="165" bestFit="1" customWidth="1"/>
    <col min="1810" max="2049" width="9" style="165"/>
    <col min="2050" max="2050" width="23.5703125" style="165" customWidth="1"/>
    <col min="2051" max="2051" width="11.140625" style="165" bestFit="1" customWidth="1"/>
    <col min="2052" max="2053" width="0" style="165" hidden="1" customWidth="1"/>
    <col min="2054" max="2054" width="15.42578125" style="165" bestFit="1" customWidth="1"/>
    <col min="2055" max="2055" width="14.28515625" style="165" bestFit="1" customWidth="1"/>
    <col min="2056" max="2056" width="15.42578125" style="165" bestFit="1" customWidth="1"/>
    <col min="2057" max="2057" width="30.140625" style="165" bestFit="1" customWidth="1"/>
    <col min="2058" max="2058" width="15.42578125" style="165" bestFit="1" customWidth="1"/>
    <col min="2059" max="2059" width="5.140625" style="165" bestFit="1" customWidth="1"/>
    <col min="2060" max="2060" width="7.28515625" style="165" bestFit="1" customWidth="1"/>
    <col min="2061" max="2061" width="5.140625" style="165" bestFit="1" customWidth="1"/>
    <col min="2062" max="2062" width="14.28515625" style="165" bestFit="1" customWidth="1"/>
    <col min="2063" max="2063" width="11.5703125" style="165" bestFit="1" customWidth="1"/>
    <col min="2064" max="2064" width="18" style="165" bestFit="1" customWidth="1"/>
    <col min="2065" max="2065" width="15.42578125" style="165" bestFit="1" customWidth="1"/>
    <col min="2066" max="2305" width="9" style="165"/>
    <col min="2306" max="2306" width="23.5703125" style="165" customWidth="1"/>
    <col min="2307" max="2307" width="11.140625" style="165" bestFit="1" customWidth="1"/>
    <col min="2308" max="2309" width="0" style="165" hidden="1" customWidth="1"/>
    <col min="2310" max="2310" width="15.42578125" style="165" bestFit="1" customWidth="1"/>
    <col min="2311" max="2311" width="14.28515625" style="165" bestFit="1" customWidth="1"/>
    <col min="2312" max="2312" width="15.42578125" style="165" bestFit="1" customWidth="1"/>
    <col min="2313" max="2313" width="30.140625" style="165" bestFit="1" customWidth="1"/>
    <col min="2314" max="2314" width="15.42578125" style="165" bestFit="1" customWidth="1"/>
    <col min="2315" max="2315" width="5.140625" style="165" bestFit="1" customWidth="1"/>
    <col min="2316" max="2316" width="7.28515625" style="165" bestFit="1" customWidth="1"/>
    <col min="2317" max="2317" width="5.140625" style="165" bestFit="1" customWidth="1"/>
    <col min="2318" max="2318" width="14.28515625" style="165" bestFit="1" customWidth="1"/>
    <col min="2319" max="2319" width="11.5703125" style="165" bestFit="1" customWidth="1"/>
    <col min="2320" max="2320" width="18" style="165" bestFit="1" customWidth="1"/>
    <col min="2321" max="2321" width="15.42578125" style="165" bestFit="1" customWidth="1"/>
    <col min="2322" max="2561" width="9" style="165"/>
    <col min="2562" max="2562" width="23.5703125" style="165" customWidth="1"/>
    <col min="2563" max="2563" width="11.140625" style="165" bestFit="1" customWidth="1"/>
    <col min="2564" max="2565" width="0" style="165" hidden="1" customWidth="1"/>
    <col min="2566" max="2566" width="15.42578125" style="165" bestFit="1" customWidth="1"/>
    <col min="2567" max="2567" width="14.28515625" style="165" bestFit="1" customWidth="1"/>
    <col min="2568" max="2568" width="15.42578125" style="165" bestFit="1" customWidth="1"/>
    <col min="2569" max="2569" width="30.140625" style="165" bestFit="1" customWidth="1"/>
    <col min="2570" max="2570" width="15.42578125" style="165" bestFit="1" customWidth="1"/>
    <col min="2571" max="2571" width="5.140625" style="165" bestFit="1" customWidth="1"/>
    <col min="2572" max="2572" width="7.28515625" style="165" bestFit="1" customWidth="1"/>
    <col min="2573" max="2573" width="5.140625" style="165" bestFit="1" customWidth="1"/>
    <col min="2574" max="2574" width="14.28515625" style="165" bestFit="1" customWidth="1"/>
    <col min="2575" max="2575" width="11.5703125" style="165" bestFit="1" customWidth="1"/>
    <col min="2576" max="2576" width="18" style="165" bestFit="1" customWidth="1"/>
    <col min="2577" max="2577" width="15.42578125" style="165" bestFit="1" customWidth="1"/>
    <col min="2578" max="2817" width="9" style="165"/>
    <col min="2818" max="2818" width="23.5703125" style="165" customWidth="1"/>
    <col min="2819" max="2819" width="11.140625" style="165" bestFit="1" customWidth="1"/>
    <col min="2820" max="2821" width="0" style="165" hidden="1" customWidth="1"/>
    <col min="2822" max="2822" width="15.42578125" style="165" bestFit="1" customWidth="1"/>
    <col min="2823" max="2823" width="14.28515625" style="165" bestFit="1" customWidth="1"/>
    <col min="2824" max="2824" width="15.42578125" style="165" bestFit="1" customWidth="1"/>
    <col min="2825" max="2825" width="30.140625" style="165" bestFit="1" customWidth="1"/>
    <col min="2826" max="2826" width="15.42578125" style="165" bestFit="1" customWidth="1"/>
    <col min="2827" max="2827" width="5.140625" style="165" bestFit="1" customWidth="1"/>
    <col min="2828" max="2828" width="7.28515625" style="165" bestFit="1" customWidth="1"/>
    <col min="2829" max="2829" width="5.140625" style="165" bestFit="1" customWidth="1"/>
    <col min="2830" max="2830" width="14.28515625" style="165" bestFit="1" customWidth="1"/>
    <col min="2831" max="2831" width="11.5703125" style="165" bestFit="1" customWidth="1"/>
    <col min="2832" max="2832" width="18" style="165" bestFit="1" customWidth="1"/>
    <col min="2833" max="2833" width="15.42578125" style="165" bestFit="1" customWidth="1"/>
    <col min="2834" max="3073" width="9" style="165"/>
    <col min="3074" max="3074" width="23.5703125" style="165" customWidth="1"/>
    <col min="3075" max="3075" width="11.140625" style="165" bestFit="1" customWidth="1"/>
    <col min="3076" max="3077" width="0" style="165" hidden="1" customWidth="1"/>
    <col min="3078" max="3078" width="15.42578125" style="165" bestFit="1" customWidth="1"/>
    <col min="3079" max="3079" width="14.28515625" style="165" bestFit="1" customWidth="1"/>
    <col min="3080" max="3080" width="15.42578125" style="165" bestFit="1" customWidth="1"/>
    <col min="3081" max="3081" width="30.140625" style="165" bestFit="1" customWidth="1"/>
    <col min="3082" max="3082" width="15.42578125" style="165" bestFit="1" customWidth="1"/>
    <col min="3083" max="3083" width="5.140625" style="165" bestFit="1" customWidth="1"/>
    <col min="3084" max="3084" width="7.28515625" style="165" bestFit="1" customWidth="1"/>
    <col min="3085" max="3085" width="5.140625" style="165" bestFit="1" customWidth="1"/>
    <col min="3086" max="3086" width="14.28515625" style="165" bestFit="1" customWidth="1"/>
    <col min="3087" max="3087" width="11.5703125" style="165" bestFit="1" customWidth="1"/>
    <col min="3088" max="3088" width="18" style="165" bestFit="1" customWidth="1"/>
    <col min="3089" max="3089" width="15.42578125" style="165" bestFit="1" customWidth="1"/>
    <col min="3090" max="3329" width="9" style="165"/>
    <col min="3330" max="3330" width="23.5703125" style="165" customWidth="1"/>
    <col min="3331" max="3331" width="11.140625" style="165" bestFit="1" customWidth="1"/>
    <col min="3332" max="3333" width="0" style="165" hidden="1" customWidth="1"/>
    <col min="3334" max="3334" width="15.42578125" style="165" bestFit="1" customWidth="1"/>
    <col min="3335" max="3335" width="14.28515625" style="165" bestFit="1" customWidth="1"/>
    <col min="3336" max="3336" width="15.42578125" style="165" bestFit="1" customWidth="1"/>
    <col min="3337" max="3337" width="30.140625" style="165" bestFit="1" customWidth="1"/>
    <col min="3338" max="3338" width="15.42578125" style="165" bestFit="1" customWidth="1"/>
    <col min="3339" max="3339" width="5.140625" style="165" bestFit="1" customWidth="1"/>
    <col min="3340" max="3340" width="7.28515625" style="165" bestFit="1" customWidth="1"/>
    <col min="3341" max="3341" width="5.140625" style="165" bestFit="1" customWidth="1"/>
    <col min="3342" max="3342" width="14.28515625" style="165" bestFit="1" customWidth="1"/>
    <col min="3343" max="3343" width="11.5703125" style="165" bestFit="1" customWidth="1"/>
    <col min="3344" max="3344" width="18" style="165" bestFit="1" customWidth="1"/>
    <col min="3345" max="3345" width="15.42578125" style="165" bestFit="1" customWidth="1"/>
    <col min="3346" max="3585" width="9" style="165"/>
    <col min="3586" max="3586" width="23.5703125" style="165" customWidth="1"/>
    <col min="3587" max="3587" width="11.140625" style="165" bestFit="1" customWidth="1"/>
    <col min="3588" max="3589" width="0" style="165" hidden="1" customWidth="1"/>
    <col min="3590" max="3590" width="15.42578125" style="165" bestFit="1" customWidth="1"/>
    <col min="3591" max="3591" width="14.28515625" style="165" bestFit="1" customWidth="1"/>
    <col min="3592" max="3592" width="15.42578125" style="165" bestFit="1" customWidth="1"/>
    <col min="3593" max="3593" width="30.140625" style="165" bestFit="1" customWidth="1"/>
    <col min="3594" max="3594" width="15.42578125" style="165" bestFit="1" customWidth="1"/>
    <col min="3595" max="3595" width="5.140625" style="165" bestFit="1" customWidth="1"/>
    <col min="3596" max="3596" width="7.28515625" style="165" bestFit="1" customWidth="1"/>
    <col min="3597" max="3597" width="5.140625" style="165" bestFit="1" customWidth="1"/>
    <col min="3598" max="3598" width="14.28515625" style="165" bestFit="1" customWidth="1"/>
    <col min="3599" max="3599" width="11.5703125" style="165" bestFit="1" customWidth="1"/>
    <col min="3600" max="3600" width="18" style="165" bestFit="1" customWidth="1"/>
    <col min="3601" max="3601" width="15.42578125" style="165" bestFit="1" customWidth="1"/>
    <col min="3602" max="3841" width="9" style="165"/>
    <col min="3842" max="3842" width="23.5703125" style="165" customWidth="1"/>
    <col min="3843" max="3843" width="11.140625" style="165" bestFit="1" customWidth="1"/>
    <col min="3844" max="3845" width="0" style="165" hidden="1" customWidth="1"/>
    <col min="3846" max="3846" width="15.42578125" style="165" bestFit="1" customWidth="1"/>
    <col min="3847" max="3847" width="14.28515625" style="165" bestFit="1" customWidth="1"/>
    <col min="3848" max="3848" width="15.42578125" style="165" bestFit="1" customWidth="1"/>
    <col min="3849" max="3849" width="30.140625" style="165" bestFit="1" customWidth="1"/>
    <col min="3850" max="3850" width="15.42578125" style="165" bestFit="1" customWidth="1"/>
    <col min="3851" max="3851" width="5.140625" style="165" bestFit="1" customWidth="1"/>
    <col min="3852" max="3852" width="7.28515625" style="165" bestFit="1" customWidth="1"/>
    <col min="3853" max="3853" width="5.140625" style="165" bestFit="1" customWidth="1"/>
    <col min="3854" max="3854" width="14.28515625" style="165" bestFit="1" customWidth="1"/>
    <col min="3855" max="3855" width="11.5703125" style="165" bestFit="1" customWidth="1"/>
    <col min="3856" max="3856" width="18" style="165" bestFit="1" customWidth="1"/>
    <col min="3857" max="3857" width="15.42578125" style="165" bestFit="1" customWidth="1"/>
    <col min="3858" max="4097" width="9" style="165"/>
    <col min="4098" max="4098" width="23.5703125" style="165" customWidth="1"/>
    <col min="4099" max="4099" width="11.140625" style="165" bestFit="1" customWidth="1"/>
    <col min="4100" max="4101" width="0" style="165" hidden="1" customWidth="1"/>
    <col min="4102" max="4102" width="15.42578125" style="165" bestFit="1" customWidth="1"/>
    <col min="4103" max="4103" width="14.28515625" style="165" bestFit="1" customWidth="1"/>
    <col min="4104" max="4104" width="15.42578125" style="165" bestFit="1" customWidth="1"/>
    <col min="4105" max="4105" width="30.140625" style="165" bestFit="1" customWidth="1"/>
    <col min="4106" max="4106" width="15.42578125" style="165" bestFit="1" customWidth="1"/>
    <col min="4107" max="4107" width="5.140625" style="165" bestFit="1" customWidth="1"/>
    <col min="4108" max="4108" width="7.28515625" style="165" bestFit="1" customWidth="1"/>
    <col min="4109" max="4109" width="5.140625" style="165" bestFit="1" customWidth="1"/>
    <col min="4110" max="4110" width="14.28515625" style="165" bestFit="1" customWidth="1"/>
    <col min="4111" max="4111" width="11.5703125" style="165" bestFit="1" customWidth="1"/>
    <col min="4112" max="4112" width="18" style="165" bestFit="1" customWidth="1"/>
    <col min="4113" max="4113" width="15.42578125" style="165" bestFit="1" customWidth="1"/>
    <col min="4114" max="4353" width="9" style="165"/>
    <col min="4354" max="4354" width="23.5703125" style="165" customWidth="1"/>
    <col min="4355" max="4355" width="11.140625" style="165" bestFit="1" customWidth="1"/>
    <col min="4356" max="4357" width="0" style="165" hidden="1" customWidth="1"/>
    <col min="4358" max="4358" width="15.42578125" style="165" bestFit="1" customWidth="1"/>
    <col min="4359" max="4359" width="14.28515625" style="165" bestFit="1" customWidth="1"/>
    <col min="4360" max="4360" width="15.42578125" style="165" bestFit="1" customWidth="1"/>
    <col min="4361" max="4361" width="30.140625" style="165" bestFit="1" customWidth="1"/>
    <col min="4362" max="4362" width="15.42578125" style="165" bestFit="1" customWidth="1"/>
    <col min="4363" max="4363" width="5.140625" style="165" bestFit="1" customWidth="1"/>
    <col min="4364" max="4364" width="7.28515625" style="165" bestFit="1" customWidth="1"/>
    <col min="4365" max="4365" width="5.140625" style="165" bestFit="1" customWidth="1"/>
    <col min="4366" max="4366" width="14.28515625" style="165" bestFit="1" customWidth="1"/>
    <col min="4367" max="4367" width="11.5703125" style="165" bestFit="1" customWidth="1"/>
    <col min="4368" max="4368" width="18" style="165" bestFit="1" customWidth="1"/>
    <col min="4369" max="4369" width="15.42578125" style="165" bestFit="1" customWidth="1"/>
    <col min="4370" max="4609" width="9" style="165"/>
    <col min="4610" max="4610" width="23.5703125" style="165" customWidth="1"/>
    <col min="4611" max="4611" width="11.140625" style="165" bestFit="1" customWidth="1"/>
    <col min="4612" max="4613" width="0" style="165" hidden="1" customWidth="1"/>
    <col min="4614" max="4614" width="15.42578125" style="165" bestFit="1" customWidth="1"/>
    <col min="4615" max="4615" width="14.28515625" style="165" bestFit="1" customWidth="1"/>
    <col min="4616" max="4616" width="15.42578125" style="165" bestFit="1" customWidth="1"/>
    <col min="4617" max="4617" width="30.140625" style="165" bestFit="1" customWidth="1"/>
    <col min="4618" max="4618" width="15.42578125" style="165" bestFit="1" customWidth="1"/>
    <col min="4619" max="4619" width="5.140625" style="165" bestFit="1" customWidth="1"/>
    <col min="4620" max="4620" width="7.28515625" style="165" bestFit="1" customWidth="1"/>
    <col min="4621" max="4621" width="5.140625" style="165" bestFit="1" customWidth="1"/>
    <col min="4622" max="4622" width="14.28515625" style="165" bestFit="1" customWidth="1"/>
    <col min="4623" max="4623" width="11.5703125" style="165" bestFit="1" customWidth="1"/>
    <col min="4624" max="4624" width="18" style="165" bestFit="1" customWidth="1"/>
    <col min="4625" max="4625" width="15.42578125" style="165" bestFit="1" customWidth="1"/>
    <col min="4626" max="4865" width="9" style="165"/>
    <col min="4866" max="4866" width="23.5703125" style="165" customWidth="1"/>
    <col min="4867" max="4867" width="11.140625" style="165" bestFit="1" customWidth="1"/>
    <col min="4868" max="4869" width="0" style="165" hidden="1" customWidth="1"/>
    <col min="4870" max="4870" width="15.42578125" style="165" bestFit="1" customWidth="1"/>
    <col min="4871" max="4871" width="14.28515625" style="165" bestFit="1" customWidth="1"/>
    <col min="4872" max="4872" width="15.42578125" style="165" bestFit="1" customWidth="1"/>
    <col min="4873" max="4873" width="30.140625" style="165" bestFit="1" customWidth="1"/>
    <col min="4874" max="4874" width="15.42578125" style="165" bestFit="1" customWidth="1"/>
    <col min="4875" max="4875" width="5.140625" style="165" bestFit="1" customWidth="1"/>
    <col min="4876" max="4876" width="7.28515625" style="165" bestFit="1" customWidth="1"/>
    <col min="4877" max="4877" width="5.140625" style="165" bestFit="1" customWidth="1"/>
    <col min="4878" max="4878" width="14.28515625" style="165" bestFit="1" customWidth="1"/>
    <col min="4879" max="4879" width="11.5703125" style="165" bestFit="1" customWidth="1"/>
    <col min="4880" max="4880" width="18" style="165" bestFit="1" customWidth="1"/>
    <col min="4881" max="4881" width="15.42578125" style="165" bestFit="1" customWidth="1"/>
    <col min="4882" max="5121" width="9" style="165"/>
    <col min="5122" max="5122" width="23.5703125" style="165" customWidth="1"/>
    <col min="5123" max="5123" width="11.140625" style="165" bestFit="1" customWidth="1"/>
    <col min="5124" max="5125" width="0" style="165" hidden="1" customWidth="1"/>
    <col min="5126" max="5126" width="15.42578125" style="165" bestFit="1" customWidth="1"/>
    <col min="5127" max="5127" width="14.28515625" style="165" bestFit="1" customWidth="1"/>
    <col min="5128" max="5128" width="15.42578125" style="165" bestFit="1" customWidth="1"/>
    <col min="5129" max="5129" width="30.140625" style="165" bestFit="1" customWidth="1"/>
    <col min="5130" max="5130" width="15.42578125" style="165" bestFit="1" customWidth="1"/>
    <col min="5131" max="5131" width="5.140625" style="165" bestFit="1" customWidth="1"/>
    <col min="5132" max="5132" width="7.28515625" style="165" bestFit="1" customWidth="1"/>
    <col min="5133" max="5133" width="5.140625" style="165" bestFit="1" customWidth="1"/>
    <col min="5134" max="5134" width="14.28515625" style="165" bestFit="1" customWidth="1"/>
    <col min="5135" max="5135" width="11.5703125" style="165" bestFit="1" customWidth="1"/>
    <col min="5136" max="5136" width="18" style="165" bestFit="1" customWidth="1"/>
    <col min="5137" max="5137" width="15.42578125" style="165" bestFit="1" customWidth="1"/>
    <col min="5138" max="5377" width="9" style="165"/>
    <col min="5378" max="5378" width="23.5703125" style="165" customWidth="1"/>
    <col min="5379" max="5379" width="11.140625" style="165" bestFit="1" customWidth="1"/>
    <col min="5380" max="5381" width="0" style="165" hidden="1" customWidth="1"/>
    <col min="5382" max="5382" width="15.42578125" style="165" bestFit="1" customWidth="1"/>
    <col min="5383" max="5383" width="14.28515625" style="165" bestFit="1" customWidth="1"/>
    <col min="5384" max="5384" width="15.42578125" style="165" bestFit="1" customWidth="1"/>
    <col min="5385" max="5385" width="30.140625" style="165" bestFit="1" customWidth="1"/>
    <col min="5386" max="5386" width="15.42578125" style="165" bestFit="1" customWidth="1"/>
    <col min="5387" max="5387" width="5.140625" style="165" bestFit="1" customWidth="1"/>
    <col min="5388" max="5388" width="7.28515625" style="165" bestFit="1" customWidth="1"/>
    <col min="5389" max="5389" width="5.140625" style="165" bestFit="1" customWidth="1"/>
    <col min="5390" max="5390" width="14.28515625" style="165" bestFit="1" customWidth="1"/>
    <col min="5391" max="5391" width="11.5703125" style="165" bestFit="1" customWidth="1"/>
    <col min="5392" max="5392" width="18" style="165" bestFit="1" customWidth="1"/>
    <col min="5393" max="5393" width="15.42578125" style="165" bestFit="1" customWidth="1"/>
    <col min="5394" max="5633" width="9" style="165"/>
    <col min="5634" max="5634" width="23.5703125" style="165" customWidth="1"/>
    <col min="5635" max="5635" width="11.140625" style="165" bestFit="1" customWidth="1"/>
    <col min="5636" max="5637" width="0" style="165" hidden="1" customWidth="1"/>
    <col min="5638" max="5638" width="15.42578125" style="165" bestFit="1" customWidth="1"/>
    <col min="5639" max="5639" width="14.28515625" style="165" bestFit="1" customWidth="1"/>
    <col min="5640" max="5640" width="15.42578125" style="165" bestFit="1" customWidth="1"/>
    <col min="5641" max="5641" width="30.140625" style="165" bestFit="1" customWidth="1"/>
    <col min="5642" max="5642" width="15.42578125" style="165" bestFit="1" customWidth="1"/>
    <col min="5643" max="5643" width="5.140625" style="165" bestFit="1" customWidth="1"/>
    <col min="5644" max="5644" width="7.28515625" style="165" bestFit="1" customWidth="1"/>
    <col min="5645" max="5645" width="5.140625" style="165" bestFit="1" customWidth="1"/>
    <col min="5646" max="5646" width="14.28515625" style="165" bestFit="1" customWidth="1"/>
    <col min="5647" max="5647" width="11.5703125" style="165" bestFit="1" customWidth="1"/>
    <col min="5648" max="5648" width="18" style="165" bestFit="1" customWidth="1"/>
    <col min="5649" max="5649" width="15.42578125" style="165" bestFit="1" customWidth="1"/>
    <col min="5650" max="5889" width="9" style="165"/>
    <col min="5890" max="5890" width="23.5703125" style="165" customWidth="1"/>
    <col min="5891" max="5891" width="11.140625" style="165" bestFit="1" customWidth="1"/>
    <col min="5892" max="5893" width="0" style="165" hidden="1" customWidth="1"/>
    <col min="5894" max="5894" width="15.42578125" style="165" bestFit="1" customWidth="1"/>
    <col min="5895" max="5895" width="14.28515625" style="165" bestFit="1" customWidth="1"/>
    <col min="5896" max="5896" width="15.42578125" style="165" bestFit="1" customWidth="1"/>
    <col min="5897" max="5897" width="30.140625" style="165" bestFit="1" customWidth="1"/>
    <col min="5898" max="5898" width="15.42578125" style="165" bestFit="1" customWidth="1"/>
    <col min="5899" max="5899" width="5.140625" style="165" bestFit="1" customWidth="1"/>
    <col min="5900" max="5900" width="7.28515625" style="165" bestFit="1" customWidth="1"/>
    <col min="5901" max="5901" width="5.140625" style="165" bestFit="1" customWidth="1"/>
    <col min="5902" max="5902" width="14.28515625" style="165" bestFit="1" customWidth="1"/>
    <col min="5903" max="5903" width="11.5703125" style="165" bestFit="1" customWidth="1"/>
    <col min="5904" max="5904" width="18" style="165" bestFit="1" customWidth="1"/>
    <col min="5905" max="5905" width="15.42578125" style="165" bestFit="1" customWidth="1"/>
    <col min="5906" max="6145" width="9" style="165"/>
    <col min="6146" max="6146" width="23.5703125" style="165" customWidth="1"/>
    <col min="6147" max="6147" width="11.140625" style="165" bestFit="1" customWidth="1"/>
    <col min="6148" max="6149" width="0" style="165" hidden="1" customWidth="1"/>
    <col min="6150" max="6150" width="15.42578125" style="165" bestFit="1" customWidth="1"/>
    <col min="6151" max="6151" width="14.28515625" style="165" bestFit="1" customWidth="1"/>
    <col min="6152" max="6152" width="15.42578125" style="165" bestFit="1" customWidth="1"/>
    <col min="6153" max="6153" width="30.140625" style="165" bestFit="1" customWidth="1"/>
    <col min="6154" max="6154" width="15.42578125" style="165" bestFit="1" customWidth="1"/>
    <col min="6155" max="6155" width="5.140625" style="165" bestFit="1" customWidth="1"/>
    <col min="6156" max="6156" width="7.28515625" style="165" bestFit="1" customWidth="1"/>
    <col min="6157" max="6157" width="5.140625" style="165" bestFit="1" customWidth="1"/>
    <col min="6158" max="6158" width="14.28515625" style="165" bestFit="1" customWidth="1"/>
    <col min="6159" max="6159" width="11.5703125" style="165" bestFit="1" customWidth="1"/>
    <col min="6160" max="6160" width="18" style="165" bestFit="1" customWidth="1"/>
    <col min="6161" max="6161" width="15.42578125" style="165" bestFit="1" customWidth="1"/>
    <col min="6162" max="6401" width="9" style="165"/>
    <col min="6402" max="6402" width="23.5703125" style="165" customWidth="1"/>
    <col min="6403" max="6403" width="11.140625" style="165" bestFit="1" customWidth="1"/>
    <col min="6404" max="6405" width="0" style="165" hidden="1" customWidth="1"/>
    <col min="6406" max="6406" width="15.42578125" style="165" bestFit="1" customWidth="1"/>
    <col min="6407" max="6407" width="14.28515625" style="165" bestFit="1" customWidth="1"/>
    <col min="6408" max="6408" width="15.42578125" style="165" bestFit="1" customWidth="1"/>
    <col min="6409" max="6409" width="30.140625" style="165" bestFit="1" customWidth="1"/>
    <col min="6410" max="6410" width="15.42578125" style="165" bestFit="1" customWidth="1"/>
    <col min="6411" max="6411" width="5.140625" style="165" bestFit="1" customWidth="1"/>
    <col min="6412" max="6412" width="7.28515625" style="165" bestFit="1" customWidth="1"/>
    <col min="6413" max="6413" width="5.140625" style="165" bestFit="1" customWidth="1"/>
    <col min="6414" max="6414" width="14.28515625" style="165" bestFit="1" customWidth="1"/>
    <col min="6415" max="6415" width="11.5703125" style="165" bestFit="1" customWidth="1"/>
    <col min="6416" max="6416" width="18" style="165" bestFit="1" customWidth="1"/>
    <col min="6417" max="6417" width="15.42578125" style="165" bestFit="1" customWidth="1"/>
    <col min="6418" max="6657" width="9" style="165"/>
    <col min="6658" max="6658" width="23.5703125" style="165" customWidth="1"/>
    <col min="6659" max="6659" width="11.140625" style="165" bestFit="1" customWidth="1"/>
    <col min="6660" max="6661" width="0" style="165" hidden="1" customWidth="1"/>
    <col min="6662" max="6662" width="15.42578125" style="165" bestFit="1" customWidth="1"/>
    <col min="6663" max="6663" width="14.28515625" style="165" bestFit="1" customWidth="1"/>
    <col min="6664" max="6664" width="15.42578125" style="165" bestFit="1" customWidth="1"/>
    <col min="6665" max="6665" width="30.140625" style="165" bestFit="1" customWidth="1"/>
    <col min="6666" max="6666" width="15.42578125" style="165" bestFit="1" customWidth="1"/>
    <col min="6667" max="6667" width="5.140625" style="165" bestFit="1" customWidth="1"/>
    <col min="6668" max="6668" width="7.28515625" style="165" bestFit="1" customWidth="1"/>
    <col min="6669" max="6669" width="5.140625" style="165" bestFit="1" customWidth="1"/>
    <col min="6670" max="6670" width="14.28515625" style="165" bestFit="1" customWidth="1"/>
    <col min="6671" max="6671" width="11.5703125" style="165" bestFit="1" customWidth="1"/>
    <col min="6672" max="6672" width="18" style="165" bestFit="1" customWidth="1"/>
    <col min="6673" max="6673" width="15.42578125" style="165" bestFit="1" customWidth="1"/>
    <col min="6674" max="6913" width="9" style="165"/>
    <col min="6914" max="6914" width="23.5703125" style="165" customWidth="1"/>
    <col min="6915" max="6915" width="11.140625" style="165" bestFit="1" customWidth="1"/>
    <col min="6916" max="6917" width="0" style="165" hidden="1" customWidth="1"/>
    <col min="6918" max="6918" width="15.42578125" style="165" bestFit="1" customWidth="1"/>
    <col min="6919" max="6919" width="14.28515625" style="165" bestFit="1" customWidth="1"/>
    <col min="6920" max="6920" width="15.42578125" style="165" bestFit="1" customWidth="1"/>
    <col min="6921" max="6921" width="30.140625" style="165" bestFit="1" customWidth="1"/>
    <col min="6922" max="6922" width="15.42578125" style="165" bestFit="1" customWidth="1"/>
    <col min="6923" max="6923" width="5.140625" style="165" bestFit="1" customWidth="1"/>
    <col min="6924" max="6924" width="7.28515625" style="165" bestFit="1" customWidth="1"/>
    <col min="6925" max="6925" width="5.140625" style="165" bestFit="1" customWidth="1"/>
    <col min="6926" max="6926" width="14.28515625" style="165" bestFit="1" customWidth="1"/>
    <col min="6927" max="6927" width="11.5703125" style="165" bestFit="1" customWidth="1"/>
    <col min="6928" max="6928" width="18" style="165" bestFit="1" customWidth="1"/>
    <col min="6929" max="6929" width="15.42578125" style="165" bestFit="1" customWidth="1"/>
    <col min="6930" max="7169" width="9" style="165"/>
    <col min="7170" max="7170" width="23.5703125" style="165" customWidth="1"/>
    <col min="7171" max="7171" width="11.140625" style="165" bestFit="1" customWidth="1"/>
    <col min="7172" max="7173" width="0" style="165" hidden="1" customWidth="1"/>
    <col min="7174" max="7174" width="15.42578125" style="165" bestFit="1" customWidth="1"/>
    <col min="7175" max="7175" width="14.28515625" style="165" bestFit="1" customWidth="1"/>
    <col min="7176" max="7176" width="15.42578125" style="165" bestFit="1" customWidth="1"/>
    <col min="7177" max="7177" width="30.140625" style="165" bestFit="1" customWidth="1"/>
    <col min="7178" max="7178" width="15.42578125" style="165" bestFit="1" customWidth="1"/>
    <col min="7179" max="7179" width="5.140625" style="165" bestFit="1" customWidth="1"/>
    <col min="7180" max="7180" width="7.28515625" style="165" bestFit="1" customWidth="1"/>
    <col min="7181" max="7181" width="5.140625" style="165" bestFit="1" customWidth="1"/>
    <col min="7182" max="7182" width="14.28515625" style="165" bestFit="1" customWidth="1"/>
    <col min="7183" max="7183" width="11.5703125" style="165" bestFit="1" customWidth="1"/>
    <col min="7184" max="7184" width="18" style="165" bestFit="1" customWidth="1"/>
    <col min="7185" max="7185" width="15.42578125" style="165" bestFit="1" customWidth="1"/>
    <col min="7186" max="7425" width="9" style="165"/>
    <col min="7426" max="7426" width="23.5703125" style="165" customWidth="1"/>
    <col min="7427" max="7427" width="11.140625" style="165" bestFit="1" customWidth="1"/>
    <col min="7428" max="7429" width="0" style="165" hidden="1" customWidth="1"/>
    <col min="7430" max="7430" width="15.42578125" style="165" bestFit="1" customWidth="1"/>
    <col min="7431" max="7431" width="14.28515625" style="165" bestFit="1" customWidth="1"/>
    <col min="7432" max="7432" width="15.42578125" style="165" bestFit="1" customWidth="1"/>
    <col min="7433" max="7433" width="30.140625" style="165" bestFit="1" customWidth="1"/>
    <col min="7434" max="7434" width="15.42578125" style="165" bestFit="1" customWidth="1"/>
    <col min="7435" max="7435" width="5.140625" style="165" bestFit="1" customWidth="1"/>
    <col min="7436" max="7436" width="7.28515625" style="165" bestFit="1" customWidth="1"/>
    <col min="7437" max="7437" width="5.140625" style="165" bestFit="1" customWidth="1"/>
    <col min="7438" max="7438" width="14.28515625" style="165" bestFit="1" customWidth="1"/>
    <col min="7439" max="7439" width="11.5703125" style="165" bestFit="1" customWidth="1"/>
    <col min="7440" max="7440" width="18" style="165" bestFit="1" customWidth="1"/>
    <col min="7441" max="7441" width="15.42578125" style="165" bestFit="1" customWidth="1"/>
    <col min="7442" max="7681" width="9" style="165"/>
    <col min="7682" max="7682" width="23.5703125" style="165" customWidth="1"/>
    <col min="7683" max="7683" width="11.140625" style="165" bestFit="1" customWidth="1"/>
    <col min="7684" max="7685" width="0" style="165" hidden="1" customWidth="1"/>
    <col min="7686" max="7686" width="15.42578125" style="165" bestFit="1" customWidth="1"/>
    <col min="7687" max="7687" width="14.28515625" style="165" bestFit="1" customWidth="1"/>
    <col min="7688" max="7688" width="15.42578125" style="165" bestFit="1" customWidth="1"/>
    <col min="7689" max="7689" width="30.140625" style="165" bestFit="1" customWidth="1"/>
    <col min="7690" max="7690" width="15.42578125" style="165" bestFit="1" customWidth="1"/>
    <col min="7691" max="7691" width="5.140625" style="165" bestFit="1" customWidth="1"/>
    <col min="7692" max="7692" width="7.28515625" style="165" bestFit="1" customWidth="1"/>
    <col min="7693" max="7693" width="5.140625" style="165" bestFit="1" customWidth="1"/>
    <col min="7694" max="7694" width="14.28515625" style="165" bestFit="1" customWidth="1"/>
    <col min="7695" max="7695" width="11.5703125" style="165" bestFit="1" customWidth="1"/>
    <col min="7696" max="7696" width="18" style="165" bestFit="1" customWidth="1"/>
    <col min="7697" max="7697" width="15.42578125" style="165" bestFit="1" customWidth="1"/>
    <col min="7698" max="7937" width="9" style="165"/>
    <col min="7938" max="7938" width="23.5703125" style="165" customWidth="1"/>
    <col min="7939" max="7939" width="11.140625" style="165" bestFit="1" customWidth="1"/>
    <col min="7940" max="7941" width="0" style="165" hidden="1" customWidth="1"/>
    <col min="7942" max="7942" width="15.42578125" style="165" bestFit="1" customWidth="1"/>
    <col min="7943" max="7943" width="14.28515625" style="165" bestFit="1" customWidth="1"/>
    <col min="7944" max="7944" width="15.42578125" style="165" bestFit="1" customWidth="1"/>
    <col min="7945" max="7945" width="30.140625" style="165" bestFit="1" customWidth="1"/>
    <col min="7946" max="7946" width="15.42578125" style="165" bestFit="1" customWidth="1"/>
    <col min="7947" max="7947" width="5.140625" style="165" bestFit="1" customWidth="1"/>
    <col min="7948" max="7948" width="7.28515625" style="165" bestFit="1" customWidth="1"/>
    <col min="7949" max="7949" width="5.140625" style="165" bestFit="1" customWidth="1"/>
    <col min="7950" max="7950" width="14.28515625" style="165" bestFit="1" customWidth="1"/>
    <col min="7951" max="7951" width="11.5703125" style="165" bestFit="1" customWidth="1"/>
    <col min="7952" max="7952" width="18" style="165" bestFit="1" customWidth="1"/>
    <col min="7953" max="7953" width="15.42578125" style="165" bestFit="1" customWidth="1"/>
    <col min="7954" max="8193" width="9" style="165"/>
    <col min="8194" max="8194" width="23.5703125" style="165" customWidth="1"/>
    <col min="8195" max="8195" width="11.140625" style="165" bestFit="1" customWidth="1"/>
    <col min="8196" max="8197" width="0" style="165" hidden="1" customWidth="1"/>
    <col min="8198" max="8198" width="15.42578125" style="165" bestFit="1" customWidth="1"/>
    <col min="8199" max="8199" width="14.28515625" style="165" bestFit="1" customWidth="1"/>
    <col min="8200" max="8200" width="15.42578125" style="165" bestFit="1" customWidth="1"/>
    <col min="8201" max="8201" width="30.140625" style="165" bestFit="1" customWidth="1"/>
    <col min="8202" max="8202" width="15.42578125" style="165" bestFit="1" customWidth="1"/>
    <col min="8203" max="8203" width="5.140625" style="165" bestFit="1" customWidth="1"/>
    <col min="8204" max="8204" width="7.28515625" style="165" bestFit="1" customWidth="1"/>
    <col min="8205" max="8205" width="5.140625" style="165" bestFit="1" customWidth="1"/>
    <col min="8206" max="8206" width="14.28515625" style="165" bestFit="1" customWidth="1"/>
    <col min="8207" max="8207" width="11.5703125" style="165" bestFit="1" customWidth="1"/>
    <col min="8208" max="8208" width="18" style="165" bestFit="1" customWidth="1"/>
    <col min="8209" max="8209" width="15.42578125" style="165" bestFit="1" customWidth="1"/>
    <col min="8210" max="8449" width="9" style="165"/>
    <col min="8450" max="8450" width="23.5703125" style="165" customWidth="1"/>
    <col min="8451" max="8451" width="11.140625" style="165" bestFit="1" customWidth="1"/>
    <col min="8452" max="8453" width="0" style="165" hidden="1" customWidth="1"/>
    <col min="8454" max="8454" width="15.42578125" style="165" bestFit="1" customWidth="1"/>
    <col min="8455" max="8455" width="14.28515625" style="165" bestFit="1" customWidth="1"/>
    <col min="8456" max="8456" width="15.42578125" style="165" bestFit="1" customWidth="1"/>
    <col min="8457" max="8457" width="30.140625" style="165" bestFit="1" customWidth="1"/>
    <col min="8458" max="8458" width="15.42578125" style="165" bestFit="1" customWidth="1"/>
    <col min="8459" max="8459" width="5.140625" style="165" bestFit="1" customWidth="1"/>
    <col min="8460" max="8460" width="7.28515625" style="165" bestFit="1" customWidth="1"/>
    <col min="8461" max="8461" width="5.140625" style="165" bestFit="1" customWidth="1"/>
    <col min="8462" max="8462" width="14.28515625" style="165" bestFit="1" customWidth="1"/>
    <col min="8463" max="8463" width="11.5703125" style="165" bestFit="1" customWidth="1"/>
    <col min="8464" max="8464" width="18" style="165" bestFit="1" customWidth="1"/>
    <col min="8465" max="8465" width="15.42578125" style="165" bestFit="1" customWidth="1"/>
    <col min="8466" max="8705" width="9" style="165"/>
    <col min="8706" max="8706" width="23.5703125" style="165" customWidth="1"/>
    <col min="8707" max="8707" width="11.140625" style="165" bestFit="1" customWidth="1"/>
    <col min="8708" max="8709" width="0" style="165" hidden="1" customWidth="1"/>
    <col min="8710" max="8710" width="15.42578125" style="165" bestFit="1" customWidth="1"/>
    <col min="8711" max="8711" width="14.28515625" style="165" bestFit="1" customWidth="1"/>
    <col min="8712" max="8712" width="15.42578125" style="165" bestFit="1" customWidth="1"/>
    <col min="8713" max="8713" width="30.140625" style="165" bestFit="1" customWidth="1"/>
    <col min="8714" max="8714" width="15.42578125" style="165" bestFit="1" customWidth="1"/>
    <col min="8715" max="8715" width="5.140625" style="165" bestFit="1" customWidth="1"/>
    <col min="8716" max="8716" width="7.28515625" style="165" bestFit="1" customWidth="1"/>
    <col min="8717" max="8717" width="5.140625" style="165" bestFit="1" customWidth="1"/>
    <col min="8718" max="8718" width="14.28515625" style="165" bestFit="1" customWidth="1"/>
    <col min="8719" max="8719" width="11.5703125" style="165" bestFit="1" customWidth="1"/>
    <col min="8720" max="8720" width="18" style="165" bestFit="1" customWidth="1"/>
    <col min="8721" max="8721" width="15.42578125" style="165" bestFit="1" customWidth="1"/>
    <col min="8722" max="8961" width="9" style="165"/>
    <col min="8962" max="8962" width="23.5703125" style="165" customWidth="1"/>
    <col min="8963" max="8963" width="11.140625" style="165" bestFit="1" customWidth="1"/>
    <col min="8964" max="8965" width="0" style="165" hidden="1" customWidth="1"/>
    <col min="8966" max="8966" width="15.42578125" style="165" bestFit="1" customWidth="1"/>
    <col min="8967" max="8967" width="14.28515625" style="165" bestFit="1" customWidth="1"/>
    <col min="8968" max="8968" width="15.42578125" style="165" bestFit="1" customWidth="1"/>
    <col min="8969" max="8969" width="30.140625" style="165" bestFit="1" customWidth="1"/>
    <col min="8970" max="8970" width="15.42578125" style="165" bestFit="1" customWidth="1"/>
    <col min="8971" max="8971" width="5.140625" style="165" bestFit="1" customWidth="1"/>
    <col min="8972" max="8972" width="7.28515625" style="165" bestFit="1" customWidth="1"/>
    <col min="8973" max="8973" width="5.140625" style="165" bestFit="1" customWidth="1"/>
    <col min="8974" max="8974" width="14.28515625" style="165" bestFit="1" customWidth="1"/>
    <col min="8975" max="8975" width="11.5703125" style="165" bestFit="1" customWidth="1"/>
    <col min="8976" max="8976" width="18" style="165" bestFit="1" customWidth="1"/>
    <col min="8977" max="8977" width="15.42578125" style="165" bestFit="1" customWidth="1"/>
    <col min="8978" max="9217" width="9" style="165"/>
    <col min="9218" max="9218" width="23.5703125" style="165" customWidth="1"/>
    <col min="9219" max="9219" width="11.140625" style="165" bestFit="1" customWidth="1"/>
    <col min="9220" max="9221" width="0" style="165" hidden="1" customWidth="1"/>
    <col min="9222" max="9222" width="15.42578125" style="165" bestFit="1" customWidth="1"/>
    <col min="9223" max="9223" width="14.28515625" style="165" bestFit="1" customWidth="1"/>
    <col min="9224" max="9224" width="15.42578125" style="165" bestFit="1" customWidth="1"/>
    <col min="9225" max="9225" width="30.140625" style="165" bestFit="1" customWidth="1"/>
    <col min="9226" max="9226" width="15.42578125" style="165" bestFit="1" customWidth="1"/>
    <col min="9227" max="9227" width="5.140625" style="165" bestFit="1" customWidth="1"/>
    <col min="9228" max="9228" width="7.28515625" style="165" bestFit="1" customWidth="1"/>
    <col min="9229" max="9229" width="5.140625" style="165" bestFit="1" customWidth="1"/>
    <col min="9230" max="9230" width="14.28515625" style="165" bestFit="1" customWidth="1"/>
    <col min="9231" max="9231" width="11.5703125" style="165" bestFit="1" customWidth="1"/>
    <col min="9232" max="9232" width="18" style="165" bestFit="1" customWidth="1"/>
    <col min="9233" max="9233" width="15.42578125" style="165" bestFit="1" customWidth="1"/>
    <col min="9234" max="9473" width="9" style="165"/>
    <col min="9474" max="9474" width="23.5703125" style="165" customWidth="1"/>
    <col min="9475" max="9475" width="11.140625" style="165" bestFit="1" customWidth="1"/>
    <col min="9476" max="9477" width="0" style="165" hidden="1" customWidth="1"/>
    <col min="9478" max="9478" width="15.42578125" style="165" bestFit="1" customWidth="1"/>
    <col min="9479" max="9479" width="14.28515625" style="165" bestFit="1" customWidth="1"/>
    <col min="9480" max="9480" width="15.42578125" style="165" bestFit="1" customWidth="1"/>
    <col min="9481" max="9481" width="30.140625" style="165" bestFit="1" customWidth="1"/>
    <col min="9482" max="9482" width="15.42578125" style="165" bestFit="1" customWidth="1"/>
    <col min="9483" max="9483" width="5.140625" style="165" bestFit="1" customWidth="1"/>
    <col min="9484" max="9484" width="7.28515625" style="165" bestFit="1" customWidth="1"/>
    <col min="9485" max="9485" width="5.140625" style="165" bestFit="1" customWidth="1"/>
    <col min="9486" max="9486" width="14.28515625" style="165" bestFit="1" customWidth="1"/>
    <col min="9487" max="9487" width="11.5703125" style="165" bestFit="1" customWidth="1"/>
    <col min="9488" max="9488" width="18" style="165" bestFit="1" customWidth="1"/>
    <col min="9489" max="9489" width="15.42578125" style="165" bestFit="1" customWidth="1"/>
    <col min="9490" max="9729" width="9" style="165"/>
    <col min="9730" max="9730" width="23.5703125" style="165" customWidth="1"/>
    <col min="9731" max="9731" width="11.140625" style="165" bestFit="1" customWidth="1"/>
    <col min="9732" max="9733" width="0" style="165" hidden="1" customWidth="1"/>
    <col min="9734" max="9734" width="15.42578125" style="165" bestFit="1" customWidth="1"/>
    <col min="9735" max="9735" width="14.28515625" style="165" bestFit="1" customWidth="1"/>
    <col min="9736" max="9736" width="15.42578125" style="165" bestFit="1" customWidth="1"/>
    <col min="9737" max="9737" width="30.140625" style="165" bestFit="1" customWidth="1"/>
    <col min="9738" max="9738" width="15.42578125" style="165" bestFit="1" customWidth="1"/>
    <col min="9739" max="9739" width="5.140625" style="165" bestFit="1" customWidth="1"/>
    <col min="9740" max="9740" width="7.28515625" style="165" bestFit="1" customWidth="1"/>
    <col min="9741" max="9741" width="5.140625" style="165" bestFit="1" customWidth="1"/>
    <col min="9742" max="9742" width="14.28515625" style="165" bestFit="1" customWidth="1"/>
    <col min="9743" max="9743" width="11.5703125" style="165" bestFit="1" customWidth="1"/>
    <col min="9744" max="9744" width="18" style="165" bestFit="1" customWidth="1"/>
    <col min="9745" max="9745" width="15.42578125" style="165" bestFit="1" customWidth="1"/>
    <col min="9746" max="9985" width="9" style="165"/>
    <col min="9986" max="9986" width="23.5703125" style="165" customWidth="1"/>
    <col min="9987" max="9987" width="11.140625" style="165" bestFit="1" customWidth="1"/>
    <col min="9988" max="9989" width="0" style="165" hidden="1" customWidth="1"/>
    <col min="9990" max="9990" width="15.42578125" style="165" bestFit="1" customWidth="1"/>
    <col min="9991" max="9991" width="14.28515625" style="165" bestFit="1" customWidth="1"/>
    <col min="9992" max="9992" width="15.42578125" style="165" bestFit="1" customWidth="1"/>
    <col min="9993" max="9993" width="30.140625" style="165" bestFit="1" customWidth="1"/>
    <col min="9994" max="9994" width="15.42578125" style="165" bestFit="1" customWidth="1"/>
    <col min="9995" max="9995" width="5.140625" style="165" bestFit="1" customWidth="1"/>
    <col min="9996" max="9996" width="7.28515625" style="165" bestFit="1" customWidth="1"/>
    <col min="9997" max="9997" width="5.140625" style="165" bestFit="1" customWidth="1"/>
    <col min="9998" max="9998" width="14.28515625" style="165" bestFit="1" customWidth="1"/>
    <col min="9999" max="9999" width="11.5703125" style="165" bestFit="1" customWidth="1"/>
    <col min="10000" max="10000" width="18" style="165" bestFit="1" customWidth="1"/>
    <col min="10001" max="10001" width="15.42578125" style="165" bestFit="1" customWidth="1"/>
    <col min="10002" max="10241" width="9" style="165"/>
    <col min="10242" max="10242" width="23.5703125" style="165" customWidth="1"/>
    <col min="10243" max="10243" width="11.140625" style="165" bestFit="1" customWidth="1"/>
    <col min="10244" max="10245" width="0" style="165" hidden="1" customWidth="1"/>
    <col min="10246" max="10246" width="15.42578125" style="165" bestFit="1" customWidth="1"/>
    <col min="10247" max="10247" width="14.28515625" style="165" bestFit="1" customWidth="1"/>
    <col min="10248" max="10248" width="15.42578125" style="165" bestFit="1" customWidth="1"/>
    <col min="10249" max="10249" width="30.140625" style="165" bestFit="1" customWidth="1"/>
    <col min="10250" max="10250" width="15.42578125" style="165" bestFit="1" customWidth="1"/>
    <col min="10251" max="10251" width="5.140625" style="165" bestFit="1" customWidth="1"/>
    <col min="10252" max="10252" width="7.28515625" style="165" bestFit="1" customWidth="1"/>
    <col min="10253" max="10253" width="5.140625" style="165" bestFit="1" customWidth="1"/>
    <col min="10254" max="10254" width="14.28515625" style="165" bestFit="1" customWidth="1"/>
    <col min="10255" max="10255" width="11.5703125" style="165" bestFit="1" customWidth="1"/>
    <col min="10256" max="10256" width="18" style="165" bestFit="1" customWidth="1"/>
    <col min="10257" max="10257" width="15.42578125" style="165" bestFit="1" customWidth="1"/>
    <col min="10258" max="10497" width="9" style="165"/>
    <col min="10498" max="10498" width="23.5703125" style="165" customWidth="1"/>
    <col min="10499" max="10499" width="11.140625" style="165" bestFit="1" customWidth="1"/>
    <col min="10500" max="10501" width="0" style="165" hidden="1" customWidth="1"/>
    <col min="10502" max="10502" width="15.42578125" style="165" bestFit="1" customWidth="1"/>
    <col min="10503" max="10503" width="14.28515625" style="165" bestFit="1" customWidth="1"/>
    <col min="10504" max="10504" width="15.42578125" style="165" bestFit="1" customWidth="1"/>
    <col min="10505" max="10505" width="30.140625" style="165" bestFit="1" customWidth="1"/>
    <col min="10506" max="10506" width="15.42578125" style="165" bestFit="1" customWidth="1"/>
    <col min="10507" max="10507" width="5.140625" style="165" bestFit="1" customWidth="1"/>
    <col min="10508" max="10508" width="7.28515625" style="165" bestFit="1" customWidth="1"/>
    <col min="10509" max="10509" width="5.140625" style="165" bestFit="1" customWidth="1"/>
    <col min="10510" max="10510" width="14.28515625" style="165" bestFit="1" customWidth="1"/>
    <col min="10511" max="10511" width="11.5703125" style="165" bestFit="1" customWidth="1"/>
    <col min="10512" max="10512" width="18" style="165" bestFit="1" customWidth="1"/>
    <col min="10513" max="10513" width="15.42578125" style="165" bestFit="1" customWidth="1"/>
    <col min="10514" max="10753" width="9" style="165"/>
    <col min="10754" max="10754" width="23.5703125" style="165" customWidth="1"/>
    <col min="10755" max="10755" width="11.140625" style="165" bestFit="1" customWidth="1"/>
    <col min="10756" max="10757" width="0" style="165" hidden="1" customWidth="1"/>
    <col min="10758" max="10758" width="15.42578125" style="165" bestFit="1" customWidth="1"/>
    <col min="10759" max="10759" width="14.28515625" style="165" bestFit="1" customWidth="1"/>
    <col min="10760" max="10760" width="15.42578125" style="165" bestFit="1" customWidth="1"/>
    <col min="10761" max="10761" width="30.140625" style="165" bestFit="1" customWidth="1"/>
    <col min="10762" max="10762" width="15.42578125" style="165" bestFit="1" customWidth="1"/>
    <col min="10763" max="10763" width="5.140625" style="165" bestFit="1" customWidth="1"/>
    <col min="10764" max="10764" width="7.28515625" style="165" bestFit="1" customWidth="1"/>
    <col min="10765" max="10765" width="5.140625" style="165" bestFit="1" customWidth="1"/>
    <col min="10766" max="10766" width="14.28515625" style="165" bestFit="1" customWidth="1"/>
    <col min="10767" max="10767" width="11.5703125" style="165" bestFit="1" customWidth="1"/>
    <col min="10768" max="10768" width="18" style="165" bestFit="1" customWidth="1"/>
    <col min="10769" max="10769" width="15.42578125" style="165" bestFit="1" customWidth="1"/>
    <col min="10770" max="11009" width="9" style="165"/>
    <col min="11010" max="11010" width="23.5703125" style="165" customWidth="1"/>
    <col min="11011" max="11011" width="11.140625" style="165" bestFit="1" customWidth="1"/>
    <col min="11012" max="11013" width="0" style="165" hidden="1" customWidth="1"/>
    <col min="11014" max="11014" width="15.42578125" style="165" bestFit="1" customWidth="1"/>
    <col min="11015" max="11015" width="14.28515625" style="165" bestFit="1" customWidth="1"/>
    <col min="11016" max="11016" width="15.42578125" style="165" bestFit="1" customWidth="1"/>
    <col min="11017" max="11017" width="30.140625" style="165" bestFit="1" customWidth="1"/>
    <col min="11018" max="11018" width="15.42578125" style="165" bestFit="1" customWidth="1"/>
    <col min="11019" max="11019" width="5.140625" style="165" bestFit="1" customWidth="1"/>
    <col min="11020" max="11020" width="7.28515625" style="165" bestFit="1" customWidth="1"/>
    <col min="11021" max="11021" width="5.140625" style="165" bestFit="1" customWidth="1"/>
    <col min="11022" max="11022" width="14.28515625" style="165" bestFit="1" customWidth="1"/>
    <col min="11023" max="11023" width="11.5703125" style="165" bestFit="1" customWidth="1"/>
    <col min="11024" max="11024" width="18" style="165" bestFit="1" customWidth="1"/>
    <col min="11025" max="11025" width="15.42578125" style="165" bestFit="1" customWidth="1"/>
    <col min="11026" max="11265" width="9" style="165"/>
    <col min="11266" max="11266" width="23.5703125" style="165" customWidth="1"/>
    <col min="11267" max="11267" width="11.140625" style="165" bestFit="1" customWidth="1"/>
    <col min="11268" max="11269" width="0" style="165" hidden="1" customWidth="1"/>
    <col min="11270" max="11270" width="15.42578125" style="165" bestFit="1" customWidth="1"/>
    <col min="11271" max="11271" width="14.28515625" style="165" bestFit="1" customWidth="1"/>
    <col min="11272" max="11272" width="15.42578125" style="165" bestFit="1" customWidth="1"/>
    <col min="11273" max="11273" width="30.140625" style="165" bestFit="1" customWidth="1"/>
    <col min="11274" max="11274" width="15.42578125" style="165" bestFit="1" customWidth="1"/>
    <col min="11275" max="11275" width="5.140625" style="165" bestFit="1" customWidth="1"/>
    <col min="11276" max="11276" width="7.28515625" style="165" bestFit="1" customWidth="1"/>
    <col min="11277" max="11277" width="5.140625" style="165" bestFit="1" customWidth="1"/>
    <col min="11278" max="11278" width="14.28515625" style="165" bestFit="1" customWidth="1"/>
    <col min="11279" max="11279" width="11.5703125" style="165" bestFit="1" customWidth="1"/>
    <col min="11280" max="11280" width="18" style="165" bestFit="1" customWidth="1"/>
    <col min="11281" max="11281" width="15.42578125" style="165" bestFit="1" customWidth="1"/>
    <col min="11282" max="11521" width="9" style="165"/>
    <col min="11522" max="11522" width="23.5703125" style="165" customWidth="1"/>
    <col min="11523" max="11523" width="11.140625" style="165" bestFit="1" customWidth="1"/>
    <col min="11524" max="11525" width="0" style="165" hidden="1" customWidth="1"/>
    <col min="11526" max="11526" width="15.42578125" style="165" bestFit="1" customWidth="1"/>
    <col min="11527" max="11527" width="14.28515625" style="165" bestFit="1" customWidth="1"/>
    <col min="11528" max="11528" width="15.42578125" style="165" bestFit="1" customWidth="1"/>
    <col min="11529" max="11529" width="30.140625" style="165" bestFit="1" customWidth="1"/>
    <col min="11530" max="11530" width="15.42578125" style="165" bestFit="1" customWidth="1"/>
    <col min="11531" max="11531" width="5.140625" style="165" bestFit="1" customWidth="1"/>
    <col min="11532" max="11532" width="7.28515625" style="165" bestFit="1" customWidth="1"/>
    <col min="11533" max="11533" width="5.140625" style="165" bestFit="1" customWidth="1"/>
    <col min="11534" max="11534" width="14.28515625" style="165" bestFit="1" customWidth="1"/>
    <col min="11535" max="11535" width="11.5703125" style="165" bestFit="1" customWidth="1"/>
    <col min="11536" max="11536" width="18" style="165" bestFit="1" customWidth="1"/>
    <col min="11537" max="11537" width="15.42578125" style="165" bestFit="1" customWidth="1"/>
    <col min="11538" max="11777" width="9" style="165"/>
    <col min="11778" max="11778" width="23.5703125" style="165" customWidth="1"/>
    <col min="11779" max="11779" width="11.140625" style="165" bestFit="1" customWidth="1"/>
    <col min="11780" max="11781" width="0" style="165" hidden="1" customWidth="1"/>
    <col min="11782" max="11782" width="15.42578125" style="165" bestFit="1" customWidth="1"/>
    <col min="11783" max="11783" width="14.28515625" style="165" bestFit="1" customWidth="1"/>
    <col min="11784" max="11784" width="15.42578125" style="165" bestFit="1" customWidth="1"/>
    <col min="11785" max="11785" width="30.140625" style="165" bestFit="1" customWidth="1"/>
    <col min="11786" max="11786" width="15.42578125" style="165" bestFit="1" customWidth="1"/>
    <col min="11787" max="11787" width="5.140625" style="165" bestFit="1" customWidth="1"/>
    <col min="11788" max="11788" width="7.28515625" style="165" bestFit="1" customWidth="1"/>
    <col min="11789" max="11789" width="5.140625" style="165" bestFit="1" customWidth="1"/>
    <col min="11790" max="11790" width="14.28515625" style="165" bestFit="1" customWidth="1"/>
    <col min="11791" max="11791" width="11.5703125" style="165" bestFit="1" customWidth="1"/>
    <col min="11792" max="11792" width="18" style="165" bestFit="1" customWidth="1"/>
    <col min="11793" max="11793" width="15.42578125" style="165" bestFit="1" customWidth="1"/>
    <col min="11794" max="12033" width="9" style="165"/>
    <col min="12034" max="12034" width="23.5703125" style="165" customWidth="1"/>
    <col min="12035" max="12035" width="11.140625" style="165" bestFit="1" customWidth="1"/>
    <col min="12036" max="12037" width="0" style="165" hidden="1" customWidth="1"/>
    <col min="12038" max="12038" width="15.42578125" style="165" bestFit="1" customWidth="1"/>
    <col min="12039" max="12039" width="14.28515625" style="165" bestFit="1" customWidth="1"/>
    <col min="12040" max="12040" width="15.42578125" style="165" bestFit="1" customWidth="1"/>
    <col min="12041" max="12041" width="30.140625" style="165" bestFit="1" customWidth="1"/>
    <col min="12042" max="12042" width="15.42578125" style="165" bestFit="1" customWidth="1"/>
    <col min="12043" max="12043" width="5.140625" style="165" bestFit="1" customWidth="1"/>
    <col min="12044" max="12044" width="7.28515625" style="165" bestFit="1" customWidth="1"/>
    <col min="12045" max="12045" width="5.140625" style="165" bestFit="1" customWidth="1"/>
    <col min="12046" max="12046" width="14.28515625" style="165" bestFit="1" customWidth="1"/>
    <col min="12047" max="12047" width="11.5703125" style="165" bestFit="1" customWidth="1"/>
    <col min="12048" max="12048" width="18" style="165" bestFit="1" customWidth="1"/>
    <col min="12049" max="12049" width="15.42578125" style="165" bestFit="1" customWidth="1"/>
    <col min="12050" max="12289" width="9" style="165"/>
    <col min="12290" max="12290" width="23.5703125" style="165" customWidth="1"/>
    <col min="12291" max="12291" width="11.140625" style="165" bestFit="1" customWidth="1"/>
    <col min="12292" max="12293" width="0" style="165" hidden="1" customWidth="1"/>
    <col min="12294" max="12294" width="15.42578125" style="165" bestFit="1" customWidth="1"/>
    <col min="12295" max="12295" width="14.28515625" style="165" bestFit="1" customWidth="1"/>
    <col min="12296" max="12296" width="15.42578125" style="165" bestFit="1" customWidth="1"/>
    <col min="12297" max="12297" width="30.140625" style="165" bestFit="1" customWidth="1"/>
    <col min="12298" max="12298" width="15.42578125" style="165" bestFit="1" customWidth="1"/>
    <col min="12299" max="12299" width="5.140625" style="165" bestFit="1" customWidth="1"/>
    <col min="12300" max="12300" width="7.28515625" style="165" bestFit="1" customWidth="1"/>
    <col min="12301" max="12301" width="5.140625" style="165" bestFit="1" customWidth="1"/>
    <col min="12302" max="12302" width="14.28515625" style="165" bestFit="1" customWidth="1"/>
    <col min="12303" max="12303" width="11.5703125" style="165" bestFit="1" customWidth="1"/>
    <col min="12304" max="12304" width="18" style="165" bestFit="1" customWidth="1"/>
    <col min="12305" max="12305" width="15.42578125" style="165" bestFit="1" customWidth="1"/>
    <col min="12306" max="12545" width="9" style="165"/>
    <col min="12546" max="12546" width="23.5703125" style="165" customWidth="1"/>
    <col min="12547" max="12547" width="11.140625" style="165" bestFit="1" customWidth="1"/>
    <col min="12548" max="12549" width="0" style="165" hidden="1" customWidth="1"/>
    <col min="12550" max="12550" width="15.42578125" style="165" bestFit="1" customWidth="1"/>
    <col min="12551" max="12551" width="14.28515625" style="165" bestFit="1" customWidth="1"/>
    <col min="12552" max="12552" width="15.42578125" style="165" bestFit="1" customWidth="1"/>
    <col min="12553" max="12553" width="30.140625" style="165" bestFit="1" customWidth="1"/>
    <col min="12554" max="12554" width="15.42578125" style="165" bestFit="1" customWidth="1"/>
    <col min="12555" max="12555" width="5.140625" style="165" bestFit="1" customWidth="1"/>
    <col min="12556" max="12556" width="7.28515625" style="165" bestFit="1" customWidth="1"/>
    <col min="12557" max="12557" width="5.140625" style="165" bestFit="1" customWidth="1"/>
    <col min="12558" max="12558" width="14.28515625" style="165" bestFit="1" customWidth="1"/>
    <col min="12559" max="12559" width="11.5703125" style="165" bestFit="1" customWidth="1"/>
    <col min="12560" max="12560" width="18" style="165" bestFit="1" customWidth="1"/>
    <col min="12561" max="12561" width="15.42578125" style="165" bestFit="1" customWidth="1"/>
    <col min="12562" max="12801" width="9" style="165"/>
    <col min="12802" max="12802" width="23.5703125" style="165" customWidth="1"/>
    <col min="12803" max="12803" width="11.140625" style="165" bestFit="1" customWidth="1"/>
    <col min="12804" max="12805" width="0" style="165" hidden="1" customWidth="1"/>
    <col min="12806" max="12806" width="15.42578125" style="165" bestFit="1" customWidth="1"/>
    <col min="12807" max="12807" width="14.28515625" style="165" bestFit="1" customWidth="1"/>
    <col min="12808" max="12808" width="15.42578125" style="165" bestFit="1" customWidth="1"/>
    <col min="12809" max="12809" width="30.140625" style="165" bestFit="1" customWidth="1"/>
    <col min="12810" max="12810" width="15.42578125" style="165" bestFit="1" customWidth="1"/>
    <col min="12811" max="12811" width="5.140625" style="165" bestFit="1" customWidth="1"/>
    <col min="12812" max="12812" width="7.28515625" style="165" bestFit="1" customWidth="1"/>
    <col min="12813" max="12813" width="5.140625" style="165" bestFit="1" customWidth="1"/>
    <col min="12814" max="12814" width="14.28515625" style="165" bestFit="1" customWidth="1"/>
    <col min="12815" max="12815" width="11.5703125" style="165" bestFit="1" customWidth="1"/>
    <col min="12816" max="12816" width="18" style="165" bestFit="1" customWidth="1"/>
    <col min="12817" max="12817" width="15.42578125" style="165" bestFit="1" customWidth="1"/>
    <col min="12818" max="13057" width="9" style="165"/>
    <col min="13058" max="13058" width="23.5703125" style="165" customWidth="1"/>
    <col min="13059" max="13059" width="11.140625" style="165" bestFit="1" customWidth="1"/>
    <col min="13060" max="13061" width="0" style="165" hidden="1" customWidth="1"/>
    <col min="13062" max="13062" width="15.42578125" style="165" bestFit="1" customWidth="1"/>
    <col min="13063" max="13063" width="14.28515625" style="165" bestFit="1" customWidth="1"/>
    <col min="13064" max="13064" width="15.42578125" style="165" bestFit="1" customWidth="1"/>
    <col min="13065" max="13065" width="30.140625" style="165" bestFit="1" customWidth="1"/>
    <col min="13066" max="13066" width="15.42578125" style="165" bestFit="1" customWidth="1"/>
    <col min="13067" max="13067" width="5.140625" style="165" bestFit="1" customWidth="1"/>
    <col min="13068" max="13068" width="7.28515625" style="165" bestFit="1" customWidth="1"/>
    <col min="13069" max="13069" width="5.140625" style="165" bestFit="1" customWidth="1"/>
    <col min="13070" max="13070" width="14.28515625" style="165" bestFit="1" customWidth="1"/>
    <col min="13071" max="13071" width="11.5703125" style="165" bestFit="1" customWidth="1"/>
    <col min="13072" max="13072" width="18" style="165" bestFit="1" customWidth="1"/>
    <col min="13073" max="13073" width="15.42578125" style="165" bestFit="1" customWidth="1"/>
    <col min="13074" max="13313" width="9" style="165"/>
    <col min="13314" max="13314" width="23.5703125" style="165" customWidth="1"/>
    <col min="13315" max="13315" width="11.140625" style="165" bestFit="1" customWidth="1"/>
    <col min="13316" max="13317" width="0" style="165" hidden="1" customWidth="1"/>
    <col min="13318" max="13318" width="15.42578125" style="165" bestFit="1" customWidth="1"/>
    <col min="13319" max="13319" width="14.28515625" style="165" bestFit="1" customWidth="1"/>
    <col min="13320" max="13320" width="15.42578125" style="165" bestFit="1" customWidth="1"/>
    <col min="13321" max="13321" width="30.140625" style="165" bestFit="1" customWidth="1"/>
    <col min="13322" max="13322" width="15.42578125" style="165" bestFit="1" customWidth="1"/>
    <col min="13323" max="13323" width="5.140625" style="165" bestFit="1" customWidth="1"/>
    <col min="13324" max="13324" width="7.28515625" style="165" bestFit="1" customWidth="1"/>
    <col min="13325" max="13325" width="5.140625" style="165" bestFit="1" customWidth="1"/>
    <col min="13326" max="13326" width="14.28515625" style="165" bestFit="1" customWidth="1"/>
    <col min="13327" max="13327" width="11.5703125" style="165" bestFit="1" customWidth="1"/>
    <col min="13328" max="13328" width="18" style="165" bestFit="1" customWidth="1"/>
    <col min="13329" max="13329" width="15.42578125" style="165" bestFit="1" customWidth="1"/>
    <col min="13330" max="13569" width="9" style="165"/>
    <col min="13570" max="13570" width="23.5703125" style="165" customWidth="1"/>
    <col min="13571" max="13571" width="11.140625" style="165" bestFit="1" customWidth="1"/>
    <col min="13572" max="13573" width="0" style="165" hidden="1" customWidth="1"/>
    <col min="13574" max="13574" width="15.42578125" style="165" bestFit="1" customWidth="1"/>
    <col min="13575" max="13575" width="14.28515625" style="165" bestFit="1" customWidth="1"/>
    <col min="13576" max="13576" width="15.42578125" style="165" bestFit="1" customWidth="1"/>
    <col min="13577" max="13577" width="30.140625" style="165" bestFit="1" customWidth="1"/>
    <col min="13578" max="13578" width="15.42578125" style="165" bestFit="1" customWidth="1"/>
    <col min="13579" max="13579" width="5.140625" style="165" bestFit="1" customWidth="1"/>
    <col min="13580" max="13580" width="7.28515625" style="165" bestFit="1" customWidth="1"/>
    <col min="13581" max="13581" width="5.140625" style="165" bestFit="1" customWidth="1"/>
    <col min="13582" max="13582" width="14.28515625" style="165" bestFit="1" customWidth="1"/>
    <col min="13583" max="13583" width="11.5703125" style="165" bestFit="1" customWidth="1"/>
    <col min="13584" max="13584" width="18" style="165" bestFit="1" customWidth="1"/>
    <col min="13585" max="13585" width="15.42578125" style="165" bestFit="1" customWidth="1"/>
    <col min="13586" max="13825" width="9" style="165"/>
    <col min="13826" max="13826" width="23.5703125" style="165" customWidth="1"/>
    <col min="13827" max="13827" width="11.140625" style="165" bestFit="1" customWidth="1"/>
    <col min="13828" max="13829" width="0" style="165" hidden="1" customWidth="1"/>
    <col min="13830" max="13830" width="15.42578125" style="165" bestFit="1" customWidth="1"/>
    <col min="13831" max="13831" width="14.28515625" style="165" bestFit="1" customWidth="1"/>
    <col min="13832" max="13832" width="15.42578125" style="165" bestFit="1" customWidth="1"/>
    <col min="13833" max="13833" width="30.140625" style="165" bestFit="1" customWidth="1"/>
    <col min="13834" max="13834" width="15.42578125" style="165" bestFit="1" customWidth="1"/>
    <col min="13835" max="13835" width="5.140625" style="165" bestFit="1" customWidth="1"/>
    <col min="13836" max="13836" width="7.28515625" style="165" bestFit="1" customWidth="1"/>
    <col min="13837" max="13837" width="5.140625" style="165" bestFit="1" customWidth="1"/>
    <col min="13838" max="13838" width="14.28515625" style="165" bestFit="1" customWidth="1"/>
    <col min="13839" max="13839" width="11.5703125" style="165" bestFit="1" customWidth="1"/>
    <col min="13840" max="13840" width="18" style="165" bestFit="1" customWidth="1"/>
    <col min="13841" max="13841" width="15.42578125" style="165" bestFit="1" customWidth="1"/>
    <col min="13842" max="14081" width="9" style="165"/>
    <col min="14082" max="14082" width="23.5703125" style="165" customWidth="1"/>
    <col min="14083" max="14083" width="11.140625" style="165" bestFit="1" customWidth="1"/>
    <col min="14084" max="14085" width="0" style="165" hidden="1" customWidth="1"/>
    <col min="14086" max="14086" width="15.42578125" style="165" bestFit="1" customWidth="1"/>
    <col min="14087" max="14087" width="14.28515625" style="165" bestFit="1" customWidth="1"/>
    <col min="14088" max="14088" width="15.42578125" style="165" bestFit="1" customWidth="1"/>
    <col min="14089" max="14089" width="30.140625" style="165" bestFit="1" customWidth="1"/>
    <col min="14090" max="14090" width="15.42578125" style="165" bestFit="1" customWidth="1"/>
    <col min="14091" max="14091" width="5.140625" style="165" bestFit="1" customWidth="1"/>
    <col min="14092" max="14092" width="7.28515625" style="165" bestFit="1" customWidth="1"/>
    <col min="14093" max="14093" width="5.140625" style="165" bestFit="1" customWidth="1"/>
    <col min="14094" max="14094" width="14.28515625" style="165" bestFit="1" customWidth="1"/>
    <col min="14095" max="14095" width="11.5703125" style="165" bestFit="1" customWidth="1"/>
    <col min="14096" max="14096" width="18" style="165" bestFit="1" customWidth="1"/>
    <col min="14097" max="14097" width="15.42578125" style="165" bestFit="1" customWidth="1"/>
    <col min="14098" max="14337" width="9" style="165"/>
    <col min="14338" max="14338" width="23.5703125" style="165" customWidth="1"/>
    <col min="14339" max="14339" width="11.140625" style="165" bestFit="1" customWidth="1"/>
    <col min="14340" max="14341" width="0" style="165" hidden="1" customWidth="1"/>
    <col min="14342" max="14342" width="15.42578125" style="165" bestFit="1" customWidth="1"/>
    <col min="14343" max="14343" width="14.28515625" style="165" bestFit="1" customWidth="1"/>
    <col min="14344" max="14344" width="15.42578125" style="165" bestFit="1" customWidth="1"/>
    <col min="14345" max="14345" width="30.140625" style="165" bestFit="1" customWidth="1"/>
    <col min="14346" max="14346" width="15.42578125" style="165" bestFit="1" customWidth="1"/>
    <col min="14347" max="14347" width="5.140625" style="165" bestFit="1" customWidth="1"/>
    <col min="14348" max="14348" width="7.28515625" style="165" bestFit="1" customWidth="1"/>
    <col min="14349" max="14349" width="5.140625" style="165" bestFit="1" customWidth="1"/>
    <col min="14350" max="14350" width="14.28515625" style="165" bestFit="1" customWidth="1"/>
    <col min="14351" max="14351" width="11.5703125" style="165" bestFit="1" customWidth="1"/>
    <col min="14352" max="14352" width="18" style="165" bestFit="1" customWidth="1"/>
    <col min="14353" max="14353" width="15.42578125" style="165" bestFit="1" customWidth="1"/>
    <col min="14354" max="14593" width="9" style="165"/>
    <col min="14594" max="14594" width="23.5703125" style="165" customWidth="1"/>
    <col min="14595" max="14595" width="11.140625" style="165" bestFit="1" customWidth="1"/>
    <col min="14596" max="14597" width="0" style="165" hidden="1" customWidth="1"/>
    <col min="14598" max="14598" width="15.42578125" style="165" bestFit="1" customWidth="1"/>
    <col min="14599" max="14599" width="14.28515625" style="165" bestFit="1" customWidth="1"/>
    <col min="14600" max="14600" width="15.42578125" style="165" bestFit="1" customWidth="1"/>
    <col min="14601" max="14601" width="30.140625" style="165" bestFit="1" customWidth="1"/>
    <col min="14602" max="14602" width="15.42578125" style="165" bestFit="1" customWidth="1"/>
    <col min="14603" max="14603" width="5.140625" style="165" bestFit="1" customWidth="1"/>
    <col min="14604" max="14604" width="7.28515625" style="165" bestFit="1" customWidth="1"/>
    <col min="14605" max="14605" width="5.140625" style="165" bestFit="1" customWidth="1"/>
    <col min="14606" max="14606" width="14.28515625" style="165" bestFit="1" customWidth="1"/>
    <col min="14607" max="14607" width="11.5703125" style="165" bestFit="1" customWidth="1"/>
    <col min="14608" max="14608" width="18" style="165" bestFit="1" customWidth="1"/>
    <col min="14609" max="14609" width="15.42578125" style="165" bestFit="1" customWidth="1"/>
    <col min="14610" max="14849" width="9" style="165"/>
    <col min="14850" max="14850" width="23.5703125" style="165" customWidth="1"/>
    <col min="14851" max="14851" width="11.140625" style="165" bestFit="1" customWidth="1"/>
    <col min="14852" max="14853" width="0" style="165" hidden="1" customWidth="1"/>
    <col min="14854" max="14854" width="15.42578125" style="165" bestFit="1" customWidth="1"/>
    <col min="14855" max="14855" width="14.28515625" style="165" bestFit="1" customWidth="1"/>
    <col min="14856" max="14856" width="15.42578125" style="165" bestFit="1" customWidth="1"/>
    <col min="14857" max="14857" width="30.140625" style="165" bestFit="1" customWidth="1"/>
    <col min="14858" max="14858" width="15.42578125" style="165" bestFit="1" customWidth="1"/>
    <col min="14859" max="14859" width="5.140625" style="165" bestFit="1" customWidth="1"/>
    <col min="14860" max="14860" width="7.28515625" style="165" bestFit="1" customWidth="1"/>
    <col min="14861" max="14861" width="5.140625" style="165" bestFit="1" customWidth="1"/>
    <col min="14862" max="14862" width="14.28515625" style="165" bestFit="1" customWidth="1"/>
    <col min="14863" max="14863" width="11.5703125" style="165" bestFit="1" customWidth="1"/>
    <col min="14864" max="14864" width="18" style="165" bestFit="1" customWidth="1"/>
    <col min="14865" max="14865" width="15.42578125" style="165" bestFit="1" customWidth="1"/>
    <col min="14866" max="15105" width="9" style="165"/>
    <col min="15106" max="15106" width="23.5703125" style="165" customWidth="1"/>
    <col min="15107" max="15107" width="11.140625" style="165" bestFit="1" customWidth="1"/>
    <col min="15108" max="15109" width="0" style="165" hidden="1" customWidth="1"/>
    <col min="15110" max="15110" width="15.42578125" style="165" bestFit="1" customWidth="1"/>
    <col min="15111" max="15111" width="14.28515625" style="165" bestFit="1" customWidth="1"/>
    <col min="15112" max="15112" width="15.42578125" style="165" bestFit="1" customWidth="1"/>
    <col min="15113" max="15113" width="30.140625" style="165" bestFit="1" customWidth="1"/>
    <col min="15114" max="15114" width="15.42578125" style="165" bestFit="1" customWidth="1"/>
    <col min="15115" max="15115" width="5.140625" style="165" bestFit="1" customWidth="1"/>
    <col min="15116" max="15116" width="7.28515625" style="165" bestFit="1" customWidth="1"/>
    <col min="15117" max="15117" width="5.140625" style="165" bestFit="1" customWidth="1"/>
    <col min="15118" max="15118" width="14.28515625" style="165" bestFit="1" customWidth="1"/>
    <col min="15119" max="15119" width="11.5703125" style="165" bestFit="1" customWidth="1"/>
    <col min="15120" max="15120" width="18" style="165" bestFit="1" customWidth="1"/>
    <col min="15121" max="15121" width="15.42578125" style="165" bestFit="1" customWidth="1"/>
    <col min="15122" max="15361" width="9" style="165"/>
    <col min="15362" max="15362" width="23.5703125" style="165" customWidth="1"/>
    <col min="15363" max="15363" width="11.140625" style="165" bestFit="1" customWidth="1"/>
    <col min="15364" max="15365" width="0" style="165" hidden="1" customWidth="1"/>
    <col min="15366" max="15366" width="15.42578125" style="165" bestFit="1" customWidth="1"/>
    <col min="15367" max="15367" width="14.28515625" style="165" bestFit="1" customWidth="1"/>
    <col min="15368" max="15368" width="15.42578125" style="165" bestFit="1" customWidth="1"/>
    <col min="15369" max="15369" width="30.140625" style="165" bestFit="1" customWidth="1"/>
    <col min="15370" max="15370" width="15.42578125" style="165" bestFit="1" customWidth="1"/>
    <col min="15371" max="15371" width="5.140625" style="165" bestFit="1" customWidth="1"/>
    <col min="15372" max="15372" width="7.28515625" style="165" bestFit="1" customWidth="1"/>
    <col min="15373" max="15373" width="5.140625" style="165" bestFit="1" customWidth="1"/>
    <col min="15374" max="15374" width="14.28515625" style="165" bestFit="1" customWidth="1"/>
    <col min="15375" max="15375" width="11.5703125" style="165" bestFit="1" customWidth="1"/>
    <col min="15376" max="15376" width="18" style="165" bestFit="1" customWidth="1"/>
    <col min="15377" max="15377" width="15.42578125" style="165" bestFit="1" customWidth="1"/>
    <col min="15378" max="15617" width="9" style="165"/>
    <col min="15618" max="15618" width="23.5703125" style="165" customWidth="1"/>
    <col min="15619" max="15619" width="11.140625" style="165" bestFit="1" customWidth="1"/>
    <col min="15620" max="15621" width="0" style="165" hidden="1" customWidth="1"/>
    <col min="15622" max="15622" width="15.42578125" style="165" bestFit="1" customWidth="1"/>
    <col min="15623" max="15623" width="14.28515625" style="165" bestFit="1" customWidth="1"/>
    <col min="15624" max="15624" width="15.42578125" style="165" bestFit="1" customWidth="1"/>
    <col min="15625" max="15625" width="30.140625" style="165" bestFit="1" customWidth="1"/>
    <col min="15626" max="15626" width="15.42578125" style="165" bestFit="1" customWidth="1"/>
    <col min="15627" max="15627" width="5.140625" style="165" bestFit="1" customWidth="1"/>
    <col min="15628" max="15628" width="7.28515625" style="165" bestFit="1" customWidth="1"/>
    <col min="15629" max="15629" width="5.140625" style="165" bestFit="1" customWidth="1"/>
    <col min="15630" max="15630" width="14.28515625" style="165" bestFit="1" customWidth="1"/>
    <col min="15631" max="15631" width="11.5703125" style="165" bestFit="1" customWidth="1"/>
    <col min="15632" max="15632" width="18" style="165" bestFit="1" customWidth="1"/>
    <col min="15633" max="15633" width="15.42578125" style="165" bestFit="1" customWidth="1"/>
    <col min="15634" max="15873" width="9" style="165"/>
    <col min="15874" max="15874" width="23.5703125" style="165" customWidth="1"/>
    <col min="15875" max="15875" width="11.140625" style="165" bestFit="1" customWidth="1"/>
    <col min="15876" max="15877" width="0" style="165" hidden="1" customWidth="1"/>
    <col min="15878" max="15878" width="15.42578125" style="165" bestFit="1" customWidth="1"/>
    <col min="15879" max="15879" width="14.28515625" style="165" bestFit="1" customWidth="1"/>
    <col min="15880" max="15880" width="15.42578125" style="165" bestFit="1" customWidth="1"/>
    <col min="15881" max="15881" width="30.140625" style="165" bestFit="1" customWidth="1"/>
    <col min="15882" max="15882" width="15.42578125" style="165" bestFit="1" customWidth="1"/>
    <col min="15883" max="15883" width="5.140625" style="165" bestFit="1" customWidth="1"/>
    <col min="15884" max="15884" width="7.28515625" style="165" bestFit="1" customWidth="1"/>
    <col min="15885" max="15885" width="5.140625" style="165" bestFit="1" customWidth="1"/>
    <col min="15886" max="15886" width="14.28515625" style="165" bestFit="1" customWidth="1"/>
    <col min="15887" max="15887" width="11.5703125" style="165" bestFit="1" customWidth="1"/>
    <col min="15888" max="15888" width="18" style="165" bestFit="1" customWidth="1"/>
    <col min="15889" max="15889" width="15.42578125" style="165" bestFit="1" customWidth="1"/>
    <col min="15890" max="16129" width="9" style="165"/>
    <col min="16130" max="16130" width="23.5703125" style="165" customWidth="1"/>
    <col min="16131" max="16131" width="11.140625" style="165" bestFit="1" customWidth="1"/>
    <col min="16132" max="16133" width="0" style="165" hidden="1" customWidth="1"/>
    <col min="16134" max="16134" width="15.42578125" style="165" bestFit="1" customWidth="1"/>
    <col min="16135" max="16135" width="14.28515625" style="165" bestFit="1" customWidth="1"/>
    <col min="16136" max="16136" width="15.42578125" style="165" bestFit="1" customWidth="1"/>
    <col min="16137" max="16137" width="30.140625" style="165" bestFit="1" customWidth="1"/>
    <col min="16138" max="16138" width="15.42578125" style="165" bestFit="1" customWidth="1"/>
    <col min="16139" max="16139" width="5.140625" style="165" bestFit="1" customWidth="1"/>
    <col min="16140" max="16140" width="7.28515625" style="165" bestFit="1" customWidth="1"/>
    <col min="16141" max="16141" width="5.140625" style="165" bestFit="1" customWidth="1"/>
    <col min="16142" max="16142" width="14.28515625" style="165" bestFit="1" customWidth="1"/>
    <col min="16143" max="16143" width="11.5703125" style="165" bestFit="1" customWidth="1"/>
    <col min="16144" max="16144" width="18" style="165" bestFit="1" customWidth="1"/>
    <col min="16145" max="16145" width="15.42578125" style="165" bestFit="1" customWidth="1"/>
    <col min="16146" max="16384" width="9" style="165"/>
  </cols>
  <sheetData>
    <row r="1" spans="1:25" ht="24" customHeight="1">
      <c r="I1" s="89" t="s">
        <v>67</v>
      </c>
    </row>
    <row r="2" spans="1:25" ht="24" customHeight="1">
      <c r="I2" s="90" t="s">
        <v>1301</v>
      </c>
    </row>
    <row r="3" spans="1:25" ht="24" customHeight="1">
      <c r="A3" s="91" t="s">
        <v>1951</v>
      </c>
      <c r="B3" s="90"/>
      <c r="I3" s="92" t="s">
        <v>68</v>
      </c>
      <c r="Q3" s="93" t="s">
        <v>69</v>
      </c>
    </row>
    <row r="4" spans="1:25" ht="24" customHeight="1">
      <c r="A4" s="94" t="s">
        <v>70</v>
      </c>
      <c r="B4" s="94" t="s">
        <v>2172</v>
      </c>
      <c r="C4" s="94" t="s">
        <v>71</v>
      </c>
      <c r="D4" s="779" t="s">
        <v>72</v>
      </c>
      <c r="E4" s="779"/>
      <c r="F4" s="94" t="s">
        <v>73</v>
      </c>
      <c r="G4" s="94" t="s">
        <v>74</v>
      </c>
      <c r="H4" s="94" t="s">
        <v>75</v>
      </c>
      <c r="I4" s="94" t="s">
        <v>76</v>
      </c>
      <c r="J4" s="94" t="s">
        <v>77</v>
      </c>
      <c r="K4" s="94" t="s">
        <v>78</v>
      </c>
      <c r="L4" s="94" t="s">
        <v>79</v>
      </c>
      <c r="M4" s="94" t="s">
        <v>80</v>
      </c>
      <c r="N4" s="94" t="s">
        <v>81</v>
      </c>
      <c r="O4" s="94" t="s">
        <v>82</v>
      </c>
      <c r="P4" s="94" t="s">
        <v>83</v>
      </c>
      <c r="Q4" s="94" t="s">
        <v>84</v>
      </c>
      <c r="R4" s="462" t="s">
        <v>2207</v>
      </c>
      <c r="S4" s="56" t="s">
        <v>2208</v>
      </c>
      <c r="T4" s="461" t="s">
        <v>2239</v>
      </c>
      <c r="U4" s="461" t="s">
        <v>2249</v>
      </c>
      <c r="V4" s="461" t="s">
        <v>2250</v>
      </c>
      <c r="W4" s="461" t="s">
        <v>2251</v>
      </c>
      <c r="X4" s="461" t="s">
        <v>2252</v>
      </c>
      <c r="Y4" s="461" t="s">
        <v>2378</v>
      </c>
    </row>
    <row r="5" spans="1:25" ht="24" customHeight="1">
      <c r="A5" s="95" t="s">
        <v>85</v>
      </c>
      <c r="B5" s="96"/>
      <c r="C5" s="96" t="s">
        <v>86</v>
      </c>
      <c r="D5" s="97" t="s">
        <v>87</v>
      </c>
      <c r="E5" s="98" t="s">
        <v>88</v>
      </c>
      <c r="F5" s="99">
        <v>6580879074</v>
      </c>
      <c r="G5" s="99"/>
      <c r="H5" s="99">
        <v>6580879074</v>
      </c>
      <c r="I5" s="99">
        <v>531813277</v>
      </c>
      <c r="J5" s="99">
        <v>6580879074</v>
      </c>
      <c r="K5" s="100">
        <v>40</v>
      </c>
      <c r="L5" s="101">
        <v>2.5000000000000001E-2</v>
      </c>
      <c r="M5" s="100">
        <v>12</v>
      </c>
      <c r="N5" s="99">
        <v>164521976</v>
      </c>
      <c r="O5" s="99"/>
      <c r="P5" s="99">
        <v>696335253</v>
      </c>
      <c r="Q5" s="99">
        <v>5884543821</v>
      </c>
    </row>
    <row r="6" spans="1:25" ht="24" customHeight="1">
      <c r="A6" s="102" t="s">
        <v>89</v>
      </c>
      <c r="B6" s="103"/>
      <c r="C6" s="103" t="s">
        <v>90</v>
      </c>
      <c r="D6" s="104" t="s">
        <v>90</v>
      </c>
      <c r="E6" s="105" t="s">
        <v>90</v>
      </c>
      <c r="F6" s="106">
        <v>6580879074</v>
      </c>
      <c r="G6" s="106"/>
      <c r="H6" s="106">
        <v>6580879074</v>
      </c>
      <c r="I6" s="106">
        <v>531813277</v>
      </c>
      <c r="J6" s="106">
        <v>6580879074</v>
      </c>
      <c r="K6" s="103"/>
      <c r="L6" s="107"/>
      <c r="M6" s="103"/>
      <c r="N6" s="106">
        <v>164521976</v>
      </c>
      <c r="O6" s="106"/>
      <c r="P6" s="106">
        <v>696335253</v>
      </c>
      <c r="Q6" s="106">
        <v>5884543821</v>
      </c>
    </row>
    <row r="7" spans="1:25" ht="24" customHeight="1">
      <c r="A7" s="95" t="s">
        <v>91</v>
      </c>
      <c r="B7" s="96"/>
      <c r="C7" s="96" t="s">
        <v>92</v>
      </c>
      <c r="D7" s="97" t="s">
        <v>93</v>
      </c>
      <c r="E7" s="98" t="s">
        <v>94</v>
      </c>
      <c r="F7" s="99">
        <v>6600000</v>
      </c>
      <c r="G7" s="99"/>
      <c r="H7" s="99">
        <v>6600000</v>
      </c>
      <c r="I7" s="99">
        <v>6599000</v>
      </c>
      <c r="J7" s="99">
        <v>1000</v>
      </c>
      <c r="K7" s="100">
        <v>5</v>
      </c>
      <c r="L7" s="101">
        <v>0.45100000000000001</v>
      </c>
      <c r="M7" s="100">
        <v>12</v>
      </c>
      <c r="N7" s="99"/>
      <c r="O7" s="99"/>
      <c r="P7" s="99">
        <v>6599000</v>
      </c>
      <c r="Q7" s="99">
        <v>1000</v>
      </c>
    </row>
    <row r="8" spans="1:25" ht="24" customHeight="1">
      <c r="A8" s="95" t="s">
        <v>95</v>
      </c>
      <c r="B8" s="96"/>
      <c r="C8" s="96" t="s">
        <v>96</v>
      </c>
      <c r="D8" s="97" t="s">
        <v>97</v>
      </c>
      <c r="E8" s="98" t="s">
        <v>90</v>
      </c>
      <c r="F8" s="99">
        <v>1600000</v>
      </c>
      <c r="G8" s="99"/>
      <c r="H8" s="99">
        <v>1600000</v>
      </c>
      <c r="I8" s="99">
        <v>1154006</v>
      </c>
      <c r="J8" s="99">
        <v>445994</v>
      </c>
      <c r="K8" s="100">
        <v>5</v>
      </c>
      <c r="L8" s="101">
        <v>0.45100000000000001</v>
      </c>
      <c r="M8" s="100">
        <v>12</v>
      </c>
      <c r="N8" s="99">
        <v>201143</v>
      </c>
      <c r="O8" s="99"/>
      <c r="P8" s="99">
        <v>1355149</v>
      </c>
      <c r="Q8" s="99">
        <v>244851</v>
      </c>
    </row>
    <row r="9" spans="1:25" ht="24" customHeight="1">
      <c r="A9" s="102" t="s">
        <v>98</v>
      </c>
      <c r="B9" s="103"/>
      <c r="C9" s="103" t="s">
        <v>90</v>
      </c>
      <c r="D9" s="104" t="s">
        <v>90</v>
      </c>
      <c r="E9" s="105" t="s">
        <v>90</v>
      </c>
      <c r="F9" s="106">
        <v>8200000</v>
      </c>
      <c r="G9" s="106"/>
      <c r="H9" s="106">
        <v>8200000</v>
      </c>
      <c r="I9" s="106">
        <v>7753006</v>
      </c>
      <c r="J9" s="106">
        <v>446994</v>
      </c>
      <c r="K9" s="103"/>
      <c r="L9" s="107"/>
      <c r="M9" s="103"/>
      <c r="N9" s="106">
        <v>201143</v>
      </c>
      <c r="O9" s="106"/>
      <c r="P9" s="106">
        <v>7954149</v>
      </c>
      <c r="Q9" s="106">
        <v>245851</v>
      </c>
    </row>
    <row r="10" spans="1:25" ht="24" customHeight="1">
      <c r="A10" s="95" t="s">
        <v>99</v>
      </c>
      <c r="B10" s="96"/>
      <c r="C10" s="96" t="s">
        <v>100</v>
      </c>
      <c r="D10" s="97" t="s">
        <v>90</v>
      </c>
      <c r="E10" s="98" t="s">
        <v>90</v>
      </c>
      <c r="F10" s="99">
        <v>24261810</v>
      </c>
      <c r="G10" s="99"/>
      <c r="H10" s="99">
        <v>24261810</v>
      </c>
      <c r="I10" s="99">
        <v>17387630</v>
      </c>
      <c r="J10" s="99">
        <v>24261810</v>
      </c>
      <c r="K10" s="100">
        <v>5</v>
      </c>
      <c r="L10" s="101">
        <v>0.2</v>
      </c>
      <c r="M10" s="100">
        <v>12</v>
      </c>
      <c r="N10" s="99">
        <v>4852362</v>
      </c>
      <c r="O10" s="99"/>
      <c r="P10" s="99">
        <v>22239992</v>
      </c>
      <c r="Q10" s="99">
        <v>2021818</v>
      </c>
    </row>
    <row r="11" spans="1:25" ht="24" customHeight="1">
      <c r="A11" s="95" t="s">
        <v>101</v>
      </c>
      <c r="B11" s="96"/>
      <c r="C11" s="96" t="s">
        <v>100</v>
      </c>
      <c r="D11" s="97" t="s">
        <v>90</v>
      </c>
      <c r="E11" s="98" t="s">
        <v>90</v>
      </c>
      <c r="F11" s="99">
        <v>24793630</v>
      </c>
      <c r="G11" s="99"/>
      <c r="H11" s="99">
        <v>24793630</v>
      </c>
      <c r="I11" s="99">
        <v>17768768</v>
      </c>
      <c r="J11" s="99">
        <v>24793630</v>
      </c>
      <c r="K11" s="100">
        <v>5</v>
      </c>
      <c r="L11" s="101">
        <v>0.2</v>
      </c>
      <c r="M11" s="100">
        <v>12</v>
      </c>
      <c r="N11" s="99">
        <v>4958726</v>
      </c>
      <c r="O11" s="99"/>
      <c r="P11" s="99">
        <v>22727494</v>
      </c>
      <c r="Q11" s="99">
        <v>2066136</v>
      </c>
    </row>
    <row r="12" spans="1:25" ht="24" customHeight="1">
      <c r="A12" s="95" t="s">
        <v>102</v>
      </c>
      <c r="B12" s="96"/>
      <c r="C12" s="96" t="s">
        <v>103</v>
      </c>
      <c r="D12" s="97" t="s">
        <v>93</v>
      </c>
      <c r="E12" s="98" t="s">
        <v>94</v>
      </c>
      <c r="F12" s="99">
        <v>19562740</v>
      </c>
      <c r="G12" s="99"/>
      <c r="H12" s="99">
        <v>19562740</v>
      </c>
      <c r="I12" s="99">
        <v>19561740</v>
      </c>
      <c r="J12" s="99">
        <v>19562740</v>
      </c>
      <c r="K12" s="100">
        <v>5</v>
      </c>
      <c r="L12" s="101">
        <v>0.2</v>
      </c>
      <c r="M12" s="100">
        <v>12</v>
      </c>
      <c r="N12" s="99"/>
      <c r="O12" s="99"/>
      <c r="P12" s="99">
        <v>19561740</v>
      </c>
      <c r="Q12" s="99">
        <v>1000</v>
      </c>
    </row>
    <row r="13" spans="1:25" ht="24" customHeight="1">
      <c r="A13" s="95" t="s">
        <v>104</v>
      </c>
      <c r="B13" s="96"/>
      <c r="C13" s="96" t="s">
        <v>105</v>
      </c>
      <c r="D13" s="97" t="s">
        <v>97</v>
      </c>
      <c r="E13" s="98" t="s">
        <v>90</v>
      </c>
      <c r="F13" s="99">
        <v>24331221</v>
      </c>
      <c r="G13" s="99"/>
      <c r="H13" s="99">
        <v>24331221</v>
      </c>
      <c r="I13" s="99">
        <v>24330221</v>
      </c>
      <c r="J13" s="99">
        <v>1000</v>
      </c>
      <c r="K13" s="100">
        <v>5</v>
      </c>
      <c r="L13" s="101">
        <v>0.45100000000000001</v>
      </c>
      <c r="M13" s="100">
        <v>12</v>
      </c>
      <c r="N13" s="99"/>
      <c r="O13" s="99"/>
      <c r="P13" s="99">
        <v>24330221</v>
      </c>
      <c r="Q13" s="99">
        <v>1000</v>
      </c>
    </row>
    <row r="14" spans="1:25" ht="24" customHeight="1">
      <c r="A14" s="95" t="s">
        <v>106</v>
      </c>
      <c r="B14" s="96"/>
      <c r="C14" s="96" t="s">
        <v>107</v>
      </c>
      <c r="D14" s="97" t="s">
        <v>93</v>
      </c>
      <c r="E14" s="98" t="s">
        <v>94</v>
      </c>
      <c r="F14" s="99">
        <v>10606363</v>
      </c>
      <c r="G14" s="99"/>
      <c r="H14" s="99">
        <v>10606363</v>
      </c>
      <c r="I14" s="99">
        <v>10605363</v>
      </c>
      <c r="J14" s="99">
        <v>1000</v>
      </c>
      <c r="K14" s="100">
        <v>5</v>
      </c>
      <c r="L14" s="101">
        <v>0.45100000000000001</v>
      </c>
      <c r="M14" s="100">
        <v>12</v>
      </c>
      <c r="N14" s="99"/>
      <c r="O14" s="99"/>
      <c r="P14" s="99">
        <v>10605363</v>
      </c>
      <c r="Q14" s="99">
        <v>1000</v>
      </c>
    </row>
    <row r="15" spans="1:25" ht="24" customHeight="1">
      <c r="A15" s="95" t="s">
        <v>108</v>
      </c>
      <c r="B15" s="96"/>
      <c r="C15" s="96" t="s">
        <v>109</v>
      </c>
      <c r="D15" s="97" t="s">
        <v>93</v>
      </c>
      <c r="E15" s="98" t="s">
        <v>94</v>
      </c>
      <c r="F15" s="99">
        <v>3545050</v>
      </c>
      <c r="G15" s="99"/>
      <c r="H15" s="99">
        <v>3545050</v>
      </c>
      <c r="I15" s="99">
        <v>3544050</v>
      </c>
      <c r="J15" s="99">
        <v>1000</v>
      </c>
      <c r="K15" s="100">
        <v>5</v>
      </c>
      <c r="L15" s="101">
        <v>0.45100000000000001</v>
      </c>
      <c r="M15" s="100">
        <v>12</v>
      </c>
      <c r="N15" s="99"/>
      <c r="O15" s="99"/>
      <c r="P15" s="99">
        <v>3544050</v>
      </c>
      <c r="Q15" s="99">
        <v>1000</v>
      </c>
    </row>
    <row r="16" spans="1:25" ht="24" customHeight="1">
      <c r="A16" s="95" t="s">
        <v>110</v>
      </c>
      <c r="B16" s="96"/>
      <c r="C16" s="96" t="s">
        <v>111</v>
      </c>
      <c r="D16" s="97" t="s">
        <v>97</v>
      </c>
      <c r="E16" s="98" t="s">
        <v>90</v>
      </c>
      <c r="F16" s="99">
        <v>18787158</v>
      </c>
      <c r="G16" s="99"/>
      <c r="H16" s="99">
        <v>18787158</v>
      </c>
      <c r="I16" s="99">
        <v>18786158</v>
      </c>
      <c r="J16" s="99">
        <v>1000</v>
      </c>
      <c r="K16" s="100">
        <v>5</v>
      </c>
      <c r="L16" s="101">
        <v>0.45100000000000001</v>
      </c>
      <c r="M16" s="100">
        <v>12</v>
      </c>
      <c r="N16" s="99"/>
      <c r="O16" s="99"/>
      <c r="P16" s="99">
        <v>18786158</v>
      </c>
      <c r="Q16" s="99">
        <v>1000</v>
      </c>
    </row>
    <row r="17" spans="1:26" ht="24" customHeight="1">
      <c r="A17" s="95" t="s">
        <v>112</v>
      </c>
      <c r="B17" s="96"/>
      <c r="C17" s="96" t="s">
        <v>113</v>
      </c>
      <c r="D17" s="97" t="s">
        <v>97</v>
      </c>
      <c r="E17" s="98" t="s">
        <v>90</v>
      </c>
      <c r="F17" s="99">
        <v>19195840</v>
      </c>
      <c r="G17" s="99"/>
      <c r="H17" s="99">
        <v>19195840</v>
      </c>
      <c r="I17" s="99">
        <v>19194840</v>
      </c>
      <c r="J17" s="99">
        <v>1000</v>
      </c>
      <c r="K17" s="100">
        <v>5</v>
      </c>
      <c r="L17" s="101">
        <v>0.45100000000000001</v>
      </c>
      <c r="M17" s="100">
        <v>12</v>
      </c>
      <c r="N17" s="99"/>
      <c r="O17" s="99"/>
      <c r="P17" s="99">
        <v>19194840</v>
      </c>
      <c r="Q17" s="99">
        <v>1000</v>
      </c>
    </row>
    <row r="18" spans="1:26" ht="24" customHeight="1">
      <c r="A18" s="95" t="s">
        <v>114</v>
      </c>
      <c r="B18" s="96"/>
      <c r="C18" s="96" t="s">
        <v>115</v>
      </c>
      <c r="D18" s="97" t="s">
        <v>97</v>
      </c>
      <c r="E18" s="98" t="s">
        <v>90</v>
      </c>
      <c r="F18" s="99">
        <v>19195840</v>
      </c>
      <c r="G18" s="99"/>
      <c r="H18" s="99">
        <v>19195840</v>
      </c>
      <c r="I18" s="99">
        <v>19194840</v>
      </c>
      <c r="J18" s="99">
        <v>1000</v>
      </c>
      <c r="K18" s="100">
        <v>5</v>
      </c>
      <c r="L18" s="101">
        <v>0.45100000000000001</v>
      </c>
      <c r="M18" s="100">
        <v>12</v>
      </c>
      <c r="N18" s="99"/>
      <c r="O18" s="99"/>
      <c r="P18" s="99">
        <v>19194840</v>
      </c>
      <c r="Q18" s="99">
        <v>1000</v>
      </c>
    </row>
    <row r="19" spans="1:26" ht="24" customHeight="1">
      <c r="A19" s="95" t="s">
        <v>116</v>
      </c>
      <c r="B19" s="96"/>
      <c r="C19" s="96" t="s">
        <v>117</v>
      </c>
      <c r="D19" s="97" t="s">
        <v>93</v>
      </c>
      <c r="E19" s="98" t="s">
        <v>94</v>
      </c>
      <c r="F19" s="99">
        <v>71714000</v>
      </c>
      <c r="G19" s="99"/>
      <c r="H19" s="99">
        <v>71714000</v>
      </c>
      <c r="I19" s="99">
        <v>71713000</v>
      </c>
      <c r="J19" s="99">
        <v>71714000</v>
      </c>
      <c r="K19" s="100">
        <v>5</v>
      </c>
      <c r="L19" s="101">
        <v>0.2</v>
      </c>
      <c r="M19" s="100">
        <v>12</v>
      </c>
      <c r="N19" s="99"/>
      <c r="O19" s="99"/>
      <c r="P19" s="99">
        <v>71713000</v>
      </c>
      <c r="Q19" s="99">
        <v>1000</v>
      </c>
    </row>
    <row r="20" spans="1:26" ht="24" customHeight="1">
      <c r="A20" s="95" t="s">
        <v>118</v>
      </c>
      <c r="B20" s="96"/>
      <c r="C20" s="96" t="s">
        <v>119</v>
      </c>
      <c r="D20" s="97" t="s">
        <v>93</v>
      </c>
      <c r="E20" s="98" t="s">
        <v>94</v>
      </c>
      <c r="F20" s="99">
        <v>39515799</v>
      </c>
      <c r="G20" s="99"/>
      <c r="H20" s="99">
        <v>39515799</v>
      </c>
      <c r="I20" s="99">
        <v>39514799</v>
      </c>
      <c r="J20" s="99">
        <v>39515799</v>
      </c>
      <c r="K20" s="100">
        <v>5</v>
      </c>
      <c r="L20" s="101">
        <v>0.2</v>
      </c>
      <c r="M20" s="100">
        <v>12</v>
      </c>
      <c r="N20" s="99"/>
      <c r="O20" s="99"/>
      <c r="P20" s="99">
        <v>39514799</v>
      </c>
      <c r="Q20" s="99">
        <v>1000</v>
      </c>
    </row>
    <row r="21" spans="1:26" ht="24" customHeight="1">
      <c r="A21" s="95" t="s">
        <v>1952</v>
      </c>
      <c r="B21" s="96"/>
      <c r="C21" s="96" t="s">
        <v>120</v>
      </c>
      <c r="D21" s="97" t="s">
        <v>90</v>
      </c>
      <c r="E21" s="98" t="s">
        <v>90</v>
      </c>
      <c r="F21" s="99">
        <v>65167703</v>
      </c>
      <c r="G21" s="99"/>
      <c r="H21" s="99">
        <v>65167703</v>
      </c>
      <c r="I21" s="99">
        <v>16291925</v>
      </c>
      <c r="J21" s="99">
        <v>65167703</v>
      </c>
      <c r="K21" s="100">
        <v>5</v>
      </c>
      <c r="L21" s="101">
        <v>0.2</v>
      </c>
      <c r="M21" s="100">
        <v>12</v>
      </c>
      <c r="N21" s="99">
        <v>13033540</v>
      </c>
      <c r="O21" s="99"/>
      <c r="P21" s="99">
        <v>29325465</v>
      </c>
      <c r="Q21" s="99">
        <v>35842238</v>
      </c>
    </row>
    <row r="22" spans="1:26" ht="24" customHeight="1">
      <c r="A22" s="102" t="s">
        <v>121</v>
      </c>
      <c r="B22" s="103"/>
      <c r="C22" s="103" t="s">
        <v>90</v>
      </c>
      <c r="D22" s="104" t="s">
        <v>90</v>
      </c>
      <c r="E22" s="105" t="s">
        <v>90</v>
      </c>
      <c r="F22" s="106">
        <v>340677154</v>
      </c>
      <c r="G22" s="106"/>
      <c r="H22" s="106">
        <v>340677154</v>
      </c>
      <c r="I22" s="106">
        <v>277893334</v>
      </c>
      <c r="J22" s="106">
        <v>245021682</v>
      </c>
      <c r="K22" s="103"/>
      <c r="L22" s="107"/>
      <c r="M22" s="103"/>
      <c r="N22" s="106">
        <v>22844628</v>
      </c>
      <c r="O22" s="106"/>
      <c r="P22" s="106">
        <v>300737962</v>
      </c>
      <c r="Q22" s="106">
        <v>39939192</v>
      </c>
    </row>
    <row r="23" spans="1:26" ht="24" customHeight="1">
      <c r="A23" s="225"/>
      <c r="B23" s="226"/>
      <c r="C23" s="226"/>
      <c r="D23" s="227"/>
      <c r="E23" s="228"/>
      <c r="F23" s="229"/>
      <c r="G23" s="229"/>
      <c r="H23" s="229"/>
      <c r="I23" s="229"/>
      <c r="J23" s="229"/>
      <c r="K23" s="226"/>
      <c r="L23" s="375"/>
      <c r="M23" s="226"/>
      <c r="N23" s="229"/>
      <c r="O23" s="229"/>
      <c r="P23" s="229"/>
      <c r="Q23" s="229"/>
    </row>
    <row r="24" spans="1:26" ht="24" customHeight="1">
      <c r="A24" s="432" t="s">
        <v>2010</v>
      </c>
      <c r="B24" s="226"/>
      <c r="C24" s="226"/>
      <c r="D24" s="227"/>
      <c r="E24" s="228"/>
      <c r="F24" s="229"/>
      <c r="G24" s="229"/>
      <c r="H24" s="229"/>
      <c r="I24" s="229"/>
      <c r="J24" s="229"/>
      <c r="K24" s="226"/>
      <c r="L24" s="375"/>
      <c r="M24" s="226"/>
      <c r="N24" s="229"/>
      <c r="O24" s="229"/>
      <c r="P24" s="229"/>
      <c r="Q24" s="229"/>
    </row>
    <row r="25" spans="1:26" s="166" customFormat="1" ht="24" customHeight="1">
      <c r="A25" s="118" t="s">
        <v>122</v>
      </c>
      <c r="B25" s="119" t="s">
        <v>966</v>
      </c>
      <c r="C25" s="119" t="s">
        <v>123</v>
      </c>
      <c r="D25" s="120" t="s">
        <v>90</v>
      </c>
      <c r="E25" s="121" t="s">
        <v>90</v>
      </c>
      <c r="F25" s="117">
        <v>2000000</v>
      </c>
      <c r="G25" s="117"/>
      <c r="H25" s="117">
        <v>2000000</v>
      </c>
      <c r="I25" s="117">
        <v>884197</v>
      </c>
      <c r="J25" s="117">
        <v>1115803</v>
      </c>
      <c r="K25" s="122">
        <v>8</v>
      </c>
      <c r="L25" s="123">
        <v>0.313</v>
      </c>
      <c r="M25" s="122">
        <v>12</v>
      </c>
      <c r="N25" s="117">
        <v>349246</v>
      </c>
      <c r="O25" s="117"/>
      <c r="P25" s="117">
        <v>1233443</v>
      </c>
      <c r="Q25" s="117">
        <v>766557</v>
      </c>
      <c r="R25" s="463">
        <f>(F25+G25)/K25*M25/12</f>
        <v>250000</v>
      </c>
      <c r="S25" s="376"/>
      <c r="T25" s="463">
        <f>Q25*L25</f>
        <v>239932.34099999999</v>
      </c>
      <c r="U25" s="463">
        <f>(Q25-T25)*L25</f>
        <v>164833.51826700001</v>
      </c>
      <c r="V25" s="463">
        <f>(Q25-T25-U25)*L25</f>
        <v>113240.62704942901</v>
      </c>
      <c r="W25" s="463">
        <f>(Q25-T25-U25-V25)*L25</f>
        <v>77796.310782957735</v>
      </c>
      <c r="X25" s="463">
        <f>(Q25-T25-U25-V25-W25)*L25</f>
        <v>53446.065507891959</v>
      </c>
      <c r="Y25" s="463">
        <f>Q25/K25</f>
        <v>95819.625</v>
      </c>
      <c r="Z25" s="376"/>
    </row>
    <row r="26" spans="1:26" s="166" customFormat="1" ht="24" customHeight="1">
      <c r="A26" s="118" t="s">
        <v>124</v>
      </c>
      <c r="B26" s="119" t="s">
        <v>966</v>
      </c>
      <c r="C26" s="119" t="s">
        <v>125</v>
      </c>
      <c r="D26" s="120" t="s">
        <v>90</v>
      </c>
      <c r="E26" s="121" t="s">
        <v>90</v>
      </c>
      <c r="F26" s="117">
        <v>900000</v>
      </c>
      <c r="G26" s="117"/>
      <c r="H26" s="117">
        <v>900000</v>
      </c>
      <c r="I26" s="117">
        <v>304937</v>
      </c>
      <c r="J26" s="117">
        <v>595063</v>
      </c>
      <c r="K26" s="122">
        <v>8</v>
      </c>
      <c r="L26" s="123">
        <v>0.313</v>
      </c>
      <c r="M26" s="122">
        <v>12</v>
      </c>
      <c r="N26" s="117">
        <v>186254</v>
      </c>
      <c r="O26" s="117"/>
      <c r="P26" s="117">
        <v>491191</v>
      </c>
      <c r="Q26" s="117">
        <v>408809</v>
      </c>
      <c r="R26" s="463">
        <f t="shared" ref="R26:R87" si="0">(F26+G26)/K26*M26/12</f>
        <v>112500</v>
      </c>
      <c r="S26" s="376"/>
      <c r="T26" s="463">
        <f t="shared" ref="T26:T87" si="1">Q26*L26</f>
        <v>127957.217</v>
      </c>
      <c r="U26" s="463">
        <f t="shared" ref="U26:U87" si="2">(Q26-T26)*L26</f>
        <v>87906.608078999998</v>
      </c>
      <c r="V26" s="463">
        <f t="shared" ref="V26:V87" si="3">(Q26-T26-U26)*L26</f>
        <v>60391.839750273</v>
      </c>
      <c r="W26" s="463">
        <f t="shared" ref="W26:W87" si="4">(Q26-T26-U26-V26)*L26</f>
        <v>41489.193908437548</v>
      </c>
      <c r="X26" s="463">
        <f t="shared" ref="X26:X87" si="5">(Q26-T26-U26-V26-W26)*L26</f>
        <v>28503.076215096597</v>
      </c>
      <c r="Y26" s="463">
        <f t="shared" ref="Y26:Y87" si="6">Q26/K26</f>
        <v>51101.125</v>
      </c>
      <c r="Z26" s="376"/>
    </row>
    <row r="27" spans="1:26" s="166" customFormat="1" ht="24" customHeight="1">
      <c r="A27" s="118" t="s">
        <v>126</v>
      </c>
      <c r="B27" s="119" t="s">
        <v>966</v>
      </c>
      <c r="C27" s="119" t="s">
        <v>127</v>
      </c>
      <c r="D27" s="120" t="s">
        <v>90</v>
      </c>
      <c r="E27" s="121" t="s">
        <v>90</v>
      </c>
      <c r="F27" s="117">
        <v>17824429</v>
      </c>
      <c r="G27" s="117"/>
      <c r="H27" s="117">
        <v>17824429</v>
      </c>
      <c r="I27" s="117">
        <v>6039268</v>
      </c>
      <c r="J27" s="117">
        <v>11785161</v>
      </c>
      <c r="K27" s="122">
        <v>8</v>
      </c>
      <c r="L27" s="123">
        <v>0.313</v>
      </c>
      <c r="M27" s="122">
        <v>12</v>
      </c>
      <c r="N27" s="117">
        <v>3688755</v>
      </c>
      <c r="O27" s="117"/>
      <c r="P27" s="117">
        <v>9728023</v>
      </c>
      <c r="Q27" s="117">
        <v>8096406</v>
      </c>
      <c r="R27" s="463">
        <f t="shared" si="0"/>
        <v>2228053.625</v>
      </c>
      <c r="S27" s="376"/>
      <c r="T27" s="463">
        <f t="shared" si="1"/>
        <v>2534175.0780000002</v>
      </c>
      <c r="U27" s="463">
        <f t="shared" si="2"/>
        <v>1740978.278586</v>
      </c>
      <c r="V27" s="463">
        <f t="shared" si="3"/>
        <v>1196052.0773885821</v>
      </c>
      <c r="W27" s="463">
        <f t="shared" si="4"/>
        <v>821687.77716595586</v>
      </c>
      <c r="X27" s="463">
        <f t="shared" si="5"/>
        <v>564499.5029130117</v>
      </c>
      <c r="Y27" s="463">
        <f t="shared" si="6"/>
        <v>1012050.75</v>
      </c>
      <c r="Z27" s="376"/>
    </row>
    <row r="28" spans="1:26" s="166" customFormat="1" ht="24" customHeight="1">
      <c r="A28" s="118" t="s">
        <v>128</v>
      </c>
      <c r="B28" s="119" t="s">
        <v>966</v>
      </c>
      <c r="C28" s="119" t="s">
        <v>129</v>
      </c>
      <c r="D28" s="120" t="s">
        <v>90</v>
      </c>
      <c r="E28" s="121" t="s">
        <v>90</v>
      </c>
      <c r="F28" s="117">
        <v>45040000</v>
      </c>
      <c r="G28" s="117"/>
      <c r="H28" s="117">
        <v>45040000</v>
      </c>
      <c r="I28" s="117">
        <v>15260441</v>
      </c>
      <c r="J28" s="117">
        <v>29779559</v>
      </c>
      <c r="K28" s="122">
        <v>8</v>
      </c>
      <c r="L28" s="123">
        <v>0.313</v>
      </c>
      <c r="M28" s="122">
        <v>12</v>
      </c>
      <c r="N28" s="117">
        <v>9321001</v>
      </c>
      <c r="O28" s="117"/>
      <c r="P28" s="117">
        <v>24581442</v>
      </c>
      <c r="Q28" s="117">
        <v>20458558</v>
      </c>
      <c r="R28" s="463">
        <f t="shared" si="0"/>
        <v>5630000</v>
      </c>
      <c r="S28" s="376"/>
      <c r="T28" s="463">
        <f t="shared" si="1"/>
        <v>6403528.6540000001</v>
      </c>
      <c r="U28" s="463">
        <f t="shared" si="2"/>
        <v>4399224.1852980005</v>
      </c>
      <c r="V28" s="463">
        <f t="shared" si="3"/>
        <v>3022267.0152997263</v>
      </c>
      <c r="W28" s="463">
        <f t="shared" si="4"/>
        <v>2076297.4395109122</v>
      </c>
      <c r="X28" s="463">
        <f t="shared" si="5"/>
        <v>1426416.3409439968</v>
      </c>
      <c r="Y28" s="463">
        <f t="shared" si="6"/>
        <v>2557319.75</v>
      </c>
      <c r="Z28" s="376"/>
    </row>
    <row r="29" spans="1:26" s="166" customFormat="1" ht="24" customHeight="1">
      <c r="A29" s="118" t="s">
        <v>130</v>
      </c>
      <c r="B29" s="119" t="s">
        <v>966</v>
      </c>
      <c r="C29" s="119" t="s">
        <v>129</v>
      </c>
      <c r="D29" s="120" t="s">
        <v>90</v>
      </c>
      <c r="E29" s="121" t="s">
        <v>90</v>
      </c>
      <c r="F29" s="117">
        <v>18686800</v>
      </c>
      <c r="G29" s="117"/>
      <c r="H29" s="117">
        <v>18686800</v>
      </c>
      <c r="I29" s="117">
        <v>6331456</v>
      </c>
      <c r="J29" s="117">
        <v>12355344</v>
      </c>
      <c r="K29" s="122">
        <v>8</v>
      </c>
      <c r="L29" s="123">
        <v>0.313</v>
      </c>
      <c r="M29" s="122">
        <v>12</v>
      </c>
      <c r="N29" s="117">
        <v>3867222</v>
      </c>
      <c r="O29" s="117"/>
      <c r="P29" s="117">
        <v>10198678</v>
      </c>
      <c r="Q29" s="117">
        <v>8488122</v>
      </c>
      <c r="R29" s="463">
        <f t="shared" si="0"/>
        <v>2335850</v>
      </c>
      <c r="S29" s="376"/>
      <c r="T29" s="463">
        <f t="shared" si="1"/>
        <v>2656782.1860000002</v>
      </c>
      <c r="U29" s="463">
        <f t="shared" si="2"/>
        <v>1825209.3617819997</v>
      </c>
      <c r="V29" s="463">
        <f t="shared" si="3"/>
        <v>1253918.831544234</v>
      </c>
      <c r="W29" s="463">
        <f t="shared" si="4"/>
        <v>861442.23727088876</v>
      </c>
      <c r="X29" s="463">
        <f t="shared" si="5"/>
        <v>591810.81700510054</v>
      </c>
      <c r="Y29" s="463">
        <f t="shared" si="6"/>
        <v>1061015.25</v>
      </c>
      <c r="Z29" s="376"/>
    </row>
    <row r="30" spans="1:26" s="166" customFormat="1" ht="24" customHeight="1">
      <c r="A30" s="118" t="s">
        <v>131</v>
      </c>
      <c r="B30" s="119" t="s">
        <v>966</v>
      </c>
      <c r="C30" s="119" t="s">
        <v>132</v>
      </c>
      <c r="D30" s="120" t="s">
        <v>90</v>
      </c>
      <c r="E30" s="121" t="s">
        <v>90</v>
      </c>
      <c r="F30" s="117">
        <v>2036364</v>
      </c>
      <c r="G30" s="117"/>
      <c r="H30" s="117">
        <v>2036364</v>
      </c>
      <c r="I30" s="117">
        <v>637381</v>
      </c>
      <c r="J30" s="117">
        <v>1398983</v>
      </c>
      <c r="K30" s="122">
        <v>8</v>
      </c>
      <c r="L30" s="123">
        <v>0.313</v>
      </c>
      <c r="M30" s="122">
        <v>12</v>
      </c>
      <c r="N30" s="117">
        <v>437881</v>
      </c>
      <c r="O30" s="117"/>
      <c r="P30" s="117">
        <v>1075262</v>
      </c>
      <c r="Q30" s="117">
        <v>961102</v>
      </c>
      <c r="R30" s="463">
        <f t="shared" si="0"/>
        <v>254545.5</v>
      </c>
      <c r="S30" s="376"/>
      <c r="T30" s="463">
        <f t="shared" si="1"/>
        <v>300824.92599999998</v>
      </c>
      <c r="U30" s="463">
        <f t="shared" si="2"/>
        <v>206666.724162</v>
      </c>
      <c r="V30" s="463">
        <f t="shared" si="3"/>
        <v>141980.03949929401</v>
      </c>
      <c r="W30" s="463">
        <f t="shared" si="4"/>
        <v>97540.287136014987</v>
      </c>
      <c r="X30" s="463">
        <f t="shared" si="5"/>
        <v>67010.177262442288</v>
      </c>
      <c r="Y30" s="463">
        <f t="shared" si="6"/>
        <v>120137.75</v>
      </c>
      <c r="Z30" s="376"/>
    </row>
    <row r="31" spans="1:26" s="166" customFormat="1" ht="24" customHeight="1">
      <c r="A31" s="118" t="s">
        <v>133</v>
      </c>
      <c r="B31" s="119" t="s">
        <v>966</v>
      </c>
      <c r="C31" s="119" t="s">
        <v>134</v>
      </c>
      <c r="D31" s="120" t="s">
        <v>90</v>
      </c>
      <c r="E31" s="121" t="s">
        <v>90</v>
      </c>
      <c r="F31" s="117">
        <v>10400000</v>
      </c>
      <c r="G31" s="117"/>
      <c r="H31" s="117">
        <v>10400000</v>
      </c>
      <c r="I31" s="117">
        <v>2170133</v>
      </c>
      <c r="J31" s="117">
        <v>8229867</v>
      </c>
      <c r="K31" s="122">
        <v>8</v>
      </c>
      <c r="L31" s="123">
        <v>0.313</v>
      </c>
      <c r="M31" s="122">
        <v>12</v>
      </c>
      <c r="N31" s="117">
        <v>2575948</v>
      </c>
      <c r="O31" s="117"/>
      <c r="P31" s="117">
        <v>4746081</v>
      </c>
      <c r="Q31" s="117">
        <v>5653919</v>
      </c>
      <c r="R31" s="463">
        <f t="shared" si="0"/>
        <v>1300000</v>
      </c>
      <c r="S31" s="376"/>
      <c r="T31" s="463">
        <f t="shared" si="1"/>
        <v>1769676.6470000001</v>
      </c>
      <c r="U31" s="463">
        <f t="shared" si="2"/>
        <v>1215767.8564890001</v>
      </c>
      <c r="V31" s="463">
        <f t="shared" si="3"/>
        <v>835232.51740794303</v>
      </c>
      <c r="W31" s="463">
        <f t="shared" si="4"/>
        <v>573804.73945925687</v>
      </c>
      <c r="X31" s="463">
        <f t="shared" si="5"/>
        <v>394203.85600850952</v>
      </c>
      <c r="Y31" s="463">
        <f t="shared" si="6"/>
        <v>706739.875</v>
      </c>
      <c r="Z31" s="376"/>
    </row>
    <row r="32" spans="1:26" s="166" customFormat="1" ht="24" customHeight="1">
      <c r="A32" s="118" t="s">
        <v>135</v>
      </c>
      <c r="B32" s="119" t="s">
        <v>966</v>
      </c>
      <c r="C32" s="119" t="s">
        <v>136</v>
      </c>
      <c r="D32" s="120" t="s">
        <v>90</v>
      </c>
      <c r="E32" s="121" t="s">
        <v>90</v>
      </c>
      <c r="F32" s="117">
        <v>3950000</v>
      </c>
      <c r="G32" s="117"/>
      <c r="H32" s="117">
        <v>3950000</v>
      </c>
      <c r="I32" s="117">
        <v>721204</v>
      </c>
      <c r="J32" s="117">
        <v>3228796</v>
      </c>
      <c r="K32" s="122">
        <v>8</v>
      </c>
      <c r="L32" s="123">
        <v>0.313</v>
      </c>
      <c r="M32" s="122">
        <v>12</v>
      </c>
      <c r="N32" s="117">
        <v>1010613</v>
      </c>
      <c r="O32" s="117"/>
      <c r="P32" s="117">
        <v>1731817</v>
      </c>
      <c r="Q32" s="117">
        <v>2218183</v>
      </c>
      <c r="R32" s="463">
        <f t="shared" si="0"/>
        <v>493750</v>
      </c>
      <c r="S32" s="376"/>
      <c r="T32" s="463">
        <f t="shared" si="1"/>
        <v>694291.27899999998</v>
      </c>
      <c r="U32" s="463">
        <f t="shared" si="2"/>
        <v>476978.10867299995</v>
      </c>
      <c r="V32" s="463">
        <f t="shared" si="3"/>
        <v>327683.96065835096</v>
      </c>
      <c r="W32" s="463">
        <f t="shared" si="4"/>
        <v>225118.88097228712</v>
      </c>
      <c r="X32" s="463">
        <f t="shared" si="5"/>
        <v>154656.67122796123</v>
      </c>
      <c r="Y32" s="463">
        <f t="shared" si="6"/>
        <v>277272.875</v>
      </c>
      <c r="Z32" s="376"/>
    </row>
    <row r="33" spans="1:26" s="166" customFormat="1" ht="24" customHeight="1">
      <c r="A33" s="118" t="s">
        <v>137</v>
      </c>
      <c r="B33" s="119" t="s">
        <v>966</v>
      </c>
      <c r="C33" s="119" t="s">
        <v>138</v>
      </c>
      <c r="D33" s="120" t="s">
        <v>90</v>
      </c>
      <c r="E33" s="121" t="s">
        <v>90</v>
      </c>
      <c r="F33" s="117">
        <v>48730000</v>
      </c>
      <c r="G33" s="117"/>
      <c r="H33" s="117">
        <v>48730000</v>
      </c>
      <c r="I33" s="117">
        <v>7626245</v>
      </c>
      <c r="J33" s="117">
        <v>41103755</v>
      </c>
      <c r="K33" s="122">
        <v>8</v>
      </c>
      <c r="L33" s="123">
        <v>0.313</v>
      </c>
      <c r="M33" s="122">
        <v>12</v>
      </c>
      <c r="N33" s="117">
        <v>12865475</v>
      </c>
      <c r="O33" s="117"/>
      <c r="P33" s="117">
        <v>20491720</v>
      </c>
      <c r="Q33" s="117">
        <v>28238280</v>
      </c>
      <c r="R33" s="463">
        <f t="shared" si="0"/>
        <v>6091250</v>
      </c>
      <c r="S33" s="376"/>
      <c r="T33" s="463">
        <f t="shared" si="1"/>
        <v>8838581.6400000006</v>
      </c>
      <c r="U33" s="463">
        <f t="shared" si="2"/>
        <v>6072105.5866799997</v>
      </c>
      <c r="V33" s="463">
        <f t="shared" si="3"/>
        <v>4171536.53804916</v>
      </c>
      <c r="W33" s="463">
        <f t="shared" si="4"/>
        <v>2865845.6016397732</v>
      </c>
      <c r="X33" s="463">
        <f t="shared" si="5"/>
        <v>1968835.9283265241</v>
      </c>
      <c r="Y33" s="463">
        <f t="shared" si="6"/>
        <v>3529785</v>
      </c>
      <c r="Z33" s="376"/>
    </row>
    <row r="34" spans="1:26" s="166" customFormat="1" ht="24" customHeight="1">
      <c r="A34" s="118" t="s">
        <v>153</v>
      </c>
      <c r="B34" s="119" t="s">
        <v>966</v>
      </c>
      <c r="C34" s="119" t="s">
        <v>154</v>
      </c>
      <c r="D34" s="120" t="s">
        <v>90</v>
      </c>
      <c r="E34" s="121" t="s">
        <v>90</v>
      </c>
      <c r="F34" s="117">
        <v>4363636</v>
      </c>
      <c r="G34" s="117"/>
      <c r="H34" s="117">
        <v>4363636</v>
      </c>
      <c r="I34" s="117">
        <v>227636</v>
      </c>
      <c r="J34" s="117">
        <v>4136000</v>
      </c>
      <c r="K34" s="122">
        <v>8</v>
      </c>
      <c r="L34" s="123">
        <v>0.313</v>
      </c>
      <c r="M34" s="122">
        <v>12</v>
      </c>
      <c r="N34" s="117">
        <v>1294568</v>
      </c>
      <c r="O34" s="117"/>
      <c r="P34" s="117">
        <v>1522204</v>
      </c>
      <c r="Q34" s="117">
        <v>2841432</v>
      </c>
      <c r="R34" s="463">
        <f t="shared" si="0"/>
        <v>545454.5</v>
      </c>
      <c r="S34" s="376"/>
      <c r="T34" s="463">
        <f t="shared" si="1"/>
        <v>889368.21600000001</v>
      </c>
      <c r="U34" s="463">
        <f t="shared" si="2"/>
        <v>610995.96439199999</v>
      </c>
      <c r="V34" s="463">
        <f t="shared" si="3"/>
        <v>419754.22753730405</v>
      </c>
      <c r="W34" s="463">
        <f t="shared" si="4"/>
        <v>288371.15431812784</v>
      </c>
      <c r="X34" s="463">
        <f t="shared" si="5"/>
        <v>198110.98301655383</v>
      </c>
      <c r="Y34" s="463">
        <f t="shared" si="6"/>
        <v>355179</v>
      </c>
      <c r="Z34" s="376"/>
    </row>
    <row r="35" spans="1:26" s="327" customFormat="1" ht="24" customHeight="1">
      <c r="A35" s="320" t="s">
        <v>139</v>
      </c>
      <c r="B35" s="321" t="s">
        <v>968</v>
      </c>
      <c r="C35" s="321" t="s">
        <v>140</v>
      </c>
      <c r="D35" s="322" t="s">
        <v>90</v>
      </c>
      <c r="E35" s="323" t="s">
        <v>90</v>
      </c>
      <c r="F35" s="324">
        <v>5400000</v>
      </c>
      <c r="G35" s="324"/>
      <c r="H35" s="324">
        <v>5400000</v>
      </c>
      <c r="I35" s="324">
        <v>704250</v>
      </c>
      <c r="J35" s="324">
        <v>4695750</v>
      </c>
      <c r="K35" s="325">
        <v>8</v>
      </c>
      <c r="L35" s="326">
        <v>0.313</v>
      </c>
      <c r="M35" s="325">
        <v>12</v>
      </c>
      <c r="N35" s="324">
        <v>1469769</v>
      </c>
      <c r="O35" s="324"/>
      <c r="P35" s="324">
        <v>2174019</v>
      </c>
      <c r="Q35" s="324">
        <v>3225981</v>
      </c>
      <c r="R35" s="464">
        <f>(F35+G35)/K35*M35/12</f>
        <v>675000</v>
      </c>
      <c r="S35" s="377"/>
      <c r="T35" s="464">
        <f t="shared" si="1"/>
        <v>1009732.053</v>
      </c>
      <c r="U35" s="463">
        <f t="shared" si="2"/>
        <v>693685.92041100003</v>
      </c>
      <c r="V35" s="463">
        <f t="shared" si="3"/>
        <v>476562.22732235707</v>
      </c>
      <c r="W35" s="463">
        <f t="shared" si="4"/>
        <v>327398.25017045927</v>
      </c>
      <c r="X35" s="463">
        <f t="shared" si="5"/>
        <v>224922.59786710553</v>
      </c>
      <c r="Y35" s="463">
        <f t="shared" si="6"/>
        <v>403247.625</v>
      </c>
      <c r="Z35" s="377"/>
    </row>
    <row r="36" spans="1:26" s="327" customFormat="1" ht="24" customHeight="1">
      <c r="A36" s="320" t="s">
        <v>141</v>
      </c>
      <c r="B36" s="321" t="s">
        <v>968</v>
      </c>
      <c r="C36" s="321" t="s">
        <v>142</v>
      </c>
      <c r="D36" s="322" t="s">
        <v>90</v>
      </c>
      <c r="E36" s="323" t="s">
        <v>90</v>
      </c>
      <c r="F36" s="324">
        <v>6592000</v>
      </c>
      <c r="G36" s="324"/>
      <c r="H36" s="324">
        <v>6592000</v>
      </c>
      <c r="I36" s="324">
        <v>687765</v>
      </c>
      <c r="J36" s="324">
        <v>5904235</v>
      </c>
      <c r="K36" s="325">
        <v>8</v>
      </c>
      <c r="L36" s="326">
        <v>0.313</v>
      </c>
      <c r="M36" s="325">
        <v>12</v>
      </c>
      <c r="N36" s="324">
        <v>1848025</v>
      </c>
      <c r="O36" s="324"/>
      <c r="P36" s="324">
        <v>2535790</v>
      </c>
      <c r="Q36" s="324">
        <v>4056210</v>
      </c>
      <c r="R36" s="464">
        <f t="shared" si="0"/>
        <v>824000</v>
      </c>
      <c r="S36" s="377"/>
      <c r="T36" s="464">
        <f t="shared" si="1"/>
        <v>1269593.73</v>
      </c>
      <c r="U36" s="463">
        <f t="shared" si="2"/>
        <v>872210.89251000003</v>
      </c>
      <c r="V36" s="463">
        <f t="shared" si="3"/>
        <v>599208.88315437001</v>
      </c>
      <c r="W36" s="463">
        <f t="shared" si="4"/>
        <v>411656.5027270522</v>
      </c>
      <c r="X36" s="463">
        <f t="shared" si="5"/>
        <v>282808.01737348485</v>
      </c>
      <c r="Y36" s="463">
        <f t="shared" si="6"/>
        <v>507026.25</v>
      </c>
      <c r="Z36" s="377"/>
    </row>
    <row r="37" spans="1:26" s="327" customFormat="1" ht="24" customHeight="1">
      <c r="A37" s="320" t="s">
        <v>131</v>
      </c>
      <c r="B37" s="321" t="s">
        <v>968</v>
      </c>
      <c r="C37" s="321" t="s">
        <v>143</v>
      </c>
      <c r="D37" s="322" t="s">
        <v>90</v>
      </c>
      <c r="E37" s="323" t="s">
        <v>90</v>
      </c>
      <c r="F37" s="324">
        <v>3740000</v>
      </c>
      <c r="G37" s="324"/>
      <c r="H37" s="324">
        <v>3740000</v>
      </c>
      <c r="I37" s="324">
        <v>390206</v>
      </c>
      <c r="J37" s="324">
        <v>3349794</v>
      </c>
      <c r="K37" s="325">
        <v>8</v>
      </c>
      <c r="L37" s="326">
        <v>0.313</v>
      </c>
      <c r="M37" s="325">
        <v>12</v>
      </c>
      <c r="N37" s="324">
        <v>1048485</v>
      </c>
      <c r="O37" s="324"/>
      <c r="P37" s="324">
        <v>1438691</v>
      </c>
      <c r="Q37" s="324">
        <v>2301309</v>
      </c>
      <c r="R37" s="464">
        <f t="shared" si="0"/>
        <v>467500</v>
      </c>
      <c r="S37" s="377"/>
      <c r="T37" s="464">
        <f t="shared" si="1"/>
        <v>720309.71699999995</v>
      </c>
      <c r="U37" s="463">
        <f t="shared" si="2"/>
        <v>494852.77557900001</v>
      </c>
      <c r="V37" s="463">
        <f t="shared" si="3"/>
        <v>339963.856822773</v>
      </c>
      <c r="W37" s="463">
        <f t="shared" si="4"/>
        <v>233555.16963724504</v>
      </c>
      <c r="X37" s="463">
        <f t="shared" si="5"/>
        <v>160452.40154078734</v>
      </c>
      <c r="Y37" s="463">
        <f t="shared" si="6"/>
        <v>287663.625</v>
      </c>
      <c r="Z37" s="377"/>
    </row>
    <row r="38" spans="1:26" s="327" customFormat="1" ht="24" customHeight="1">
      <c r="A38" s="320" t="s">
        <v>144</v>
      </c>
      <c r="B38" s="321" t="s">
        <v>968</v>
      </c>
      <c r="C38" s="321" t="s">
        <v>145</v>
      </c>
      <c r="D38" s="322" t="s">
        <v>90</v>
      </c>
      <c r="E38" s="323" t="s">
        <v>90</v>
      </c>
      <c r="F38" s="324">
        <v>64056356</v>
      </c>
      <c r="G38" s="324"/>
      <c r="H38" s="324">
        <v>64056356</v>
      </c>
      <c r="I38" s="324">
        <v>6683213</v>
      </c>
      <c r="J38" s="324">
        <v>57373143</v>
      </c>
      <c r="K38" s="325">
        <v>8</v>
      </c>
      <c r="L38" s="326">
        <v>0.313</v>
      </c>
      <c r="M38" s="325">
        <v>12</v>
      </c>
      <c r="N38" s="324">
        <v>17957793</v>
      </c>
      <c r="O38" s="324"/>
      <c r="P38" s="324">
        <v>24641006</v>
      </c>
      <c r="Q38" s="324">
        <v>39415350</v>
      </c>
      <c r="R38" s="464">
        <f t="shared" si="0"/>
        <v>8007044.5</v>
      </c>
      <c r="S38" s="377"/>
      <c r="T38" s="464">
        <f t="shared" si="1"/>
        <v>12337004.550000001</v>
      </c>
      <c r="U38" s="463">
        <f t="shared" si="2"/>
        <v>8475522.1258499995</v>
      </c>
      <c r="V38" s="463">
        <f t="shared" si="3"/>
        <v>5822683.7004589504</v>
      </c>
      <c r="W38" s="463">
        <f t="shared" si="4"/>
        <v>4000183.7022152981</v>
      </c>
      <c r="X38" s="463">
        <f t="shared" si="5"/>
        <v>2748126.2034219094</v>
      </c>
      <c r="Y38" s="463">
        <f t="shared" si="6"/>
        <v>4926918.75</v>
      </c>
      <c r="Z38" s="377"/>
    </row>
    <row r="39" spans="1:26" s="327" customFormat="1" ht="24" customHeight="1">
      <c r="A39" s="328" t="s">
        <v>146</v>
      </c>
      <c r="B39" s="329" t="s">
        <v>968</v>
      </c>
      <c r="C39" s="329" t="s">
        <v>147</v>
      </c>
      <c r="D39" s="330" t="s">
        <v>90</v>
      </c>
      <c r="E39" s="331" t="s">
        <v>90</v>
      </c>
      <c r="F39" s="332">
        <v>2520000</v>
      </c>
      <c r="G39" s="332"/>
      <c r="H39" s="332">
        <v>2520000</v>
      </c>
      <c r="I39" s="332">
        <v>262920</v>
      </c>
      <c r="J39" s="332">
        <v>2257080</v>
      </c>
      <c r="K39" s="333">
        <v>8</v>
      </c>
      <c r="L39" s="334">
        <v>0.313</v>
      </c>
      <c r="M39" s="333">
        <v>12</v>
      </c>
      <c r="N39" s="332">
        <v>706466</v>
      </c>
      <c r="O39" s="332"/>
      <c r="P39" s="332">
        <v>969386</v>
      </c>
      <c r="Q39" s="332">
        <v>1550614</v>
      </c>
      <c r="R39" s="464">
        <f t="shared" si="0"/>
        <v>315000</v>
      </c>
      <c r="S39" s="377"/>
      <c r="T39" s="464">
        <f t="shared" si="1"/>
        <v>485342.18200000003</v>
      </c>
      <c r="U39" s="463">
        <f t="shared" si="2"/>
        <v>333430.07903399999</v>
      </c>
      <c r="V39" s="463">
        <f t="shared" si="3"/>
        <v>229066.464296358</v>
      </c>
      <c r="W39" s="463">
        <f t="shared" si="4"/>
        <v>157368.66097159797</v>
      </c>
      <c r="X39" s="463">
        <f t="shared" si="5"/>
        <v>108112.27008748781</v>
      </c>
      <c r="Y39" s="463">
        <f t="shared" si="6"/>
        <v>193826.75</v>
      </c>
      <c r="Z39" s="377"/>
    </row>
    <row r="40" spans="1:26" s="327" customFormat="1" ht="24" customHeight="1">
      <c r="A40" s="320" t="s">
        <v>148</v>
      </c>
      <c r="B40" s="321" t="s">
        <v>968</v>
      </c>
      <c r="C40" s="321" t="s">
        <v>149</v>
      </c>
      <c r="D40" s="322" t="s">
        <v>90</v>
      </c>
      <c r="E40" s="323" t="s">
        <v>90</v>
      </c>
      <c r="F40" s="324">
        <v>12800000</v>
      </c>
      <c r="G40" s="324"/>
      <c r="H40" s="324">
        <v>12800000</v>
      </c>
      <c r="I40" s="324">
        <v>1001600</v>
      </c>
      <c r="J40" s="324">
        <v>11798400</v>
      </c>
      <c r="K40" s="325">
        <v>8</v>
      </c>
      <c r="L40" s="326">
        <v>0.313</v>
      </c>
      <c r="M40" s="325">
        <v>12</v>
      </c>
      <c r="N40" s="324">
        <v>3692899</v>
      </c>
      <c r="O40" s="324"/>
      <c r="P40" s="324">
        <v>4694499</v>
      </c>
      <c r="Q40" s="324">
        <v>8105501</v>
      </c>
      <c r="R40" s="464">
        <f t="shared" si="0"/>
        <v>1600000</v>
      </c>
      <c r="S40" s="377"/>
      <c r="T40" s="464">
        <f t="shared" si="1"/>
        <v>2537021.8130000001</v>
      </c>
      <c r="U40" s="463">
        <f t="shared" si="2"/>
        <v>1742933.985531</v>
      </c>
      <c r="V40" s="463">
        <f t="shared" si="3"/>
        <v>1197395.648059797</v>
      </c>
      <c r="W40" s="463">
        <f t="shared" si="4"/>
        <v>822610.81021708052</v>
      </c>
      <c r="X40" s="463">
        <f t="shared" si="5"/>
        <v>565133.62661913433</v>
      </c>
      <c r="Y40" s="463">
        <f t="shared" si="6"/>
        <v>1013187.625</v>
      </c>
      <c r="Z40" s="377"/>
    </row>
    <row r="41" spans="1:26" s="327" customFormat="1" ht="24" customHeight="1">
      <c r="A41" s="320" t="s">
        <v>150</v>
      </c>
      <c r="B41" s="321" t="s">
        <v>968</v>
      </c>
      <c r="C41" s="321" t="s">
        <v>151</v>
      </c>
      <c r="D41" s="322" t="s">
        <v>90</v>
      </c>
      <c r="E41" s="323" t="s">
        <v>90</v>
      </c>
      <c r="F41" s="324">
        <v>113700000</v>
      </c>
      <c r="G41" s="324"/>
      <c r="H41" s="324">
        <v>113700000</v>
      </c>
      <c r="I41" s="324">
        <v>8897025</v>
      </c>
      <c r="J41" s="324">
        <v>104802975</v>
      </c>
      <c r="K41" s="325">
        <v>8</v>
      </c>
      <c r="L41" s="326">
        <v>0.313</v>
      </c>
      <c r="M41" s="325">
        <v>12</v>
      </c>
      <c r="N41" s="324">
        <v>32803331</v>
      </c>
      <c r="O41" s="324"/>
      <c r="P41" s="324">
        <v>41700356</v>
      </c>
      <c r="Q41" s="324">
        <v>71999644</v>
      </c>
      <c r="R41" s="464">
        <f t="shared" si="0"/>
        <v>14212500</v>
      </c>
      <c r="S41" s="377"/>
      <c r="T41" s="464">
        <f t="shared" si="1"/>
        <v>22535888.572000001</v>
      </c>
      <c r="U41" s="463">
        <f t="shared" si="2"/>
        <v>15482155.448964002</v>
      </c>
      <c r="V41" s="463">
        <f t="shared" si="3"/>
        <v>10636240.793438269</v>
      </c>
      <c r="W41" s="463">
        <f t="shared" si="4"/>
        <v>7307097.4250920899</v>
      </c>
      <c r="X41" s="463">
        <f t="shared" si="5"/>
        <v>5019975.931038266</v>
      </c>
      <c r="Y41" s="463">
        <f t="shared" si="6"/>
        <v>8999955.5</v>
      </c>
      <c r="Z41" s="377"/>
    </row>
    <row r="42" spans="1:26" s="327" customFormat="1" ht="24" customHeight="1">
      <c r="A42" s="320" t="s">
        <v>152</v>
      </c>
      <c r="B42" s="321" t="s">
        <v>968</v>
      </c>
      <c r="C42" s="321" t="s">
        <v>151</v>
      </c>
      <c r="D42" s="322" t="s">
        <v>90</v>
      </c>
      <c r="E42" s="323" t="s">
        <v>90</v>
      </c>
      <c r="F42" s="324">
        <v>53120300</v>
      </c>
      <c r="G42" s="324"/>
      <c r="H42" s="324">
        <v>53120300</v>
      </c>
      <c r="I42" s="324">
        <v>4156663</v>
      </c>
      <c r="J42" s="324">
        <v>48963637</v>
      </c>
      <c r="K42" s="325">
        <v>8</v>
      </c>
      <c r="L42" s="326">
        <v>0.313</v>
      </c>
      <c r="M42" s="325">
        <v>12</v>
      </c>
      <c r="N42" s="324">
        <v>15325618</v>
      </c>
      <c r="O42" s="324"/>
      <c r="P42" s="324">
        <v>19482281</v>
      </c>
      <c r="Q42" s="324">
        <v>33638019</v>
      </c>
      <c r="R42" s="464">
        <f t="shared" si="0"/>
        <v>6640037.5</v>
      </c>
      <c r="S42" s="377"/>
      <c r="T42" s="464">
        <f t="shared" si="1"/>
        <v>10528699.947000001</v>
      </c>
      <c r="U42" s="463">
        <f t="shared" si="2"/>
        <v>7233216.863589</v>
      </c>
      <c r="V42" s="463">
        <f t="shared" si="3"/>
        <v>4969219.9852856426</v>
      </c>
      <c r="W42" s="463">
        <f t="shared" si="4"/>
        <v>3413854.1298912363</v>
      </c>
      <c r="X42" s="463">
        <f t="shared" si="5"/>
        <v>2345317.7872352796</v>
      </c>
      <c r="Y42" s="463">
        <f t="shared" si="6"/>
        <v>4204752.375</v>
      </c>
      <c r="Z42" s="377"/>
    </row>
    <row r="43" spans="1:26" s="366" customFormat="1" ht="24" customHeight="1">
      <c r="A43" s="359" t="s">
        <v>1302</v>
      </c>
      <c r="B43" s="360" t="s">
        <v>972</v>
      </c>
      <c r="C43" s="360" t="s">
        <v>1303</v>
      </c>
      <c r="D43" s="361" t="s">
        <v>189</v>
      </c>
      <c r="E43" s="362" t="s">
        <v>190</v>
      </c>
      <c r="F43" s="363"/>
      <c r="G43" s="363">
        <v>26300000</v>
      </c>
      <c r="H43" s="363">
        <v>26300000</v>
      </c>
      <c r="I43" s="363"/>
      <c r="J43" s="363">
        <v>26300000</v>
      </c>
      <c r="K43" s="364">
        <v>8</v>
      </c>
      <c r="L43" s="365">
        <v>0.313</v>
      </c>
      <c r="M43" s="364">
        <v>12</v>
      </c>
      <c r="N43" s="363">
        <v>8231900</v>
      </c>
      <c r="O43" s="363"/>
      <c r="P43" s="363">
        <v>8231900</v>
      </c>
      <c r="Q43" s="363">
        <v>18068100</v>
      </c>
      <c r="R43" s="465">
        <f t="shared" si="0"/>
        <v>3287500</v>
      </c>
      <c r="S43" s="378"/>
      <c r="T43" s="465">
        <f t="shared" si="1"/>
        <v>5655315.2999999998</v>
      </c>
      <c r="U43" s="463">
        <f t="shared" si="2"/>
        <v>3885201.6110999999</v>
      </c>
      <c r="V43" s="463">
        <f t="shared" si="3"/>
        <v>2669133.5068256999</v>
      </c>
      <c r="W43" s="463">
        <f t="shared" si="4"/>
        <v>1833694.7191892557</v>
      </c>
      <c r="X43" s="463">
        <f t="shared" si="5"/>
        <v>1259748.2720830187</v>
      </c>
      <c r="Y43" s="463">
        <f t="shared" si="6"/>
        <v>2258512.5</v>
      </c>
      <c r="Z43" s="378"/>
    </row>
    <row r="44" spans="1:26" s="342" customFormat="1" ht="24" customHeight="1">
      <c r="A44" s="335" t="s">
        <v>1304</v>
      </c>
      <c r="B44" s="336" t="s">
        <v>970</v>
      </c>
      <c r="C44" s="336" t="s">
        <v>1303</v>
      </c>
      <c r="D44" s="337" t="s">
        <v>189</v>
      </c>
      <c r="E44" s="338" t="s">
        <v>190</v>
      </c>
      <c r="F44" s="339"/>
      <c r="G44" s="339">
        <v>21300000</v>
      </c>
      <c r="H44" s="339">
        <v>21300000</v>
      </c>
      <c r="I44" s="339"/>
      <c r="J44" s="339">
        <v>21300000</v>
      </c>
      <c r="K44" s="340">
        <v>8</v>
      </c>
      <c r="L44" s="341">
        <v>0.313</v>
      </c>
      <c r="M44" s="340">
        <v>12</v>
      </c>
      <c r="N44" s="339">
        <v>6666900</v>
      </c>
      <c r="O44" s="339"/>
      <c r="P44" s="339">
        <v>6666900</v>
      </c>
      <c r="Q44" s="339">
        <v>14633100</v>
      </c>
      <c r="R44" s="466">
        <f t="shared" si="0"/>
        <v>2662500</v>
      </c>
      <c r="S44" s="379"/>
      <c r="T44" s="466">
        <f t="shared" si="1"/>
        <v>4580160.3</v>
      </c>
      <c r="U44" s="463">
        <f t="shared" si="2"/>
        <v>3146570.1261</v>
      </c>
      <c r="V44" s="463">
        <f t="shared" si="3"/>
        <v>2161693.6766306995</v>
      </c>
      <c r="W44" s="463">
        <f t="shared" si="4"/>
        <v>1485083.5558452907</v>
      </c>
      <c r="X44" s="463">
        <f t="shared" si="5"/>
        <v>1020252.4028657147</v>
      </c>
      <c r="Y44" s="463">
        <f t="shared" si="6"/>
        <v>1829137.5</v>
      </c>
      <c r="Z44" s="379"/>
    </row>
    <row r="45" spans="1:26" s="342" customFormat="1" ht="24" customHeight="1">
      <c r="A45" s="335" t="s">
        <v>1305</v>
      </c>
      <c r="B45" s="336" t="s">
        <v>970</v>
      </c>
      <c r="C45" s="336" t="s">
        <v>1306</v>
      </c>
      <c r="D45" s="337" t="s">
        <v>189</v>
      </c>
      <c r="E45" s="338" t="s">
        <v>190</v>
      </c>
      <c r="F45" s="339"/>
      <c r="G45" s="339">
        <v>5400000</v>
      </c>
      <c r="H45" s="339">
        <v>5400000</v>
      </c>
      <c r="I45" s="339"/>
      <c r="J45" s="339">
        <v>5400000</v>
      </c>
      <c r="K45" s="340">
        <v>8</v>
      </c>
      <c r="L45" s="341">
        <v>0.313</v>
      </c>
      <c r="M45" s="340">
        <v>10</v>
      </c>
      <c r="N45" s="339">
        <v>1408500</v>
      </c>
      <c r="O45" s="339"/>
      <c r="P45" s="339">
        <v>1408500</v>
      </c>
      <c r="Q45" s="339">
        <v>3991500</v>
      </c>
      <c r="R45" s="466">
        <f t="shared" si="0"/>
        <v>562500</v>
      </c>
      <c r="S45" s="379"/>
      <c r="T45" s="466">
        <f t="shared" si="1"/>
        <v>1249339.5</v>
      </c>
      <c r="U45" s="463">
        <f t="shared" si="2"/>
        <v>858296.2365</v>
      </c>
      <c r="V45" s="463">
        <f t="shared" si="3"/>
        <v>589649.51447549998</v>
      </c>
      <c r="W45" s="463">
        <f t="shared" si="4"/>
        <v>405089.21644466848</v>
      </c>
      <c r="X45" s="463">
        <f t="shared" si="5"/>
        <v>278296.29169748724</v>
      </c>
      <c r="Y45" s="463">
        <f t="shared" si="6"/>
        <v>498937.5</v>
      </c>
      <c r="Z45" s="379"/>
    </row>
    <row r="46" spans="1:26" s="342" customFormat="1" ht="24" customHeight="1">
      <c r="A46" s="335" t="s">
        <v>1307</v>
      </c>
      <c r="B46" s="336" t="s">
        <v>970</v>
      </c>
      <c r="C46" s="336" t="s">
        <v>1306</v>
      </c>
      <c r="D46" s="337" t="s">
        <v>189</v>
      </c>
      <c r="E46" s="338" t="s">
        <v>190</v>
      </c>
      <c r="F46" s="339"/>
      <c r="G46" s="339">
        <v>15000000</v>
      </c>
      <c r="H46" s="339">
        <v>15000000</v>
      </c>
      <c r="I46" s="339"/>
      <c r="J46" s="339">
        <v>15000000</v>
      </c>
      <c r="K46" s="340">
        <v>8</v>
      </c>
      <c r="L46" s="341">
        <v>0.313</v>
      </c>
      <c r="M46" s="340">
        <v>10</v>
      </c>
      <c r="N46" s="339">
        <v>3912500</v>
      </c>
      <c r="O46" s="339"/>
      <c r="P46" s="339">
        <v>3912500</v>
      </c>
      <c r="Q46" s="339">
        <v>11087500</v>
      </c>
      <c r="R46" s="466">
        <f t="shared" si="0"/>
        <v>1562500</v>
      </c>
      <c r="S46" s="379"/>
      <c r="T46" s="466">
        <f t="shared" si="1"/>
        <v>3470387.5</v>
      </c>
      <c r="U46" s="463">
        <f t="shared" si="2"/>
        <v>2384156.2124999999</v>
      </c>
      <c r="V46" s="463">
        <f t="shared" si="3"/>
        <v>1637915.3179875</v>
      </c>
      <c r="W46" s="463">
        <f t="shared" si="4"/>
        <v>1125247.8234574124</v>
      </c>
      <c r="X46" s="463">
        <f t="shared" si="5"/>
        <v>773045.25471524242</v>
      </c>
      <c r="Y46" s="463">
        <f t="shared" si="6"/>
        <v>1385937.5</v>
      </c>
      <c r="Z46" s="379"/>
    </row>
    <row r="47" spans="1:26" s="342" customFormat="1" ht="24" customHeight="1">
      <c r="A47" s="335" t="s">
        <v>1308</v>
      </c>
      <c r="B47" s="336" t="s">
        <v>970</v>
      </c>
      <c r="C47" s="336" t="s">
        <v>1309</v>
      </c>
      <c r="D47" s="337" t="s">
        <v>189</v>
      </c>
      <c r="E47" s="338" t="s">
        <v>190</v>
      </c>
      <c r="F47" s="339"/>
      <c r="G47" s="339">
        <v>3984400</v>
      </c>
      <c r="H47" s="339">
        <v>3984400</v>
      </c>
      <c r="I47" s="339"/>
      <c r="J47" s="339">
        <v>3984400</v>
      </c>
      <c r="K47" s="340">
        <v>8</v>
      </c>
      <c r="L47" s="341">
        <v>0.313</v>
      </c>
      <c r="M47" s="340">
        <v>10</v>
      </c>
      <c r="N47" s="339">
        <v>1039264</v>
      </c>
      <c r="O47" s="339"/>
      <c r="P47" s="339">
        <v>1039264</v>
      </c>
      <c r="Q47" s="339">
        <v>2945136</v>
      </c>
      <c r="R47" s="466">
        <f t="shared" si="0"/>
        <v>415041.66666666669</v>
      </c>
      <c r="S47" s="379"/>
      <c r="T47" s="466">
        <f t="shared" si="1"/>
        <v>921827.56799999997</v>
      </c>
      <c r="U47" s="463">
        <f t="shared" si="2"/>
        <v>633295.539216</v>
      </c>
      <c r="V47" s="463">
        <f t="shared" si="3"/>
        <v>435074.03544139198</v>
      </c>
      <c r="W47" s="463">
        <f t="shared" si="4"/>
        <v>298895.86234823626</v>
      </c>
      <c r="X47" s="463">
        <f t="shared" si="5"/>
        <v>205341.45743323833</v>
      </c>
      <c r="Y47" s="463">
        <f t="shared" si="6"/>
        <v>368142</v>
      </c>
      <c r="Z47" s="379"/>
    </row>
    <row r="48" spans="1:26" s="342" customFormat="1" ht="24" customHeight="1">
      <c r="A48" s="335" t="s">
        <v>1310</v>
      </c>
      <c r="B48" s="336" t="s">
        <v>970</v>
      </c>
      <c r="C48" s="336" t="s">
        <v>1311</v>
      </c>
      <c r="D48" s="337" t="s">
        <v>189</v>
      </c>
      <c r="E48" s="338" t="s">
        <v>190</v>
      </c>
      <c r="F48" s="339"/>
      <c r="G48" s="339">
        <v>1572728</v>
      </c>
      <c r="H48" s="339">
        <v>1572728</v>
      </c>
      <c r="I48" s="339"/>
      <c r="J48" s="339">
        <v>1572728</v>
      </c>
      <c r="K48" s="340">
        <v>8</v>
      </c>
      <c r="L48" s="341">
        <v>0.313</v>
      </c>
      <c r="M48" s="340">
        <v>10</v>
      </c>
      <c r="N48" s="339">
        <v>410219</v>
      </c>
      <c r="O48" s="339"/>
      <c r="P48" s="339">
        <v>410219</v>
      </c>
      <c r="Q48" s="339">
        <v>1162509</v>
      </c>
      <c r="R48" s="466">
        <f t="shared" si="0"/>
        <v>163825.83333333334</v>
      </c>
      <c r="S48" s="379"/>
      <c r="T48" s="466">
        <f t="shared" si="1"/>
        <v>363865.31699999998</v>
      </c>
      <c r="U48" s="463">
        <f t="shared" si="2"/>
        <v>249975.47277899997</v>
      </c>
      <c r="V48" s="463">
        <f t="shared" si="3"/>
        <v>171733.149799173</v>
      </c>
      <c r="W48" s="463">
        <f t="shared" si="4"/>
        <v>117980.67391203185</v>
      </c>
      <c r="X48" s="463">
        <f t="shared" si="5"/>
        <v>81052.722977565878</v>
      </c>
      <c r="Y48" s="463">
        <f t="shared" si="6"/>
        <v>145313.625</v>
      </c>
      <c r="Z48" s="379"/>
    </row>
    <row r="49" spans="1:26" s="366" customFormat="1" ht="24" customHeight="1">
      <c r="A49" s="359" t="s">
        <v>1312</v>
      </c>
      <c r="B49" s="360" t="s">
        <v>972</v>
      </c>
      <c r="C49" s="360" t="s">
        <v>1313</v>
      </c>
      <c r="D49" s="361" t="s">
        <v>189</v>
      </c>
      <c r="E49" s="362" t="s">
        <v>190</v>
      </c>
      <c r="F49" s="363"/>
      <c r="G49" s="363">
        <v>1572728</v>
      </c>
      <c r="H49" s="363">
        <v>1572728</v>
      </c>
      <c r="I49" s="363"/>
      <c r="J49" s="363">
        <v>1572728</v>
      </c>
      <c r="K49" s="364">
        <v>8</v>
      </c>
      <c r="L49" s="365">
        <v>0.313</v>
      </c>
      <c r="M49" s="364">
        <v>10</v>
      </c>
      <c r="N49" s="363">
        <v>410219</v>
      </c>
      <c r="O49" s="363"/>
      <c r="P49" s="363">
        <v>410219</v>
      </c>
      <c r="Q49" s="363">
        <v>1162509</v>
      </c>
      <c r="R49" s="465">
        <f t="shared" si="0"/>
        <v>163825.83333333334</v>
      </c>
      <c r="S49" s="378"/>
      <c r="T49" s="465">
        <f t="shared" si="1"/>
        <v>363865.31699999998</v>
      </c>
      <c r="U49" s="463">
        <f t="shared" si="2"/>
        <v>249975.47277899997</v>
      </c>
      <c r="V49" s="463">
        <f t="shared" si="3"/>
        <v>171733.149799173</v>
      </c>
      <c r="W49" s="463">
        <f t="shared" si="4"/>
        <v>117980.67391203185</v>
      </c>
      <c r="X49" s="463">
        <f t="shared" si="5"/>
        <v>81052.722977565878</v>
      </c>
      <c r="Y49" s="463">
        <f t="shared" si="6"/>
        <v>145313.625</v>
      </c>
      <c r="Z49" s="378"/>
    </row>
    <row r="50" spans="1:26" s="342" customFormat="1" ht="24" customHeight="1">
      <c r="A50" s="335" t="s">
        <v>1953</v>
      </c>
      <c r="B50" s="336" t="s">
        <v>970</v>
      </c>
      <c r="C50" s="336" t="s">
        <v>1314</v>
      </c>
      <c r="D50" s="337" t="s">
        <v>189</v>
      </c>
      <c r="E50" s="338" t="s">
        <v>190</v>
      </c>
      <c r="F50" s="339"/>
      <c r="G50" s="339">
        <v>144791900</v>
      </c>
      <c r="H50" s="339">
        <v>144791900</v>
      </c>
      <c r="I50" s="339"/>
      <c r="J50" s="339">
        <v>144791900</v>
      </c>
      <c r="K50" s="340">
        <v>8</v>
      </c>
      <c r="L50" s="341">
        <v>0.313</v>
      </c>
      <c r="M50" s="340">
        <v>10</v>
      </c>
      <c r="N50" s="339">
        <v>37766553</v>
      </c>
      <c r="O50" s="339"/>
      <c r="P50" s="339">
        <v>37766553</v>
      </c>
      <c r="Q50" s="339">
        <v>107025347</v>
      </c>
      <c r="R50" s="466">
        <f t="shared" si="0"/>
        <v>15082489.583333334</v>
      </c>
      <c r="S50" s="379"/>
      <c r="T50" s="466">
        <f t="shared" si="1"/>
        <v>33498933.611000001</v>
      </c>
      <c r="U50" s="463">
        <f t="shared" si="2"/>
        <v>23013767.390756998</v>
      </c>
      <c r="V50" s="463">
        <f t="shared" si="3"/>
        <v>15810458.19745006</v>
      </c>
      <c r="W50" s="463">
        <f t="shared" si="4"/>
        <v>10861784.781648193</v>
      </c>
      <c r="X50" s="463">
        <f t="shared" si="5"/>
        <v>7462046.1449923087</v>
      </c>
      <c r="Y50" s="463">
        <f t="shared" si="6"/>
        <v>13378168.375</v>
      </c>
      <c r="Z50" s="379"/>
    </row>
    <row r="51" spans="1:26" s="342" customFormat="1" ht="24" customHeight="1">
      <c r="A51" s="335" t="s">
        <v>1315</v>
      </c>
      <c r="B51" s="336" t="s">
        <v>970</v>
      </c>
      <c r="C51" s="336" t="s">
        <v>1314</v>
      </c>
      <c r="D51" s="337" t="s">
        <v>189</v>
      </c>
      <c r="E51" s="338" t="s">
        <v>190</v>
      </c>
      <c r="F51" s="339"/>
      <c r="G51" s="339">
        <v>61461799</v>
      </c>
      <c r="H51" s="339">
        <v>61461799</v>
      </c>
      <c r="I51" s="339"/>
      <c r="J51" s="339">
        <v>61461799</v>
      </c>
      <c r="K51" s="340">
        <v>8</v>
      </c>
      <c r="L51" s="341">
        <v>0.313</v>
      </c>
      <c r="M51" s="340">
        <v>10</v>
      </c>
      <c r="N51" s="339">
        <v>16031285</v>
      </c>
      <c r="O51" s="339"/>
      <c r="P51" s="339">
        <v>16031285</v>
      </c>
      <c r="Q51" s="339">
        <v>45430514</v>
      </c>
      <c r="R51" s="466">
        <f t="shared" si="0"/>
        <v>6402270.729166667</v>
      </c>
      <c r="S51" s="379"/>
      <c r="T51" s="466">
        <f t="shared" si="1"/>
        <v>14219750.881999999</v>
      </c>
      <c r="U51" s="463">
        <f t="shared" si="2"/>
        <v>9768968.8559339996</v>
      </c>
      <c r="V51" s="463">
        <f t="shared" si="3"/>
        <v>6711281.6040266575</v>
      </c>
      <c r="W51" s="463">
        <f t="shared" si="4"/>
        <v>4610650.4619663144</v>
      </c>
      <c r="X51" s="463">
        <f t="shared" si="5"/>
        <v>3167516.8673708583</v>
      </c>
      <c r="Y51" s="463">
        <f t="shared" si="6"/>
        <v>5678814.25</v>
      </c>
      <c r="Z51" s="379"/>
    </row>
    <row r="52" spans="1:26" s="342" customFormat="1" ht="24" customHeight="1">
      <c r="A52" s="335" t="s">
        <v>1315</v>
      </c>
      <c r="B52" s="336" t="s">
        <v>970</v>
      </c>
      <c r="C52" s="336" t="s">
        <v>1316</v>
      </c>
      <c r="D52" s="337" t="s">
        <v>189</v>
      </c>
      <c r="E52" s="338" t="s">
        <v>190</v>
      </c>
      <c r="F52" s="339"/>
      <c r="G52" s="339">
        <v>1950000</v>
      </c>
      <c r="H52" s="339">
        <v>1950000</v>
      </c>
      <c r="I52" s="339"/>
      <c r="J52" s="339">
        <v>1950000</v>
      </c>
      <c r="K52" s="340">
        <v>8</v>
      </c>
      <c r="L52" s="341">
        <v>0.313</v>
      </c>
      <c r="M52" s="340">
        <v>9</v>
      </c>
      <c r="N52" s="339">
        <v>457762</v>
      </c>
      <c r="O52" s="339"/>
      <c r="P52" s="339">
        <v>457762</v>
      </c>
      <c r="Q52" s="339">
        <v>1492238</v>
      </c>
      <c r="R52" s="466">
        <f t="shared" si="0"/>
        <v>182812.5</v>
      </c>
      <c r="S52" s="379"/>
      <c r="T52" s="466">
        <f t="shared" si="1"/>
        <v>467070.49400000001</v>
      </c>
      <c r="U52" s="463">
        <f t="shared" si="2"/>
        <v>320877.42937800003</v>
      </c>
      <c r="V52" s="463">
        <f t="shared" si="3"/>
        <v>220442.79398268598</v>
      </c>
      <c r="W52" s="463">
        <f t="shared" si="4"/>
        <v>151444.19946610526</v>
      </c>
      <c r="X52" s="463">
        <f t="shared" si="5"/>
        <v>104042.16503321432</v>
      </c>
      <c r="Y52" s="463">
        <f t="shared" si="6"/>
        <v>186529.75</v>
      </c>
      <c r="Z52" s="379"/>
    </row>
    <row r="53" spans="1:26" s="366" customFormat="1" ht="24" customHeight="1">
      <c r="A53" s="359" t="s">
        <v>1315</v>
      </c>
      <c r="B53" s="360" t="s">
        <v>972</v>
      </c>
      <c r="C53" s="360" t="s">
        <v>1317</v>
      </c>
      <c r="D53" s="361" t="s">
        <v>189</v>
      </c>
      <c r="E53" s="362" t="s">
        <v>190</v>
      </c>
      <c r="F53" s="363"/>
      <c r="G53" s="363">
        <v>61959200</v>
      </c>
      <c r="H53" s="363">
        <v>61959200</v>
      </c>
      <c r="I53" s="363"/>
      <c r="J53" s="363">
        <v>61959200</v>
      </c>
      <c r="K53" s="364">
        <v>8</v>
      </c>
      <c r="L53" s="365">
        <v>0.313</v>
      </c>
      <c r="M53" s="364">
        <v>9</v>
      </c>
      <c r="N53" s="363">
        <v>14544922</v>
      </c>
      <c r="O53" s="363"/>
      <c r="P53" s="363">
        <v>14544922</v>
      </c>
      <c r="Q53" s="363">
        <v>47414278</v>
      </c>
      <c r="R53" s="465">
        <f t="shared" si="0"/>
        <v>5808675</v>
      </c>
      <c r="S53" s="378"/>
      <c r="T53" s="465">
        <f t="shared" si="1"/>
        <v>14840669.014</v>
      </c>
      <c r="U53" s="463">
        <f t="shared" si="2"/>
        <v>10195539.612618001</v>
      </c>
      <c r="V53" s="463">
        <f t="shared" si="3"/>
        <v>7004335.7138685668</v>
      </c>
      <c r="W53" s="463">
        <f t="shared" si="4"/>
        <v>4811978.6354277059</v>
      </c>
      <c r="X53" s="463">
        <f t="shared" si="5"/>
        <v>3305829.3225388336</v>
      </c>
      <c r="Y53" s="463">
        <f t="shared" si="6"/>
        <v>5926784.75</v>
      </c>
      <c r="Z53" s="378"/>
    </row>
    <row r="54" spans="1:26" s="342" customFormat="1" ht="24" customHeight="1">
      <c r="A54" s="335" t="s">
        <v>1318</v>
      </c>
      <c r="B54" s="336" t="s">
        <v>970</v>
      </c>
      <c r="C54" s="336" t="s">
        <v>1319</v>
      </c>
      <c r="D54" s="337" t="s">
        <v>189</v>
      </c>
      <c r="E54" s="338" t="s">
        <v>190</v>
      </c>
      <c r="F54" s="339"/>
      <c r="G54" s="339">
        <v>9480000</v>
      </c>
      <c r="H54" s="339">
        <v>9480000</v>
      </c>
      <c r="I54" s="339"/>
      <c r="J54" s="339">
        <v>9480000</v>
      </c>
      <c r="K54" s="340">
        <v>8</v>
      </c>
      <c r="L54" s="341">
        <v>0.313</v>
      </c>
      <c r="M54" s="340">
        <v>9</v>
      </c>
      <c r="N54" s="339">
        <v>2225430</v>
      </c>
      <c r="O54" s="339"/>
      <c r="P54" s="339">
        <v>2225430</v>
      </c>
      <c r="Q54" s="339">
        <v>7254570</v>
      </c>
      <c r="R54" s="466">
        <f t="shared" si="0"/>
        <v>888750</v>
      </c>
      <c r="S54" s="379"/>
      <c r="T54" s="466">
        <f t="shared" si="1"/>
        <v>2270680.41</v>
      </c>
      <c r="U54" s="463">
        <f t="shared" si="2"/>
        <v>1559957.4416699999</v>
      </c>
      <c r="V54" s="463">
        <f t="shared" si="3"/>
        <v>1071690.76242729</v>
      </c>
      <c r="W54" s="463">
        <f t="shared" si="4"/>
        <v>736251.55378754833</v>
      </c>
      <c r="X54" s="463">
        <f t="shared" si="5"/>
        <v>505804.81745204568</v>
      </c>
      <c r="Y54" s="463">
        <f t="shared" si="6"/>
        <v>906821.25</v>
      </c>
      <c r="Z54" s="379"/>
    </row>
    <row r="55" spans="1:26" s="327" customFormat="1" ht="24" customHeight="1">
      <c r="A55" s="320" t="s">
        <v>1320</v>
      </c>
      <c r="B55" s="321" t="s">
        <v>968</v>
      </c>
      <c r="C55" s="321" t="s">
        <v>1321</v>
      </c>
      <c r="D55" s="322" t="s">
        <v>189</v>
      </c>
      <c r="E55" s="323" t="s">
        <v>190</v>
      </c>
      <c r="F55" s="324"/>
      <c r="G55" s="324">
        <v>15187500</v>
      </c>
      <c r="H55" s="324">
        <v>15187500</v>
      </c>
      <c r="I55" s="324"/>
      <c r="J55" s="324">
        <v>15187500</v>
      </c>
      <c r="K55" s="325">
        <v>8</v>
      </c>
      <c r="L55" s="326">
        <v>0.313</v>
      </c>
      <c r="M55" s="325">
        <v>8</v>
      </c>
      <c r="N55" s="324">
        <v>3169125</v>
      </c>
      <c r="O55" s="324"/>
      <c r="P55" s="324">
        <v>3169125</v>
      </c>
      <c r="Q55" s="324">
        <v>12018375</v>
      </c>
      <c r="R55" s="464">
        <f t="shared" si="0"/>
        <v>1265625</v>
      </c>
      <c r="S55" s="377"/>
      <c r="T55" s="464">
        <f t="shared" si="1"/>
        <v>3761751.375</v>
      </c>
      <c r="U55" s="463">
        <f t="shared" si="2"/>
        <v>2584323.194625</v>
      </c>
      <c r="V55" s="463">
        <f t="shared" si="3"/>
        <v>1775430.0347073751</v>
      </c>
      <c r="W55" s="463">
        <f t="shared" si="4"/>
        <v>1219720.4338439668</v>
      </c>
      <c r="X55" s="463">
        <f t="shared" si="5"/>
        <v>837947.93805080524</v>
      </c>
      <c r="Y55" s="463">
        <f t="shared" si="6"/>
        <v>1502296.875</v>
      </c>
      <c r="Z55" s="377"/>
    </row>
    <row r="56" spans="1:26" s="166" customFormat="1" ht="24" customHeight="1">
      <c r="A56" s="118" t="s">
        <v>1322</v>
      </c>
      <c r="B56" s="119" t="s">
        <v>966</v>
      </c>
      <c r="C56" s="119" t="s">
        <v>1323</v>
      </c>
      <c r="D56" s="120" t="s">
        <v>189</v>
      </c>
      <c r="E56" s="121" t="s">
        <v>190</v>
      </c>
      <c r="F56" s="117"/>
      <c r="G56" s="117">
        <v>3950000</v>
      </c>
      <c r="H56" s="117">
        <v>3950000</v>
      </c>
      <c r="I56" s="117"/>
      <c r="J56" s="117">
        <v>3950000</v>
      </c>
      <c r="K56" s="122">
        <v>8</v>
      </c>
      <c r="L56" s="123">
        <v>0.313</v>
      </c>
      <c r="M56" s="122">
        <v>8</v>
      </c>
      <c r="N56" s="117">
        <v>824233</v>
      </c>
      <c r="O56" s="117"/>
      <c r="P56" s="117">
        <v>824233</v>
      </c>
      <c r="Q56" s="117">
        <v>3125767</v>
      </c>
      <c r="R56" s="463">
        <f t="shared" si="0"/>
        <v>329166.66666666669</v>
      </c>
      <c r="S56" s="376"/>
      <c r="T56" s="463">
        <f t="shared" si="1"/>
        <v>978365.071</v>
      </c>
      <c r="U56" s="463">
        <f t="shared" si="2"/>
        <v>672136.80377700005</v>
      </c>
      <c r="V56" s="463">
        <f t="shared" si="3"/>
        <v>461757.98419479904</v>
      </c>
      <c r="W56" s="463">
        <f t="shared" si="4"/>
        <v>317227.73514182691</v>
      </c>
      <c r="X56" s="463">
        <f t="shared" si="5"/>
        <v>217935.45404243507</v>
      </c>
      <c r="Y56" s="463">
        <f t="shared" si="6"/>
        <v>390720.875</v>
      </c>
      <c r="Z56" s="376"/>
    </row>
    <row r="57" spans="1:26" s="366" customFormat="1" ht="24" customHeight="1">
      <c r="A57" s="359" t="s">
        <v>1315</v>
      </c>
      <c r="B57" s="360" t="s">
        <v>972</v>
      </c>
      <c r="C57" s="360" t="s">
        <v>1324</v>
      </c>
      <c r="D57" s="361" t="s">
        <v>189</v>
      </c>
      <c r="E57" s="362" t="s">
        <v>190</v>
      </c>
      <c r="F57" s="363"/>
      <c r="G57" s="363">
        <v>18133000</v>
      </c>
      <c r="H57" s="363">
        <v>18133000</v>
      </c>
      <c r="I57" s="363"/>
      <c r="J57" s="363">
        <v>18133000</v>
      </c>
      <c r="K57" s="364">
        <v>8</v>
      </c>
      <c r="L57" s="365">
        <v>0.313</v>
      </c>
      <c r="M57" s="364">
        <v>7</v>
      </c>
      <c r="N57" s="363">
        <v>3310783</v>
      </c>
      <c r="O57" s="363"/>
      <c r="P57" s="363">
        <v>3310783</v>
      </c>
      <c r="Q57" s="363">
        <v>14822217</v>
      </c>
      <c r="R57" s="465">
        <f t="shared" si="0"/>
        <v>1322197.9166666667</v>
      </c>
      <c r="S57" s="378"/>
      <c r="T57" s="465">
        <f t="shared" si="1"/>
        <v>4639353.9210000001</v>
      </c>
      <c r="U57" s="463">
        <f t="shared" si="2"/>
        <v>3187236.1437269999</v>
      </c>
      <c r="V57" s="463">
        <f t="shared" si="3"/>
        <v>2189631.2307404489</v>
      </c>
      <c r="W57" s="463">
        <f t="shared" si="4"/>
        <v>1504276.6555186883</v>
      </c>
      <c r="X57" s="463">
        <f t="shared" si="5"/>
        <v>1033438.062341339</v>
      </c>
      <c r="Y57" s="463">
        <f t="shared" si="6"/>
        <v>1852777.125</v>
      </c>
      <c r="Z57" s="378"/>
    </row>
    <row r="58" spans="1:26" s="366" customFormat="1" ht="24" customHeight="1">
      <c r="A58" s="359" t="s">
        <v>1325</v>
      </c>
      <c r="B58" s="360" t="s">
        <v>972</v>
      </c>
      <c r="C58" s="360" t="s">
        <v>1326</v>
      </c>
      <c r="D58" s="361" t="s">
        <v>189</v>
      </c>
      <c r="E58" s="362" t="s">
        <v>190</v>
      </c>
      <c r="F58" s="363"/>
      <c r="G58" s="363">
        <v>4014679</v>
      </c>
      <c r="H58" s="363">
        <v>4014679</v>
      </c>
      <c r="I58" s="363"/>
      <c r="J58" s="363">
        <v>4014679</v>
      </c>
      <c r="K58" s="364">
        <v>8</v>
      </c>
      <c r="L58" s="365">
        <v>0.313</v>
      </c>
      <c r="M58" s="364">
        <v>7</v>
      </c>
      <c r="N58" s="363">
        <v>733013</v>
      </c>
      <c r="O58" s="363"/>
      <c r="P58" s="363">
        <v>733013</v>
      </c>
      <c r="Q58" s="363">
        <v>3281666</v>
      </c>
      <c r="R58" s="465">
        <f t="shared" si="0"/>
        <v>292737.01041666669</v>
      </c>
      <c r="S58" s="378"/>
      <c r="T58" s="465">
        <f t="shared" si="1"/>
        <v>1027161.458</v>
      </c>
      <c r="U58" s="463">
        <f t="shared" si="2"/>
        <v>705659.921646</v>
      </c>
      <c r="V58" s="463">
        <f t="shared" si="3"/>
        <v>484788.36617080198</v>
      </c>
      <c r="W58" s="463">
        <f t="shared" si="4"/>
        <v>333049.60755934101</v>
      </c>
      <c r="X58" s="463">
        <f t="shared" si="5"/>
        <v>228805.08039326727</v>
      </c>
      <c r="Y58" s="463">
        <f t="shared" si="6"/>
        <v>410208.25</v>
      </c>
      <c r="Z58" s="378"/>
    </row>
    <row r="59" spans="1:26" s="366" customFormat="1" ht="24" customHeight="1">
      <c r="A59" s="359" t="s">
        <v>1327</v>
      </c>
      <c r="B59" s="360" t="s">
        <v>972</v>
      </c>
      <c r="C59" s="360" t="s">
        <v>1328</v>
      </c>
      <c r="D59" s="361" t="s">
        <v>189</v>
      </c>
      <c r="E59" s="362" t="s">
        <v>190</v>
      </c>
      <c r="F59" s="363"/>
      <c r="G59" s="363">
        <v>9452000</v>
      </c>
      <c r="H59" s="363">
        <v>9452000</v>
      </c>
      <c r="I59" s="363"/>
      <c r="J59" s="363">
        <v>9452000</v>
      </c>
      <c r="K59" s="364">
        <v>8</v>
      </c>
      <c r="L59" s="365">
        <v>0.313</v>
      </c>
      <c r="M59" s="364">
        <v>7</v>
      </c>
      <c r="N59" s="363">
        <v>1725777</v>
      </c>
      <c r="O59" s="363"/>
      <c r="P59" s="363">
        <v>1725777</v>
      </c>
      <c r="Q59" s="363">
        <v>7726223</v>
      </c>
      <c r="R59" s="465">
        <f t="shared" si="0"/>
        <v>689208.33333333337</v>
      </c>
      <c r="S59" s="378"/>
      <c r="T59" s="465">
        <f t="shared" si="1"/>
        <v>2418307.7990000001</v>
      </c>
      <c r="U59" s="463">
        <f t="shared" si="2"/>
        <v>1661377.4579129999</v>
      </c>
      <c r="V59" s="463">
        <f t="shared" si="3"/>
        <v>1141366.3135862309</v>
      </c>
      <c r="W59" s="463">
        <f t="shared" si="4"/>
        <v>784118.65743374056</v>
      </c>
      <c r="X59" s="463">
        <f t="shared" si="5"/>
        <v>538689.51765697973</v>
      </c>
      <c r="Y59" s="463">
        <f t="shared" si="6"/>
        <v>965777.875</v>
      </c>
      <c r="Z59" s="378"/>
    </row>
    <row r="60" spans="1:26" s="327" customFormat="1" ht="24" customHeight="1">
      <c r="A60" s="320" t="s">
        <v>1329</v>
      </c>
      <c r="B60" s="321" t="s">
        <v>968</v>
      </c>
      <c r="C60" s="321" t="s">
        <v>1330</v>
      </c>
      <c r="D60" s="322" t="s">
        <v>189</v>
      </c>
      <c r="E60" s="323" t="s">
        <v>190</v>
      </c>
      <c r="F60" s="324"/>
      <c r="G60" s="324">
        <v>7200000</v>
      </c>
      <c r="H60" s="324">
        <v>7200000</v>
      </c>
      <c r="I60" s="324"/>
      <c r="J60" s="324">
        <v>7200000</v>
      </c>
      <c r="K60" s="325">
        <v>8</v>
      </c>
      <c r="L60" s="326">
        <v>0.313</v>
      </c>
      <c r="M60" s="325">
        <v>7</v>
      </c>
      <c r="N60" s="324">
        <v>1314600</v>
      </c>
      <c r="O60" s="324"/>
      <c r="P60" s="324">
        <v>1314600</v>
      </c>
      <c r="Q60" s="324">
        <v>5885400</v>
      </c>
      <c r="R60" s="464">
        <f t="shared" si="0"/>
        <v>525000</v>
      </c>
      <c r="S60" s="377"/>
      <c r="T60" s="464">
        <f t="shared" si="1"/>
        <v>1842130.2</v>
      </c>
      <c r="U60" s="463">
        <f t="shared" si="2"/>
        <v>1265543.4473999999</v>
      </c>
      <c r="V60" s="463">
        <f t="shared" si="3"/>
        <v>869428.34836379997</v>
      </c>
      <c r="W60" s="463">
        <f t="shared" si="4"/>
        <v>597297.27532593056</v>
      </c>
      <c r="X60" s="463">
        <f t="shared" si="5"/>
        <v>410343.22814891429</v>
      </c>
      <c r="Y60" s="463">
        <f t="shared" si="6"/>
        <v>735675</v>
      </c>
      <c r="Z60" s="377"/>
    </row>
    <row r="61" spans="1:26" s="342" customFormat="1" ht="24" customHeight="1">
      <c r="A61" s="335" t="s">
        <v>1320</v>
      </c>
      <c r="B61" s="336" t="s">
        <v>970</v>
      </c>
      <c r="C61" s="336" t="s">
        <v>1321</v>
      </c>
      <c r="D61" s="337" t="s">
        <v>90</v>
      </c>
      <c r="E61" s="338" t="s">
        <v>90</v>
      </c>
      <c r="F61" s="339"/>
      <c r="G61" s="339">
        <v>8437500</v>
      </c>
      <c r="H61" s="339">
        <v>8437500</v>
      </c>
      <c r="I61" s="339"/>
      <c r="J61" s="339">
        <v>8437500</v>
      </c>
      <c r="K61" s="340">
        <v>8</v>
      </c>
      <c r="L61" s="341">
        <v>0.313</v>
      </c>
      <c r="M61" s="340">
        <v>8</v>
      </c>
      <c r="N61" s="339">
        <v>1760625</v>
      </c>
      <c r="O61" s="339"/>
      <c r="P61" s="339">
        <v>1760625</v>
      </c>
      <c r="Q61" s="339">
        <v>6676875</v>
      </c>
      <c r="R61" s="466">
        <f t="shared" si="0"/>
        <v>703125</v>
      </c>
      <c r="S61" s="379"/>
      <c r="T61" s="466">
        <f t="shared" si="1"/>
        <v>2089861.875</v>
      </c>
      <c r="U61" s="463">
        <f t="shared" si="2"/>
        <v>1435735.108125</v>
      </c>
      <c r="V61" s="463">
        <f t="shared" si="3"/>
        <v>986350.01928187488</v>
      </c>
      <c r="W61" s="463">
        <f t="shared" si="4"/>
        <v>677622.46324664808</v>
      </c>
      <c r="X61" s="463">
        <f t="shared" si="5"/>
        <v>465526.63225044718</v>
      </c>
      <c r="Y61" s="463">
        <f t="shared" si="6"/>
        <v>834609.375</v>
      </c>
      <c r="Z61" s="379"/>
    </row>
    <row r="62" spans="1:26" s="366" customFormat="1" ht="24" customHeight="1">
      <c r="A62" s="359" t="s">
        <v>126</v>
      </c>
      <c r="B62" s="360" t="s">
        <v>972</v>
      </c>
      <c r="C62" s="360" t="s">
        <v>1331</v>
      </c>
      <c r="D62" s="361" t="s">
        <v>189</v>
      </c>
      <c r="E62" s="362" t="s">
        <v>190</v>
      </c>
      <c r="F62" s="363"/>
      <c r="G62" s="363">
        <v>25334500</v>
      </c>
      <c r="H62" s="363">
        <v>25334500</v>
      </c>
      <c r="I62" s="363"/>
      <c r="J62" s="363">
        <v>25334500</v>
      </c>
      <c r="K62" s="364">
        <v>8</v>
      </c>
      <c r="L62" s="365">
        <v>0.313</v>
      </c>
      <c r="M62" s="364">
        <v>7</v>
      </c>
      <c r="N62" s="363">
        <v>4625657</v>
      </c>
      <c r="O62" s="363"/>
      <c r="P62" s="363">
        <v>4625657</v>
      </c>
      <c r="Q62" s="363">
        <v>20708843</v>
      </c>
      <c r="R62" s="465">
        <f t="shared" si="0"/>
        <v>1847307.2916666667</v>
      </c>
      <c r="S62" s="378"/>
      <c r="T62" s="465">
        <f t="shared" si="1"/>
        <v>6481867.8590000002</v>
      </c>
      <c r="U62" s="463">
        <f t="shared" si="2"/>
        <v>4453043.2191329999</v>
      </c>
      <c r="V62" s="463">
        <f t="shared" si="3"/>
        <v>3059240.6915443703</v>
      </c>
      <c r="W62" s="463">
        <f t="shared" si="4"/>
        <v>2101698.3550909823</v>
      </c>
      <c r="X62" s="463">
        <f t="shared" si="5"/>
        <v>1443866.7699475049</v>
      </c>
      <c r="Y62" s="463">
        <f t="shared" si="6"/>
        <v>2588605.375</v>
      </c>
      <c r="Z62" s="378"/>
    </row>
    <row r="63" spans="1:26" s="366" customFormat="1" ht="24" customHeight="1">
      <c r="A63" s="359" t="s">
        <v>1332</v>
      </c>
      <c r="B63" s="360" t="s">
        <v>972</v>
      </c>
      <c r="C63" s="360" t="s">
        <v>1333</v>
      </c>
      <c r="D63" s="361" t="s">
        <v>90</v>
      </c>
      <c r="E63" s="362" t="s">
        <v>90</v>
      </c>
      <c r="F63" s="363"/>
      <c r="G63" s="363">
        <v>14800000</v>
      </c>
      <c r="H63" s="363">
        <v>14800000</v>
      </c>
      <c r="I63" s="363"/>
      <c r="J63" s="363">
        <v>14800000</v>
      </c>
      <c r="K63" s="364">
        <v>8</v>
      </c>
      <c r="L63" s="365">
        <v>0.313</v>
      </c>
      <c r="M63" s="364">
        <v>7</v>
      </c>
      <c r="N63" s="363">
        <v>2702233</v>
      </c>
      <c r="O63" s="363"/>
      <c r="P63" s="363">
        <v>2702233</v>
      </c>
      <c r="Q63" s="363">
        <v>12097767</v>
      </c>
      <c r="R63" s="465">
        <f t="shared" si="0"/>
        <v>1079166.6666666667</v>
      </c>
      <c r="S63" s="378"/>
      <c r="T63" s="465">
        <f t="shared" si="1"/>
        <v>3786601.071</v>
      </c>
      <c r="U63" s="463">
        <f t="shared" si="2"/>
        <v>2601394.9357769997</v>
      </c>
      <c r="V63" s="463">
        <f t="shared" si="3"/>
        <v>1787158.3208787991</v>
      </c>
      <c r="W63" s="463">
        <f t="shared" si="4"/>
        <v>1227777.766443735</v>
      </c>
      <c r="X63" s="463">
        <f t="shared" si="5"/>
        <v>843483.32554684591</v>
      </c>
      <c r="Y63" s="463">
        <f t="shared" si="6"/>
        <v>1512220.875</v>
      </c>
      <c r="Z63" s="378"/>
    </row>
    <row r="64" spans="1:26" s="342" customFormat="1" ht="24" customHeight="1">
      <c r="A64" s="335" t="s">
        <v>1334</v>
      </c>
      <c r="B64" s="336" t="s">
        <v>970</v>
      </c>
      <c r="C64" s="336" t="s">
        <v>1331</v>
      </c>
      <c r="D64" s="337" t="s">
        <v>189</v>
      </c>
      <c r="E64" s="338" t="s">
        <v>190</v>
      </c>
      <c r="F64" s="339"/>
      <c r="G64" s="339">
        <v>23625000</v>
      </c>
      <c r="H64" s="339">
        <v>23625000</v>
      </c>
      <c r="I64" s="339"/>
      <c r="J64" s="339">
        <v>23625000</v>
      </c>
      <c r="K64" s="340">
        <v>8</v>
      </c>
      <c r="L64" s="341">
        <v>0.313</v>
      </c>
      <c r="M64" s="340">
        <v>7</v>
      </c>
      <c r="N64" s="339">
        <v>4313531</v>
      </c>
      <c r="O64" s="339"/>
      <c r="P64" s="339">
        <v>4313531</v>
      </c>
      <c r="Q64" s="339">
        <v>19311469</v>
      </c>
      <c r="R64" s="466">
        <f t="shared" si="0"/>
        <v>1722656.25</v>
      </c>
      <c r="S64" s="379"/>
      <c r="T64" s="466">
        <f t="shared" si="1"/>
        <v>6044489.7970000003</v>
      </c>
      <c r="U64" s="463">
        <f t="shared" si="2"/>
        <v>4152564.4905389999</v>
      </c>
      <c r="V64" s="463">
        <f t="shared" si="3"/>
        <v>2852811.8050002931</v>
      </c>
      <c r="W64" s="463">
        <f t="shared" si="4"/>
        <v>1959881.7100352014</v>
      </c>
      <c r="X64" s="463">
        <f t="shared" si="5"/>
        <v>1346438.7347941834</v>
      </c>
      <c r="Y64" s="463">
        <f t="shared" si="6"/>
        <v>2413933.625</v>
      </c>
      <c r="Z64" s="379"/>
    </row>
    <row r="65" spans="1:26" s="366" customFormat="1" ht="24" customHeight="1">
      <c r="A65" s="359" t="s">
        <v>29</v>
      </c>
      <c r="B65" s="360" t="s">
        <v>972</v>
      </c>
      <c r="C65" s="360" t="s">
        <v>1335</v>
      </c>
      <c r="D65" s="361" t="s">
        <v>189</v>
      </c>
      <c r="E65" s="362" t="s">
        <v>190</v>
      </c>
      <c r="F65" s="363"/>
      <c r="G65" s="363">
        <v>138000000</v>
      </c>
      <c r="H65" s="363">
        <v>138000000</v>
      </c>
      <c r="I65" s="363"/>
      <c r="J65" s="363">
        <v>138000000</v>
      </c>
      <c r="K65" s="364">
        <v>8</v>
      </c>
      <c r="L65" s="365">
        <v>0.313</v>
      </c>
      <c r="M65" s="364">
        <v>7</v>
      </c>
      <c r="N65" s="363">
        <v>25196500</v>
      </c>
      <c r="O65" s="363"/>
      <c r="P65" s="363">
        <v>25196500</v>
      </c>
      <c r="Q65" s="363">
        <v>112803500</v>
      </c>
      <c r="R65" s="465">
        <f t="shared" si="0"/>
        <v>10062500</v>
      </c>
      <c r="S65" s="378"/>
      <c r="T65" s="465">
        <f t="shared" si="1"/>
        <v>35307495.5</v>
      </c>
      <c r="U65" s="463">
        <f t="shared" si="2"/>
        <v>24256249.408500001</v>
      </c>
      <c r="V65" s="463">
        <f t="shared" si="3"/>
        <v>16664043.3436395</v>
      </c>
      <c r="W65" s="463">
        <f t="shared" si="4"/>
        <v>11448197.777080337</v>
      </c>
      <c r="X65" s="463">
        <f t="shared" si="5"/>
        <v>7864911.8728541918</v>
      </c>
      <c r="Y65" s="463">
        <f t="shared" si="6"/>
        <v>14100437.5</v>
      </c>
      <c r="Z65" s="378"/>
    </row>
    <row r="66" spans="1:26" s="366" customFormat="1" ht="24" customHeight="1">
      <c r="A66" s="359" t="s">
        <v>1336</v>
      </c>
      <c r="B66" s="360" t="s">
        <v>972</v>
      </c>
      <c r="C66" s="360" t="s">
        <v>1333</v>
      </c>
      <c r="D66" s="361" t="s">
        <v>189</v>
      </c>
      <c r="E66" s="362" t="s">
        <v>190</v>
      </c>
      <c r="F66" s="363"/>
      <c r="G66" s="363">
        <v>2250000</v>
      </c>
      <c r="H66" s="363">
        <v>2250000</v>
      </c>
      <c r="I66" s="363"/>
      <c r="J66" s="363">
        <v>2250000</v>
      </c>
      <c r="K66" s="364">
        <v>8</v>
      </c>
      <c r="L66" s="365">
        <v>0.313</v>
      </c>
      <c r="M66" s="364">
        <v>7</v>
      </c>
      <c r="N66" s="363">
        <v>410812</v>
      </c>
      <c r="O66" s="363"/>
      <c r="P66" s="363">
        <v>410812</v>
      </c>
      <c r="Q66" s="363">
        <v>1839188</v>
      </c>
      <c r="R66" s="465">
        <f t="shared" si="0"/>
        <v>164062.5</v>
      </c>
      <c r="S66" s="378"/>
      <c r="T66" s="465">
        <f t="shared" si="1"/>
        <v>575665.84400000004</v>
      </c>
      <c r="U66" s="463">
        <f t="shared" si="2"/>
        <v>395482.43482799997</v>
      </c>
      <c r="V66" s="463">
        <f t="shared" si="3"/>
        <v>271696.43272683601</v>
      </c>
      <c r="W66" s="463">
        <f t="shared" si="4"/>
        <v>186655.44928333632</v>
      </c>
      <c r="X66" s="463">
        <f t="shared" si="5"/>
        <v>128232.29365765207</v>
      </c>
      <c r="Y66" s="463">
        <f t="shared" si="6"/>
        <v>229898.5</v>
      </c>
      <c r="Z66" s="378"/>
    </row>
    <row r="67" spans="1:26" s="366" customFormat="1" ht="24" customHeight="1">
      <c r="A67" s="359" t="s">
        <v>146</v>
      </c>
      <c r="B67" s="360" t="s">
        <v>972</v>
      </c>
      <c r="C67" s="360" t="s">
        <v>1333</v>
      </c>
      <c r="D67" s="361" t="s">
        <v>189</v>
      </c>
      <c r="E67" s="362" t="s">
        <v>190</v>
      </c>
      <c r="F67" s="363"/>
      <c r="G67" s="363">
        <v>900000</v>
      </c>
      <c r="H67" s="363">
        <v>900000</v>
      </c>
      <c r="I67" s="363"/>
      <c r="J67" s="363">
        <v>900000</v>
      </c>
      <c r="K67" s="364">
        <v>8</v>
      </c>
      <c r="L67" s="365">
        <v>0.313</v>
      </c>
      <c r="M67" s="364">
        <v>7</v>
      </c>
      <c r="N67" s="363">
        <v>164325</v>
      </c>
      <c r="O67" s="363"/>
      <c r="P67" s="363">
        <v>164325</v>
      </c>
      <c r="Q67" s="363">
        <v>735675</v>
      </c>
      <c r="R67" s="465">
        <f t="shared" si="0"/>
        <v>65625</v>
      </c>
      <c r="S67" s="378"/>
      <c r="T67" s="465">
        <f t="shared" si="1"/>
        <v>230266.27499999999</v>
      </c>
      <c r="U67" s="463">
        <f t="shared" si="2"/>
        <v>158192.93092499999</v>
      </c>
      <c r="V67" s="463">
        <f t="shared" si="3"/>
        <v>108678.543545475</v>
      </c>
      <c r="W67" s="463">
        <f t="shared" si="4"/>
        <v>74662.15941574132</v>
      </c>
      <c r="X67" s="463">
        <f t="shared" si="5"/>
        <v>51292.903518614286</v>
      </c>
      <c r="Y67" s="463">
        <f t="shared" si="6"/>
        <v>91959.375</v>
      </c>
      <c r="Z67" s="378"/>
    </row>
    <row r="68" spans="1:26" s="366" customFormat="1" ht="24" customHeight="1">
      <c r="A68" s="359" t="s">
        <v>1337</v>
      </c>
      <c r="B68" s="360" t="s">
        <v>972</v>
      </c>
      <c r="C68" s="360" t="s">
        <v>1338</v>
      </c>
      <c r="D68" s="361" t="s">
        <v>189</v>
      </c>
      <c r="E68" s="362" t="s">
        <v>190</v>
      </c>
      <c r="F68" s="363"/>
      <c r="G68" s="363">
        <v>3022000</v>
      </c>
      <c r="H68" s="363">
        <v>3022000</v>
      </c>
      <c r="I68" s="363"/>
      <c r="J68" s="363">
        <v>3022000</v>
      </c>
      <c r="K68" s="364">
        <v>8</v>
      </c>
      <c r="L68" s="365">
        <v>0.313</v>
      </c>
      <c r="M68" s="364">
        <v>6</v>
      </c>
      <c r="N68" s="363">
        <v>472943</v>
      </c>
      <c r="O68" s="363"/>
      <c r="P68" s="363">
        <v>472943</v>
      </c>
      <c r="Q68" s="363">
        <v>2549057</v>
      </c>
      <c r="R68" s="465">
        <f t="shared" si="0"/>
        <v>188875</v>
      </c>
      <c r="S68" s="378"/>
      <c r="T68" s="465">
        <f t="shared" si="1"/>
        <v>797854.84100000001</v>
      </c>
      <c r="U68" s="463">
        <f t="shared" si="2"/>
        <v>548126.27576700004</v>
      </c>
      <c r="V68" s="463">
        <f t="shared" si="3"/>
        <v>376562.75145192904</v>
      </c>
      <c r="W68" s="463">
        <f t="shared" si="4"/>
        <v>258698.61024747521</v>
      </c>
      <c r="X68" s="463">
        <f t="shared" si="5"/>
        <v>177725.94524001546</v>
      </c>
      <c r="Y68" s="463">
        <f t="shared" si="6"/>
        <v>318632.125</v>
      </c>
      <c r="Z68" s="378"/>
    </row>
    <row r="69" spans="1:26" s="366" customFormat="1" ht="24" customHeight="1">
      <c r="A69" s="359" t="s">
        <v>1339</v>
      </c>
      <c r="B69" s="360" t="s">
        <v>972</v>
      </c>
      <c r="C69" s="360" t="s">
        <v>1340</v>
      </c>
      <c r="D69" s="361" t="s">
        <v>189</v>
      </c>
      <c r="E69" s="362" t="s">
        <v>190</v>
      </c>
      <c r="F69" s="363"/>
      <c r="G69" s="363">
        <v>1450000</v>
      </c>
      <c r="H69" s="363">
        <v>1450000</v>
      </c>
      <c r="I69" s="363"/>
      <c r="J69" s="363">
        <v>1450000</v>
      </c>
      <c r="K69" s="364">
        <v>8</v>
      </c>
      <c r="L69" s="365">
        <v>0.313</v>
      </c>
      <c r="M69" s="364">
        <v>5</v>
      </c>
      <c r="N69" s="363">
        <v>189104</v>
      </c>
      <c r="O69" s="363"/>
      <c r="P69" s="363">
        <v>189104</v>
      </c>
      <c r="Q69" s="363">
        <v>1260896</v>
      </c>
      <c r="R69" s="465">
        <f t="shared" si="0"/>
        <v>75520.833333333328</v>
      </c>
      <c r="S69" s="378"/>
      <c r="T69" s="465">
        <f t="shared" si="1"/>
        <v>394660.44799999997</v>
      </c>
      <c r="U69" s="463">
        <f t="shared" si="2"/>
        <v>271131.72777599999</v>
      </c>
      <c r="V69" s="463">
        <f t="shared" si="3"/>
        <v>186267.49698211203</v>
      </c>
      <c r="W69" s="463">
        <f t="shared" si="4"/>
        <v>127965.77042671095</v>
      </c>
      <c r="X69" s="463">
        <f t="shared" si="5"/>
        <v>87912.484283150421</v>
      </c>
      <c r="Y69" s="463">
        <f t="shared" si="6"/>
        <v>157612</v>
      </c>
      <c r="Z69" s="378"/>
    </row>
    <row r="70" spans="1:26" s="166" customFormat="1" ht="24" customHeight="1">
      <c r="A70" s="451" t="s">
        <v>1341</v>
      </c>
      <c r="B70" s="452" t="s">
        <v>966</v>
      </c>
      <c r="C70" s="452" t="s">
        <v>1342</v>
      </c>
      <c r="D70" s="453" t="s">
        <v>90</v>
      </c>
      <c r="E70" s="454" t="s">
        <v>90</v>
      </c>
      <c r="F70" s="455"/>
      <c r="G70" s="455">
        <v>2200000</v>
      </c>
      <c r="H70" s="455">
        <v>2200000</v>
      </c>
      <c r="I70" s="455"/>
      <c r="J70" s="455">
        <v>2200000</v>
      </c>
      <c r="K70" s="456">
        <v>8</v>
      </c>
      <c r="L70" s="457">
        <v>0.313</v>
      </c>
      <c r="M70" s="456">
        <v>4</v>
      </c>
      <c r="N70" s="455">
        <v>229533</v>
      </c>
      <c r="O70" s="455"/>
      <c r="P70" s="455">
        <v>229533</v>
      </c>
      <c r="Q70" s="455">
        <v>1970467</v>
      </c>
      <c r="R70" s="463">
        <f t="shared" si="0"/>
        <v>91666.666666666672</v>
      </c>
      <c r="S70" s="376"/>
      <c r="T70" s="463">
        <f t="shared" si="1"/>
        <v>616756.17099999997</v>
      </c>
      <c r="U70" s="463">
        <f t="shared" si="2"/>
        <v>423711.48947699997</v>
      </c>
      <c r="V70" s="463">
        <f t="shared" si="3"/>
        <v>291089.79327069898</v>
      </c>
      <c r="W70" s="463">
        <f t="shared" si="4"/>
        <v>199978.68797697019</v>
      </c>
      <c r="X70" s="463">
        <f t="shared" si="5"/>
        <v>137385.35864017851</v>
      </c>
      <c r="Y70" s="463">
        <f t="shared" si="6"/>
        <v>246308.375</v>
      </c>
      <c r="Z70" s="376"/>
    </row>
    <row r="71" spans="1:26" s="166" customFormat="1" ht="24" customHeight="1">
      <c r="A71" s="118" t="s">
        <v>1341</v>
      </c>
      <c r="B71" s="119" t="s">
        <v>966</v>
      </c>
      <c r="C71" s="119" t="s">
        <v>1343</v>
      </c>
      <c r="D71" s="120" t="s">
        <v>90</v>
      </c>
      <c r="E71" s="121" t="s">
        <v>90</v>
      </c>
      <c r="F71" s="117"/>
      <c r="G71" s="117">
        <v>2200000</v>
      </c>
      <c r="H71" s="117">
        <v>2200000</v>
      </c>
      <c r="I71" s="117"/>
      <c r="J71" s="117">
        <v>2200000</v>
      </c>
      <c r="K71" s="122">
        <v>8</v>
      </c>
      <c r="L71" s="123">
        <v>0.313</v>
      </c>
      <c r="M71" s="122">
        <v>2</v>
      </c>
      <c r="N71" s="117">
        <v>114766</v>
      </c>
      <c r="O71" s="117"/>
      <c r="P71" s="117">
        <v>114766</v>
      </c>
      <c r="Q71" s="117">
        <v>2085234</v>
      </c>
      <c r="R71" s="463">
        <f t="shared" si="0"/>
        <v>45833.333333333336</v>
      </c>
      <c r="S71" s="376"/>
      <c r="T71" s="463">
        <f t="shared" si="1"/>
        <v>652678.24199999997</v>
      </c>
      <c r="U71" s="463">
        <f t="shared" si="2"/>
        <v>448389.95225399995</v>
      </c>
      <c r="V71" s="463">
        <f t="shared" si="3"/>
        <v>308043.89719849802</v>
      </c>
      <c r="W71" s="463">
        <f t="shared" si="4"/>
        <v>211626.15737536814</v>
      </c>
      <c r="X71" s="463">
        <f t="shared" si="5"/>
        <v>145387.17011687788</v>
      </c>
      <c r="Y71" s="463">
        <f t="shared" si="6"/>
        <v>260654.25</v>
      </c>
      <c r="Z71" s="376"/>
    </row>
    <row r="72" spans="1:26" s="374" customFormat="1" ht="24" customHeight="1">
      <c r="A72" s="367" t="s">
        <v>1954</v>
      </c>
      <c r="B72" s="368" t="s">
        <v>974</v>
      </c>
      <c r="C72" s="368" t="s">
        <v>1955</v>
      </c>
      <c r="D72" s="369" t="s">
        <v>97</v>
      </c>
      <c r="E72" s="370" t="s">
        <v>90</v>
      </c>
      <c r="F72" s="371"/>
      <c r="G72" s="371">
        <v>680000</v>
      </c>
      <c r="H72" s="371">
        <v>680000</v>
      </c>
      <c r="I72" s="371"/>
      <c r="J72" s="371">
        <v>680000</v>
      </c>
      <c r="K72" s="372">
        <v>8</v>
      </c>
      <c r="L72" s="373">
        <v>0.313</v>
      </c>
      <c r="M72" s="372">
        <v>1</v>
      </c>
      <c r="N72" s="371">
        <v>17736</v>
      </c>
      <c r="O72" s="371"/>
      <c r="P72" s="371">
        <v>17736</v>
      </c>
      <c r="Q72" s="371">
        <v>662264</v>
      </c>
      <c r="R72" s="467">
        <f t="shared" si="0"/>
        <v>7083.333333333333</v>
      </c>
      <c r="S72" s="380"/>
      <c r="T72" s="467">
        <f t="shared" si="1"/>
        <v>207288.63200000001</v>
      </c>
      <c r="U72" s="463">
        <f t="shared" si="2"/>
        <v>142407.29018400001</v>
      </c>
      <c r="V72" s="463">
        <f t="shared" si="3"/>
        <v>97833.808356407986</v>
      </c>
      <c r="W72" s="463">
        <f t="shared" si="4"/>
        <v>67211.826340852291</v>
      </c>
      <c r="X72" s="463">
        <f t="shared" si="5"/>
        <v>46174.524696165528</v>
      </c>
      <c r="Y72" s="463">
        <f t="shared" si="6"/>
        <v>82783</v>
      </c>
      <c r="Z72" s="380"/>
    </row>
    <row r="73" spans="1:26" s="374" customFormat="1" ht="24" customHeight="1">
      <c r="A73" s="367" t="s">
        <v>1956</v>
      </c>
      <c r="B73" s="368" t="s">
        <v>974</v>
      </c>
      <c r="C73" s="368" t="s">
        <v>1957</v>
      </c>
      <c r="D73" s="369" t="s">
        <v>97</v>
      </c>
      <c r="E73" s="370" t="s">
        <v>90</v>
      </c>
      <c r="F73" s="371"/>
      <c r="G73" s="371">
        <v>1100000</v>
      </c>
      <c r="H73" s="371">
        <v>1100000</v>
      </c>
      <c r="I73" s="371"/>
      <c r="J73" s="371">
        <v>1100000</v>
      </c>
      <c r="K73" s="372">
        <v>8</v>
      </c>
      <c r="L73" s="373">
        <v>0.313</v>
      </c>
      <c r="M73" s="372">
        <v>3</v>
      </c>
      <c r="N73" s="371">
        <v>86075</v>
      </c>
      <c r="O73" s="371"/>
      <c r="P73" s="371">
        <v>86075</v>
      </c>
      <c r="Q73" s="371">
        <v>1013925</v>
      </c>
      <c r="R73" s="467">
        <f t="shared" si="0"/>
        <v>34375</v>
      </c>
      <c r="S73" s="380"/>
      <c r="T73" s="467">
        <f t="shared" si="1"/>
        <v>317358.52500000002</v>
      </c>
      <c r="U73" s="463">
        <f t="shared" si="2"/>
        <v>218025.306675</v>
      </c>
      <c r="V73" s="463">
        <f t="shared" si="3"/>
        <v>149783.38568572499</v>
      </c>
      <c r="W73" s="463">
        <f t="shared" si="4"/>
        <v>102901.18596609306</v>
      </c>
      <c r="X73" s="463">
        <f t="shared" si="5"/>
        <v>70693.114758705939</v>
      </c>
      <c r="Y73" s="463">
        <f t="shared" si="6"/>
        <v>126740.625</v>
      </c>
      <c r="Z73" s="380"/>
    </row>
    <row r="74" spans="1:26" s="366" customFormat="1" ht="24" customHeight="1">
      <c r="A74" s="359" t="s">
        <v>1315</v>
      </c>
      <c r="B74" s="360" t="s">
        <v>972</v>
      </c>
      <c r="C74" s="360" t="s">
        <v>1958</v>
      </c>
      <c r="D74" s="361" t="s">
        <v>97</v>
      </c>
      <c r="E74" s="362" t="s">
        <v>90</v>
      </c>
      <c r="F74" s="363"/>
      <c r="G74" s="363">
        <v>47414360</v>
      </c>
      <c r="H74" s="363">
        <v>47414360</v>
      </c>
      <c r="I74" s="363"/>
      <c r="J74" s="363">
        <v>47414360</v>
      </c>
      <c r="K74" s="364">
        <v>8</v>
      </c>
      <c r="L74" s="365">
        <v>0.313</v>
      </c>
      <c r="M74" s="364">
        <v>6</v>
      </c>
      <c r="N74" s="363">
        <v>7420347</v>
      </c>
      <c r="O74" s="363"/>
      <c r="P74" s="363">
        <v>7420347</v>
      </c>
      <c r="Q74" s="363">
        <v>39994013</v>
      </c>
      <c r="R74" s="465">
        <f t="shared" si="0"/>
        <v>2963397.5</v>
      </c>
      <c r="S74" s="378"/>
      <c r="T74" s="465">
        <f t="shared" si="1"/>
        <v>12518126.069</v>
      </c>
      <c r="U74" s="463">
        <f t="shared" si="2"/>
        <v>8599952.6094030011</v>
      </c>
      <c r="V74" s="463">
        <f t="shared" si="3"/>
        <v>5908167.4426598614</v>
      </c>
      <c r="W74" s="463">
        <f t="shared" si="4"/>
        <v>4058911.033107325</v>
      </c>
      <c r="X74" s="463">
        <f t="shared" si="5"/>
        <v>2788471.8797447318</v>
      </c>
      <c r="Y74" s="463">
        <f t="shared" si="6"/>
        <v>4999251.625</v>
      </c>
      <c r="Z74" s="378"/>
    </row>
    <row r="75" spans="1:26" s="366" customFormat="1" ht="24" customHeight="1">
      <c r="A75" s="359" t="s">
        <v>1959</v>
      </c>
      <c r="B75" s="360" t="s">
        <v>972</v>
      </c>
      <c r="C75" s="360" t="s">
        <v>1960</v>
      </c>
      <c r="D75" s="361" t="s">
        <v>97</v>
      </c>
      <c r="E75" s="362" t="s">
        <v>90</v>
      </c>
      <c r="F75" s="363"/>
      <c r="G75" s="363">
        <v>1980000</v>
      </c>
      <c r="H75" s="363">
        <v>1980000</v>
      </c>
      <c r="I75" s="363"/>
      <c r="J75" s="363">
        <v>1980000</v>
      </c>
      <c r="K75" s="364">
        <v>8</v>
      </c>
      <c r="L75" s="365">
        <v>0.313</v>
      </c>
      <c r="M75" s="364">
        <v>5</v>
      </c>
      <c r="N75" s="363">
        <v>258225</v>
      </c>
      <c r="O75" s="363"/>
      <c r="P75" s="363">
        <v>258225</v>
      </c>
      <c r="Q75" s="363">
        <v>1721775</v>
      </c>
      <c r="R75" s="465">
        <f t="shared" si="0"/>
        <v>103125</v>
      </c>
      <c r="S75" s="378"/>
      <c r="T75" s="465">
        <f t="shared" si="1"/>
        <v>538915.57499999995</v>
      </c>
      <c r="U75" s="463">
        <f t="shared" si="2"/>
        <v>370235.00002500002</v>
      </c>
      <c r="V75" s="463">
        <f t="shared" si="3"/>
        <v>254351.44501717502</v>
      </c>
      <c r="W75" s="463">
        <f t="shared" si="4"/>
        <v>174739.44272679923</v>
      </c>
      <c r="X75" s="463">
        <f t="shared" si="5"/>
        <v>120045.99715331108</v>
      </c>
      <c r="Y75" s="463">
        <f t="shared" si="6"/>
        <v>215221.875</v>
      </c>
      <c r="Z75" s="378"/>
    </row>
    <row r="76" spans="1:26" s="374" customFormat="1" ht="24" customHeight="1">
      <c r="A76" s="367" t="s">
        <v>1954</v>
      </c>
      <c r="B76" s="368" t="s">
        <v>974</v>
      </c>
      <c r="C76" s="368" t="s">
        <v>1955</v>
      </c>
      <c r="D76" s="369" t="s">
        <v>97</v>
      </c>
      <c r="E76" s="370" t="s">
        <v>90</v>
      </c>
      <c r="F76" s="371"/>
      <c r="G76" s="371">
        <v>680000</v>
      </c>
      <c r="H76" s="371">
        <v>680000</v>
      </c>
      <c r="I76" s="371"/>
      <c r="J76" s="371">
        <v>680000</v>
      </c>
      <c r="K76" s="372">
        <v>8</v>
      </c>
      <c r="L76" s="373">
        <v>0.313</v>
      </c>
      <c r="M76" s="372">
        <v>1</v>
      </c>
      <c r="N76" s="371">
        <v>17736</v>
      </c>
      <c r="O76" s="371"/>
      <c r="P76" s="371">
        <v>17736</v>
      </c>
      <c r="Q76" s="371">
        <v>662264</v>
      </c>
      <c r="R76" s="467">
        <f t="shared" si="0"/>
        <v>7083.333333333333</v>
      </c>
      <c r="S76" s="380"/>
      <c r="T76" s="467">
        <f t="shared" si="1"/>
        <v>207288.63200000001</v>
      </c>
      <c r="U76" s="463">
        <f t="shared" si="2"/>
        <v>142407.29018400001</v>
      </c>
      <c r="V76" s="463">
        <f t="shared" si="3"/>
        <v>97833.808356407986</v>
      </c>
      <c r="W76" s="463">
        <f t="shared" si="4"/>
        <v>67211.826340852291</v>
      </c>
      <c r="X76" s="463">
        <f t="shared" si="5"/>
        <v>46174.524696165528</v>
      </c>
      <c r="Y76" s="463">
        <f t="shared" si="6"/>
        <v>82783</v>
      </c>
      <c r="Z76" s="380"/>
    </row>
    <row r="77" spans="1:26" s="374" customFormat="1" ht="24" customHeight="1">
      <c r="A77" s="367" t="s">
        <v>1315</v>
      </c>
      <c r="B77" s="368" t="s">
        <v>974</v>
      </c>
      <c r="C77" s="368" t="s">
        <v>1961</v>
      </c>
      <c r="D77" s="369" t="s">
        <v>97</v>
      </c>
      <c r="E77" s="370" t="s">
        <v>90</v>
      </c>
      <c r="F77" s="371"/>
      <c r="G77" s="371">
        <v>12484459</v>
      </c>
      <c r="H77" s="371">
        <v>12484459</v>
      </c>
      <c r="I77" s="371"/>
      <c r="J77" s="371">
        <v>12484459</v>
      </c>
      <c r="K77" s="372">
        <v>8</v>
      </c>
      <c r="L77" s="373">
        <v>0.313</v>
      </c>
      <c r="M77" s="372">
        <v>1</v>
      </c>
      <c r="N77" s="371">
        <v>325636</v>
      </c>
      <c r="O77" s="371"/>
      <c r="P77" s="371">
        <v>325636</v>
      </c>
      <c r="Q77" s="371">
        <v>12158823</v>
      </c>
      <c r="R77" s="467">
        <f t="shared" si="0"/>
        <v>130046.44791666667</v>
      </c>
      <c r="S77" s="380"/>
      <c r="T77" s="467">
        <f t="shared" si="1"/>
        <v>3805711.5989999999</v>
      </c>
      <c r="U77" s="463">
        <f t="shared" si="2"/>
        <v>2614523.8685130002</v>
      </c>
      <c r="V77" s="463">
        <f t="shared" si="3"/>
        <v>1796177.897668431</v>
      </c>
      <c r="W77" s="463">
        <f t="shared" si="4"/>
        <v>1233974.2156982122</v>
      </c>
      <c r="X77" s="463">
        <f t="shared" si="5"/>
        <v>847740.2861846718</v>
      </c>
      <c r="Y77" s="463">
        <f t="shared" si="6"/>
        <v>1519852.875</v>
      </c>
      <c r="Z77" s="380"/>
    </row>
    <row r="78" spans="1:26" s="374" customFormat="1" ht="24" customHeight="1">
      <c r="A78" s="367" t="s">
        <v>126</v>
      </c>
      <c r="B78" s="368" t="s">
        <v>974</v>
      </c>
      <c r="C78" s="368" t="s">
        <v>1962</v>
      </c>
      <c r="D78" s="369" t="s">
        <v>97</v>
      </c>
      <c r="E78" s="370" t="s">
        <v>90</v>
      </c>
      <c r="F78" s="371"/>
      <c r="G78" s="371">
        <v>9480000</v>
      </c>
      <c r="H78" s="371">
        <v>9480000</v>
      </c>
      <c r="I78" s="371"/>
      <c r="J78" s="371">
        <v>9480000</v>
      </c>
      <c r="K78" s="372">
        <v>8</v>
      </c>
      <c r="L78" s="373">
        <v>0.313</v>
      </c>
      <c r="M78" s="372">
        <v>1</v>
      </c>
      <c r="N78" s="371">
        <v>247270</v>
      </c>
      <c r="O78" s="371"/>
      <c r="P78" s="371">
        <v>247270</v>
      </c>
      <c r="Q78" s="371">
        <v>9232730</v>
      </c>
      <c r="R78" s="467">
        <f t="shared" si="0"/>
        <v>98750</v>
      </c>
      <c r="S78" s="380"/>
      <c r="T78" s="467">
        <f t="shared" si="1"/>
        <v>2889844.49</v>
      </c>
      <c r="U78" s="463">
        <f t="shared" si="2"/>
        <v>1985323.16463</v>
      </c>
      <c r="V78" s="463">
        <f t="shared" si="3"/>
        <v>1363917.01410081</v>
      </c>
      <c r="W78" s="463">
        <f t="shared" si="4"/>
        <v>937010.98868725658</v>
      </c>
      <c r="X78" s="463">
        <f t="shared" si="5"/>
        <v>643726.54922814516</v>
      </c>
      <c r="Y78" s="463">
        <f t="shared" si="6"/>
        <v>1154091.25</v>
      </c>
      <c r="Z78" s="380"/>
    </row>
    <row r="79" spans="1:26" s="374" customFormat="1" ht="24" customHeight="1">
      <c r="A79" s="367" t="s">
        <v>1963</v>
      </c>
      <c r="B79" s="368" t="s">
        <v>973</v>
      </c>
      <c r="C79" s="368" t="s">
        <v>1964</v>
      </c>
      <c r="D79" s="369" t="s">
        <v>97</v>
      </c>
      <c r="E79" s="370" t="s">
        <v>90</v>
      </c>
      <c r="F79" s="371"/>
      <c r="G79" s="371">
        <v>21800000</v>
      </c>
      <c r="H79" s="371">
        <v>21800000</v>
      </c>
      <c r="I79" s="371"/>
      <c r="J79" s="371">
        <v>21800000</v>
      </c>
      <c r="K79" s="372">
        <v>8</v>
      </c>
      <c r="L79" s="373">
        <v>0.313</v>
      </c>
      <c r="M79" s="372">
        <v>1</v>
      </c>
      <c r="N79" s="371">
        <v>568616</v>
      </c>
      <c r="O79" s="371"/>
      <c r="P79" s="371">
        <v>568616</v>
      </c>
      <c r="Q79" s="371">
        <v>21231384</v>
      </c>
      <c r="R79" s="467">
        <f t="shared" si="0"/>
        <v>227083.33333333334</v>
      </c>
      <c r="S79" s="380"/>
      <c r="T79" s="467">
        <f t="shared" si="1"/>
        <v>6645423.1919999998</v>
      </c>
      <c r="U79" s="463">
        <f t="shared" si="2"/>
        <v>4565405.7329040002</v>
      </c>
      <c r="V79" s="463">
        <f t="shared" si="3"/>
        <v>3136433.7385050482</v>
      </c>
      <c r="W79" s="463">
        <f t="shared" si="4"/>
        <v>2154729.9783529676</v>
      </c>
      <c r="X79" s="463">
        <f t="shared" si="5"/>
        <v>1480299.4951284889</v>
      </c>
      <c r="Y79" s="463">
        <f t="shared" si="6"/>
        <v>2653923</v>
      </c>
      <c r="Z79" s="380"/>
    </row>
    <row r="80" spans="1:26" s="374" customFormat="1" ht="24" customHeight="1">
      <c r="A80" s="367" t="s">
        <v>146</v>
      </c>
      <c r="B80" s="368" t="s">
        <v>973</v>
      </c>
      <c r="C80" s="368" t="s">
        <v>1965</v>
      </c>
      <c r="D80" s="369" t="s">
        <v>97</v>
      </c>
      <c r="E80" s="370" t="s">
        <v>90</v>
      </c>
      <c r="F80" s="371"/>
      <c r="G80" s="371">
        <v>2650000</v>
      </c>
      <c r="H80" s="371">
        <v>2650000</v>
      </c>
      <c r="I80" s="371"/>
      <c r="J80" s="371">
        <v>2650000</v>
      </c>
      <c r="K80" s="372">
        <v>8</v>
      </c>
      <c r="L80" s="373">
        <v>0.313</v>
      </c>
      <c r="M80" s="372">
        <v>1</v>
      </c>
      <c r="N80" s="371">
        <v>69120</v>
      </c>
      <c r="O80" s="371"/>
      <c r="P80" s="371">
        <v>69120</v>
      </c>
      <c r="Q80" s="371">
        <v>2580880</v>
      </c>
      <c r="R80" s="467">
        <f t="shared" si="0"/>
        <v>27604.166666666668</v>
      </c>
      <c r="S80" s="380"/>
      <c r="T80" s="467">
        <f t="shared" si="1"/>
        <v>807815.44</v>
      </c>
      <c r="U80" s="463">
        <f t="shared" si="2"/>
        <v>554969.20727999997</v>
      </c>
      <c r="V80" s="463">
        <f t="shared" si="3"/>
        <v>381263.84540136001</v>
      </c>
      <c r="W80" s="463">
        <f t="shared" si="4"/>
        <v>261928.26179073437</v>
      </c>
      <c r="X80" s="463">
        <f t="shared" si="5"/>
        <v>179944.7158502345</v>
      </c>
      <c r="Y80" s="463">
        <f t="shared" si="6"/>
        <v>322610</v>
      </c>
      <c r="Z80" s="380"/>
    </row>
    <row r="81" spans="1:26" s="374" customFormat="1" ht="24" customHeight="1">
      <c r="A81" s="367" t="s">
        <v>146</v>
      </c>
      <c r="B81" s="368" t="s">
        <v>973</v>
      </c>
      <c r="C81" s="368" t="s">
        <v>1965</v>
      </c>
      <c r="D81" s="369" t="s">
        <v>97</v>
      </c>
      <c r="E81" s="370" t="s">
        <v>90</v>
      </c>
      <c r="F81" s="371"/>
      <c r="G81" s="371">
        <v>2967489</v>
      </c>
      <c r="H81" s="371">
        <v>2967489</v>
      </c>
      <c r="I81" s="371"/>
      <c r="J81" s="371">
        <v>2967489</v>
      </c>
      <c r="K81" s="372">
        <v>8</v>
      </c>
      <c r="L81" s="373">
        <v>0.313</v>
      </c>
      <c r="M81" s="372">
        <v>1</v>
      </c>
      <c r="N81" s="371">
        <v>77402</v>
      </c>
      <c r="O81" s="371"/>
      <c r="P81" s="371">
        <v>77402</v>
      </c>
      <c r="Q81" s="371">
        <v>2890087</v>
      </c>
      <c r="R81" s="467">
        <f t="shared" si="0"/>
        <v>30911.34375</v>
      </c>
      <c r="S81" s="380"/>
      <c r="T81" s="467">
        <f t="shared" si="1"/>
        <v>904597.23100000003</v>
      </c>
      <c r="U81" s="463">
        <f t="shared" si="2"/>
        <v>621458.29769699997</v>
      </c>
      <c r="V81" s="463">
        <f t="shared" si="3"/>
        <v>426941.85051783896</v>
      </c>
      <c r="W81" s="463">
        <f t="shared" si="4"/>
        <v>293309.05130575539</v>
      </c>
      <c r="X81" s="463">
        <f t="shared" si="5"/>
        <v>201503.31824705392</v>
      </c>
      <c r="Y81" s="463">
        <f t="shared" si="6"/>
        <v>361260.875</v>
      </c>
      <c r="Z81" s="380"/>
    </row>
    <row r="82" spans="1:26" s="374" customFormat="1" ht="24" customHeight="1">
      <c r="A82" s="367" t="s">
        <v>1966</v>
      </c>
      <c r="B82" s="368" t="s">
        <v>973</v>
      </c>
      <c r="C82" s="368" t="s">
        <v>1965</v>
      </c>
      <c r="D82" s="369" t="s">
        <v>97</v>
      </c>
      <c r="E82" s="370" t="s">
        <v>90</v>
      </c>
      <c r="F82" s="371"/>
      <c r="G82" s="371">
        <v>8025000</v>
      </c>
      <c r="H82" s="371">
        <v>8025000</v>
      </c>
      <c r="I82" s="371"/>
      <c r="J82" s="371">
        <v>8025000</v>
      </c>
      <c r="K82" s="372">
        <v>8</v>
      </c>
      <c r="L82" s="373">
        <v>0.313</v>
      </c>
      <c r="M82" s="372">
        <v>1</v>
      </c>
      <c r="N82" s="371">
        <v>209318</v>
      </c>
      <c r="O82" s="371"/>
      <c r="P82" s="371">
        <v>209318</v>
      </c>
      <c r="Q82" s="371">
        <v>7815682</v>
      </c>
      <c r="R82" s="467">
        <f t="shared" si="0"/>
        <v>83593.75</v>
      </c>
      <c r="S82" s="380"/>
      <c r="T82" s="467">
        <f t="shared" si="1"/>
        <v>2446308.466</v>
      </c>
      <c r="U82" s="463">
        <f t="shared" si="2"/>
        <v>1680613.9161419999</v>
      </c>
      <c r="V82" s="463">
        <f t="shared" si="3"/>
        <v>1154581.7603895541</v>
      </c>
      <c r="W82" s="463">
        <f t="shared" si="4"/>
        <v>793197.66938762355</v>
      </c>
      <c r="X82" s="463">
        <f t="shared" si="5"/>
        <v>544926.79886929737</v>
      </c>
      <c r="Y82" s="463">
        <f t="shared" si="6"/>
        <v>976960.25</v>
      </c>
      <c r="Z82" s="380"/>
    </row>
    <row r="83" spans="1:26" s="374" customFormat="1" ht="24" customHeight="1">
      <c r="A83" s="367" t="s">
        <v>1967</v>
      </c>
      <c r="B83" s="368" t="s">
        <v>973</v>
      </c>
      <c r="C83" s="368" t="s">
        <v>1965</v>
      </c>
      <c r="D83" s="369" t="s">
        <v>97</v>
      </c>
      <c r="E83" s="370" t="s">
        <v>90</v>
      </c>
      <c r="F83" s="371"/>
      <c r="G83" s="371">
        <v>3302400</v>
      </c>
      <c r="H83" s="371">
        <v>3302400</v>
      </c>
      <c r="I83" s="371"/>
      <c r="J83" s="371">
        <v>3302400</v>
      </c>
      <c r="K83" s="372">
        <v>8</v>
      </c>
      <c r="L83" s="373">
        <v>0.313</v>
      </c>
      <c r="M83" s="372">
        <v>1</v>
      </c>
      <c r="N83" s="371">
        <v>86137</v>
      </c>
      <c r="O83" s="371"/>
      <c r="P83" s="371">
        <v>86137</v>
      </c>
      <c r="Q83" s="371">
        <v>3216263</v>
      </c>
      <c r="R83" s="467">
        <f t="shared" si="0"/>
        <v>34400</v>
      </c>
      <c r="S83" s="380"/>
      <c r="T83" s="467">
        <f t="shared" si="1"/>
        <v>1006690.319</v>
      </c>
      <c r="U83" s="463">
        <f t="shared" si="2"/>
        <v>691596.24915299995</v>
      </c>
      <c r="V83" s="463">
        <f t="shared" si="3"/>
        <v>475126.62316811102</v>
      </c>
      <c r="W83" s="463">
        <f t="shared" si="4"/>
        <v>326411.99011649226</v>
      </c>
      <c r="X83" s="463">
        <f t="shared" si="5"/>
        <v>224245.03721003016</v>
      </c>
      <c r="Y83" s="463">
        <f t="shared" si="6"/>
        <v>402032.875</v>
      </c>
      <c r="Z83" s="380"/>
    </row>
    <row r="84" spans="1:26" s="374" customFormat="1" ht="24" customHeight="1">
      <c r="A84" s="367" t="s">
        <v>1968</v>
      </c>
      <c r="B84" s="368" t="s">
        <v>973</v>
      </c>
      <c r="C84" s="368" t="s">
        <v>1965</v>
      </c>
      <c r="D84" s="369" t="s">
        <v>97</v>
      </c>
      <c r="E84" s="370" t="s">
        <v>90</v>
      </c>
      <c r="F84" s="371"/>
      <c r="G84" s="371">
        <v>563000</v>
      </c>
      <c r="H84" s="371">
        <v>563000</v>
      </c>
      <c r="I84" s="371"/>
      <c r="J84" s="371">
        <v>563000</v>
      </c>
      <c r="K84" s="372">
        <v>8</v>
      </c>
      <c r="L84" s="373">
        <v>0.313</v>
      </c>
      <c r="M84" s="372">
        <v>1</v>
      </c>
      <c r="N84" s="371">
        <v>14684</v>
      </c>
      <c r="O84" s="371"/>
      <c r="P84" s="371">
        <v>14684</v>
      </c>
      <c r="Q84" s="371">
        <v>548316</v>
      </c>
      <c r="R84" s="467">
        <f t="shared" si="0"/>
        <v>5864.583333333333</v>
      </c>
      <c r="S84" s="380"/>
      <c r="T84" s="467">
        <f t="shared" si="1"/>
        <v>171622.908</v>
      </c>
      <c r="U84" s="463">
        <f t="shared" si="2"/>
        <v>117904.937796</v>
      </c>
      <c r="V84" s="463">
        <f t="shared" si="3"/>
        <v>81000.692265852005</v>
      </c>
      <c r="W84" s="463">
        <f t="shared" si="4"/>
        <v>55647.475586640328</v>
      </c>
      <c r="X84" s="463">
        <f t="shared" si="5"/>
        <v>38229.815728021909</v>
      </c>
      <c r="Y84" s="463">
        <f t="shared" si="6"/>
        <v>68539.5</v>
      </c>
      <c r="Z84" s="380"/>
    </row>
    <row r="85" spans="1:26" s="374" customFormat="1" ht="24" customHeight="1">
      <c r="A85" s="367" t="s">
        <v>1953</v>
      </c>
      <c r="B85" s="368" t="s">
        <v>973</v>
      </c>
      <c r="C85" s="368" t="s">
        <v>1969</v>
      </c>
      <c r="D85" s="369" t="s">
        <v>97</v>
      </c>
      <c r="E85" s="370" t="s">
        <v>90</v>
      </c>
      <c r="F85" s="371"/>
      <c r="G85" s="371">
        <v>161640000</v>
      </c>
      <c r="H85" s="371">
        <v>161640000</v>
      </c>
      <c r="I85" s="371"/>
      <c r="J85" s="371">
        <v>161640000</v>
      </c>
      <c r="K85" s="372">
        <v>8</v>
      </c>
      <c r="L85" s="373">
        <v>0.313</v>
      </c>
      <c r="M85" s="372">
        <v>1</v>
      </c>
      <c r="N85" s="371">
        <v>4216110</v>
      </c>
      <c r="O85" s="371"/>
      <c r="P85" s="371">
        <v>4216110</v>
      </c>
      <c r="Q85" s="371">
        <v>157423890</v>
      </c>
      <c r="R85" s="467">
        <f t="shared" si="0"/>
        <v>1683750</v>
      </c>
      <c r="S85" s="380"/>
      <c r="T85" s="467">
        <f t="shared" si="1"/>
        <v>49273677.57</v>
      </c>
      <c r="U85" s="463">
        <f t="shared" si="2"/>
        <v>33851016.490589999</v>
      </c>
      <c r="V85" s="463">
        <f t="shared" si="3"/>
        <v>23255648.329035331</v>
      </c>
      <c r="W85" s="463">
        <f t="shared" si="4"/>
        <v>15976630.402047273</v>
      </c>
      <c r="X85" s="463">
        <f t="shared" si="5"/>
        <v>10975945.086206475</v>
      </c>
      <c r="Y85" s="463">
        <f t="shared" si="6"/>
        <v>19677986.25</v>
      </c>
    </row>
    <row r="86" spans="1:26" s="374" customFormat="1" ht="24" customHeight="1">
      <c r="A86" s="367" t="s">
        <v>1970</v>
      </c>
      <c r="B86" s="368" t="s">
        <v>973</v>
      </c>
      <c r="C86" s="368" t="s">
        <v>1969</v>
      </c>
      <c r="D86" s="369" t="s">
        <v>97</v>
      </c>
      <c r="E86" s="370" t="s">
        <v>90</v>
      </c>
      <c r="F86" s="371"/>
      <c r="G86" s="371">
        <v>4100000</v>
      </c>
      <c r="H86" s="371">
        <v>4100000</v>
      </c>
      <c r="I86" s="371"/>
      <c r="J86" s="371">
        <v>4100000</v>
      </c>
      <c r="K86" s="372">
        <v>8</v>
      </c>
      <c r="L86" s="373">
        <v>0.313</v>
      </c>
      <c r="M86" s="372">
        <v>1</v>
      </c>
      <c r="N86" s="371">
        <v>106941</v>
      </c>
      <c r="O86" s="371"/>
      <c r="P86" s="371">
        <v>106941</v>
      </c>
      <c r="Q86" s="393">
        <v>3993059</v>
      </c>
      <c r="R86" s="467">
        <f t="shared" si="0"/>
        <v>42708.333333333336</v>
      </c>
      <c r="S86" s="380"/>
      <c r="T86" s="467">
        <f t="shared" si="1"/>
        <v>1249827.4669999999</v>
      </c>
      <c r="U86" s="463">
        <f t="shared" si="2"/>
        <v>858631.46982899995</v>
      </c>
      <c r="V86" s="463">
        <f t="shared" si="3"/>
        <v>589879.8197725229</v>
      </c>
      <c r="W86" s="463">
        <f t="shared" si="4"/>
        <v>405247.43618372327</v>
      </c>
      <c r="X86" s="463">
        <f t="shared" si="5"/>
        <v>278404.98865821789</v>
      </c>
      <c r="Y86" s="463">
        <f t="shared" si="6"/>
        <v>499132.375</v>
      </c>
    </row>
    <row r="87" spans="1:26" s="374" customFormat="1" ht="24" customHeight="1">
      <c r="A87" s="367" t="s">
        <v>1971</v>
      </c>
      <c r="B87" s="368" t="s">
        <v>973</v>
      </c>
      <c r="C87" s="368" t="s">
        <v>1972</v>
      </c>
      <c r="D87" s="369" t="s">
        <v>97</v>
      </c>
      <c r="E87" s="370" t="s">
        <v>90</v>
      </c>
      <c r="F87" s="371"/>
      <c r="G87" s="371">
        <v>680000</v>
      </c>
      <c r="H87" s="371">
        <v>680000</v>
      </c>
      <c r="I87" s="371"/>
      <c r="J87" s="371">
        <v>680000</v>
      </c>
      <c r="K87" s="372">
        <v>8</v>
      </c>
      <c r="L87" s="373">
        <v>0.313</v>
      </c>
      <c r="M87" s="372">
        <v>1</v>
      </c>
      <c r="N87" s="371">
        <v>17736</v>
      </c>
      <c r="O87" s="371"/>
      <c r="P87" s="371">
        <v>17736</v>
      </c>
      <c r="Q87" s="393">
        <v>662264</v>
      </c>
      <c r="R87" s="467">
        <f t="shared" si="0"/>
        <v>7083.333333333333</v>
      </c>
      <c r="S87" s="380"/>
      <c r="T87" s="467">
        <f t="shared" si="1"/>
        <v>207288.63200000001</v>
      </c>
      <c r="U87" s="463">
        <f t="shared" si="2"/>
        <v>142407.29018400001</v>
      </c>
      <c r="V87" s="463">
        <f t="shared" si="3"/>
        <v>97833.808356407986</v>
      </c>
      <c r="W87" s="463">
        <f t="shared" si="4"/>
        <v>67211.826340852291</v>
      </c>
      <c r="X87" s="463">
        <f t="shared" si="5"/>
        <v>46174.524696165528</v>
      </c>
      <c r="Y87" s="463">
        <f t="shared" si="6"/>
        <v>82783</v>
      </c>
    </row>
    <row r="88" spans="1:26" ht="24" customHeight="1">
      <c r="A88" s="102" t="s">
        <v>155</v>
      </c>
      <c r="B88" s="103"/>
      <c r="C88" s="103" t="s">
        <v>90</v>
      </c>
      <c r="D88" s="104" t="s">
        <v>90</v>
      </c>
      <c r="E88" s="105" t="s">
        <v>90</v>
      </c>
      <c r="F88" s="106">
        <v>415859885</v>
      </c>
      <c r="G88" s="106">
        <v>914475642</v>
      </c>
      <c r="H88" s="106">
        <v>1330335527</v>
      </c>
      <c r="I88" s="106">
        <v>62986540</v>
      </c>
      <c r="J88" s="106">
        <v>1267348987</v>
      </c>
      <c r="K88" s="103"/>
      <c r="L88" s="107"/>
      <c r="M88" s="103"/>
      <c r="N88" s="106">
        <v>268551452</v>
      </c>
      <c r="O88" s="106"/>
      <c r="P88" s="106">
        <v>331537992</v>
      </c>
      <c r="Q88" s="394">
        <v>998797535</v>
      </c>
      <c r="V88" s="469"/>
      <c r="W88" s="469"/>
      <c r="X88" s="469"/>
      <c r="Y88" s="469"/>
      <c r="Z88" s="165"/>
    </row>
    <row r="89" spans="1:26" ht="24" customHeight="1" thickBot="1">
      <c r="A89" s="225"/>
      <c r="B89" s="399"/>
      <c r="C89" s="399"/>
      <c r="D89" s="400"/>
      <c r="E89" s="401"/>
      <c r="F89" s="402"/>
      <c r="G89" s="402"/>
      <c r="H89" s="402"/>
      <c r="I89" s="402"/>
      <c r="J89" s="402"/>
      <c r="K89" s="399"/>
      <c r="L89" s="403"/>
      <c r="M89" s="399"/>
      <c r="N89" s="402" t="b">
        <f>N88=N90</f>
        <v>1</v>
      </c>
      <c r="O89" s="402"/>
      <c r="P89" s="402" t="b">
        <f>P88=P90</f>
        <v>1</v>
      </c>
      <c r="Q89" s="395"/>
      <c r="V89" s="469"/>
      <c r="W89" s="469"/>
      <c r="X89" s="469"/>
      <c r="Y89" s="469"/>
      <c r="Z89" s="165"/>
    </row>
    <row r="90" spans="1:26" ht="24" customHeight="1">
      <c r="A90" s="396"/>
      <c r="B90" s="423" t="s">
        <v>2188</v>
      </c>
      <c r="C90" s="424"/>
      <c r="D90" s="424"/>
      <c r="E90" s="425"/>
      <c r="F90" s="426"/>
      <c r="G90" s="426"/>
      <c r="H90" s="426">
        <f>H88</f>
        <v>1330335527</v>
      </c>
      <c r="I90" s="426"/>
      <c r="J90" s="426"/>
      <c r="K90" s="424"/>
      <c r="L90" s="426"/>
      <c r="M90" s="424"/>
      <c r="N90" s="426">
        <f>SUM(N91:N96)</f>
        <v>268551452</v>
      </c>
      <c r="O90" s="426"/>
      <c r="P90" s="426">
        <f>SUM(P91:P96)</f>
        <v>331537992</v>
      </c>
      <c r="Q90" s="397"/>
      <c r="R90" s="426">
        <f>SUM(R91:R96)</f>
        <v>115122309.69791667</v>
      </c>
      <c r="S90" s="470">
        <f>N90-R90</f>
        <v>153429142.30208331</v>
      </c>
      <c r="T90" s="426">
        <f t="shared" ref="T90:Y90" si="7">SUM(T91:T96)</f>
        <v>312623628.45499998</v>
      </c>
      <c r="U90" s="426">
        <f t="shared" si="7"/>
        <v>214772432.74858502</v>
      </c>
      <c r="V90" s="426">
        <f t="shared" si="7"/>
        <v>147548661.29827791</v>
      </c>
      <c r="W90" s="426">
        <f t="shared" si="7"/>
        <v>101365930.31191692</v>
      </c>
      <c r="X90" s="426">
        <f t="shared" si="7"/>
        <v>69638394.124286905</v>
      </c>
      <c r="Y90" s="426">
        <f t="shared" si="7"/>
        <v>124849691.875</v>
      </c>
      <c r="Z90" s="165"/>
    </row>
    <row r="91" spans="1:26" ht="24" customHeight="1">
      <c r="A91" s="396"/>
      <c r="B91" s="413" t="s">
        <v>2014</v>
      </c>
      <c r="C91" s="414"/>
      <c r="D91" s="414"/>
      <c r="E91" s="415"/>
      <c r="F91" s="416"/>
      <c r="G91" s="416"/>
      <c r="H91" s="416">
        <v>0</v>
      </c>
      <c r="I91" s="416"/>
      <c r="J91" s="416"/>
      <c r="K91" s="414"/>
      <c r="L91" s="416"/>
      <c r="M91" s="414"/>
      <c r="N91" s="416">
        <v>0</v>
      </c>
      <c r="O91" s="416"/>
      <c r="P91" s="417">
        <v>0</v>
      </c>
      <c r="Q91" s="397"/>
      <c r="R91" s="416">
        <v>0</v>
      </c>
      <c r="S91" s="470">
        <f t="shared" ref="S91:S96" si="8">N91-R91</f>
        <v>0</v>
      </c>
      <c r="T91" s="416">
        <v>0</v>
      </c>
      <c r="U91" s="416">
        <v>0</v>
      </c>
      <c r="V91" s="416">
        <v>0</v>
      </c>
      <c r="W91" s="416">
        <v>0</v>
      </c>
      <c r="X91" s="416">
        <v>0</v>
      </c>
      <c r="Y91" s="416">
        <v>0</v>
      </c>
      <c r="Z91" s="165"/>
    </row>
    <row r="92" spans="1:26" ht="24" customHeight="1">
      <c r="A92" s="396"/>
      <c r="B92" s="413" t="s">
        <v>966</v>
      </c>
      <c r="C92" s="414"/>
      <c r="D92" s="414"/>
      <c r="E92" s="415"/>
      <c r="F92" s="416"/>
      <c r="G92" s="416"/>
      <c r="H92" s="416">
        <f>SUM(H25:H34)+H56+H70+H71</f>
        <v>162281229</v>
      </c>
      <c r="I92" s="416"/>
      <c r="J92" s="416"/>
      <c r="K92" s="414"/>
      <c r="L92" s="416"/>
      <c r="M92" s="414"/>
      <c r="N92" s="416">
        <f>SUM(N25:N34)+N56+N70+N71</f>
        <v>36765495</v>
      </c>
      <c r="O92" s="416"/>
      <c r="P92" s="416">
        <f>SUM(P25:P34)+P56+P70+P71</f>
        <v>76968393</v>
      </c>
      <c r="Q92" s="397"/>
      <c r="R92" s="416">
        <f>SUM(R25:R34)+R56+R70+R71</f>
        <v>19708070.291666668</v>
      </c>
      <c r="S92" s="470">
        <f t="shared" si="8"/>
        <v>17057424.708333332</v>
      </c>
      <c r="T92" s="416">
        <f t="shared" ref="T92:Y92" si="9">SUM(T25:T34)+T56+T70+T71</f>
        <v>26702917.667999998</v>
      </c>
      <c r="U92" s="416">
        <f t="shared" si="9"/>
        <v>18344904.437916003</v>
      </c>
      <c r="V92" s="416">
        <f t="shared" si="9"/>
        <v>12602949.348848293</v>
      </c>
      <c r="W92" s="416">
        <f t="shared" si="9"/>
        <v>8658226.2026587762</v>
      </c>
      <c r="X92" s="416">
        <f t="shared" si="9"/>
        <v>5948201.4012265801</v>
      </c>
      <c r="Y92" s="416">
        <f t="shared" si="9"/>
        <v>10664104.5</v>
      </c>
      <c r="Z92" s="165"/>
    </row>
    <row r="93" spans="1:26" ht="24" customHeight="1">
      <c r="A93" s="396"/>
      <c r="B93" s="413" t="s">
        <v>968</v>
      </c>
      <c r="C93" s="414"/>
      <c r="D93" s="414"/>
      <c r="E93" s="415"/>
      <c r="F93" s="416"/>
      <c r="G93" s="416"/>
      <c r="H93" s="416">
        <f>SUM(H35:H42)+H55+H60</f>
        <v>284316156</v>
      </c>
      <c r="I93" s="416"/>
      <c r="J93" s="416"/>
      <c r="K93" s="414"/>
      <c r="L93" s="416"/>
      <c r="M93" s="414"/>
      <c r="N93" s="416">
        <f>SUM(N35:N42)+N55+N60</f>
        <v>79336111</v>
      </c>
      <c r="O93" s="416"/>
      <c r="P93" s="417">
        <f>SUM(P35:P42)+P55+P60</f>
        <v>102119753</v>
      </c>
      <c r="Q93" s="397"/>
      <c r="R93" s="416">
        <f>SUM(R35:R42)+R55+R60</f>
        <v>34531707</v>
      </c>
      <c r="S93" s="470">
        <f t="shared" si="8"/>
        <v>44804404</v>
      </c>
      <c r="T93" s="416">
        <f t="shared" ref="T93:Y93" si="10">SUM(T35:T42)+T55+T60</f>
        <v>57027474.138999999</v>
      </c>
      <c r="U93" s="416">
        <f t="shared" si="10"/>
        <v>39177874.733493</v>
      </c>
      <c r="V93" s="416">
        <f t="shared" si="10"/>
        <v>26915199.941909693</v>
      </c>
      <c r="W93" s="416">
        <f t="shared" si="10"/>
        <v>18490742.360091958</v>
      </c>
      <c r="X93" s="416">
        <f t="shared" si="10"/>
        <v>12703140.001383172</v>
      </c>
      <c r="Y93" s="416">
        <f t="shared" si="10"/>
        <v>22774550.375</v>
      </c>
      <c r="Z93" s="165"/>
    </row>
    <row r="94" spans="1:26" ht="24" customHeight="1">
      <c r="A94" s="396"/>
      <c r="B94" s="413" t="s">
        <v>970</v>
      </c>
      <c r="C94" s="414"/>
      <c r="D94" s="414"/>
      <c r="E94" s="415"/>
      <c r="F94" s="416"/>
      <c r="G94" s="416"/>
      <c r="H94" s="416">
        <f>SUM(H44:H48)+SUM(H50:H52)+H54+H61+H64</f>
        <v>297003327</v>
      </c>
      <c r="I94" s="416"/>
      <c r="J94" s="416"/>
      <c r="K94" s="414"/>
      <c r="L94" s="416"/>
      <c r="M94" s="414"/>
      <c r="N94" s="416">
        <f>SUM(N44:N48)+SUM(N50:N52)+N54+N61+N64</f>
        <v>75992569</v>
      </c>
      <c r="O94" s="416"/>
      <c r="P94" s="417">
        <f>SUM(P44:P48)+SUM(P50:P52)+P54+P61+P64</f>
        <v>75992569</v>
      </c>
      <c r="Q94" s="398"/>
      <c r="R94" s="416">
        <f>SUM(R44:R48)+SUM(R50:R52)+R54+R61+R64</f>
        <v>30348471.5625</v>
      </c>
      <c r="S94" s="470">
        <f t="shared" si="8"/>
        <v>45644097.4375</v>
      </c>
      <c r="T94" s="416">
        <f t="shared" ref="T94:Y94" si="11">SUM(T44:T48)+SUM(T50:T52)+T54+T61+T64</f>
        <v>69176367.254000008</v>
      </c>
      <c r="U94" s="416">
        <f t="shared" si="11"/>
        <v>47524164.303498</v>
      </c>
      <c r="V94" s="416">
        <f t="shared" si="11"/>
        <v>32649100.876503125</v>
      </c>
      <c r="W94" s="416">
        <f t="shared" si="11"/>
        <v>22429932.302157648</v>
      </c>
      <c r="X94" s="416">
        <f t="shared" si="11"/>
        <v>15409363.491582304</v>
      </c>
      <c r="Y94" s="416">
        <f t="shared" si="11"/>
        <v>27626344.75</v>
      </c>
    </row>
    <row r="95" spans="1:26" ht="24" customHeight="1">
      <c r="A95" s="396"/>
      <c r="B95" s="413" t="s">
        <v>972</v>
      </c>
      <c r="C95" s="414"/>
      <c r="D95" s="414"/>
      <c r="E95" s="415"/>
      <c r="F95" s="416"/>
      <c r="G95" s="416"/>
      <c r="H95" s="416">
        <f>H43+H49+H53+SUM(H57:H59)+H62+H63+SUM(H65:H69)+H74+H75</f>
        <v>356582467</v>
      </c>
      <c r="I95" s="416"/>
      <c r="J95" s="416"/>
      <c r="K95" s="414"/>
      <c r="L95" s="416"/>
      <c r="M95" s="414"/>
      <c r="N95" s="416">
        <f>N43+N49+N53+SUM(N57:N59)+N62+N63+SUM(N65:N69)+N74+N75</f>
        <v>70396760</v>
      </c>
      <c r="O95" s="416"/>
      <c r="P95" s="416">
        <f>P43+P49+P53+SUM(P57:P59)+P62+P63+SUM(P65:P69)+P74+P75</f>
        <v>70396760</v>
      </c>
      <c r="Q95" s="398"/>
      <c r="R95" s="416">
        <f>R43+R49+R53+SUM(R57:R59)+R62+R63+SUM(R65:R69)+R74+R75</f>
        <v>28113723.885416664</v>
      </c>
      <c r="S95" s="470">
        <f t="shared" si="8"/>
        <v>42283036.114583336</v>
      </c>
      <c r="T95" s="416">
        <f t="shared" ref="T95:Y95" si="12">T43+T49+T53+SUM(T57:T59)+T62+T63+SUM(T65:T69)+T74+T75</f>
        <v>89576126.290999994</v>
      </c>
      <c r="U95" s="416">
        <f t="shared" si="12"/>
        <v>61538798.761916995</v>
      </c>
      <c r="V95" s="416">
        <f t="shared" si="12"/>
        <v>42277154.749436982</v>
      </c>
      <c r="W95" s="416">
        <f t="shared" si="12"/>
        <v>29044405.312863208</v>
      </c>
      <c r="X95" s="416">
        <f t="shared" si="12"/>
        <v>19953506.449937019</v>
      </c>
      <c r="Y95" s="416">
        <f t="shared" si="12"/>
        <v>35773213.375</v>
      </c>
    </row>
    <row r="96" spans="1:26" ht="24" customHeight="1" thickBot="1">
      <c r="A96" s="396"/>
      <c r="B96" s="418" t="s">
        <v>974</v>
      </c>
      <c r="C96" s="419"/>
      <c r="D96" s="419"/>
      <c r="E96" s="420"/>
      <c r="F96" s="421"/>
      <c r="G96" s="421"/>
      <c r="H96" s="421">
        <f>SUM(H72:H73)+SUM(H76:H87)</f>
        <v>230152348</v>
      </c>
      <c r="I96" s="421"/>
      <c r="J96" s="421"/>
      <c r="K96" s="419"/>
      <c r="L96" s="421"/>
      <c r="M96" s="419"/>
      <c r="N96" s="421">
        <f>SUM(N72:N73)+SUM(N76:N87)</f>
        <v>6060517</v>
      </c>
      <c r="O96" s="421"/>
      <c r="P96" s="422">
        <f>SUM(P72:P73)+SUM(P76:P87)</f>
        <v>6060517</v>
      </c>
      <c r="Q96" s="398"/>
      <c r="R96" s="421">
        <f>SUM(R72:R73)+SUM(R76:R87)</f>
        <v>2420336.958333334</v>
      </c>
      <c r="S96" s="470">
        <f t="shared" si="8"/>
        <v>3640180.041666666</v>
      </c>
      <c r="T96" s="421">
        <f t="shared" ref="T96:Y96" si="13">SUM(T72:T73)+SUM(T76:T87)</f>
        <v>70140743.103</v>
      </c>
      <c r="U96" s="421">
        <f t="shared" si="13"/>
        <v>48186690.511761002</v>
      </c>
      <c r="V96" s="421">
        <f t="shared" si="13"/>
        <v>33104256.381579809</v>
      </c>
      <c r="W96" s="421">
        <f t="shared" si="13"/>
        <v>22742624.134145327</v>
      </c>
      <c r="X96" s="421">
        <f t="shared" si="13"/>
        <v>15624182.780157838</v>
      </c>
      <c r="Y96" s="421">
        <f t="shared" si="13"/>
        <v>28011478.875</v>
      </c>
    </row>
    <row r="97" spans="1:26" ht="24" customHeight="1">
      <c r="A97" s="396"/>
      <c r="B97" s="409"/>
      <c r="C97" s="409"/>
      <c r="D97" s="409"/>
      <c r="E97" s="410"/>
      <c r="F97" s="411"/>
      <c r="G97" s="411"/>
      <c r="H97" s="411"/>
      <c r="I97" s="411"/>
      <c r="J97" s="411"/>
      <c r="K97" s="409"/>
      <c r="L97" s="412"/>
      <c r="M97" s="409"/>
      <c r="N97" s="411"/>
      <c r="O97" s="411"/>
      <c r="P97" s="411"/>
      <c r="Q97" s="398"/>
    </row>
    <row r="98" spans="1:26" ht="24" customHeight="1">
      <c r="A98" s="225"/>
      <c r="B98" s="404"/>
      <c r="C98" s="404"/>
      <c r="D98" s="405"/>
      <c r="E98" s="406"/>
      <c r="F98" s="407"/>
      <c r="G98" s="407"/>
      <c r="H98" s="407"/>
      <c r="I98" s="407"/>
      <c r="J98" s="407"/>
      <c r="K98" s="404"/>
      <c r="L98" s="408"/>
      <c r="M98" s="404"/>
      <c r="N98" s="407"/>
      <c r="O98" s="407"/>
      <c r="P98" s="407"/>
      <c r="Q98" s="229"/>
    </row>
    <row r="99" spans="1:26" ht="24" customHeight="1">
      <c r="A99" s="225"/>
      <c r="B99" s="226"/>
      <c r="C99" s="226"/>
      <c r="D99" s="227"/>
      <c r="E99" s="228"/>
      <c r="F99" s="229"/>
      <c r="G99" s="229"/>
      <c r="H99" s="229"/>
      <c r="I99" s="229"/>
      <c r="J99" s="229"/>
      <c r="K99" s="226"/>
      <c r="L99" s="375"/>
      <c r="M99" s="226"/>
      <c r="N99" s="229"/>
      <c r="O99" s="229"/>
      <c r="P99" s="229"/>
      <c r="Q99" s="229"/>
    </row>
    <row r="100" spans="1:26" ht="24" customHeight="1">
      <c r="A100" s="432" t="s">
        <v>2006</v>
      </c>
      <c r="B100" s="226"/>
      <c r="C100" s="226"/>
      <c r="D100" s="227"/>
      <c r="E100" s="228"/>
      <c r="F100" s="229"/>
      <c r="G100" s="229"/>
      <c r="H100" s="229"/>
      <c r="I100" s="229"/>
      <c r="J100" s="229"/>
      <c r="K100" s="226"/>
      <c r="L100" s="375"/>
      <c r="M100" s="226"/>
      <c r="N100" s="229"/>
      <c r="O100" s="229"/>
      <c r="P100" s="229"/>
      <c r="Q100" s="229"/>
    </row>
    <row r="101" spans="1:26" ht="24" customHeight="1">
      <c r="A101" s="95" t="s">
        <v>156</v>
      </c>
      <c r="B101" s="96"/>
      <c r="C101" s="96" t="s">
        <v>157</v>
      </c>
      <c r="D101" s="97" t="s">
        <v>97</v>
      </c>
      <c r="E101" s="98" t="s">
        <v>90</v>
      </c>
      <c r="F101" s="99">
        <v>6070000</v>
      </c>
      <c r="G101" s="99"/>
      <c r="H101" s="99">
        <v>6070000</v>
      </c>
      <c r="I101" s="99">
        <v>3489032</v>
      </c>
      <c r="J101" s="99">
        <v>2580968</v>
      </c>
      <c r="K101" s="100">
        <v>5</v>
      </c>
      <c r="L101" s="101">
        <v>0.45100000000000001</v>
      </c>
      <c r="M101" s="100">
        <v>12</v>
      </c>
      <c r="N101" s="99">
        <v>1164016</v>
      </c>
      <c r="O101" s="99"/>
      <c r="P101" s="99">
        <v>4653048</v>
      </c>
      <c r="Q101" s="99">
        <v>1416952</v>
      </c>
      <c r="V101" s="469"/>
      <c r="W101" s="469"/>
      <c r="X101" s="469"/>
      <c r="Y101" s="469"/>
      <c r="Z101" s="165"/>
    </row>
    <row r="102" spans="1:26" s="166" customFormat="1" ht="24" customHeight="1">
      <c r="A102" s="118" t="s">
        <v>158</v>
      </c>
      <c r="B102" s="119" t="s">
        <v>966</v>
      </c>
      <c r="C102" s="119" t="s">
        <v>159</v>
      </c>
      <c r="D102" s="120" t="s">
        <v>97</v>
      </c>
      <c r="E102" s="121" t="s">
        <v>90</v>
      </c>
      <c r="F102" s="117">
        <v>8850000</v>
      </c>
      <c r="G102" s="117"/>
      <c r="H102" s="117">
        <v>8850000</v>
      </c>
      <c r="I102" s="117">
        <v>2993512</v>
      </c>
      <c r="J102" s="117">
        <v>5856488</v>
      </c>
      <c r="K102" s="122">
        <v>5</v>
      </c>
      <c r="L102" s="123">
        <v>0.45100000000000001</v>
      </c>
      <c r="M102" s="122">
        <v>12</v>
      </c>
      <c r="N102" s="117">
        <v>2641276</v>
      </c>
      <c r="O102" s="117"/>
      <c r="P102" s="117">
        <v>5634788</v>
      </c>
      <c r="Q102" s="117">
        <v>3215212</v>
      </c>
      <c r="R102" s="463">
        <f t="shared" ref="R102:R108" si="14">(F102+G102)/K102*M102/12</f>
        <v>1770000</v>
      </c>
      <c r="S102" s="376"/>
      <c r="T102" s="463">
        <f t="shared" ref="T102:T108" si="15">Q102*L102</f>
        <v>1450060.612</v>
      </c>
      <c r="U102" s="463">
        <f t="shared" ref="U102:U108" si="16">(Q102-T102)*L102</f>
        <v>796083.27598799998</v>
      </c>
      <c r="V102" s="463">
        <f t="shared" ref="V102:V108" si="17">(Q102-T102-U102)*L102</f>
        <v>437049.71851741202</v>
      </c>
      <c r="W102" s="463">
        <f t="shared" ref="W102:W108" si="18">(Q102-T102-U102-V102)*L102</f>
        <v>239940.29546605924</v>
      </c>
      <c r="X102" s="463">
        <f t="shared" ref="X102:X108" si="19">(Q102-T102-U102-V102-W102)*L102</f>
        <v>131727.22221086652</v>
      </c>
      <c r="Y102" s="463">
        <f t="shared" ref="Y102:Y108" si="20">Q102/K102</f>
        <v>643042.4</v>
      </c>
    </row>
    <row r="103" spans="1:26" s="327" customFormat="1" ht="24" customHeight="1">
      <c r="A103" s="320" t="s">
        <v>160</v>
      </c>
      <c r="B103" s="321" t="s">
        <v>968</v>
      </c>
      <c r="C103" s="321" t="s">
        <v>161</v>
      </c>
      <c r="D103" s="322" t="s">
        <v>90</v>
      </c>
      <c r="E103" s="323" t="s">
        <v>90</v>
      </c>
      <c r="F103" s="324">
        <v>19757338</v>
      </c>
      <c r="G103" s="324"/>
      <c r="H103" s="324">
        <v>19757338</v>
      </c>
      <c r="I103" s="324">
        <v>1485093</v>
      </c>
      <c r="J103" s="324">
        <v>18272245</v>
      </c>
      <c r="K103" s="325">
        <v>5</v>
      </c>
      <c r="L103" s="326">
        <v>0.45100000000000001</v>
      </c>
      <c r="M103" s="325">
        <v>12</v>
      </c>
      <c r="N103" s="324">
        <v>8240782</v>
      </c>
      <c r="O103" s="324"/>
      <c r="P103" s="324">
        <v>9725875</v>
      </c>
      <c r="Q103" s="324">
        <v>10031463</v>
      </c>
      <c r="R103" s="464">
        <f t="shared" si="14"/>
        <v>3951467.6</v>
      </c>
      <c r="S103" s="377"/>
      <c r="T103" s="463">
        <f t="shared" si="15"/>
        <v>4524189.8130000001</v>
      </c>
      <c r="U103" s="463">
        <f t="shared" si="16"/>
        <v>2483780.2073369999</v>
      </c>
      <c r="V103" s="463">
        <f t="shared" si="17"/>
        <v>1363595.3338280129</v>
      </c>
      <c r="W103" s="463">
        <f t="shared" si="18"/>
        <v>748613.83827157912</v>
      </c>
      <c r="X103" s="463">
        <f t="shared" si="19"/>
        <v>410988.99721109698</v>
      </c>
      <c r="Y103" s="463">
        <f t="shared" si="20"/>
        <v>2006292.6</v>
      </c>
    </row>
    <row r="104" spans="1:26" s="342" customFormat="1" ht="24" customHeight="1">
      <c r="A104" s="335" t="s">
        <v>1344</v>
      </c>
      <c r="B104" s="336" t="s">
        <v>970</v>
      </c>
      <c r="C104" s="336" t="s">
        <v>1345</v>
      </c>
      <c r="D104" s="337" t="s">
        <v>189</v>
      </c>
      <c r="E104" s="338" t="s">
        <v>190</v>
      </c>
      <c r="F104" s="339"/>
      <c r="G104" s="339">
        <v>5848000</v>
      </c>
      <c r="H104" s="339">
        <v>5848000</v>
      </c>
      <c r="I104" s="339"/>
      <c r="J104" s="339">
        <v>5848000</v>
      </c>
      <c r="K104" s="340">
        <v>5</v>
      </c>
      <c r="L104" s="341">
        <v>0.45100000000000001</v>
      </c>
      <c r="M104" s="340">
        <v>10</v>
      </c>
      <c r="N104" s="339">
        <v>2197873</v>
      </c>
      <c r="O104" s="339"/>
      <c r="P104" s="339">
        <v>2197873</v>
      </c>
      <c r="Q104" s="339">
        <v>3650127</v>
      </c>
      <c r="R104" s="466">
        <f t="shared" si="14"/>
        <v>974666.66666666663</v>
      </c>
      <c r="S104" s="379"/>
      <c r="T104" s="463">
        <f t="shared" si="15"/>
        <v>1646207.277</v>
      </c>
      <c r="U104" s="463">
        <f t="shared" si="16"/>
        <v>903767.79507300002</v>
      </c>
      <c r="V104" s="463">
        <f t="shared" si="17"/>
        <v>496168.51949507702</v>
      </c>
      <c r="W104" s="463">
        <f t="shared" si="18"/>
        <v>272396.51720279729</v>
      </c>
      <c r="X104" s="463">
        <f t="shared" si="19"/>
        <v>149545.68794433572</v>
      </c>
      <c r="Y104" s="463">
        <f t="shared" si="20"/>
        <v>730025.4</v>
      </c>
    </row>
    <row r="105" spans="1:26" s="342" customFormat="1" ht="24" customHeight="1">
      <c r="A105" s="335" t="s">
        <v>1346</v>
      </c>
      <c r="B105" s="336" t="s">
        <v>970</v>
      </c>
      <c r="C105" s="336" t="s">
        <v>1345</v>
      </c>
      <c r="D105" s="337" t="s">
        <v>189</v>
      </c>
      <c r="E105" s="338" t="s">
        <v>190</v>
      </c>
      <c r="F105" s="339"/>
      <c r="G105" s="339">
        <v>8050000</v>
      </c>
      <c r="H105" s="339">
        <v>8050000</v>
      </c>
      <c r="I105" s="339"/>
      <c r="J105" s="339">
        <v>8050000</v>
      </c>
      <c r="K105" s="340">
        <v>5</v>
      </c>
      <c r="L105" s="341">
        <v>0.45100000000000001</v>
      </c>
      <c r="M105" s="340">
        <v>10</v>
      </c>
      <c r="N105" s="339">
        <v>3025458</v>
      </c>
      <c r="O105" s="339"/>
      <c r="P105" s="339">
        <v>3025458</v>
      </c>
      <c r="Q105" s="339">
        <v>5024542</v>
      </c>
      <c r="R105" s="466">
        <f t="shared" si="14"/>
        <v>1341666.6666666667</v>
      </c>
      <c r="S105" s="379"/>
      <c r="T105" s="463">
        <f t="shared" si="15"/>
        <v>2266068.4420000003</v>
      </c>
      <c r="U105" s="463">
        <f t="shared" si="16"/>
        <v>1244071.5746579999</v>
      </c>
      <c r="V105" s="463">
        <f t="shared" si="17"/>
        <v>682995.29448724189</v>
      </c>
      <c r="W105" s="463">
        <f t="shared" si="18"/>
        <v>374964.41667349584</v>
      </c>
      <c r="X105" s="463">
        <f t="shared" si="19"/>
        <v>205855.4647537492</v>
      </c>
      <c r="Y105" s="463">
        <f t="shared" si="20"/>
        <v>1004908.4</v>
      </c>
    </row>
    <row r="106" spans="1:26" s="166" customFormat="1" ht="24" customHeight="1">
      <c r="A106" s="118" t="s">
        <v>162</v>
      </c>
      <c r="B106" s="119" t="s">
        <v>966</v>
      </c>
      <c r="C106" s="119" t="s">
        <v>163</v>
      </c>
      <c r="D106" s="120" t="s">
        <v>97</v>
      </c>
      <c r="E106" s="121" t="s">
        <v>90</v>
      </c>
      <c r="F106" s="117">
        <v>2409090</v>
      </c>
      <c r="G106" s="117"/>
      <c r="H106" s="117">
        <v>2409090</v>
      </c>
      <c r="I106" s="117">
        <v>452708</v>
      </c>
      <c r="J106" s="117">
        <v>1956382</v>
      </c>
      <c r="K106" s="122">
        <v>5</v>
      </c>
      <c r="L106" s="123">
        <v>0.45100000000000001</v>
      </c>
      <c r="M106" s="122">
        <v>12</v>
      </c>
      <c r="N106" s="117">
        <v>882328</v>
      </c>
      <c r="O106" s="117"/>
      <c r="P106" s="117">
        <v>1335036</v>
      </c>
      <c r="Q106" s="117">
        <v>1074054</v>
      </c>
      <c r="R106" s="463">
        <f t="shared" si="14"/>
        <v>481818</v>
      </c>
      <c r="S106" s="376"/>
      <c r="T106" s="463">
        <f t="shared" si="15"/>
        <v>484398.35399999999</v>
      </c>
      <c r="U106" s="463">
        <f t="shared" si="16"/>
        <v>265934.69634600001</v>
      </c>
      <c r="V106" s="463">
        <f t="shared" si="17"/>
        <v>145998.14829395397</v>
      </c>
      <c r="W106" s="463">
        <f t="shared" si="18"/>
        <v>80152.983413380731</v>
      </c>
      <c r="X106" s="463">
        <f t="shared" si="19"/>
        <v>44003.987893946025</v>
      </c>
      <c r="Y106" s="463">
        <f t="shared" si="20"/>
        <v>214810.8</v>
      </c>
      <c r="Z106" s="376"/>
    </row>
    <row r="107" spans="1:26" s="342" customFormat="1" ht="24" customHeight="1">
      <c r="A107" s="335" t="s">
        <v>2205</v>
      </c>
      <c r="B107" s="336" t="s">
        <v>970</v>
      </c>
      <c r="C107" s="336" t="s">
        <v>1347</v>
      </c>
      <c r="D107" s="337" t="s">
        <v>189</v>
      </c>
      <c r="E107" s="338" t="s">
        <v>190</v>
      </c>
      <c r="F107" s="339"/>
      <c r="G107" s="339">
        <v>4500000</v>
      </c>
      <c r="H107" s="339">
        <v>4500000</v>
      </c>
      <c r="I107" s="339"/>
      <c r="J107" s="339">
        <v>4500000</v>
      </c>
      <c r="K107" s="340">
        <v>5</v>
      </c>
      <c r="L107" s="341">
        <v>0.45100000000000001</v>
      </c>
      <c r="M107" s="340">
        <v>8</v>
      </c>
      <c r="N107" s="339">
        <v>1353000</v>
      </c>
      <c r="O107" s="339"/>
      <c r="P107" s="339">
        <v>1353000</v>
      </c>
      <c r="Q107" s="339">
        <v>3147000</v>
      </c>
      <c r="R107" s="466">
        <f t="shared" si="14"/>
        <v>600000</v>
      </c>
      <c r="S107" s="379"/>
      <c r="T107" s="463">
        <f t="shared" si="15"/>
        <v>1419297</v>
      </c>
      <c r="U107" s="463">
        <f t="shared" si="16"/>
        <v>779194.05300000007</v>
      </c>
      <c r="V107" s="463">
        <f t="shared" si="17"/>
        <v>427777.53509699996</v>
      </c>
      <c r="W107" s="463">
        <f t="shared" si="18"/>
        <v>234849.86676825301</v>
      </c>
      <c r="X107" s="463">
        <f t="shared" si="19"/>
        <v>128932.57685577087</v>
      </c>
      <c r="Y107" s="463">
        <f t="shared" si="20"/>
        <v>629400</v>
      </c>
      <c r="Z107" s="379"/>
    </row>
    <row r="108" spans="1:26" s="374" customFormat="1" ht="24" customHeight="1">
      <c r="A108" s="367" t="s">
        <v>1348</v>
      </c>
      <c r="B108" s="368" t="s">
        <v>974</v>
      </c>
      <c r="C108" s="368" t="s">
        <v>1349</v>
      </c>
      <c r="D108" s="369" t="s">
        <v>90</v>
      </c>
      <c r="E108" s="370" t="s">
        <v>90</v>
      </c>
      <c r="F108" s="371"/>
      <c r="G108" s="371">
        <v>1750000</v>
      </c>
      <c r="H108" s="371">
        <v>1750000</v>
      </c>
      <c r="I108" s="371"/>
      <c r="J108" s="371">
        <v>1750000</v>
      </c>
      <c r="K108" s="372">
        <v>5</v>
      </c>
      <c r="L108" s="373">
        <v>0.45100000000000001</v>
      </c>
      <c r="M108" s="372">
        <v>3</v>
      </c>
      <c r="N108" s="371">
        <v>197312</v>
      </c>
      <c r="O108" s="371"/>
      <c r="P108" s="371">
        <v>197312</v>
      </c>
      <c r="Q108" s="371">
        <v>1552688</v>
      </c>
      <c r="R108" s="467">
        <f t="shared" si="14"/>
        <v>87500</v>
      </c>
      <c r="S108" s="380"/>
      <c r="T108" s="463">
        <f t="shared" si="15"/>
        <v>700262.28800000006</v>
      </c>
      <c r="U108" s="463">
        <f t="shared" si="16"/>
        <v>384443.99611199996</v>
      </c>
      <c r="V108" s="463">
        <f t="shared" si="17"/>
        <v>211059.75386548799</v>
      </c>
      <c r="W108" s="463">
        <f t="shared" si="18"/>
        <v>115871.8048721529</v>
      </c>
      <c r="X108" s="463">
        <f t="shared" si="19"/>
        <v>63613.620874811939</v>
      </c>
      <c r="Y108" s="463">
        <f t="shared" si="20"/>
        <v>310537.59999999998</v>
      </c>
      <c r="Z108" s="380"/>
    </row>
    <row r="109" spans="1:26" ht="24" customHeight="1">
      <c r="A109" s="95" t="s">
        <v>1350</v>
      </c>
      <c r="B109" s="96"/>
      <c r="C109" s="96" t="s">
        <v>1349</v>
      </c>
      <c r="D109" s="97" t="s">
        <v>90</v>
      </c>
      <c r="E109" s="98" t="s">
        <v>90</v>
      </c>
      <c r="F109" s="99"/>
      <c r="G109" s="99">
        <v>1700000</v>
      </c>
      <c r="H109" s="99">
        <v>1700000</v>
      </c>
      <c r="I109" s="99"/>
      <c r="J109" s="99">
        <v>1700000</v>
      </c>
      <c r="K109" s="100">
        <v>5</v>
      </c>
      <c r="L109" s="101">
        <v>0.45100000000000001</v>
      </c>
      <c r="M109" s="100">
        <v>3</v>
      </c>
      <c r="N109" s="99">
        <v>191675</v>
      </c>
      <c r="O109" s="99"/>
      <c r="P109" s="99">
        <v>191675</v>
      </c>
      <c r="Q109" s="99">
        <v>1508325</v>
      </c>
    </row>
    <row r="110" spans="1:26" ht="24" customHeight="1">
      <c r="A110" s="95" t="s">
        <v>1351</v>
      </c>
      <c r="B110" s="96"/>
      <c r="C110" s="96" t="s">
        <v>1349</v>
      </c>
      <c r="D110" s="97" t="s">
        <v>90</v>
      </c>
      <c r="E110" s="98" t="s">
        <v>90</v>
      </c>
      <c r="F110" s="99"/>
      <c r="G110" s="99">
        <v>9866182</v>
      </c>
      <c r="H110" s="99">
        <v>9866182</v>
      </c>
      <c r="I110" s="99"/>
      <c r="J110" s="99">
        <v>9866182</v>
      </c>
      <c r="K110" s="100">
        <v>5</v>
      </c>
      <c r="L110" s="101">
        <v>0.45100000000000001</v>
      </c>
      <c r="M110" s="100">
        <v>3</v>
      </c>
      <c r="N110" s="99">
        <v>1112412</v>
      </c>
      <c r="O110" s="99"/>
      <c r="P110" s="99">
        <v>1112412</v>
      </c>
      <c r="Q110" s="99">
        <v>8753770</v>
      </c>
    </row>
    <row r="111" spans="1:26" s="342" customFormat="1" ht="24" customHeight="1">
      <c r="A111" s="335" t="s">
        <v>1973</v>
      </c>
      <c r="B111" s="336" t="s">
        <v>970</v>
      </c>
      <c r="C111" s="336" t="s">
        <v>1974</v>
      </c>
      <c r="D111" s="337" t="s">
        <v>97</v>
      </c>
      <c r="E111" s="338" t="s">
        <v>90</v>
      </c>
      <c r="F111" s="339"/>
      <c r="G111" s="339">
        <v>1827273</v>
      </c>
      <c r="H111" s="339">
        <v>1827273</v>
      </c>
      <c r="I111" s="339"/>
      <c r="J111" s="339">
        <v>1827273</v>
      </c>
      <c r="K111" s="340">
        <v>5</v>
      </c>
      <c r="L111" s="341">
        <v>0.45100000000000001</v>
      </c>
      <c r="M111" s="340">
        <v>6</v>
      </c>
      <c r="N111" s="339">
        <v>412050</v>
      </c>
      <c r="O111" s="339"/>
      <c r="P111" s="339">
        <v>412050</v>
      </c>
      <c r="Q111" s="339">
        <v>1415223</v>
      </c>
      <c r="R111" s="466">
        <f>(F111+G111)/K111*M111/12</f>
        <v>182727.29999999996</v>
      </c>
      <c r="S111" s="379"/>
      <c r="T111" s="463">
        <f>Q111*L111</f>
        <v>638265.57299999997</v>
      </c>
      <c r="U111" s="463">
        <f>(Q111-T111)*L111</f>
        <v>350407.79957700003</v>
      </c>
      <c r="V111" s="463">
        <f>(Q111-T111-U111)*L111</f>
        <v>192373.88196777299</v>
      </c>
      <c r="W111" s="463">
        <f>(Q111-T111-U111-V111)*L111</f>
        <v>105613.26120030739</v>
      </c>
      <c r="X111" s="463">
        <f>(Q111-T111-U111-V111-W111)*L111</f>
        <v>57981.680398968747</v>
      </c>
      <c r="Y111" s="463">
        <f>Q111/K111</f>
        <v>283044.59999999998</v>
      </c>
      <c r="Z111" s="379"/>
    </row>
    <row r="112" spans="1:26" ht="24" customHeight="1">
      <c r="A112" s="95" t="s">
        <v>164</v>
      </c>
      <c r="B112" s="96"/>
      <c r="C112" s="96" t="s">
        <v>165</v>
      </c>
      <c r="D112" s="97" t="s">
        <v>90</v>
      </c>
      <c r="E112" s="98" t="s">
        <v>90</v>
      </c>
      <c r="F112" s="99">
        <v>9618000</v>
      </c>
      <c r="G112" s="99"/>
      <c r="H112" s="99">
        <v>9618000</v>
      </c>
      <c r="I112" s="99">
        <v>9617000</v>
      </c>
      <c r="J112" s="99">
        <v>1000</v>
      </c>
      <c r="K112" s="100">
        <v>5</v>
      </c>
      <c r="L112" s="101">
        <v>0.45100000000000001</v>
      </c>
      <c r="M112" s="100">
        <v>12</v>
      </c>
      <c r="N112" s="99"/>
      <c r="O112" s="99"/>
      <c r="P112" s="99">
        <v>9617000</v>
      </c>
      <c r="Q112" s="99">
        <v>1000</v>
      </c>
    </row>
    <row r="113" spans="1:26" s="342" customFormat="1" ht="24" customHeight="1">
      <c r="A113" s="335" t="s">
        <v>1973</v>
      </c>
      <c r="B113" s="336" t="s">
        <v>970</v>
      </c>
      <c r="C113" s="336" t="s">
        <v>1974</v>
      </c>
      <c r="D113" s="337" t="s">
        <v>97</v>
      </c>
      <c r="E113" s="338" t="s">
        <v>90</v>
      </c>
      <c r="F113" s="339"/>
      <c r="G113" s="339">
        <v>2018181</v>
      </c>
      <c r="H113" s="339">
        <v>2018181</v>
      </c>
      <c r="I113" s="339"/>
      <c r="J113" s="339">
        <v>2018181</v>
      </c>
      <c r="K113" s="340">
        <v>5</v>
      </c>
      <c r="L113" s="341">
        <v>0.45100000000000001</v>
      </c>
      <c r="M113" s="340">
        <v>6</v>
      </c>
      <c r="N113" s="339">
        <v>455099</v>
      </c>
      <c r="O113" s="339"/>
      <c r="P113" s="339">
        <v>455099</v>
      </c>
      <c r="Q113" s="339">
        <v>1563082</v>
      </c>
      <c r="R113" s="466">
        <f>(F113+G113)/K113*M113/12</f>
        <v>201818.1</v>
      </c>
      <c r="S113" s="379"/>
      <c r="T113" s="463">
        <f>Q113*L113</f>
        <v>704949.98200000008</v>
      </c>
      <c r="U113" s="463">
        <f>(Q113-T113)*L113</f>
        <v>387017.540118</v>
      </c>
      <c r="V113" s="463">
        <f>(Q113-T113-U113)*L113</f>
        <v>212472.62952478198</v>
      </c>
      <c r="W113" s="463">
        <f>(Q113-T113-U113-V113)*L113</f>
        <v>116647.47360910529</v>
      </c>
      <c r="X113" s="463">
        <f>(Q113-T113-U113-V113-W113)*L113</f>
        <v>64039.463011398802</v>
      </c>
      <c r="Y113" s="463">
        <f>Q113/K113</f>
        <v>312616.40000000002</v>
      </c>
      <c r="Z113" s="379"/>
    </row>
    <row r="114" spans="1:26" ht="24" customHeight="1">
      <c r="A114" s="108" t="s">
        <v>166</v>
      </c>
      <c r="B114" s="109"/>
      <c r="C114" s="109" t="s">
        <v>167</v>
      </c>
      <c r="D114" s="110" t="s">
        <v>90</v>
      </c>
      <c r="E114" s="111" t="s">
        <v>90</v>
      </c>
      <c r="F114" s="112">
        <v>5312000</v>
      </c>
      <c r="G114" s="112"/>
      <c r="H114" s="112">
        <v>5312000</v>
      </c>
      <c r="I114" s="112">
        <v>5311000</v>
      </c>
      <c r="J114" s="112">
        <v>1000</v>
      </c>
      <c r="K114" s="113">
        <v>5</v>
      </c>
      <c r="L114" s="114">
        <v>0.45100000000000001</v>
      </c>
      <c r="M114" s="113">
        <v>12</v>
      </c>
      <c r="N114" s="112"/>
      <c r="O114" s="112"/>
      <c r="P114" s="112">
        <v>5311000</v>
      </c>
      <c r="Q114" s="112">
        <v>1000</v>
      </c>
    </row>
    <row r="115" spans="1:26" s="374" customFormat="1" ht="24" customHeight="1">
      <c r="A115" s="367" t="s">
        <v>1975</v>
      </c>
      <c r="B115" s="368" t="s">
        <v>974</v>
      </c>
      <c r="C115" s="368" t="s">
        <v>1965</v>
      </c>
      <c r="D115" s="369" t="s">
        <v>97</v>
      </c>
      <c r="E115" s="370" t="s">
        <v>90</v>
      </c>
      <c r="F115" s="371"/>
      <c r="G115" s="371">
        <v>3160000</v>
      </c>
      <c r="H115" s="371">
        <v>3160000</v>
      </c>
      <c r="I115" s="371"/>
      <c r="J115" s="371">
        <v>3160000</v>
      </c>
      <c r="K115" s="372">
        <v>5</v>
      </c>
      <c r="L115" s="373">
        <v>0.45100000000000001</v>
      </c>
      <c r="M115" s="372">
        <v>1</v>
      </c>
      <c r="N115" s="371">
        <v>118763</v>
      </c>
      <c r="O115" s="371"/>
      <c r="P115" s="371">
        <v>118763</v>
      </c>
      <c r="Q115" s="371">
        <v>3041237</v>
      </c>
      <c r="R115" s="467">
        <f>(F115+G115)/K115*M115/12</f>
        <v>52666.666666666664</v>
      </c>
      <c r="S115" s="380"/>
      <c r="T115" s="463">
        <f>Q115*L115</f>
        <v>1371597.8870000001</v>
      </c>
      <c r="U115" s="463">
        <f>(Q115-T115)*L115</f>
        <v>753007.23996299994</v>
      </c>
      <c r="V115" s="463">
        <f>(Q115-T115-U115)*L115</f>
        <v>413400.97473968699</v>
      </c>
      <c r="W115" s="463">
        <f>(Q115-T115-U115-V115)*L115</f>
        <v>226957.13513208815</v>
      </c>
      <c r="X115" s="463">
        <f>(Q115-T115-U115-V115-W115)*L115</f>
        <v>124599.46718751639</v>
      </c>
      <c r="Y115" s="463">
        <f>Q115/K115</f>
        <v>608247.4</v>
      </c>
      <c r="Z115" s="380"/>
    </row>
    <row r="116" spans="1:26" s="374" customFormat="1" ht="24" customHeight="1">
      <c r="A116" s="367" t="s">
        <v>1976</v>
      </c>
      <c r="B116" s="368" t="s">
        <v>974</v>
      </c>
      <c r="C116" s="368" t="s">
        <v>1965</v>
      </c>
      <c r="D116" s="369" t="s">
        <v>97</v>
      </c>
      <c r="E116" s="370" t="s">
        <v>90</v>
      </c>
      <c r="F116" s="371"/>
      <c r="G116" s="371">
        <v>3220000</v>
      </c>
      <c r="H116" s="371">
        <v>3220000</v>
      </c>
      <c r="I116" s="371"/>
      <c r="J116" s="371">
        <v>3220000</v>
      </c>
      <c r="K116" s="372">
        <v>5</v>
      </c>
      <c r="L116" s="373">
        <v>0.45100000000000001</v>
      </c>
      <c r="M116" s="372">
        <v>1</v>
      </c>
      <c r="N116" s="371">
        <v>121018</v>
      </c>
      <c r="O116" s="371"/>
      <c r="P116" s="371">
        <v>121018</v>
      </c>
      <c r="Q116" s="371">
        <v>3098982</v>
      </c>
      <c r="R116" s="467">
        <f>(F116+G116)/K116*M116/12</f>
        <v>53666.666666666664</v>
      </c>
      <c r="S116" s="380"/>
      <c r="T116" s="463">
        <f>Q116*L116</f>
        <v>1397640.882</v>
      </c>
      <c r="U116" s="463">
        <f>(Q116-T116)*L116</f>
        <v>767304.84421800007</v>
      </c>
      <c r="V116" s="463">
        <f>(Q116-T116-U116)*L116</f>
        <v>421250.35947568197</v>
      </c>
      <c r="W116" s="463">
        <f>(Q116-T116-U116-V116)*L116</f>
        <v>231266.44735214941</v>
      </c>
      <c r="X116" s="463">
        <f>(Q116-T116-U116-V116-W116)*L116</f>
        <v>126965.27959633003</v>
      </c>
      <c r="Y116" s="463">
        <f>Q116/K116</f>
        <v>619796.4</v>
      </c>
      <c r="Z116" s="380"/>
    </row>
    <row r="117" spans="1:26" s="374" customFormat="1" ht="24" customHeight="1">
      <c r="A117" s="367" t="s">
        <v>1977</v>
      </c>
      <c r="B117" s="368" t="s">
        <v>974</v>
      </c>
      <c r="C117" s="368" t="s">
        <v>1978</v>
      </c>
      <c r="D117" s="369" t="s">
        <v>97</v>
      </c>
      <c r="E117" s="370" t="s">
        <v>90</v>
      </c>
      <c r="F117" s="371"/>
      <c r="G117" s="371">
        <v>47390000</v>
      </c>
      <c r="H117" s="371">
        <v>47390000</v>
      </c>
      <c r="I117" s="371"/>
      <c r="J117" s="371">
        <v>47390000</v>
      </c>
      <c r="K117" s="372">
        <v>5</v>
      </c>
      <c r="L117" s="373">
        <v>0.45100000000000001</v>
      </c>
      <c r="M117" s="372">
        <v>1</v>
      </c>
      <c r="N117" s="371">
        <v>1781074</v>
      </c>
      <c r="O117" s="371"/>
      <c r="P117" s="371">
        <v>1781074</v>
      </c>
      <c r="Q117" s="371">
        <v>45608926</v>
      </c>
      <c r="R117" s="467">
        <f>(F117+G117)/K117*M117/12</f>
        <v>789833.33333333337</v>
      </c>
      <c r="S117" s="380"/>
      <c r="T117" s="463">
        <f>Q117*L117</f>
        <v>20569625.626000002</v>
      </c>
      <c r="U117" s="463">
        <f>(Q117-T117)*L117</f>
        <v>11292724.468673998</v>
      </c>
      <c r="V117" s="463">
        <f>(Q117-T117-U117)*L117</f>
        <v>6199705.7333020261</v>
      </c>
      <c r="W117" s="463">
        <f>(Q117-T117-U117-V117)*L117</f>
        <v>3403638.447582812</v>
      </c>
      <c r="X117" s="463">
        <f>(Q117-T117-U117-V117-W117)*L117</f>
        <v>1868597.5077229638</v>
      </c>
      <c r="Y117" s="463">
        <f>Q117/K117</f>
        <v>9121785.1999999993</v>
      </c>
      <c r="Z117" s="380"/>
    </row>
    <row r="118" spans="1:26" ht="24" customHeight="1">
      <c r="A118" s="95" t="s">
        <v>168</v>
      </c>
      <c r="B118" s="96"/>
      <c r="C118" s="96" t="s">
        <v>169</v>
      </c>
      <c r="D118" s="97" t="s">
        <v>93</v>
      </c>
      <c r="E118" s="98" t="s">
        <v>94</v>
      </c>
      <c r="F118" s="99">
        <v>1859000</v>
      </c>
      <c r="G118" s="99"/>
      <c r="H118" s="99">
        <v>1859000</v>
      </c>
      <c r="I118" s="99">
        <v>1858000</v>
      </c>
      <c r="J118" s="99">
        <v>1000</v>
      </c>
      <c r="K118" s="100">
        <v>5</v>
      </c>
      <c r="L118" s="101">
        <v>0.45100000000000001</v>
      </c>
      <c r="M118" s="100">
        <v>12</v>
      </c>
      <c r="N118" s="99"/>
      <c r="O118" s="99"/>
      <c r="P118" s="99">
        <v>1858000</v>
      </c>
      <c r="Q118" s="99">
        <v>1000</v>
      </c>
    </row>
    <row r="119" spans="1:26" ht="24" customHeight="1">
      <c r="A119" s="95" t="s">
        <v>170</v>
      </c>
      <c r="B119" s="96"/>
      <c r="C119" s="96" t="s">
        <v>171</v>
      </c>
      <c r="D119" s="97" t="s">
        <v>93</v>
      </c>
      <c r="E119" s="98" t="s">
        <v>94</v>
      </c>
      <c r="F119" s="99">
        <v>1750000</v>
      </c>
      <c r="G119" s="99"/>
      <c r="H119" s="99">
        <v>1750000</v>
      </c>
      <c r="I119" s="99">
        <v>1749000</v>
      </c>
      <c r="J119" s="99">
        <v>1000</v>
      </c>
      <c r="K119" s="100">
        <v>5</v>
      </c>
      <c r="L119" s="101">
        <v>0.45100000000000001</v>
      </c>
      <c r="M119" s="100">
        <v>12</v>
      </c>
      <c r="N119" s="99"/>
      <c r="O119" s="99"/>
      <c r="P119" s="99">
        <v>1749000</v>
      </c>
      <c r="Q119" s="99">
        <v>1000</v>
      </c>
    </row>
    <row r="120" spans="1:26" ht="24" customHeight="1">
      <c r="A120" s="95" t="s">
        <v>172</v>
      </c>
      <c r="B120" s="96"/>
      <c r="C120" s="96" t="s">
        <v>173</v>
      </c>
      <c r="D120" s="97" t="s">
        <v>93</v>
      </c>
      <c r="E120" s="98" t="s">
        <v>94</v>
      </c>
      <c r="F120" s="99">
        <v>17047400</v>
      </c>
      <c r="G120" s="99"/>
      <c r="H120" s="99">
        <v>17047400</v>
      </c>
      <c r="I120" s="99">
        <v>17046400</v>
      </c>
      <c r="J120" s="99">
        <v>1000</v>
      </c>
      <c r="K120" s="100">
        <v>5</v>
      </c>
      <c r="L120" s="101">
        <v>0.45100000000000001</v>
      </c>
      <c r="M120" s="100">
        <v>12</v>
      </c>
      <c r="N120" s="99"/>
      <c r="O120" s="99"/>
      <c r="P120" s="99">
        <v>17046400</v>
      </c>
      <c r="Q120" s="99">
        <v>1000</v>
      </c>
    </row>
    <row r="121" spans="1:26" ht="24" customHeight="1">
      <c r="A121" s="95" t="s">
        <v>174</v>
      </c>
      <c r="B121" s="96"/>
      <c r="C121" s="96" t="s">
        <v>175</v>
      </c>
      <c r="D121" s="97" t="s">
        <v>93</v>
      </c>
      <c r="E121" s="98" t="s">
        <v>94</v>
      </c>
      <c r="F121" s="99">
        <v>1900000</v>
      </c>
      <c r="G121" s="99"/>
      <c r="H121" s="99">
        <v>1900000</v>
      </c>
      <c r="I121" s="99">
        <v>1899000</v>
      </c>
      <c r="J121" s="99">
        <v>1000</v>
      </c>
      <c r="K121" s="100">
        <v>5</v>
      </c>
      <c r="L121" s="101">
        <v>0.45100000000000001</v>
      </c>
      <c r="M121" s="100">
        <v>12</v>
      </c>
      <c r="N121" s="99"/>
      <c r="O121" s="99"/>
      <c r="P121" s="99">
        <v>1899000</v>
      </c>
      <c r="Q121" s="99">
        <v>1000</v>
      </c>
    </row>
    <row r="122" spans="1:26" ht="24" customHeight="1">
      <c r="A122" s="95" t="s">
        <v>176</v>
      </c>
      <c r="B122" s="96"/>
      <c r="C122" s="96" t="s">
        <v>177</v>
      </c>
      <c r="D122" s="97" t="s">
        <v>93</v>
      </c>
      <c r="E122" s="98" t="s">
        <v>94</v>
      </c>
      <c r="F122" s="99">
        <v>1856000</v>
      </c>
      <c r="G122" s="99"/>
      <c r="H122" s="99">
        <v>1856000</v>
      </c>
      <c r="I122" s="99">
        <v>1855000</v>
      </c>
      <c r="J122" s="99">
        <v>1000</v>
      </c>
      <c r="K122" s="100">
        <v>5</v>
      </c>
      <c r="L122" s="101">
        <v>0.45100000000000001</v>
      </c>
      <c r="M122" s="100">
        <v>12</v>
      </c>
      <c r="N122" s="99"/>
      <c r="O122" s="99"/>
      <c r="P122" s="99">
        <v>1855000</v>
      </c>
      <c r="Q122" s="99">
        <v>1000</v>
      </c>
    </row>
    <row r="123" spans="1:26" ht="24" customHeight="1">
      <c r="A123" s="95" t="s">
        <v>178</v>
      </c>
      <c r="B123" s="96"/>
      <c r="C123" s="96" t="s">
        <v>179</v>
      </c>
      <c r="D123" s="97" t="s">
        <v>93</v>
      </c>
      <c r="E123" s="98" t="s">
        <v>94</v>
      </c>
      <c r="F123" s="99">
        <v>1359150</v>
      </c>
      <c r="G123" s="99"/>
      <c r="H123" s="99">
        <v>1359150</v>
      </c>
      <c r="I123" s="99">
        <v>1358150</v>
      </c>
      <c r="J123" s="99">
        <v>1000</v>
      </c>
      <c r="K123" s="100">
        <v>5</v>
      </c>
      <c r="L123" s="101">
        <v>0.45100000000000001</v>
      </c>
      <c r="M123" s="100">
        <v>12</v>
      </c>
      <c r="N123" s="99"/>
      <c r="O123" s="99"/>
      <c r="P123" s="99">
        <v>1358150</v>
      </c>
      <c r="Q123" s="99">
        <v>1000</v>
      </c>
    </row>
    <row r="124" spans="1:26" ht="24" customHeight="1">
      <c r="A124" s="95" t="s">
        <v>180</v>
      </c>
      <c r="B124" s="96"/>
      <c r="C124" s="96" t="s">
        <v>181</v>
      </c>
      <c r="D124" s="97" t="s">
        <v>93</v>
      </c>
      <c r="E124" s="98" t="s">
        <v>94</v>
      </c>
      <c r="F124" s="99">
        <v>960000</v>
      </c>
      <c r="G124" s="99"/>
      <c r="H124" s="99">
        <v>960000</v>
      </c>
      <c r="I124" s="99">
        <v>959000</v>
      </c>
      <c r="J124" s="99">
        <v>1000</v>
      </c>
      <c r="K124" s="100">
        <v>5</v>
      </c>
      <c r="L124" s="101">
        <v>0.45100000000000001</v>
      </c>
      <c r="M124" s="100">
        <v>12</v>
      </c>
      <c r="N124" s="99"/>
      <c r="O124" s="99"/>
      <c r="P124" s="99">
        <v>959000</v>
      </c>
      <c r="Q124" s="99">
        <v>1000</v>
      </c>
    </row>
    <row r="125" spans="1:26" ht="24" customHeight="1">
      <c r="A125" s="95" t="s">
        <v>1979</v>
      </c>
      <c r="B125" s="96"/>
      <c r="C125" s="96" t="s">
        <v>182</v>
      </c>
      <c r="D125" s="97" t="s">
        <v>93</v>
      </c>
      <c r="E125" s="98" t="s">
        <v>94</v>
      </c>
      <c r="F125" s="99">
        <v>1428000</v>
      </c>
      <c r="G125" s="99"/>
      <c r="H125" s="99">
        <v>1428000</v>
      </c>
      <c r="I125" s="99">
        <v>1427000</v>
      </c>
      <c r="J125" s="99">
        <v>1000</v>
      </c>
      <c r="K125" s="100">
        <v>5</v>
      </c>
      <c r="L125" s="101">
        <v>0.45100000000000001</v>
      </c>
      <c r="M125" s="100">
        <v>12</v>
      </c>
      <c r="N125" s="99"/>
      <c r="O125" s="99"/>
      <c r="P125" s="99">
        <v>1427000</v>
      </c>
      <c r="Q125" s="99">
        <v>1000</v>
      </c>
    </row>
    <row r="126" spans="1:26" ht="24" customHeight="1">
      <c r="A126" s="95" t="s">
        <v>183</v>
      </c>
      <c r="B126" s="96"/>
      <c r="C126" s="96" t="s">
        <v>184</v>
      </c>
      <c r="D126" s="97" t="s">
        <v>93</v>
      </c>
      <c r="E126" s="98" t="s">
        <v>94</v>
      </c>
      <c r="F126" s="99">
        <v>8000000</v>
      </c>
      <c r="G126" s="99"/>
      <c r="H126" s="99">
        <v>8000000</v>
      </c>
      <c r="I126" s="99">
        <v>7999000</v>
      </c>
      <c r="J126" s="99">
        <v>1000</v>
      </c>
      <c r="K126" s="100">
        <v>5</v>
      </c>
      <c r="L126" s="101">
        <v>0.45100000000000001</v>
      </c>
      <c r="M126" s="100">
        <v>12</v>
      </c>
      <c r="N126" s="99"/>
      <c r="O126" s="99"/>
      <c r="P126" s="99">
        <v>7999000</v>
      </c>
      <c r="Q126" s="99">
        <v>1000</v>
      </c>
    </row>
    <row r="127" spans="1:26" ht="24" customHeight="1">
      <c r="A127" s="102" t="s">
        <v>185</v>
      </c>
      <c r="B127" s="103"/>
      <c r="C127" s="103" t="s">
        <v>90</v>
      </c>
      <c r="D127" s="104" t="s">
        <v>90</v>
      </c>
      <c r="E127" s="105" t="s">
        <v>90</v>
      </c>
      <c r="F127" s="106">
        <v>88175978</v>
      </c>
      <c r="G127" s="106">
        <v>89329636</v>
      </c>
      <c r="H127" s="106">
        <v>177505614</v>
      </c>
      <c r="I127" s="106">
        <v>59498895</v>
      </c>
      <c r="J127" s="106">
        <v>118006719</v>
      </c>
      <c r="K127" s="103"/>
      <c r="L127" s="107"/>
      <c r="M127" s="103"/>
      <c r="N127" s="106">
        <v>23894136</v>
      </c>
      <c r="O127" s="106"/>
      <c r="P127" s="106">
        <v>83393031</v>
      </c>
      <c r="Q127" s="106">
        <v>94112583</v>
      </c>
      <c r="S127" s="165"/>
      <c r="T127" s="469"/>
      <c r="U127" s="469"/>
      <c r="V127" s="469"/>
    </row>
    <row r="128" spans="1:26" ht="24" customHeight="1" thickBot="1">
      <c r="A128" s="225"/>
      <c r="B128" s="226"/>
      <c r="C128" s="226"/>
      <c r="D128" s="227"/>
      <c r="E128" s="228"/>
      <c r="F128" s="229"/>
      <c r="G128" s="229"/>
      <c r="H128" s="229"/>
      <c r="I128" s="229"/>
      <c r="J128" s="229"/>
      <c r="K128" s="226"/>
      <c r="L128" s="375"/>
      <c r="M128" s="226"/>
      <c r="N128" s="229"/>
      <c r="O128" s="229"/>
      <c r="P128" s="229"/>
      <c r="Q128" s="229"/>
      <c r="S128" s="427"/>
      <c r="T128" s="520"/>
      <c r="U128" s="520"/>
      <c r="V128" s="520"/>
    </row>
    <row r="129" spans="1:26" s="431" customFormat="1" ht="24" customHeight="1">
      <c r="A129" s="428"/>
      <c r="B129" s="423" t="s">
        <v>2187</v>
      </c>
      <c r="C129" s="424"/>
      <c r="D129" s="424"/>
      <c r="E129" s="425"/>
      <c r="F129" s="426"/>
      <c r="G129" s="426"/>
      <c r="H129" s="429">
        <f>H102+H103+H104+H105+H106+H108+H111+H113+H115+H116+H117+H107</f>
        <v>108779882</v>
      </c>
      <c r="I129" s="426"/>
      <c r="J129" s="426"/>
      <c r="K129" s="424"/>
      <c r="L129" s="426"/>
      <c r="M129" s="424"/>
      <c r="N129" s="429">
        <f>N102+N103+N104+N105+N106+N108+N111+N113+N115+N116+N117+N107</f>
        <v>21426033</v>
      </c>
      <c r="O129" s="426"/>
      <c r="P129" s="429">
        <f>P102+P103+P104+P105+P106+P108+P111+P113+P115+P116+P117+P107</f>
        <v>26357346</v>
      </c>
      <c r="Q129" s="430"/>
      <c r="R129" s="429">
        <f>R102+R103+R104+R105+R106+R108+R111+R113+R115+R116+R117+R107</f>
        <v>10487831</v>
      </c>
      <c r="S129" s="470">
        <f>N129-R129</f>
        <v>10938202</v>
      </c>
      <c r="T129" s="429">
        <f t="shared" ref="T129:Y129" si="21">T102+T103+T104+T105+T106+T108+T111+T113+T115+T116+T117+T107</f>
        <v>37172563.736000001</v>
      </c>
      <c r="U129" s="429">
        <f t="shared" si="21"/>
        <v>20407737.491063997</v>
      </c>
      <c r="V129" s="429">
        <f t="shared" si="21"/>
        <v>11203847.882594135</v>
      </c>
      <c r="W129" s="429">
        <f t="shared" si="21"/>
        <v>6150912.4875441808</v>
      </c>
      <c r="X129" s="429">
        <f t="shared" si="21"/>
        <v>3376850.9556617551</v>
      </c>
      <c r="Y129" s="429">
        <f t="shared" si="21"/>
        <v>16484507.199999999</v>
      </c>
      <c r="Z129" s="57"/>
    </row>
    <row r="130" spans="1:26" ht="24" customHeight="1">
      <c r="A130" s="225"/>
      <c r="B130" s="413" t="s">
        <v>2014</v>
      </c>
      <c r="C130" s="414"/>
      <c r="D130" s="414"/>
      <c r="E130" s="415"/>
      <c r="F130" s="416"/>
      <c r="G130" s="416"/>
      <c r="H130" s="416">
        <v>0</v>
      </c>
      <c r="I130" s="416"/>
      <c r="J130" s="416"/>
      <c r="K130" s="414"/>
      <c r="L130" s="416"/>
      <c r="M130" s="414"/>
      <c r="N130" s="416">
        <v>0</v>
      </c>
      <c r="O130" s="416"/>
      <c r="P130" s="416">
        <v>0</v>
      </c>
      <c r="Q130" s="229"/>
      <c r="R130" s="416">
        <v>0</v>
      </c>
      <c r="S130" s="470">
        <f t="shared" ref="S130:S135" si="22">N130-R130</f>
        <v>0</v>
      </c>
      <c r="T130" s="416">
        <v>0</v>
      </c>
      <c r="U130" s="416">
        <v>0</v>
      </c>
      <c r="V130" s="416">
        <v>0</v>
      </c>
      <c r="W130" s="416">
        <v>0</v>
      </c>
      <c r="X130" s="416">
        <v>0</v>
      </c>
      <c r="Y130" s="416">
        <v>0</v>
      </c>
    </row>
    <row r="131" spans="1:26" ht="24" customHeight="1">
      <c r="A131" s="225"/>
      <c r="B131" s="413" t="s">
        <v>966</v>
      </c>
      <c r="C131" s="414"/>
      <c r="D131" s="414"/>
      <c r="E131" s="415"/>
      <c r="F131" s="416"/>
      <c r="G131" s="416"/>
      <c r="H131" s="416">
        <f>H102+H106</f>
        <v>11259090</v>
      </c>
      <c r="I131" s="416"/>
      <c r="J131" s="416"/>
      <c r="K131" s="414"/>
      <c r="L131" s="416"/>
      <c r="M131" s="414"/>
      <c r="N131" s="416">
        <f>N102+N106</f>
        <v>3523604</v>
      </c>
      <c r="O131" s="416"/>
      <c r="P131" s="416">
        <f>P102+P106</f>
        <v>6969824</v>
      </c>
      <c r="Q131" s="229"/>
      <c r="R131" s="416">
        <f>R102+R106</f>
        <v>2251818</v>
      </c>
      <c r="S131" s="470">
        <f t="shared" si="22"/>
        <v>1271786</v>
      </c>
      <c r="T131" s="416">
        <f t="shared" ref="T131:Y131" si="23">T102+T106</f>
        <v>1934458.966</v>
      </c>
      <c r="U131" s="416">
        <f t="shared" si="23"/>
        <v>1062017.972334</v>
      </c>
      <c r="V131" s="416">
        <f t="shared" si="23"/>
        <v>583047.86681136605</v>
      </c>
      <c r="W131" s="416">
        <f t="shared" si="23"/>
        <v>320093.27887943998</v>
      </c>
      <c r="X131" s="416">
        <f t="shared" si="23"/>
        <v>175731.21010481255</v>
      </c>
      <c r="Y131" s="416">
        <f t="shared" si="23"/>
        <v>857853.2</v>
      </c>
    </row>
    <row r="132" spans="1:26" ht="24" customHeight="1">
      <c r="A132" s="225"/>
      <c r="B132" s="413" t="s">
        <v>968</v>
      </c>
      <c r="C132" s="414"/>
      <c r="D132" s="414"/>
      <c r="E132" s="415"/>
      <c r="F132" s="416"/>
      <c r="G132" s="416"/>
      <c r="H132" s="416">
        <f>H103</f>
        <v>19757338</v>
      </c>
      <c r="I132" s="416"/>
      <c r="J132" s="416"/>
      <c r="K132" s="414"/>
      <c r="L132" s="416"/>
      <c r="M132" s="414"/>
      <c r="N132" s="416">
        <f>N103</f>
        <v>8240782</v>
      </c>
      <c r="O132" s="416"/>
      <c r="P132" s="416">
        <f>P103</f>
        <v>9725875</v>
      </c>
      <c r="Q132" s="229"/>
      <c r="R132" s="416">
        <f>R103</f>
        <v>3951467.6</v>
      </c>
      <c r="S132" s="470">
        <f t="shared" si="22"/>
        <v>4289314.4000000004</v>
      </c>
      <c r="T132" s="416">
        <f t="shared" ref="T132:Y132" si="24">T103</f>
        <v>4524189.8130000001</v>
      </c>
      <c r="U132" s="416">
        <f t="shared" si="24"/>
        <v>2483780.2073369999</v>
      </c>
      <c r="V132" s="416">
        <f t="shared" si="24"/>
        <v>1363595.3338280129</v>
      </c>
      <c r="W132" s="416">
        <f t="shared" si="24"/>
        <v>748613.83827157912</v>
      </c>
      <c r="X132" s="416">
        <f t="shared" si="24"/>
        <v>410988.99721109698</v>
      </c>
      <c r="Y132" s="416">
        <f t="shared" si="24"/>
        <v>2006292.6</v>
      </c>
    </row>
    <row r="133" spans="1:26" ht="24" customHeight="1">
      <c r="A133" s="225"/>
      <c r="B133" s="413" t="s">
        <v>970</v>
      </c>
      <c r="C133" s="414"/>
      <c r="D133" s="414"/>
      <c r="E133" s="415"/>
      <c r="F133" s="416"/>
      <c r="G133" s="416"/>
      <c r="H133" s="416">
        <f>H104+H105+H107+H111+H113</f>
        <v>22243454</v>
      </c>
      <c r="I133" s="416"/>
      <c r="J133" s="416"/>
      <c r="K133" s="414"/>
      <c r="L133" s="416"/>
      <c r="M133" s="414"/>
      <c r="N133" s="416">
        <f>N104+N105+N107+N111+N113</f>
        <v>7443480</v>
      </c>
      <c r="O133" s="416"/>
      <c r="P133" s="416">
        <f>P104+P105+P107+P111+P113</f>
        <v>7443480</v>
      </c>
      <c r="Q133" s="229"/>
      <c r="R133" s="416">
        <f>R104+R105+R107+R111+R113</f>
        <v>3300878.7333333334</v>
      </c>
      <c r="S133" s="470">
        <f t="shared" si="22"/>
        <v>4142601.2666666666</v>
      </c>
      <c r="T133" s="416">
        <f t="shared" ref="T133:Y133" si="25">T104+T105+T107+T111+T113</f>
        <v>6674788.2740000002</v>
      </c>
      <c r="U133" s="416">
        <f t="shared" si="25"/>
        <v>3664458.7624260001</v>
      </c>
      <c r="V133" s="416">
        <f t="shared" si="25"/>
        <v>2011787.8605718738</v>
      </c>
      <c r="W133" s="416">
        <f t="shared" si="25"/>
        <v>1104471.5354539589</v>
      </c>
      <c r="X133" s="416">
        <f t="shared" si="25"/>
        <v>606354.87296422338</v>
      </c>
      <c r="Y133" s="416">
        <f t="shared" si="25"/>
        <v>2959994.8</v>
      </c>
    </row>
    <row r="134" spans="1:26" ht="24" customHeight="1">
      <c r="A134" s="225"/>
      <c r="B134" s="413" t="s">
        <v>972</v>
      </c>
      <c r="C134" s="414"/>
      <c r="D134" s="414"/>
      <c r="E134" s="415"/>
      <c r="F134" s="416"/>
      <c r="G134" s="416"/>
      <c r="H134" s="416">
        <v>0</v>
      </c>
      <c r="I134" s="416"/>
      <c r="J134" s="416"/>
      <c r="K134" s="414"/>
      <c r="L134" s="416"/>
      <c r="M134" s="414"/>
      <c r="N134" s="416">
        <v>0</v>
      </c>
      <c r="O134" s="416"/>
      <c r="P134" s="417">
        <v>0</v>
      </c>
      <c r="Q134" s="229"/>
      <c r="R134" s="417">
        <v>0</v>
      </c>
      <c r="S134" s="470">
        <f t="shared" si="22"/>
        <v>0</v>
      </c>
      <c r="T134" s="417">
        <v>0</v>
      </c>
      <c r="U134" s="417">
        <v>0</v>
      </c>
      <c r="V134" s="417">
        <v>0</v>
      </c>
      <c r="W134" s="417">
        <v>0</v>
      </c>
      <c r="X134" s="417">
        <v>0</v>
      </c>
      <c r="Y134" s="417">
        <v>0</v>
      </c>
    </row>
    <row r="135" spans="1:26" ht="24" customHeight="1" thickBot="1">
      <c r="A135" s="225"/>
      <c r="B135" s="418" t="s">
        <v>974</v>
      </c>
      <c r="C135" s="419"/>
      <c r="D135" s="419"/>
      <c r="E135" s="420"/>
      <c r="F135" s="421"/>
      <c r="G135" s="421"/>
      <c r="H135" s="421">
        <f>H108+H115+H116+H117</f>
        <v>55520000</v>
      </c>
      <c r="I135" s="421"/>
      <c r="J135" s="421"/>
      <c r="K135" s="419"/>
      <c r="L135" s="421"/>
      <c r="M135" s="419"/>
      <c r="N135" s="421">
        <f>N108+N115+N116+N117</f>
        <v>2218167</v>
      </c>
      <c r="O135" s="421"/>
      <c r="P135" s="421">
        <f>P108+P115+P116+P117</f>
        <v>2218167</v>
      </c>
      <c r="Q135" s="229"/>
      <c r="R135" s="421">
        <f>R108+R115+R116+R117</f>
        <v>983666.66666666674</v>
      </c>
      <c r="S135" s="470">
        <f t="shared" si="22"/>
        <v>1234500.3333333333</v>
      </c>
      <c r="T135" s="421">
        <f t="shared" ref="T135:Y135" si="26">T108+T115+T116+T117</f>
        <v>24039126.683000002</v>
      </c>
      <c r="U135" s="421">
        <f t="shared" si="26"/>
        <v>13197480.548966998</v>
      </c>
      <c r="V135" s="421">
        <f t="shared" si="26"/>
        <v>7245416.821382883</v>
      </c>
      <c r="W135" s="421">
        <f t="shared" si="26"/>
        <v>3977733.8349392023</v>
      </c>
      <c r="X135" s="421">
        <f t="shared" si="26"/>
        <v>2183775.875381622</v>
      </c>
      <c r="Y135" s="421">
        <f t="shared" si="26"/>
        <v>10660366.6</v>
      </c>
    </row>
    <row r="136" spans="1:26" ht="24" customHeight="1">
      <c r="A136" s="225"/>
      <c r="B136" s="226"/>
      <c r="C136" s="226"/>
      <c r="D136" s="227"/>
      <c r="E136" s="228"/>
      <c r="F136" s="229"/>
      <c r="G136" s="229"/>
      <c r="H136" s="229"/>
      <c r="I136" s="229"/>
      <c r="J136" s="229"/>
      <c r="K136" s="226"/>
      <c r="L136" s="375"/>
      <c r="M136" s="226"/>
      <c r="N136" s="229"/>
      <c r="O136" s="229"/>
      <c r="P136" s="229"/>
      <c r="Q136" s="229"/>
      <c r="S136" s="427"/>
      <c r="T136" s="520"/>
      <c r="U136" s="520"/>
      <c r="V136" s="520"/>
    </row>
    <row r="137" spans="1:26" ht="24" customHeight="1">
      <c r="A137" s="225"/>
      <c r="B137" s="226"/>
      <c r="C137" s="226"/>
      <c r="D137" s="227"/>
      <c r="E137" s="228"/>
      <c r="F137" s="229"/>
      <c r="G137" s="229"/>
      <c r="H137" s="229"/>
      <c r="I137" s="229"/>
      <c r="J137" s="229"/>
      <c r="K137" s="226"/>
      <c r="L137" s="375"/>
      <c r="M137" s="226"/>
      <c r="N137" s="229"/>
      <c r="O137" s="229"/>
      <c r="P137" s="229"/>
      <c r="Q137" s="229"/>
      <c r="S137" s="427"/>
      <c r="T137" s="520"/>
      <c r="U137" s="520"/>
      <c r="V137" s="520"/>
    </row>
    <row r="138" spans="1:26" ht="24" customHeight="1">
      <c r="A138" s="432" t="s">
        <v>912</v>
      </c>
      <c r="B138" s="226"/>
      <c r="C138" s="226"/>
      <c r="D138" s="227"/>
      <c r="E138" s="228"/>
      <c r="F138" s="229"/>
      <c r="G138" s="229"/>
      <c r="H138" s="229"/>
      <c r="I138" s="229"/>
      <c r="J138" s="229"/>
      <c r="K138" s="226"/>
      <c r="L138" s="375"/>
      <c r="M138" s="226"/>
      <c r="N138" s="229"/>
      <c r="O138" s="229"/>
      <c r="P138" s="229"/>
      <c r="Q138" s="229"/>
      <c r="S138" s="165"/>
      <c r="T138" s="469"/>
      <c r="U138" s="469"/>
      <c r="V138" s="469"/>
    </row>
    <row r="139" spans="1:26" ht="24" customHeight="1">
      <c r="A139" s="225" t="s">
        <v>2073</v>
      </c>
      <c r="B139" s="226"/>
      <c r="C139" s="226" t="s">
        <v>186</v>
      </c>
      <c r="D139" s="227" t="s">
        <v>97</v>
      </c>
      <c r="E139" s="228" t="s">
        <v>90</v>
      </c>
      <c r="F139" s="229">
        <v>29400000</v>
      </c>
      <c r="G139" s="229"/>
      <c r="H139" s="229">
        <v>29400000</v>
      </c>
      <c r="I139" s="229">
        <v>11049500</v>
      </c>
      <c r="J139" s="229">
        <v>18350500</v>
      </c>
      <c r="K139" s="230">
        <v>5</v>
      </c>
      <c r="L139" s="231">
        <v>0.45100000000000001</v>
      </c>
      <c r="M139" s="230">
        <v>12</v>
      </c>
      <c r="N139" s="229">
        <v>8276075</v>
      </c>
      <c r="O139" s="229"/>
      <c r="P139" s="229">
        <v>19325575</v>
      </c>
      <c r="Q139" s="229">
        <v>10074425</v>
      </c>
      <c r="S139" s="165"/>
      <c r="T139" s="469"/>
      <c r="U139" s="469"/>
      <c r="V139" s="469"/>
    </row>
    <row r="140" spans="1:26" s="166" customFormat="1" ht="24" customHeight="1">
      <c r="A140" s="118" t="s">
        <v>187</v>
      </c>
      <c r="B140" s="119" t="s">
        <v>966</v>
      </c>
      <c r="C140" s="119" t="s">
        <v>188</v>
      </c>
      <c r="D140" s="120" t="s">
        <v>189</v>
      </c>
      <c r="E140" s="121" t="s">
        <v>190</v>
      </c>
      <c r="F140" s="117">
        <v>39900000</v>
      </c>
      <c r="G140" s="117"/>
      <c r="H140" s="117">
        <v>39900000</v>
      </c>
      <c r="I140" s="117">
        <v>8325800</v>
      </c>
      <c r="J140" s="117">
        <v>31574200</v>
      </c>
      <c r="K140" s="122">
        <v>8</v>
      </c>
      <c r="L140" s="123">
        <v>0.313</v>
      </c>
      <c r="M140" s="122">
        <v>12</v>
      </c>
      <c r="N140" s="117">
        <v>9882724</v>
      </c>
      <c r="O140" s="117"/>
      <c r="P140" s="117">
        <v>18208524</v>
      </c>
      <c r="Q140" s="117">
        <v>21691476</v>
      </c>
      <c r="R140" s="463">
        <f>(F140+G140)/K140*M140/12</f>
        <v>4987500</v>
      </c>
      <c r="T140" s="463">
        <f>Q140*L140</f>
        <v>6789431.9879999999</v>
      </c>
      <c r="U140" s="463">
        <f>(Q140-T140)*L140</f>
        <v>4664339.7757559996</v>
      </c>
      <c r="V140" s="463">
        <f>(Q140-T140-U140)*L140</f>
        <v>3204401.4259443721</v>
      </c>
      <c r="W140" s="463">
        <f>(Q140-T140-U140-V140)*L140</f>
        <v>2201423.7796237837</v>
      </c>
      <c r="X140" s="463">
        <f>(Q140-T140-U140-V140-W140)*L140</f>
        <v>1512378.1366015396</v>
      </c>
      <c r="Y140" s="463">
        <f>Q140/K140</f>
        <v>2711434.5</v>
      </c>
      <c r="Z140" s="383" t="s">
        <v>904</v>
      </c>
    </row>
    <row r="141" spans="1:26" ht="24" customHeight="1">
      <c r="A141" s="95" t="s">
        <v>191</v>
      </c>
      <c r="B141" s="96"/>
      <c r="C141" s="96" t="s">
        <v>192</v>
      </c>
      <c r="D141" s="97" t="s">
        <v>93</v>
      </c>
      <c r="E141" s="98" t="s">
        <v>94</v>
      </c>
      <c r="F141" s="99">
        <v>17800000</v>
      </c>
      <c r="G141" s="99"/>
      <c r="H141" s="99">
        <v>17800000</v>
      </c>
      <c r="I141" s="99">
        <v>11700518</v>
      </c>
      <c r="J141" s="99">
        <v>6099482</v>
      </c>
      <c r="K141" s="100">
        <v>5</v>
      </c>
      <c r="L141" s="101">
        <v>0.45100000000000001</v>
      </c>
      <c r="M141" s="100">
        <v>12</v>
      </c>
      <c r="N141" s="99">
        <v>2750866</v>
      </c>
      <c r="O141" s="99"/>
      <c r="P141" s="99">
        <v>14451384</v>
      </c>
      <c r="Q141" s="99">
        <v>3348616</v>
      </c>
    </row>
    <row r="142" spans="1:26" ht="24" customHeight="1">
      <c r="A142" s="95" t="s">
        <v>1352</v>
      </c>
      <c r="B142" s="96"/>
      <c r="C142" s="96" t="s">
        <v>1353</v>
      </c>
      <c r="D142" s="97" t="s">
        <v>90</v>
      </c>
      <c r="E142" s="98" t="s">
        <v>90</v>
      </c>
      <c r="F142" s="99"/>
      <c r="G142" s="99">
        <v>6500000</v>
      </c>
      <c r="H142" s="99">
        <v>6500000</v>
      </c>
      <c r="I142" s="99"/>
      <c r="J142" s="99">
        <v>6500000</v>
      </c>
      <c r="K142" s="100">
        <v>5</v>
      </c>
      <c r="L142" s="101">
        <v>0.45100000000000001</v>
      </c>
      <c r="M142" s="100">
        <v>12</v>
      </c>
      <c r="N142" s="99">
        <v>2931500</v>
      </c>
      <c r="O142" s="99"/>
      <c r="P142" s="99">
        <v>2931500</v>
      </c>
      <c r="Q142" s="99">
        <v>3568500</v>
      </c>
    </row>
    <row r="143" spans="1:26" s="374" customFormat="1" ht="24" customHeight="1">
      <c r="A143" s="367" t="s">
        <v>1980</v>
      </c>
      <c r="B143" s="368" t="s">
        <v>974</v>
      </c>
      <c r="C143" s="368" t="s">
        <v>1981</v>
      </c>
      <c r="D143" s="369" t="s">
        <v>97</v>
      </c>
      <c r="E143" s="370" t="s">
        <v>90</v>
      </c>
      <c r="F143" s="371"/>
      <c r="G143" s="371">
        <v>231875000</v>
      </c>
      <c r="H143" s="371">
        <v>231875000</v>
      </c>
      <c r="I143" s="371"/>
      <c r="J143" s="371">
        <v>231875000</v>
      </c>
      <c r="K143" s="372">
        <v>8</v>
      </c>
      <c r="L143" s="373">
        <v>0.313</v>
      </c>
      <c r="M143" s="372">
        <v>1</v>
      </c>
      <c r="N143" s="371">
        <v>6048072</v>
      </c>
      <c r="O143" s="371"/>
      <c r="P143" s="371">
        <v>6048072</v>
      </c>
      <c r="Q143" s="371">
        <v>225826928</v>
      </c>
      <c r="R143" s="467">
        <f>(F143+G143)/K143*M143/12</f>
        <v>2415364.5833333335</v>
      </c>
      <c r="S143" s="380"/>
      <c r="T143" s="463">
        <f>Q143*L143</f>
        <v>70683828.464000002</v>
      </c>
      <c r="U143" s="463">
        <f>(Q143-T143)*L143</f>
        <v>48559790.154768005</v>
      </c>
      <c r="V143" s="463">
        <f>(Q143-T143-U143)*L143</f>
        <v>33360575.836325619</v>
      </c>
      <c r="W143" s="463">
        <f>(Q143-T143-U143-V143)*L143</f>
        <v>22918715.599555701</v>
      </c>
      <c r="X143" s="463">
        <f>(Q143-T143-U143-V143-W143)*L143</f>
        <v>15745157.616894767</v>
      </c>
      <c r="Y143" s="463">
        <f>Q143/K143</f>
        <v>28228366</v>
      </c>
      <c r="Z143" s="380"/>
    </row>
    <row r="144" spans="1:26" s="366" customFormat="1" ht="24" customHeight="1">
      <c r="A144" s="359" t="s">
        <v>1982</v>
      </c>
      <c r="B144" s="360" t="s">
        <v>972</v>
      </c>
      <c r="C144" s="360" t="s">
        <v>1335</v>
      </c>
      <c r="D144" s="361" t="s">
        <v>90</v>
      </c>
      <c r="E144" s="362" t="s">
        <v>90</v>
      </c>
      <c r="F144" s="363"/>
      <c r="G144" s="363">
        <v>1160661770</v>
      </c>
      <c r="H144" s="363">
        <v>1160661770</v>
      </c>
      <c r="I144" s="363"/>
      <c r="J144" s="363">
        <v>1160661770</v>
      </c>
      <c r="K144" s="364">
        <v>8</v>
      </c>
      <c r="L144" s="365">
        <v>0.313</v>
      </c>
      <c r="M144" s="364">
        <v>7</v>
      </c>
      <c r="N144" s="363">
        <v>211917494</v>
      </c>
      <c r="O144" s="363"/>
      <c r="P144" s="363">
        <v>211917494</v>
      </c>
      <c r="Q144" s="363">
        <v>948744276</v>
      </c>
      <c r="R144" s="465">
        <f>(F144+G144)/K144*M144/12</f>
        <v>84631587.395833328</v>
      </c>
      <c r="S144" s="378"/>
      <c r="T144" s="463">
        <f>Q144*L144</f>
        <v>296956958.38800001</v>
      </c>
      <c r="U144" s="463">
        <f>(Q144-T144)*L144</f>
        <v>204009430.41255599</v>
      </c>
      <c r="V144" s="463">
        <f>(Q144-T144-U144)*L144</f>
        <v>140154478.69342598</v>
      </c>
      <c r="W144" s="463">
        <f>(Q144-T144-U144-V144)*L144</f>
        <v>96286126.862383649</v>
      </c>
      <c r="X144" s="463">
        <f>(Q144-T144-U144-V144-W144)*L144</f>
        <v>66148569.154457562</v>
      </c>
      <c r="Y144" s="463">
        <f>Q144/K144</f>
        <v>118593034.5</v>
      </c>
      <c r="Z144" s="378"/>
    </row>
    <row r="145" spans="1:26" s="342" customFormat="1" ht="24" customHeight="1">
      <c r="A145" s="335" t="s">
        <v>1983</v>
      </c>
      <c r="B145" s="336" t="s">
        <v>970</v>
      </c>
      <c r="C145" s="336" t="s">
        <v>1354</v>
      </c>
      <c r="D145" s="337" t="s">
        <v>90</v>
      </c>
      <c r="E145" s="338" t="s">
        <v>90</v>
      </c>
      <c r="F145" s="339"/>
      <c r="G145" s="339">
        <v>630562860</v>
      </c>
      <c r="H145" s="339">
        <v>630562860</v>
      </c>
      <c r="I145" s="339"/>
      <c r="J145" s="339">
        <v>630562860</v>
      </c>
      <c r="K145" s="340">
        <v>8</v>
      </c>
      <c r="L145" s="341">
        <v>0.313</v>
      </c>
      <c r="M145" s="340">
        <v>6</v>
      </c>
      <c r="N145" s="339">
        <v>98683087</v>
      </c>
      <c r="O145" s="339"/>
      <c r="P145" s="339">
        <v>98683087</v>
      </c>
      <c r="Q145" s="339">
        <v>531879773</v>
      </c>
      <c r="R145" s="466">
        <f>(F145+G145)/K145*M145/12</f>
        <v>39410178.75</v>
      </c>
      <c r="S145" s="379"/>
      <c r="T145" s="463">
        <f>Q145*L145</f>
        <v>166478368.949</v>
      </c>
      <c r="U145" s="463">
        <f>(Q145-T145)*L145</f>
        <v>114370639.467963</v>
      </c>
      <c r="V145" s="463">
        <f>(Q145-T145-U145)*L145</f>
        <v>78572629.314490587</v>
      </c>
      <c r="W145" s="463">
        <f>(Q145-T145-U145-V145)*L145</f>
        <v>53979396.339055032</v>
      </c>
      <c r="X145" s="463">
        <f>(Q145-T145-U145-V145-W145)*L145</f>
        <v>37083845.28493081</v>
      </c>
      <c r="Y145" s="463">
        <f>Q145/K145</f>
        <v>66484971.625</v>
      </c>
      <c r="Z145" s="379"/>
    </row>
    <row r="146" spans="1:26" s="374" customFormat="1" ht="24" customHeight="1">
      <c r="A146" s="367" t="s">
        <v>1984</v>
      </c>
      <c r="B146" s="368" t="s">
        <v>974</v>
      </c>
      <c r="C146" s="368" t="s">
        <v>1981</v>
      </c>
      <c r="D146" s="369" t="s">
        <v>90</v>
      </c>
      <c r="E146" s="370" t="s">
        <v>90</v>
      </c>
      <c r="F146" s="371"/>
      <c r="G146" s="371">
        <v>510125000</v>
      </c>
      <c r="H146" s="371">
        <v>510125000</v>
      </c>
      <c r="I146" s="371"/>
      <c r="J146" s="371">
        <v>510125000</v>
      </c>
      <c r="K146" s="372">
        <v>8</v>
      </c>
      <c r="L146" s="373">
        <v>0.313</v>
      </c>
      <c r="M146" s="372">
        <v>1</v>
      </c>
      <c r="N146" s="371">
        <v>13305760</v>
      </c>
      <c r="O146" s="371"/>
      <c r="P146" s="371">
        <v>13305760</v>
      </c>
      <c r="Q146" s="371">
        <v>496819240</v>
      </c>
      <c r="R146" s="467">
        <f>(F146+G146)/K146*M146/12</f>
        <v>5313802.083333333</v>
      </c>
      <c r="S146" s="380"/>
      <c r="T146" s="463">
        <f>Q146*L146</f>
        <v>155504422.12</v>
      </c>
      <c r="U146" s="463">
        <f>(Q146-T146)*L146</f>
        <v>106831537.99643999</v>
      </c>
      <c r="V146" s="463">
        <f>(Q146-T146-U146)*L146</f>
        <v>73393266.603554279</v>
      </c>
      <c r="W146" s="463">
        <f>(Q146-T146-U146-V146)*L146</f>
        <v>50421174.156641789</v>
      </c>
      <c r="X146" s="463">
        <f>(Q146-T146-U146-V146-W146)*L146</f>
        <v>34639346.64561291</v>
      </c>
      <c r="Y146" s="463">
        <f>Q146/K146</f>
        <v>62102405</v>
      </c>
      <c r="Z146" s="380"/>
    </row>
    <row r="147" spans="1:26" s="342" customFormat="1" ht="24" customHeight="1">
      <c r="A147" s="335" t="s">
        <v>1985</v>
      </c>
      <c r="B147" s="336" t="s">
        <v>970</v>
      </c>
      <c r="C147" s="336" t="s">
        <v>1354</v>
      </c>
      <c r="D147" s="337" t="s">
        <v>189</v>
      </c>
      <c r="E147" s="338" t="s">
        <v>190</v>
      </c>
      <c r="F147" s="339"/>
      <c r="G147" s="339">
        <v>388087140</v>
      </c>
      <c r="H147" s="339">
        <v>388087140</v>
      </c>
      <c r="I147" s="339"/>
      <c r="J147" s="339">
        <v>388087140</v>
      </c>
      <c r="K147" s="340">
        <v>8</v>
      </c>
      <c r="L147" s="341">
        <v>0.313</v>
      </c>
      <c r="M147" s="340">
        <v>6</v>
      </c>
      <c r="N147" s="339">
        <v>60735637</v>
      </c>
      <c r="O147" s="339"/>
      <c r="P147" s="339">
        <v>60735637</v>
      </c>
      <c r="Q147" s="339">
        <v>327351503</v>
      </c>
      <c r="R147" s="466">
        <f>(F147+G147)/K147*M147/12</f>
        <v>24255446.25</v>
      </c>
      <c r="S147" s="379"/>
      <c r="T147" s="463">
        <f>Q147*L147</f>
        <v>102461020.439</v>
      </c>
      <c r="U147" s="463">
        <f>(Q147-T147)*L147</f>
        <v>70390721.041593</v>
      </c>
      <c r="V147" s="463">
        <f>(Q147-T147-U147)*L147</f>
        <v>48358425.355574384</v>
      </c>
      <c r="W147" s="463">
        <f>(Q147-T147-U147-V147)*L147</f>
        <v>33222238.219279602</v>
      </c>
      <c r="X147" s="463">
        <f>(Q147-T147-U147-V147-W147)*L147</f>
        <v>22823677.656645086</v>
      </c>
      <c r="Y147" s="463">
        <f>Q147/K147</f>
        <v>40918937.875</v>
      </c>
      <c r="Z147" s="379"/>
    </row>
    <row r="148" spans="1:26" ht="24" customHeight="1">
      <c r="A148" s="95" t="s">
        <v>1355</v>
      </c>
      <c r="B148" s="96"/>
      <c r="C148" s="96" t="s">
        <v>1356</v>
      </c>
      <c r="D148" s="97" t="s">
        <v>90</v>
      </c>
      <c r="E148" s="98" t="s">
        <v>90</v>
      </c>
      <c r="F148" s="99"/>
      <c r="G148" s="99">
        <v>6800000</v>
      </c>
      <c r="H148" s="99">
        <v>6800000</v>
      </c>
      <c r="I148" s="99"/>
      <c r="J148" s="99">
        <v>6800000</v>
      </c>
      <c r="K148" s="100">
        <v>5</v>
      </c>
      <c r="L148" s="101">
        <v>0.45100000000000001</v>
      </c>
      <c r="M148" s="100">
        <v>11</v>
      </c>
      <c r="N148" s="99">
        <v>2811233</v>
      </c>
      <c r="O148" s="99"/>
      <c r="P148" s="99">
        <v>2811233</v>
      </c>
      <c r="Q148" s="99">
        <v>3988767</v>
      </c>
    </row>
    <row r="149" spans="1:26" ht="24" customHeight="1">
      <c r="A149" s="95" t="s">
        <v>1357</v>
      </c>
      <c r="B149" s="96"/>
      <c r="C149" s="96" t="s">
        <v>1358</v>
      </c>
      <c r="D149" s="97" t="s">
        <v>90</v>
      </c>
      <c r="E149" s="98" t="s">
        <v>90</v>
      </c>
      <c r="F149" s="99"/>
      <c r="G149" s="99">
        <v>2690000</v>
      </c>
      <c r="H149" s="99">
        <v>2690000</v>
      </c>
      <c r="I149" s="99"/>
      <c r="J149" s="99">
        <v>2690000</v>
      </c>
      <c r="K149" s="100">
        <v>5</v>
      </c>
      <c r="L149" s="101">
        <v>0.45100000000000001</v>
      </c>
      <c r="M149" s="100">
        <v>10</v>
      </c>
      <c r="N149" s="99">
        <v>1010991</v>
      </c>
      <c r="O149" s="99"/>
      <c r="P149" s="99">
        <v>1010991</v>
      </c>
      <c r="Q149" s="99">
        <v>1679009</v>
      </c>
    </row>
    <row r="150" spans="1:26" s="166" customFormat="1" ht="24" customHeight="1">
      <c r="A150" s="118" t="s">
        <v>193</v>
      </c>
      <c r="B150" s="119" t="s">
        <v>966</v>
      </c>
      <c r="C150" s="119" t="s">
        <v>194</v>
      </c>
      <c r="D150" s="120" t="s">
        <v>189</v>
      </c>
      <c r="E150" s="121" t="s">
        <v>190</v>
      </c>
      <c r="F150" s="117">
        <v>56000000</v>
      </c>
      <c r="G150" s="117"/>
      <c r="H150" s="117">
        <v>56000000</v>
      </c>
      <c r="I150" s="117">
        <v>8764000</v>
      </c>
      <c r="J150" s="117">
        <v>47236000</v>
      </c>
      <c r="K150" s="122">
        <v>8</v>
      </c>
      <c r="L150" s="123">
        <v>0.313</v>
      </c>
      <c r="M150" s="122">
        <v>12</v>
      </c>
      <c r="N150" s="117">
        <v>14784868</v>
      </c>
      <c r="O150" s="117"/>
      <c r="P150" s="117">
        <v>23548868</v>
      </c>
      <c r="Q150" s="117">
        <v>32451132</v>
      </c>
      <c r="R150" s="463">
        <f>(F150+G150)/K150*M150/12</f>
        <v>7000000</v>
      </c>
      <c r="S150" s="376"/>
      <c r="T150" s="463">
        <f>Q150*L150</f>
        <v>10157204.316</v>
      </c>
      <c r="U150" s="463">
        <f>(Q150-T150)*L150</f>
        <v>6977999.365092</v>
      </c>
      <c r="V150" s="463">
        <f>(Q150-T150-U150)*L150</f>
        <v>4793885.5638182042</v>
      </c>
      <c r="W150" s="463">
        <f>(Q150-T150-U150-V150)*L150</f>
        <v>3293399.3823431064</v>
      </c>
      <c r="X150" s="463">
        <f>(Q150-T150-U150-V150-W150)*L150</f>
        <v>2262565.3756697145</v>
      </c>
      <c r="Y150" s="463">
        <f>Q150/K150</f>
        <v>4056391.5</v>
      </c>
      <c r="Z150" s="376"/>
    </row>
    <row r="151" spans="1:26" s="366" customFormat="1" ht="24" customHeight="1">
      <c r="A151" s="359" t="s">
        <v>1986</v>
      </c>
      <c r="B151" s="360" t="s">
        <v>972</v>
      </c>
      <c r="C151" s="360" t="s">
        <v>1335</v>
      </c>
      <c r="D151" s="361" t="s">
        <v>189</v>
      </c>
      <c r="E151" s="362" t="s">
        <v>190</v>
      </c>
      <c r="F151" s="363"/>
      <c r="G151" s="363">
        <v>417838230</v>
      </c>
      <c r="H151" s="363">
        <v>417838230</v>
      </c>
      <c r="I151" s="363"/>
      <c r="J151" s="363">
        <v>417838230</v>
      </c>
      <c r="K151" s="364">
        <v>8</v>
      </c>
      <c r="L151" s="365">
        <v>0.313</v>
      </c>
      <c r="M151" s="364">
        <v>7</v>
      </c>
      <c r="N151" s="363">
        <v>76290296</v>
      </c>
      <c r="O151" s="363"/>
      <c r="P151" s="363">
        <v>76290296</v>
      </c>
      <c r="Q151" s="363">
        <v>341547934</v>
      </c>
      <c r="R151" s="465">
        <f>(F151+G151)/K151*M151/12</f>
        <v>30467370.9375</v>
      </c>
      <c r="S151" s="378"/>
      <c r="T151" s="463">
        <f>Q151*L151</f>
        <v>106904503.34199999</v>
      </c>
      <c r="U151" s="463">
        <f>(Q151-T151)*L151</f>
        <v>73443393.795954004</v>
      </c>
      <c r="V151" s="463">
        <f>(Q151-T151-U151)*L151</f>
        <v>50455611.537820399</v>
      </c>
      <c r="W151" s="463">
        <f>(Q151-T151-U151-V151)*L151</f>
        <v>34663005.126482613</v>
      </c>
      <c r="X151" s="463">
        <f>(Q151-T151-U151-V151-W151)*L151</f>
        <v>23813484.521893557</v>
      </c>
      <c r="Y151" s="463">
        <f>Q151/K151</f>
        <v>42693491.75</v>
      </c>
      <c r="Z151" s="378"/>
    </row>
    <row r="152" spans="1:26" ht="24" customHeight="1">
      <c r="A152" s="95" t="s">
        <v>1359</v>
      </c>
      <c r="B152" s="96"/>
      <c r="C152" s="96" t="s">
        <v>1360</v>
      </c>
      <c r="D152" s="97" t="s">
        <v>90</v>
      </c>
      <c r="E152" s="98" t="s">
        <v>90</v>
      </c>
      <c r="F152" s="99"/>
      <c r="G152" s="99">
        <v>12500000</v>
      </c>
      <c r="H152" s="99">
        <v>12500000</v>
      </c>
      <c r="I152" s="99"/>
      <c r="J152" s="99">
        <v>12500000</v>
      </c>
      <c r="K152" s="100">
        <v>5</v>
      </c>
      <c r="L152" s="101">
        <v>0.45100000000000001</v>
      </c>
      <c r="M152" s="100">
        <v>9</v>
      </c>
      <c r="N152" s="99">
        <v>4228125</v>
      </c>
      <c r="O152" s="99"/>
      <c r="P152" s="99">
        <v>4228125</v>
      </c>
      <c r="Q152" s="99">
        <v>8271875</v>
      </c>
    </row>
    <row r="153" spans="1:26" ht="24" customHeight="1">
      <c r="A153" s="95" t="s">
        <v>1361</v>
      </c>
      <c r="B153" s="96"/>
      <c r="C153" s="96" t="s">
        <v>1362</v>
      </c>
      <c r="D153" s="97" t="s">
        <v>90</v>
      </c>
      <c r="E153" s="98" t="s">
        <v>90</v>
      </c>
      <c r="F153" s="99"/>
      <c r="G153" s="99">
        <v>36000000</v>
      </c>
      <c r="H153" s="99">
        <v>36000000</v>
      </c>
      <c r="I153" s="99"/>
      <c r="J153" s="99">
        <v>36000000</v>
      </c>
      <c r="K153" s="100">
        <v>5</v>
      </c>
      <c r="L153" s="101">
        <v>0.45100000000000001</v>
      </c>
      <c r="M153" s="100">
        <v>9</v>
      </c>
      <c r="N153" s="99">
        <v>12177000</v>
      </c>
      <c r="O153" s="99"/>
      <c r="P153" s="99">
        <v>12177000</v>
      </c>
      <c r="Q153" s="99">
        <v>23823000</v>
      </c>
    </row>
    <row r="154" spans="1:26" ht="24" customHeight="1">
      <c r="A154" s="95" t="s">
        <v>1363</v>
      </c>
      <c r="B154" s="96"/>
      <c r="C154" s="96" t="s">
        <v>1364</v>
      </c>
      <c r="D154" s="97" t="s">
        <v>90</v>
      </c>
      <c r="E154" s="98" t="s">
        <v>90</v>
      </c>
      <c r="F154" s="99"/>
      <c r="G154" s="99">
        <v>52700000</v>
      </c>
      <c r="H154" s="99">
        <v>52700000</v>
      </c>
      <c r="I154" s="99"/>
      <c r="J154" s="99">
        <v>52700000</v>
      </c>
      <c r="K154" s="100">
        <v>5</v>
      </c>
      <c r="L154" s="101">
        <v>0.45100000000000001</v>
      </c>
      <c r="M154" s="100">
        <v>2</v>
      </c>
      <c r="N154" s="99">
        <v>3961283</v>
      </c>
      <c r="O154" s="99"/>
      <c r="P154" s="99">
        <v>3961283</v>
      </c>
      <c r="Q154" s="99">
        <v>48738717</v>
      </c>
    </row>
    <row r="155" spans="1:26" ht="24" customHeight="1">
      <c r="A155" s="95" t="s">
        <v>195</v>
      </c>
      <c r="B155" s="96"/>
      <c r="C155" s="96" t="s">
        <v>196</v>
      </c>
      <c r="D155" s="97" t="s">
        <v>93</v>
      </c>
      <c r="E155" s="98" t="s">
        <v>94</v>
      </c>
      <c r="F155" s="99">
        <v>18000000</v>
      </c>
      <c r="G155" s="99"/>
      <c r="H155" s="99">
        <v>18000000</v>
      </c>
      <c r="I155" s="99">
        <v>16140953</v>
      </c>
      <c r="J155" s="99">
        <v>1859047</v>
      </c>
      <c r="K155" s="100">
        <v>5</v>
      </c>
      <c r="L155" s="101">
        <v>0.45100000000000001</v>
      </c>
      <c r="M155" s="100">
        <v>12</v>
      </c>
      <c r="N155" s="99">
        <v>838430</v>
      </c>
      <c r="O155" s="99"/>
      <c r="P155" s="99">
        <v>16979383</v>
      </c>
      <c r="Q155" s="99">
        <v>1020617</v>
      </c>
    </row>
    <row r="156" spans="1:26" ht="24" customHeight="1">
      <c r="A156" s="95" t="s">
        <v>197</v>
      </c>
      <c r="B156" s="96"/>
      <c r="C156" s="96" t="s">
        <v>198</v>
      </c>
      <c r="D156" s="97" t="s">
        <v>93</v>
      </c>
      <c r="E156" s="98" t="s">
        <v>94</v>
      </c>
      <c r="F156" s="99">
        <v>21500000</v>
      </c>
      <c r="G156" s="99"/>
      <c r="H156" s="99">
        <v>21500000</v>
      </c>
      <c r="I156" s="99">
        <v>19279472</v>
      </c>
      <c r="J156" s="99">
        <v>2220528</v>
      </c>
      <c r="K156" s="100">
        <v>5</v>
      </c>
      <c r="L156" s="101">
        <v>0.45100000000000001</v>
      </c>
      <c r="M156" s="100">
        <v>12</v>
      </c>
      <c r="N156" s="99">
        <v>1001458</v>
      </c>
      <c r="O156" s="99"/>
      <c r="P156" s="99">
        <v>20280930</v>
      </c>
      <c r="Q156" s="99">
        <v>1219070</v>
      </c>
    </row>
    <row r="157" spans="1:26" ht="24" customHeight="1">
      <c r="A157" s="108" t="s">
        <v>199</v>
      </c>
      <c r="B157" s="109"/>
      <c r="C157" s="109" t="s">
        <v>200</v>
      </c>
      <c r="D157" s="110" t="s">
        <v>93</v>
      </c>
      <c r="E157" s="111" t="s">
        <v>94</v>
      </c>
      <c r="F157" s="112">
        <v>6200000</v>
      </c>
      <c r="G157" s="112"/>
      <c r="H157" s="112">
        <v>6200000</v>
      </c>
      <c r="I157" s="112">
        <v>5521104</v>
      </c>
      <c r="J157" s="112">
        <v>678896</v>
      </c>
      <c r="K157" s="113">
        <v>5</v>
      </c>
      <c r="L157" s="114">
        <v>0.45100000000000001</v>
      </c>
      <c r="M157" s="113">
        <v>12</v>
      </c>
      <c r="N157" s="112">
        <v>306182</v>
      </c>
      <c r="O157" s="112"/>
      <c r="P157" s="112">
        <v>5827286</v>
      </c>
      <c r="Q157" s="112">
        <v>372714</v>
      </c>
    </row>
    <row r="158" spans="1:26" ht="24" customHeight="1">
      <c r="A158" s="95" t="s">
        <v>201</v>
      </c>
      <c r="B158" s="96"/>
      <c r="C158" s="96" t="s">
        <v>202</v>
      </c>
      <c r="D158" s="97" t="s">
        <v>93</v>
      </c>
      <c r="E158" s="98" t="s">
        <v>94</v>
      </c>
      <c r="F158" s="99">
        <v>19000000</v>
      </c>
      <c r="G158" s="99"/>
      <c r="H158" s="99">
        <v>19000000</v>
      </c>
      <c r="I158" s="99">
        <v>12489317</v>
      </c>
      <c r="J158" s="99">
        <v>6510683</v>
      </c>
      <c r="K158" s="100">
        <v>5</v>
      </c>
      <c r="L158" s="101">
        <v>0.45100000000000001</v>
      </c>
      <c r="M158" s="100">
        <v>12</v>
      </c>
      <c r="N158" s="99">
        <v>2936318</v>
      </c>
      <c r="O158" s="99"/>
      <c r="P158" s="99">
        <v>15425635</v>
      </c>
      <c r="Q158" s="99">
        <v>3574365</v>
      </c>
    </row>
    <row r="159" spans="1:26" ht="24" customHeight="1">
      <c r="A159" s="95" t="s">
        <v>203</v>
      </c>
      <c r="B159" s="96"/>
      <c r="C159" s="96" t="s">
        <v>204</v>
      </c>
      <c r="D159" s="97" t="s">
        <v>93</v>
      </c>
      <c r="E159" s="98" t="s">
        <v>94</v>
      </c>
      <c r="F159" s="99">
        <v>4500000</v>
      </c>
      <c r="G159" s="99"/>
      <c r="H159" s="99">
        <v>4500000</v>
      </c>
      <c r="I159" s="99">
        <v>3895313</v>
      </c>
      <c r="J159" s="99">
        <v>604687</v>
      </c>
      <c r="K159" s="100">
        <v>5</v>
      </c>
      <c r="L159" s="101">
        <v>0.45100000000000001</v>
      </c>
      <c r="M159" s="100">
        <v>12</v>
      </c>
      <c r="N159" s="99">
        <v>272713</v>
      </c>
      <c r="O159" s="99"/>
      <c r="P159" s="99">
        <v>4168026</v>
      </c>
      <c r="Q159" s="99">
        <v>331974</v>
      </c>
    </row>
    <row r="160" spans="1:26" ht="24" customHeight="1">
      <c r="A160" s="95" t="s">
        <v>205</v>
      </c>
      <c r="B160" s="96"/>
      <c r="C160" s="96" t="s">
        <v>206</v>
      </c>
      <c r="D160" s="97" t="s">
        <v>93</v>
      </c>
      <c r="E160" s="98" t="s">
        <v>94</v>
      </c>
      <c r="F160" s="99">
        <v>18000000</v>
      </c>
      <c r="G160" s="99"/>
      <c r="H160" s="99">
        <v>18000000</v>
      </c>
      <c r="I160" s="99">
        <v>15581254</v>
      </c>
      <c r="J160" s="99">
        <v>2418746</v>
      </c>
      <c r="K160" s="100">
        <v>5</v>
      </c>
      <c r="L160" s="101">
        <v>0.45100000000000001</v>
      </c>
      <c r="M160" s="100">
        <v>12</v>
      </c>
      <c r="N160" s="99">
        <v>1090854</v>
      </c>
      <c r="O160" s="99"/>
      <c r="P160" s="99">
        <v>16672108</v>
      </c>
      <c r="Q160" s="99">
        <v>1327892</v>
      </c>
    </row>
    <row r="161" spans="1:26" ht="24" customHeight="1">
      <c r="A161" s="95" t="s">
        <v>207</v>
      </c>
      <c r="B161" s="96"/>
      <c r="C161" s="96" t="s">
        <v>208</v>
      </c>
      <c r="D161" s="97" t="s">
        <v>93</v>
      </c>
      <c r="E161" s="98" t="s">
        <v>94</v>
      </c>
      <c r="F161" s="99">
        <v>6000000</v>
      </c>
      <c r="G161" s="99"/>
      <c r="H161" s="99">
        <v>6000000</v>
      </c>
      <c r="I161" s="99">
        <v>5193751</v>
      </c>
      <c r="J161" s="99">
        <v>806249</v>
      </c>
      <c r="K161" s="100">
        <v>5</v>
      </c>
      <c r="L161" s="101">
        <v>0.45100000000000001</v>
      </c>
      <c r="M161" s="100">
        <v>12</v>
      </c>
      <c r="N161" s="99">
        <v>363618</v>
      </c>
      <c r="O161" s="99"/>
      <c r="P161" s="99">
        <v>5557369</v>
      </c>
      <c r="Q161" s="99">
        <v>442631</v>
      </c>
    </row>
    <row r="162" spans="1:26" ht="24" customHeight="1">
      <c r="A162" s="95" t="s">
        <v>209</v>
      </c>
      <c r="B162" s="96"/>
      <c r="C162" s="96" t="s">
        <v>210</v>
      </c>
      <c r="D162" s="97" t="s">
        <v>93</v>
      </c>
      <c r="E162" s="98" t="s">
        <v>94</v>
      </c>
      <c r="F162" s="99">
        <v>27500000</v>
      </c>
      <c r="G162" s="99"/>
      <c r="H162" s="99">
        <v>27500000</v>
      </c>
      <c r="I162" s="99">
        <v>23633675</v>
      </c>
      <c r="J162" s="99">
        <v>3866325</v>
      </c>
      <c r="K162" s="100">
        <v>5</v>
      </c>
      <c r="L162" s="101">
        <v>0.45100000000000001</v>
      </c>
      <c r="M162" s="100">
        <v>12</v>
      </c>
      <c r="N162" s="99">
        <v>1743712</v>
      </c>
      <c r="O162" s="99"/>
      <c r="P162" s="99">
        <v>25377387</v>
      </c>
      <c r="Q162" s="99">
        <v>2122613</v>
      </c>
    </row>
    <row r="163" spans="1:26" ht="24" customHeight="1">
      <c r="A163" s="95" t="s">
        <v>211</v>
      </c>
      <c r="B163" s="96"/>
      <c r="C163" s="96" t="s">
        <v>212</v>
      </c>
      <c r="D163" s="97" t="s">
        <v>93</v>
      </c>
      <c r="E163" s="98" t="s">
        <v>94</v>
      </c>
      <c r="F163" s="99">
        <v>7500000</v>
      </c>
      <c r="G163" s="99"/>
      <c r="H163" s="99">
        <v>7500000</v>
      </c>
      <c r="I163" s="99">
        <v>6398905</v>
      </c>
      <c r="J163" s="99">
        <v>1101095</v>
      </c>
      <c r="K163" s="100">
        <v>5</v>
      </c>
      <c r="L163" s="101">
        <v>0.45100000000000001</v>
      </c>
      <c r="M163" s="100">
        <v>12</v>
      </c>
      <c r="N163" s="99">
        <v>496593</v>
      </c>
      <c r="O163" s="99"/>
      <c r="P163" s="99">
        <v>6895498</v>
      </c>
      <c r="Q163" s="99">
        <v>604502</v>
      </c>
    </row>
    <row r="164" spans="1:26" ht="24" customHeight="1">
      <c r="A164" s="95" t="s">
        <v>213</v>
      </c>
      <c r="B164" s="96"/>
      <c r="C164" s="96" t="s">
        <v>214</v>
      </c>
      <c r="D164" s="97" t="s">
        <v>93</v>
      </c>
      <c r="E164" s="98" t="s">
        <v>94</v>
      </c>
      <c r="F164" s="99">
        <v>7000000</v>
      </c>
      <c r="G164" s="99"/>
      <c r="H164" s="99">
        <v>7000000</v>
      </c>
      <c r="I164" s="99">
        <v>5972312</v>
      </c>
      <c r="J164" s="99">
        <v>1027688</v>
      </c>
      <c r="K164" s="100">
        <v>5</v>
      </c>
      <c r="L164" s="101">
        <v>0.45100000000000001</v>
      </c>
      <c r="M164" s="100">
        <v>12</v>
      </c>
      <c r="N164" s="99">
        <v>463487</v>
      </c>
      <c r="O164" s="99"/>
      <c r="P164" s="99">
        <v>6435799</v>
      </c>
      <c r="Q164" s="99">
        <v>564201</v>
      </c>
    </row>
    <row r="165" spans="1:26" ht="24" customHeight="1">
      <c r="A165" s="95" t="s">
        <v>213</v>
      </c>
      <c r="B165" s="96"/>
      <c r="C165" s="96" t="s">
        <v>214</v>
      </c>
      <c r="D165" s="97" t="s">
        <v>93</v>
      </c>
      <c r="E165" s="98" t="s">
        <v>94</v>
      </c>
      <c r="F165" s="99">
        <v>7000000</v>
      </c>
      <c r="G165" s="99"/>
      <c r="H165" s="99">
        <v>7000000</v>
      </c>
      <c r="I165" s="99">
        <v>5972312</v>
      </c>
      <c r="J165" s="99">
        <v>1027688</v>
      </c>
      <c r="K165" s="100">
        <v>5</v>
      </c>
      <c r="L165" s="101">
        <v>0.45100000000000001</v>
      </c>
      <c r="M165" s="100">
        <v>12</v>
      </c>
      <c r="N165" s="99">
        <v>463487</v>
      </c>
      <c r="O165" s="99"/>
      <c r="P165" s="99">
        <v>6435799</v>
      </c>
      <c r="Q165" s="99">
        <v>564201</v>
      </c>
    </row>
    <row r="166" spans="1:26" ht="24" customHeight="1">
      <c r="A166" s="95" t="s">
        <v>215</v>
      </c>
      <c r="B166" s="96"/>
      <c r="C166" s="96" t="s">
        <v>216</v>
      </c>
      <c r="D166" s="97" t="s">
        <v>93</v>
      </c>
      <c r="E166" s="98" t="s">
        <v>94</v>
      </c>
      <c r="F166" s="99">
        <v>15000000</v>
      </c>
      <c r="G166" s="99"/>
      <c r="H166" s="99">
        <v>15000000</v>
      </c>
      <c r="I166" s="99">
        <v>12797812</v>
      </c>
      <c r="J166" s="99">
        <v>2202188</v>
      </c>
      <c r="K166" s="100">
        <v>5</v>
      </c>
      <c r="L166" s="101">
        <v>0.45100000000000001</v>
      </c>
      <c r="M166" s="100">
        <v>12</v>
      </c>
      <c r="N166" s="99">
        <v>993186</v>
      </c>
      <c r="O166" s="99"/>
      <c r="P166" s="99">
        <v>13790998</v>
      </c>
      <c r="Q166" s="99">
        <v>1209002</v>
      </c>
    </row>
    <row r="167" spans="1:26" s="327" customFormat="1" ht="21" customHeight="1">
      <c r="A167" s="320" t="s">
        <v>217</v>
      </c>
      <c r="B167" s="321" t="s">
        <v>968</v>
      </c>
      <c r="C167" s="321" t="s">
        <v>218</v>
      </c>
      <c r="D167" s="322" t="s">
        <v>189</v>
      </c>
      <c r="E167" s="323" t="s">
        <v>190</v>
      </c>
      <c r="F167" s="324">
        <v>37580000</v>
      </c>
      <c r="G167" s="324"/>
      <c r="H167" s="324">
        <v>37580000</v>
      </c>
      <c r="I167" s="324">
        <v>980211</v>
      </c>
      <c r="J167" s="324">
        <v>36599789</v>
      </c>
      <c r="K167" s="325">
        <v>8</v>
      </c>
      <c r="L167" s="326">
        <v>0.313</v>
      </c>
      <c r="M167" s="325">
        <v>12</v>
      </c>
      <c r="N167" s="324">
        <v>11455733</v>
      </c>
      <c r="O167" s="324"/>
      <c r="P167" s="324">
        <v>12435944</v>
      </c>
      <c r="Q167" s="324">
        <v>25144056</v>
      </c>
      <c r="R167" s="464">
        <f>(F167+G167)/K167*M167/12</f>
        <v>4697500</v>
      </c>
      <c r="S167" s="377"/>
      <c r="T167" s="463">
        <f>Q167*L167</f>
        <v>7870089.5279999999</v>
      </c>
      <c r="U167" s="463">
        <f>(Q167-T167)*L167</f>
        <v>5406751.5057359999</v>
      </c>
      <c r="V167" s="463">
        <f>(Q167-T167-U167)*L167</f>
        <v>3714438.2844406315</v>
      </c>
      <c r="W167" s="463">
        <f>(Q167-T167-U167-V167)*L167</f>
        <v>2551819.101410714</v>
      </c>
      <c r="X167" s="463">
        <f>(Q167-T167-U167-V167-W167)*L167</f>
        <v>1753099.7226691605</v>
      </c>
      <c r="Y167" s="463">
        <f>Q167/K167</f>
        <v>3143007</v>
      </c>
      <c r="Z167" s="377"/>
    </row>
    <row r="168" spans="1:26" ht="21" customHeight="1">
      <c r="A168" s="95" t="s">
        <v>219</v>
      </c>
      <c r="B168" s="96"/>
      <c r="C168" s="96" t="s">
        <v>220</v>
      </c>
      <c r="D168" s="97" t="s">
        <v>93</v>
      </c>
      <c r="E168" s="98" t="s">
        <v>94</v>
      </c>
      <c r="F168" s="99">
        <v>2000000</v>
      </c>
      <c r="G168" s="99"/>
      <c r="H168" s="99">
        <v>2000000</v>
      </c>
      <c r="I168" s="99">
        <v>1555784</v>
      </c>
      <c r="J168" s="99">
        <v>444216</v>
      </c>
      <c r="K168" s="100">
        <v>5</v>
      </c>
      <c r="L168" s="101">
        <v>0.45100000000000001</v>
      </c>
      <c r="M168" s="100">
        <v>12</v>
      </c>
      <c r="N168" s="99">
        <v>200341</v>
      </c>
      <c r="O168" s="99"/>
      <c r="P168" s="99">
        <v>1756125</v>
      </c>
      <c r="Q168" s="99">
        <v>243875</v>
      </c>
    </row>
    <row r="169" spans="1:26" ht="21" customHeight="1">
      <c r="A169" s="95" t="s">
        <v>221</v>
      </c>
      <c r="B169" s="96"/>
      <c r="C169" s="96" t="s">
        <v>222</v>
      </c>
      <c r="D169" s="97" t="s">
        <v>93</v>
      </c>
      <c r="E169" s="98" t="s">
        <v>94</v>
      </c>
      <c r="F169" s="99">
        <v>19200000</v>
      </c>
      <c r="G169" s="99"/>
      <c r="H169" s="99">
        <v>19200000</v>
      </c>
      <c r="I169" s="99">
        <v>14065573</v>
      </c>
      <c r="J169" s="99">
        <v>5134427</v>
      </c>
      <c r="K169" s="100">
        <v>5</v>
      </c>
      <c r="L169" s="101">
        <v>0.45100000000000001</v>
      </c>
      <c r="M169" s="100">
        <v>12</v>
      </c>
      <c r="N169" s="99">
        <v>2315626</v>
      </c>
      <c r="O169" s="99"/>
      <c r="P169" s="99">
        <v>16381199</v>
      </c>
      <c r="Q169" s="99">
        <v>2818801</v>
      </c>
    </row>
    <row r="170" spans="1:26" ht="21" customHeight="1">
      <c r="A170" s="95" t="s">
        <v>223</v>
      </c>
      <c r="B170" s="96"/>
      <c r="C170" s="96" t="s">
        <v>202</v>
      </c>
      <c r="D170" s="97" t="s">
        <v>93</v>
      </c>
      <c r="E170" s="98" t="s">
        <v>94</v>
      </c>
      <c r="F170" s="99">
        <v>29000000</v>
      </c>
      <c r="G170" s="99"/>
      <c r="H170" s="99">
        <v>29000000</v>
      </c>
      <c r="I170" s="99">
        <v>19062642</v>
      </c>
      <c r="J170" s="99">
        <v>9937358</v>
      </c>
      <c r="K170" s="100">
        <v>5</v>
      </c>
      <c r="L170" s="101">
        <v>0.45100000000000001</v>
      </c>
      <c r="M170" s="100">
        <v>12</v>
      </c>
      <c r="N170" s="99">
        <v>4481748</v>
      </c>
      <c r="O170" s="99"/>
      <c r="P170" s="99">
        <v>23544390</v>
      </c>
      <c r="Q170" s="99">
        <v>5455610</v>
      </c>
    </row>
    <row r="171" spans="1:26" ht="21" customHeight="1">
      <c r="A171" s="95" t="s">
        <v>224</v>
      </c>
      <c r="B171" s="96"/>
      <c r="C171" s="96" t="s">
        <v>225</v>
      </c>
      <c r="D171" s="97" t="s">
        <v>93</v>
      </c>
      <c r="E171" s="98" t="s">
        <v>94</v>
      </c>
      <c r="F171" s="99">
        <v>6600000</v>
      </c>
      <c r="G171" s="99"/>
      <c r="H171" s="99">
        <v>6600000</v>
      </c>
      <c r="I171" s="99">
        <v>3657497</v>
      </c>
      <c r="J171" s="99">
        <v>2942503</v>
      </c>
      <c r="K171" s="100">
        <v>5</v>
      </c>
      <c r="L171" s="101">
        <v>0.45100000000000001</v>
      </c>
      <c r="M171" s="100">
        <v>12</v>
      </c>
      <c r="N171" s="99">
        <v>1327068</v>
      </c>
      <c r="O171" s="99"/>
      <c r="P171" s="99">
        <v>4984565</v>
      </c>
      <c r="Q171" s="99">
        <v>1615435</v>
      </c>
    </row>
    <row r="172" spans="1:26" ht="21" customHeight="1">
      <c r="A172" s="95" t="s">
        <v>226</v>
      </c>
      <c r="B172" s="96"/>
      <c r="C172" s="96" t="s">
        <v>227</v>
      </c>
      <c r="D172" s="97" t="s">
        <v>93</v>
      </c>
      <c r="E172" s="98" t="s">
        <v>94</v>
      </c>
      <c r="F172" s="99">
        <v>6900000</v>
      </c>
      <c r="G172" s="99"/>
      <c r="H172" s="99">
        <v>6900000</v>
      </c>
      <c r="I172" s="99">
        <v>3539008</v>
      </c>
      <c r="J172" s="99">
        <v>3360992</v>
      </c>
      <c r="K172" s="100">
        <v>5</v>
      </c>
      <c r="L172" s="101">
        <v>0.45100000000000001</v>
      </c>
      <c r="M172" s="100">
        <v>12</v>
      </c>
      <c r="N172" s="99">
        <v>1515807</v>
      </c>
      <c r="O172" s="99"/>
      <c r="P172" s="99">
        <v>5054815</v>
      </c>
      <c r="Q172" s="99">
        <v>1845185</v>
      </c>
    </row>
    <row r="173" spans="1:26" ht="21" customHeight="1">
      <c r="A173" s="95" t="s">
        <v>228</v>
      </c>
      <c r="B173" s="96"/>
      <c r="C173" s="96" t="s">
        <v>229</v>
      </c>
      <c r="D173" s="97" t="s">
        <v>93</v>
      </c>
      <c r="E173" s="98" t="s">
        <v>94</v>
      </c>
      <c r="F173" s="99">
        <v>4400000</v>
      </c>
      <c r="G173" s="99"/>
      <c r="H173" s="99">
        <v>4400000</v>
      </c>
      <c r="I173" s="99">
        <v>2165972</v>
      </c>
      <c r="J173" s="99">
        <v>2234028</v>
      </c>
      <c r="K173" s="100">
        <v>5</v>
      </c>
      <c r="L173" s="101">
        <v>0.45100000000000001</v>
      </c>
      <c r="M173" s="100">
        <v>12</v>
      </c>
      <c r="N173" s="99">
        <v>1007546</v>
      </c>
      <c r="O173" s="99"/>
      <c r="P173" s="99">
        <v>3173518</v>
      </c>
      <c r="Q173" s="99">
        <v>1226482</v>
      </c>
    </row>
    <row r="174" spans="1:26" s="327" customFormat="1" ht="21" customHeight="1">
      <c r="A174" s="320" t="s">
        <v>230</v>
      </c>
      <c r="B174" s="321" t="s">
        <v>968</v>
      </c>
      <c r="C174" s="321" t="s">
        <v>161</v>
      </c>
      <c r="D174" s="322" t="s">
        <v>189</v>
      </c>
      <c r="E174" s="323" t="s">
        <v>190</v>
      </c>
      <c r="F174" s="324">
        <v>395573890</v>
      </c>
      <c r="G174" s="324"/>
      <c r="H174" s="324">
        <v>395573890</v>
      </c>
      <c r="I174" s="324">
        <v>20635771</v>
      </c>
      <c r="J174" s="324">
        <v>374938119</v>
      </c>
      <c r="K174" s="325">
        <v>8</v>
      </c>
      <c r="L174" s="326">
        <v>0.313</v>
      </c>
      <c r="M174" s="325">
        <v>12</v>
      </c>
      <c r="N174" s="324">
        <v>117355631</v>
      </c>
      <c r="O174" s="324"/>
      <c r="P174" s="324">
        <v>137991402</v>
      </c>
      <c r="Q174" s="324">
        <v>257582488</v>
      </c>
      <c r="R174" s="464">
        <f>(F174+G174)/K174*M174/12</f>
        <v>49446736.25</v>
      </c>
      <c r="S174" s="377"/>
      <c r="T174" s="463">
        <f>Q174*L174</f>
        <v>80623318.744000003</v>
      </c>
      <c r="U174" s="463">
        <f>(Q174-T174)*L174</f>
        <v>55388219.977127992</v>
      </c>
      <c r="V174" s="463">
        <f>(Q174-T174-U174)*L174</f>
        <v>38051707.124286927</v>
      </c>
      <c r="W174" s="463">
        <f>(Q174-T174-U174-V174)*L174</f>
        <v>26141522.794385124</v>
      </c>
      <c r="X174" s="463">
        <f>(Q174-T174-U174-V174-W174)*L174</f>
        <v>17959226.159742583</v>
      </c>
      <c r="Y174" s="463">
        <f>Q174/K174</f>
        <v>32197811</v>
      </c>
      <c r="Z174" s="377"/>
    </row>
    <row r="175" spans="1:26" ht="21" customHeight="1">
      <c r="A175" s="95" t="s">
        <v>231</v>
      </c>
      <c r="B175" s="96"/>
      <c r="C175" s="96" t="s">
        <v>232</v>
      </c>
      <c r="D175" s="97" t="s">
        <v>93</v>
      </c>
      <c r="E175" s="98" t="s">
        <v>94</v>
      </c>
      <c r="F175" s="99">
        <v>6000000</v>
      </c>
      <c r="G175" s="99"/>
      <c r="H175" s="99">
        <v>6000000</v>
      </c>
      <c r="I175" s="99">
        <v>2953599</v>
      </c>
      <c r="J175" s="99">
        <v>3046401</v>
      </c>
      <c r="K175" s="100">
        <v>5</v>
      </c>
      <c r="L175" s="101">
        <v>0.45100000000000001</v>
      </c>
      <c r="M175" s="100">
        <v>12</v>
      </c>
      <c r="N175" s="99">
        <v>1373926</v>
      </c>
      <c r="O175" s="99"/>
      <c r="P175" s="99">
        <v>4327525</v>
      </c>
      <c r="Q175" s="99">
        <v>1672475</v>
      </c>
    </row>
    <row r="176" spans="1:26" s="327" customFormat="1" ht="21" customHeight="1">
      <c r="A176" s="320" t="s">
        <v>233</v>
      </c>
      <c r="B176" s="321" t="s">
        <v>968</v>
      </c>
      <c r="C176" s="321" t="s">
        <v>161</v>
      </c>
      <c r="D176" s="322" t="s">
        <v>189</v>
      </c>
      <c r="E176" s="323" t="s">
        <v>190</v>
      </c>
      <c r="F176" s="324">
        <v>649115590</v>
      </c>
      <c r="G176" s="324">
        <v>7900000</v>
      </c>
      <c r="H176" s="324">
        <v>657015590</v>
      </c>
      <c r="I176" s="324">
        <v>33862196</v>
      </c>
      <c r="J176" s="324">
        <v>623153394</v>
      </c>
      <c r="K176" s="325">
        <v>8</v>
      </c>
      <c r="L176" s="326">
        <v>0.313</v>
      </c>
      <c r="M176" s="325">
        <v>12</v>
      </c>
      <c r="N176" s="324">
        <v>195047012</v>
      </c>
      <c r="O176" s="324"/>
      <c r="P176" s="324">
        <v>228909208</v>
      </c>
      <c r="Q176" s="324">
        <v>428106382</v>
      </c>
      <c r="R176" s="464">
        <f>(F176+G176)/K176*M176/12</f>
        <v>82126948.75</v>
      </c>
      <c r="S176" s="377"/>
      <c r="T176" s="463">
        <f>Q176*L176</f>
        <v>133997297.566</v>
      </c>
      <c r="U176" s="463">
        <f>(Q176-T176)*L176</f>
        <v>92056143.427842006</v>
      </c>
      <c r="V176" s="463">
        <f>(Q176-T176-U176)*L176</f>
        <v>63242570.53492745</v>
      </c>
      <c r="W176" s="463">
        <f>(Q176-T176-U176-V176)*L176</f>
        <v>43447645.95749516</v>
      </c>
      <c r="X176" s="463">
        <f>(Q176-T176-U176-V176-W176)*L176</f>
        <v>29848532.772799175</v>
      </c>
      <c r="Y176" s="463">
        <f>Q176/K176</f>
        <v>53513297.75</v>
      </c>
      <c r="Z176" s="377"/>
    </row>
    <row r="177" spans="1:26" s="166" customFormat="1" ht="21" customHeight="1">
      <c r="A177" s="118" t="s">
        <v>234</v>
      </c>
      <c r="B177" s="119" t="s">
        <v>966</v>
      </c>
      <c r="C177" s="119" t="s">
        <v>235</v>
      </c>
      <c r="D177" s="120" t="s">
        <v>189</v>
      </c>
      <c r="E177" s="121" t="s">
        <v>190</v>
      </c>
      <c r="F177" s="117">
        <v>1066396448</v>
      </c>
      <c r="G177" s="117">
        <v>8636364</v>
      </c>
      <c r="H177" s="117">
        <v>1075032812</v>
      </c>
      <c r="I177" s="117">
        <v>351377312</v>
      </c>
      <c r="J177" s="117">
        <v>723655500</v>
      </c>
      <c r="K177" s="122">
        <v>8</v>
      </c>
      <c r="L177" s="123">
        <v>0.313</v>
      </c>
      <c r="M177" s="122">
        <v>12</v>
      </c>
      <c r="N177" s="117">
        <v>226504171</v>
      </c>
      <c r="O177" s="117"/>
      <c r="P177" s="117">
        <v>577881483</v>
      </c>
      <c r="Q177" s="117">
        <v>497151329</v>
      </c>
      <c r="R177" s="463">
        <f>(F177+G177)/K177*M177/12</f>
        <v>134379101.5</v>
      </c>
      <c r="S177" s="376"/>
      <c r="T177" s="463">
        <f>Q177*L177</f>
        <v>155608365.977</v>
      </c>
      <c r="U177" s="463">
        <f>(Q177-T177)*L177</f>
        <v>106902947.426199</v>
      </c>
      <c r="V177" s="463">
        <f>(Q177-T177-U177)*L177</f>
        <v>73442324.881798714</v>
      </c>
      <c r="W177" s="463">
        <f>(Q177-T177-U177-V177)*L177</f>
        <v>50454877.193795711</v>
      </c>
      <c r="X177" s="463">
        <f>(Q177-T177-U177-V177-W177)*L177</f>
        <v>34662500.632137656</v>
      </c>
      <c r="Y177" s="463">
        <f>Q177/K177</f>
        <v>62143916.125</v>
      </c>
      <c r="Z177" s="376"/>
    </row>
    <row r="178" spans="1:26" s="166" customFormat="1" ht="21" customHeight="1">
      <c r="A178" s="118" t="s">
        <v>236</v>
      </c>
      <c r="B178" s="119" t="s">
        <v>966</v>
      </c>
      <c r="C178" s="119" t="s">
        <v>235</v>
      </c>
      <c r="D178" s="120" t="s">
        <v>189</v>
      </c>
      <c r="E178" s="121" t="s">
        <v>190</v>
      </c>
      <c r="F178" s="117">
        <v>574603552</v>
      </c>
      <c r="G178" s="117"/>
      <c r="H178" s="117">
        <v>574603552</v>
      </c>
      <c r="I178" s="117">
        <v>189331673</v>
      </c>
      <c r="J178" s="117">
        <v>385271879</v>
      </c>
      <c r="K178" s="122">
        <v>8</v>
      </c>
      <c r="L178" s="123">
        <v>0.313</v>
      </c>
      <c r="M178" s="122">
        <v>12</v>
      </c>
      <c r="N178" s="117">
        <v>120590098</v>
      </c>
      <c r="O178" s="117"/>
      <c r="P178" s="117">
        <v>309921771</v>
      </c>
      <c r="Q178" s="117">
        <v>264681781</v>
      </c>
      <c r="R178" s="463">
        <f>(F178+G178)/K178*M178/12</f>
        <v>71825444</v>
      </c>
      <c r="S178" s="376"/>
      <c r="T178" s="463">
        <f>Q178*L178</f>
        <v>82845397.452999994</v>
      </c>
      <c r="U178" s="463">
        <f>(Q178-T178)*L178</f>
        <v>56914788.050210997</v>
      </c>
      <c r="V178" s="463">
        <f>(Q178-T178-U178)*L178</f>
        <v>39100459.390494958</v>
      </c>
      <c r="W178" s="463">
        <f>(Q178-T178-U178-V178)*L178</f>
        <v>26862015.601270035</v>
      </c>
      <c r="X178" s="463">
        <f>(Q178-T178-U178-V178-W178)*L178</f>
        <v>18454204.718072511</v>
      </c>
      <c r="Y178" s="463">
        <f>Q178/K178</f>
        <v>33085222.625</v>
      </c>
      <c r="Z178" s="376"/>
    </row>
    <row r="179" spans="1:26" ht="21" customHeight="1">
      <c r="A179" s="95" t="s">
        <v>237</v>
      </c>
      <c r="B179" s="96"/>
      <c r="C179" s="96" t="s">
        <v>238</v>
      </c>
      <c r="D179" s="97" t="s">
        <v>97</v>
      </c>
      <c r="E179" s="98" t="s">
        <v>90</v>
      </c>
      <c r="F179" s="99">
        <v>10500000</v>
      </c>
      <c r="G179" s="99"/>
      <c r="H179" s="99">
        <v>10500000</v>
      </c>
      <c r="I179" s="99">
        <v>2367750</v>
      </c>
      <c r="J179" s="99">
        <v>8132250</v>
      </c>
      <c r="K179" s="100">
        <v>5</v>
      </c>
      <c r="L179" s="101">
        <v>0.45100000000000001</v>
      </c>
      <c r="M179" s="100">
        <v>12</v>
      </c>
      <c r="N179" s="99">
        <v>3667644</v>
      </c>
      <c r="O179" s="99"/>
      <c r="P179" s="99">
        <v>6035394</v>
      </c>
      <c r="Q179" s="99">
        <v>4464606</v>
      </c>
    </row>
    <row r="180" spans="1:26" ht="24" customHeight="1">
      <c r="A180" s="95" t="s">
        <v>239</v>
      </c>
      <c r="B180" s="96"/>
      <c r="C180" s="96" t="s">
        <v>240</v>
      </c>
      <c r="D180" s="97" t="s">
        <v>97</v>
      </c>
      <c r="E180" s="98" t="s">
        <v>90</v>
      </c>
      <c r="F180" s="99">
        <v>4500000</v>
      </c>
      <c r="G180" s="99"/>
      <c r="H180" s="99">
        <v>4500000</v>
      </c>
      <c r="I180" s="99">
        <v>845625</v>
      </c>
      <c r="J180" s="99">
        <v>3654375</v>
      </c>
      <c r="K180" s="100">
        <v>5</v>
      </c>
      <c r="L180" s="101">
        <v>0.45100000000000001</v>
      </c>
      <c r="M180" s="100">
        <v>12</v>
      </c>
      <c r="N180" s="99">
        <v>1648123</v>
      </c>
      <c r="O180" s="99"/>
      <c r="P180" s="99">
        <v>2493748</v>
      </c>
      <c r="Q180" s="99">
        <v>2006252</v>
      </c>
    </row>
    <row r="181" spans="1:26" ht="24" customHeight="1">
      <c r="A181" s="95" t="s">
        <v>241</v>
      </c>
      <c r="B181" s="96"/>
      <c r="C181" s="96" t="s">
        <v>171</v>
      </c>
      <c r="D181" s="97" t="s">
        <v>93</v>
      </c>
      <c r="E181" s="98" t="s">
        <v>94</v>
      </c>
      <c r="F181" s="99">
        <v>7320000</v>
      </c>
      <c r="G181" s="99"/>
      <c r="H181" s="99">
        <v>7320000</v>
      </c>
      <c r="I181" s="99">
        <v>7319000</v>
      </c>
      <c r="J181" s="99">
        <v>1000</v>
      </c>
      <c r="K181" s="100">
        <v>5</v>
      </c>
      <c r="L181" s="101">
        <v>0.45100000000000001</v>
      </c>
      <c r="M181" s="100">
        <v>12</v>
      </c>
      <c r="N181" s="99"/>
      <c r="O181" s="99"/>
      <c r="P181" s="99">
        <v>7319000</v>
      </c>
      <c r="Q181" s="99">
        <v>1000</v>
      </c>
    </row>
    <row r="182" spans="1:26" ht="24" customHeight="1">
      <c r="A182" s="95" t="s">
        <v>242</v>
      </c>
      <c r="B182" s="96"/>
      <c r="C182" s="96" t="s">
        <v>243</v>
      </c>
      <c r="D182" s="97" t="s">
        <v>93</v>
      </c>
      <c r="E182" s="98" t="s">
        <v>94</v>
      </c>
      <c r="F182" s="99">
        <v>1000000</v>
      </c>
      <c r="G182" s="99"/>
      <c r="H182" s="99">
        <v>1000000</v>
      </c>
      <c r="I182" s="99">
        <v>999000</v>
      </c>
      <c r="J182" s="99">
        <v>1000</v>
      </c>
      <c r="K182" s="100">
        <v>5</v>
      </c>
      <c r="L182" s="101">
        <v>0.45100000000000001</v>
      </c>
      <c r="M182" s="100">
        <v>12</v>
      </c>
      <c r="N182" s="99"/>
      <c r="O182" s="99"/>
      <c r="P182" s="99">
        <v>999000</v>
      </c>
      <c r="Q182" s="99">
        <v>1000</v>
      </c>
    </row>
    <row r="183" spans="1:26" ht="24" customHeight="1">
      <c r="A183" s="95" t="s">
        <v>244</v>
      </c>
      <c r="B183" s="96"/>
      <c r="C183" s="96" t="s">
        <v>245</v>
      </c>
      <c r="D183" s="97" t="s">
        <v>93</v>
      </c>
      <c r="E183" s="98" t="s">
        <v>94</v>
      </c>
      <c r="F183" s="99">
        <v>20000000</v>
      </c>
      <c r="G183" s="99"/>
      <c r="H183" s="99">
        <v>20000000</v>
      </c>
      <c r="I183" s="99">
        <v>19999000</v>
      </c>
      <c r="J183" s="99">
        <v>1000</v>
      </c>
      <c r="K183" s="100">
        <v>5</v>
      </c>
      <c r="L183" s="101">
        <v>0.45100000000000001</v>
      </c>
      <c r="M183" s="100">
        <v>12</v>
      </c>
      <c r="N183" s="99"/>
      <c r="O183" s="99"/>
      <c r="P183" s="99">
        <v>19999000</v>
      </c>
      <c r="Q183" s="99">
        <v>1000</v>
      </c>
    </row>
    <row r="184" spans="1:26" ht="24" customHeight="1">
      <c r="A184" s="95" t="s">
        <v>246</v>
      </c>
      <c r="B184" s="96"/>
      <c r="C184" s="96" t="s">
        <v>247</v>
      </c>
      <c r="D184" s="97" t="s">
        <v>93</v>
      </c>
      <c r="E184" s="98" t="s">
        <v>94</v>
      </c>
      <c r="F184" s="99">
        <v>3000000</v>
      </c>
      <c r="G184" s="99"/>
      <c r="H184" s="99">
        <v>3000000</v>
      </c>
      <c r="I184" s="99">
        <v>2999000</v>
      </c>
      <c r="J184" s="99">
        <v>1000</v>
      </c>
      <c r="K184" s="100">
        <v>5</v>
      </c>
      <c r="L184" s="101">
        <v>0.45100000000000001</v>
      </c>
      <c r="M184" s="100">
        <v>12</v>
      </c>
      <c r="N184" s="99"/>
      <c r="O184" s="99"/>
      <c r="P184" s="99">
        <v>2999000</v>
      </c>
      <c r="Q184" s="99">
        <v>1000</v>
      </c>
    </row>
    <row r="185" spans="1:26" ht="24" customHeight="1">
      <c r="A185" s="95" t="s">
        <v>248</v>
      </c>
      <c r="B185" s="96"/>
      <c r="C185" s="96" t="s">
        <v>249</v>
      </c>
      <c r="D185" s="97" t="s">
        <v>93</v>
      </c>
      <c r="E185" s="98" t="s">
        <v>94</v>
      </c>
      <c r="F185" s="99">
        <v>26700000</v>
      </c>
      <c r="G185" s="99"/>
      <c r="H185" s="99">
        <v>26700000</v>
      </c>
      <c r="I185" s="99">
        <v>26699000</v>
      </c>
      <c r="J185" s="99">
        <v>1000</v>
      </c>
      <c r="K185" s="100">
        <v>5</v>
      </c>
      <c r="L185" s="101">
        <v>0.45100000000000001</v>
      </c>
      <c r="M185" s="100">
        <v>12</v>
      </c>
      <c r="N185" s="99"/>
      <c r="O185" s="99"/>
      <c r="P185" s="99">
        <v>26699000</v>
      </c>
      <c r="Q185" s="99">
        <v>1000</v>
      </c>
    </row>
    <row r="186" spans="1:26" ht="24" customHeight="1">
      <c r="A186" s="95" t="s">
        <v>250</v>
      </c>
      <c r="B186" s="96"/>
      <c r="C186" s="96" t="s">
        <v>251</v>
      </c>
      <c r="D186" s="97" t="s">
        <v>93</v>
      </c>
      <c r="E186" s="98" t="s">
        <v>94</v>
      </c>
      <c r="F186" s="99">
        <v>4000000</v>
      </c>
      <c r="G186" s="99"/>
      <c r="H186" s="99">
        <v>4000000</v>
      </c>
      <c r="I186" s="99">
        <v>3999000</v>
      </c>
      <c r="J186" s="99">
        <v>1000</v>
      </c>
      <c r="K186" s="100">
        <v>5</v>
      </c>
      <c r="L186" s="101">
        <v>0.45100000000000001</v>
      </c>
      <c r="M186" s="100">
        <v>12</v>
      </c>
      <c r="N186" s="99"/>
      <c r="O186" s="99"/>
      <c r="P186" s="99">
        <v>3999000</v>
      </c>
      <c r="Q186" s="99">
        <v>1000</v>
      </c>
      <c r="U186" s="469"/>
      <c r="V186" s="469"/>
      <c r="W186" s="469"/>
      <c r="X186" s="469"/>
      <c r="Y186" s="469"/>
      <c r="Z186" s="165"/>
    </row>
    <row r="187" spans="1:26" s="166" customFormat="1" ht="24" customHeight="1">
      <c r="A187" s="118" t="s">
        <v>252</v>
      </c>
      <c r="B187" s="119" t="s">
        <v>966</v>
      </c>
      <c r="C187" s="119" t="s">
        <v>154</v>
      </c>
      <c r="D187" s="120" t="s">
        <v>189</v>
      </c>
      <c r="E187" s="121" t="s">
        <v>190</v>
      </c>
      <c r="F187" s="117">
        <v>36000000</v>
      </c>
      <c r="G187" s="117"/>
      <c r="H187" s="117">
        <v>36000000</v>
      </c>
      <c r="I187" s="117">
        <v>1878000</v>
      </c>
      <c r="J187" s="117">
        <v>34122000</v>
      </c>
      <c r="K187" s="122">
        <v>8</v>
      </c>
      <c r="L187" s="123">
        <v>0.313</v>
      </c>
      <c r="M187" s="122">
        <v>12</v>
      </c>
      <c r="N187" s="117">
        <v>10680186</v>
      </c>
      <c r="O187" s="117"/>
      <c r="P187" s="117">
        <v>12558186</v>
      </c>
      <c r="Q187" s="117">
        <v>23441814</v>
      </c>
      <c r="R187" s="463">
        <f>(F187+G187)/K187*M187/12</f>
        <v>4500000</v>
      </c>
      <c r="S187" s="376"/>
      <c r="T187" s="463">
        <f>Q187*L187</f>
        <v>7337287.7819999997</v>
      </c>
      <c r="U187" s="463">
        <f>(Q187-T187)*L187</f>
        <v>5040716.7062339997</v>
      </c>
      <c r="V187" s="463">
        <f>(Q187-T187-U187)*L187</f>
        <v>3462972.3771827584</v>
      </c>
      <c r="W187" s="463">
        <f>(Q187-T187-U187-V187)*L187</f>
        <v>2379062.0231245551</v>
      </c>
      <c r="X187" s="463">
        <f>(Q187-T187-U187-V187-W187)*L187</f>
        <v>1634415.6098865694</v>
      </c>
      <c r="Y187" s="463">
        <f>Q187/K187</f>
        <v>2930226.75</v>
      </c>
    </row>
    <row r="188" spans="1:26" ht="24" customHeight="1">
      <c r="A188" s="102" t="s">
        <v>253</v>
      </c>
      <c r="B188" s="103"/>
      <c r="C188" s="103" t="s">
        <v>90</v>
      </c>
      <c r="D188" s="104" t="s">
        <v>90</v>
      </c>
      <c r="E188" s="105" t="s">
        <v>90</v>
      </c>
      <c r="F188" s="106">
        <v>3210689480</v>
      </c>
      <c r="G188" s="106">
        <v>3472876364</v>
      </c>
      <c r="H188" s="106">
        <v>6683565844</v>
      </c>
      <c r="I188" s="106">
        <v>883008611</v>
      </c>
      <c r="J188" s="106">
        <v>5800557233</v>
      </c>
      <c r="K188" s="103"/>
      <c r="L188" s="107"/>
      <c r="M188" s="103"/>
      <c r="N188" s="106">
        <v>1239935709</v>
      </c>
      <c r="O188" s="106"/>
      <c r="P188" s="106">
        <v>2122944320</v>
      </c>
      <c r="Q188" s="106">
        <v>4560621524</v>
      </c>
      <c r="U188" s="469"/>
      <c r="V188" s="469"/>
      <c r="W188" s="469"/>
      <c r="X188" s="469"/>
      <c r="Y188" s="469"/>
      <c r="Z188" s="165"/>
    </row>
    <row r="189" spans="1:26" ht="24" customHeight="1">
      <c r="A189" s="115" t="s">
        <v>254</v>
      </c>
      <c r="B189" s="115"/>
      <c r="C189" s="115" t="s">
        <v>90</v>
      </c>
      <c r="D189" s="780" t="s">
        <v>90</v>
      </c>
      <c r="E189" s="780"/>
      <c r="F189" s="106">
        <v>10644481571</v>
      </c>
      <c r="G189" s="106">
        <v>4476681642</v>
      </c>
      <c r="H189" s="106">
        <v>15121163213</v>
      </c>
      <c r="I189" s="106">
        <v>1822953663</v>
      </c>
      <c r="J189" s="106">
        <v>14012260689</v>
      </c>
      <c r="K189" s="115" t="s">
        <v>90</v>
      </c>
      <c r="L189" s="116" t="s">
        <v>90</v>
      </c>
      <c r="M189" s="115" t="s">
        <v>90</v>
      </c>
      <c r="N189" s="106">
        <v>1719949044</v>
      </c>
      <c r="O189" s="106"/>
      <c r="P189" s="106">
        <v>3542902707</v>
      </c>
      <c r="Q189" s="106">
        <v>11578260506</v>
      </c>
      <c r="U189" s="469"/>
      <c r="V189" s="469"/>
      <c r="W189" s="469"/>
      <c r="X189" s="469"/>
      <c r="Y189" s="469"/>
      <c r="Z189" s="165"/>
    </row>
    <row r="190" spans="1:26" ht="24" customHeight="1">
      <c r="U190" s="469"/>
      <c r="V190" s="469"/>
      <c r="W190" s="469"/>
      <c r="X190" s="469"/>
      <c r="Y190" s="469"/>
      <c r="Z190" s="165"/>
    </row>
    <row r="191" spans="1:26" ht="24" customHeight="1" thickBot="1">
      <c r="U191" s="469"/>
      <c r="V191" s="469"/>
      <c r="W191" s="469"/>
      <c r="X191" s="469"/>
      <c r="Y191" s="469"/>
      <c r="Z191" s="165"/>
    </row>
    <row r="192" spans="1:26" s="431" customFormat="1" ht="24" customHeight="1">
      <c r="B192" s="423" t="s">
        <v>2189</v>
      </c>
      <c r="C192" s="424"/>
      <c r="D192" s="424"/>
      <c r="E192" s="425"/>
      <c r="F192" s="426"/>
      <c r="G192" s="426"/>
      <c r="H192" s="429">
        <f>H140+SUM(H143:H147)+H150+H151+H167+H174+SUM(H176:H178)+H187</f>
        <v>6210855844</v>
      </c>
      <c r="I192" s="426"/>
      <c r="J192" s="426"/>
      <c r="K192" s="424"/>
      <c r="L192" s="426"/>
      <c r="M192" s="424"/>
      <c r="N192" s="429">
        <f>N140+SUM(N143:N147)+N150+N151+N167+N174+SUM(N176:N178)+N187</f>
        <v>1173280769</v>
      </c>
      <c r="O192" s="429"/>
      <c r="P192" s="429">
        <f>P140+SUM(P143:P147)+P150+P151+P167+P174+SUM(P176:P178)+P187</f>
        <v>1788435732</v>
      </c>
      <c r="R192" s="429">
        <f>R140+SUM(R143:R147)+R150+R151+R167+R174+SUM(R176:R178)+R187</f>
        <v>545456980.5</v>
      </c>
      <c r="S192" s="470">
        <f>N192-R192</f>
        <v>627823788.5</v>
      </c>
      <c r="T192" s="429">
        <f t="shared" ref="T192:Y192" si="27">T140+SUM(T143:T147)+T150+T151+T167+T174+SUM(T176:T178)+T187</f>
        <v>1384217495.056</v>
      </c>
      <c r="U192" s="429">
        <f t="shared" si="27"/>
        <v>950957419.10347199</v>
      </c>
      <c r="V192" s="429">
        <f t="shared" si="27"/>
        <v>653307746.92408526</v>
      </c>
      <c r="W192" s="429">
        <f t="shared" si="27"/>
        <v>448822422.1368466</v>
      </c>
      <c r="X192" s="429">
        <f t="shared" si="27"/>
        <v>308341004.00801367</v>
      </c>
      <c r="Y192" s="429">
        <f t="shared" si="27"/>
        <v>552802514</v>
      </c>
    </row>
    <row r="193" spans="2:26" ht="24" customHeight="1">
      <c r="B193" s="413" t="s">
        <v>2014</v>
      </c>
      <c r="C193" s="414"/>
      <c r="D193" s="414"/>
      <c r="E193" s="415"/>
      <c r="F193" s="416"/>
      <c r="G193" s="416"/>
      <c r="H193" s="416">
        <v>0</v>
      </c>
      <c r="I193" s="416"/>
      <c r="J193" s="416"/>
      <c r="K193" s="414"/>
      <c r="L193" s="416"/>
      <c r="M193" s="414"/>
      <c r="N193" s="416">
        <v>0</v>
      </c>
      <c r="O193" s="416"/>
      <c r="P193" s="416">
        <v>0</v>
      </c>
      <c r="R193" s="416">
        <v>0</v>
      </c>
      <c r="S193" s="470">
        <f t="shared" ref="S193:S198" si="28">N193-R193</f>
        <v>0</v>
      </c>
      <c r="T193" s="416">
        <v>0</v>
      </c>
      <c r="U193" s="416">
        <v>0</v>
      </c>
      <c r="V193" s="416">
        <v>0</v>
      </c>
      <c r="W193" s="416">
        <v>0</v>
      </c>
      <c r="X193" s="416">
        <v>0</v>
      </c>
      <c r="Y193" s="416">
        <v>0</v>
      </c>
    </row>
    <row r="194" spans="2:26" ht="24" customHeight="1">
      <c r="B194" s="413" t="s">
        <v>966</v>
      </c>
      <c r="C194" s="414"/>
      <c r="D194" s="414"/>
      <c r="E194" s="415"/>
      <c r="F194" s="416"/>
      <c r="G194" s="416"/>
      <c r="H194" s="416">
        <f>H140+H150+H177+H178+H187</f>
        <v>1781536364</v>
      </c>
      <c r="I194" s="416"/>
      <c r="J194" s="416"/>
      <c r="K194" s="414"/>
      <c r="L194" s="416"/>
      <c r="M194" s="414"/>
      <c r="N194" s="416">
        <f>N140+N150+N177+N178+N187</f>
        <v>382442047</v>
      </c>
      <c r="O194" s="416"/>
      <c r="P194" s="416">
        <f>P140+P150+P177+P178+P187</f>
        <v>942118832</v>
      </c>
      <c r="R194" s="416">
        <f>R140+R150+R177+R178+R187</f>
        <v>222692045.5</v>
      </c>
      <c r="S194" s="470">
        <f t="shared" si="28"/>
        <v>159750001.5</v>
      </c>
      <c r="T194" s="416">
        <f t="shared" ref="T194:Y194" si="29">T140+T150+T177+T178+T187</f>
        <v>262737687.51599997</v>
      </c>
      <c r="U194" s="416">
        <f t="shared" si="29"/>
        <v>180500791.32349202</v>
      </c>
      <c r="V194" s="416">
        <f t="shared" si="29"/>
        <v>124004043.639239</v>
      </c>
      <c r="W194" s="416">
        <f t="shared" si="29"/>
        <v>85190777.980157197</v>
      </c>
      <c r="X194" s="416">
        <f t="shared" si="29"/>
        <v>58526064.472367994</v>
      </c>
      <c r="Y194" s="416">
        <f t="shared" si="29"/>
        <v>104927191.5</v>
      </c>
    </row>
    <row r="195" spans="2:26" ht="24" customHeight="1">
      <c r="B195" s="413" t="s">
        <v>968</v>
      </c>
      <c r="C195" s="414"/>
      <c r="D195" s="414"/>
      <c r="E195" s="415"/>
      <c r="F195" s="416"/>
      <c r="G195" s="416"/>
      <c r="H195" s="416">
        <f>H167+H174+H176</f>
        <v>1090169480</v>
      </c>
      <c r="I195" s="416"/>
      <c r="J195" s="416"/>
      <c r="K195" s="414"/>
      <c r="L195" s="416"/>
      <c r="M195" s="414"/>
      <c r="N195" s="416">
        <f>N167+N174+N176</f>
        <v>323858376</v>
      </c>
      <c r="O195" s="416"/>
      <c r="P195" s="416">
        <f>P167+P174+P176</f>
        <v>379336554</v>
      </c>
      <c r="R195" s="416">
        <f>R167+R174+R176</f>
        <v>136271185</v>
      </c>
      <c r="S195" s="470">
        <f t="shared" si="28"/>
        <v>187587191</v>
      </c>
      <c r="T195" s="416">
        <f t="shared" ref="T195:Y195" si="30">T167+T174+T176</f>
        <v>222490705.838</v>
      </c>
      <c r="U195" s="416">
        <f t="shared" si="30"/>
        <v>152851114.91070598</v>
      </c>
      <c r="V195" s="416">
        <f t="shared" si="30"/>
        <v>105008715.94365501</v>
      </c>
      <c r="W195" s="416">
        <f t="shared" si="30"/>
        <v>72140987.853291005</v>
      </c>
      <c r="X195" s="416">
        <f t="shared" si="30"/>
        <v>49560858.65521092</v>
      </c>
      <c r="Y195" s="416">
        <f t="shared" si="30"/>
        <v>88854115.75</v>
      </c>
    </row>
    <row r="196" spans="2:26" ht="24" customHeight="1">
      <c r="B196" s="413" t="s">
        <v>970</v>
      </c>
      <c r="C196" s="414"/>
      <c r="D196" s="414"/>
      <c r="E196" s="415"/>
      <c r="F196" s="416"/>
      <c r="G196" s="416"/>
      <c r="H196" s="416">
        <f>H145+H147</f>
        <v>1018650000</v>
      </c>
      <c r="I196" s="416"/>
      <c r="J196" s="416"/>
      <c r="K196" s="414"/>
      <c r="L196" s="416"/>
      <c r="M196" s="414"/>
      <c r="N196" s="416">
        <f>N145+N147</f>
        <v>159418724</v>
      </c>
      <c r="O196" s="416"/>
      <c r="P196" s="416">
        <f>P145+P147</f>
        <v>159418724</v>
      </c>
      <c r="R196" s="416">
        <f>R145+R147</f>
        <v>63665625</v>
      </c>
      <c r="S196" s="470">
        <f t="shared" si="28"/>
        <v>95753099</v>
      </c>
      <c r="T196" s="416">
        <f t="shared" ref="T196:Y196" si="31">T145+T147</f>
        <v>268939389.38800001</v>
      </c>
      <c r="U196" s="416">
        <f t="shared" si="31"/>
        <v>184761360.509556</v>
      </c>
      <c r="V196" s="416">
        <f t="shared" si="31"/>
        <v>126931054.67006497</v>
      </c>
      <c r="W196" s="416">
        <f t="shared" si="31"/>
        <v>87201634.558334634</v>
      </c>
      <c r="X196" s="416">
        <f t="shared" si="31"/>
        <v>59907522.9415759</v>
      </c>
      <c r="Y196" s="416">
        <f t="shared" si="31"/>
        <v>107403909.5</v>
      </c>
    </row>
    <row r="197" spans="2:26" ht="24" customHeight="1">
      <c r="B197" s="413" t="s">
        <v>972</v>
      </c>
      <c r="C197" s="414"/>
      <c r="D197" s="414"/>
      <c r="E197" s="415"/>
      <c r="F197" s="416"/>
      <c r="G197" s="416"/>
      <c r="H197" s="416">
        <f>H144+H151</f>
        <v>1578500000</v>
      </c>
      <c r="I197" s="416"/>
      <c r="J197" s="416"/>
      <c r="K197" s="414"/>
      <c r="L197" s="416"/>
      <c r="M197" s="414"/>
      <c r="N197" s="416">
        <f>N144+N151</f>
        <v>288207790</v>
      </c>
      <c r="O197" s="416"/>
      <c r="P197" s="416">
        <f>P144+P151</f>
        <v>288207790</v>
      </c>
      <c r="R197" s="416">
        <f>R144+R151</f>
        <v>115098958.33333333</v>
      </c>
      <c r="S197" s="470">
        <f t="shared" si="28"/>
        <v>173108831.66666669</v>
      </c>
      <c r="T197" s="416">
        <f t="shared" ref="T197:Y197" si="32">T144+T151</f>
        <v>403861461.73000002</v>
      </c>
      <c r="U197" s="416">
        <f t="shared" si="32"/>
        <v>277452824.20850998</v>
      </c>
      <c r="V197" s="416">
        <f t="shared" si="32"/>
        <v>190610090.23124638</v>
      </c>
      <c r="W197" s="416">
        <f t="shared" si="32"/>
        <v>130949131.98886627</v>
      </c>
      <c r="X197" s="416">
        <f t="shared" si="32"/>
        <v>89962053.676351115</v>
      </c>
      <c r="Y197" s="416">
        <f t="shared" si="32"/>
        <v>161286526.25</v>
      </c>
    </row>
    <row r="198" spans="2:26" ht="24" customHeight="1" thickBot="1">
      <c r="B198" s="418" t="s">
        <v>974</v>
      </c>
      <c r="C198" s="419"/>
      <c r="D198" s="419"/>
      <c r="E198" s="420"/>
      <c r="F198" s="421"/>
      <c r="G198" s="421"/>
      <c r="H198" s="421">
        <f>H143+H146</f>
        <v>742000000</v>
      </c>
      <c r="I198" s="421"/>
      <c r="J198" s="421"/>
      <c r="K198" s="419"/>
      <c r="L198" s="421"/>
      <c r="M198" s="419"/>
      <c r="N198" s="421">
        <f>N143+N146</f>
        <v>19353832</v>
      </c>
      <c r="O198" s="421"/>
      <c r="P198" s="421">
        <f>P143+P146</f>
        <v>19353832</v>
      </c>
      <c r="R198" s="421">
        <f>R143+R146</f>
        <v>7729166.666666666</v>
      </c>
      <c r="S198" s="470">
        <f t="shared" si="28"/>
        <v>11624665.333333334</v>
      </c>
      <c r="T198" s="421">
        <f t="shared" ref="T198:Y198" si="33">T143+T146</f>
        <v>226188250.58399999</v>
      </c>
      <c r="U198" s="421">
        <f t="shared" si="33"/>
        <v>155391328.15120798</v>
      </c>
      <c r="V198" s="421">
        <f t="shared" si="33"/>
        <v>106753842.43987989</v>
      </c>
      <c r="W198" s="421">
        <f t="shared" si="33"/>
        <v>73339889.756197482</v>
      </c>
      <c r="X198" s="421">
        <f t="shared" si="33"/>
        <v>50384504.262507677</v>
      </c>
      <c r="Y198" s="421">
        <f t="shared" si="33"/>
        <v>90330771</v>
      </c>
    </row>
    <row r="199" spans="2:26" ht="24" customHeight="1">
      <c r="B199" s="471"/>
      <c r="C199" s="471"/>
      <c r="D199" s="471"/>
      <c r="E199" s="472"/>
      <c r="F199" s="473"/>
      <c r="G199" s="473"/>
      <c r="H199" s="473"/>
      <c r="I199" s="473"/>
      <c r="J199" s="473"/>
      <c r="K199" s="471"/>
      <c r="L199" s="473"/>
      <c r="M199" s="471"/>
      <c r="N199" s="473"/>
      <c r="O199" s="473"/>
      <c r="P199" s="473"/>
      <c r="R199" s="473"/>
      <c r="S199" s="474"/>
      <c r="T199" s="521"/>
      <c r="U199" s="521"/>
      <c r="V199" s="521"/>
      <c r="W199" s="521"/>
      <c r="X199" s="521"/>
      <c r="Y199" s="521"/>
    </row>
    <row r="200" spans="2:26" ht="24" customHeight="1">
      <c r="B200" s="471"/>
      <c r="C200" s="471"/>
      <c r="D200" s="471"/>
      <c r="E200" s="472"/>
      <c r="F200" s="473"/>
      <c r="G200" s="473"/>
      <c r="H200" s="473"/>
      <c r="I200" s="473"/>
      <c r="J200" s="473"/>
      <c r="K200" s="471"/>
      <c r="L200" s="473"/>
      <c r="M200" s="471"/>
      <c r="N200" s="473"/>
      <c r="O200" s="473"/>
      <c r="P200" s="473"/>
      <c r="R200" s="473"/>
      <c r="S200" s="474"/>
      <c r="T200" s="521"/>
      <c r="U200" s="521"/>
      <c r="V200" s="521"/>
      <c r="W200" s="521"/>
      <c r="X200" s="532" t="s">
        <v>906</v>
      </c>
      <c r="Y200" s="521"/>
    </row>
    <row r="201" spans="2:26" s="523" customFormat="1" ht="27" customHeight="1">
      <c r="B201" s="524"/>
      <c r="C201" s="524"/>
      <c r="D201" s="524"/>
      <c r="E201" s="525"/>
      <c r="F201" s="526"/>
      <c r="G201" s="526"/>
      <c r="H201" s="526"/>
      <c r="I201" s="526"/>
      <c r="J201" s="526"/>
      <c r="K201" s="524"/>
      <c r="L201" s="526"/>
      <c r="M201" s="524"/>
      <c r="N201" s="526"/>
      <c r="P201" s="784" t="s">
        <v>903</v>
      </c>
      <c r="Q201" s="785" t="s">
        <v>2247</v>
      </c>
      <c r="R201" s="785" t="s">
        <v>2248</v>
      </c>
      <c r="S201" s="788" t="s">
        <v>2240</v>
      </c>
      <c r="T201" s="784" t="s">
        <v>2241</v>
      </c>
      <c r="U201" s="784"/>
      <c r="V201" s="784"/>
      <c r="W201" s="784"/>
      <c r="X201" s="784"/>
      <c r="Y201" s="53" t="s">
        <v>2380</v>
      </c>
      <c r="Z201" s="55"/>
    </row>
    <row r="202" spans="2:26" s="523" customFormat="1" ht="27" customHeight="1">
      <c r="B202" s="524"/>
      <c r="C202" s="524"/>
      <c r="D202" s="524"/>
      <c r="E202" s="525"/>
      <c r="F202" s="526"/>
      <c r="G202" s="526"/>
      <c r="H202" s="526"/>
      <c r="I202" s="526"/>
      <c r="J202" s="526"/>
      <c r="K202" s="524"/>
      <c r="L202" s="526"/>
      <c r="M202" s="524"/>
      <c r="N202" s="526"/>
      <c r="P202" s="784"/>
      <c r="Q202" s="785"/>
      <c r="R202" s="785"/>
      <c r="S202" s="788"/>
      <c r="T202" s="527" t="s">
        <v>2242</v>
      </c>
      <c r="U202" s="527" t="s">
        <v>2243</v>
      </c>
      <c r="V202" s="527" t="s">
        <v>2244</v>
      </c>
      <c r="W202" s="527" t="s">
        <v>2245</v>
      </c>
      <c r="X202" s="527" t="s">
        <v>2246</v>
      </c>
      <c r="Y202" s="53" t="s">
        <v>2379</v>
      </c>
      <c r="Z202" s="55"/>
    </row>
    <row r="203" spans="2:26" ht="24" customHeight="1">
      <c r="P203" s="528" t="s">
        <v>329</v>
      </c>
      <c r="Q203" s="533">
        <f>SUM(Q204:Q210)</f>
        <v>1463258254</v>
      </c>
      <c r="R203" s="533">
        <f t="shared" ref="R203:X203" si="34">SUM(R204:R210)</f>
        <v>671067121.19791663</v>
      </c>
      <c r="S203" s="533">
        <f t="shared" si="34"/>
        <v>792191132.80208337</v>
      </c>
      <c r="T203" s="533">
        <f t="shared" si="34"/>
        <v>1562715243.2378333</v>
      </c>
      <c r="U203" s="533">
        <f t="shared" si="34"/>
        <v>1228962286.1582518</v>
      </c>
      <c r="V203" s="533">
        <f t="shared" si="34"/>
        <v>841823584.48556459</v>
      </c>
      <c r="W203" s="533">
        <f t="shared" si="34"/>
        <v>576974847.68985319</v>
      </c>
      <c r="X203" s="533">
        <f t="shared" si="34"/>
        <v>395636203.14932948</v>
      </c>
      <c r="Y203" s="533">
        <f>SUM(Y204:Y210)</f>
        <v>580501754.35000002</v>
      </c>
    </row>
    <row r="204" spans="2:26" ht="24" customHeight="1">
      <c r="P204" s="531" t="s">
        <v>1483</v>
      </c>
      <c r="Q204" s="529">
        <f t="shared" ref="Q204:Q209" si="35">N91+N130+N193</f>
        <v>0</v>
      </c>
      <c r="R204" s="530">
        <f t="shared" ref="R204:T205" si="36">R91+R130+R193</f>
        <v>0</v>
      </c>
      <c r="S204" s="530">
        <f t="shared" si="36"/>
        <v>0</v>
      </c>
      <c r="T204" s="530">
        <f t="shared" si="36"/>
        <v>0</v>
      </c>
      <c r="U204" s="530">
        <f t="shared" ref="U204:Y205" si="37">U91+U130+U193</f>
        <v>0</v>
      </c>
      <c r="V204" s="530">
        <f t="shared" si="37"/>
        <v>0</v>
      </c>
      <c r="W204" s="530">
        <f t="shared" si="37"/>
        <v>0</v>
      </c>
      <c r="X204" s="530">
        <f t="shared" si="37"/>
        <v>0</v>
      </c>
      <c r="Y204" s="530">
        <f t="shared" si="37"/>
        <v>0</v>
      </c>
    </row>
    <row r="205" spans="2:26" ht="24" customHeight="1">
      <c r="P205" s="531" t="s">
        <v>1015</v>
      </c>
      <c r="Q205" s="529">
        <f t="shared" si="35"/>
        <v>422731146</v>
      </c>
      <c r="R205" s="530">
        <f t="shared" si="36"/>
        <v>244651933.79166666</v>
      </c>
      <c r="S205" s="530">
        <f t="shared" si="36"/>
        <v>178079212.20833334</v>
      </c>
      <c r="T205" s="530">
        <f t="shared" si="36"/>
        <v>291375064.14999998</v>
      </c>
      <c r="U205" s="530">
        <f t="shared" si="37"/>
        <v>199907713.73374203</v>
      </c>
      <c r="V205" s="530">
        <f t="shared" si="37"/>
        <v>137190040.85489866</v>
      </c>
      <c r="W205" s="530">
        <f t="shared" si="37"/>
        <v>94169097.461695418</v>
      </c>
      <c r="X205" s="530">
        <f t="shared" si="37"/>
        <v>64649997.08369939</v>
      </c>
      <c r="Y205" s="530">
        <f t="shared" si="37"/>
        <v>116449149.2</v>
      </c>
    </row>
    <row r="206" spans="2:26" ht="24" customHeight="1">
      <c r="P206" s="531" t="s">
        <v>967</v>
      </c>
      <c r="Q206" s="529">
        <f t="shared" si="35"/>
        <v>411435269</v>
      </c>
      <c r="R206" s="530">
        <f t="shared" ref="R206:S209" si="38">R93+R132+R195</f>
        <v>174754359.59999999</v>
      </c>
      <c r="S206" s="530">
        <f t="shared" si="38"/>
        <v>236680909.40000001</v>
      </c>
      <c r="T206" s="530">
        <f>(T93+T132+T195)*1/4</f>
        <v>71010592.447500005</v>
      </c>
      <c r="U206" s="530">
        <v>0</v>
      </c>
      <c r="V206" s="530">
        <v>0</v>
      </c>
      <c r="W206" s="530">
        <v>0</v>
      </c>
      <c r="X206" s="530">
        <v>0</v>
      </c>
      <c r="Y206" s="530">
        <v>0</v>
      </c>
    </row>
    <row r="207" spans="2:26" ht="24" customHeight="1">
      <c r="P207" s="531" t="s">
        <v>969</v>
      </c>
      <c r="Q207" s="529">
        <f t="shared" si="35"/>
        <v>242854773</v>
      </c>
      <c r="R207" s="530">
        <f t="shared" si="38"/>
        <v>97314975.295833334</v>
      </c>
      <c r="S207" s="530">
        <f t="shared" si="38"/>
        <v>145539797.70416665</v>
      </c>
      <c r="T207" s="530">
        <f t="shared" ref="T207:Y209" si="39">T94+T133+T196</f>
        <v>344790544.91600001</v>
      </c>
      <c r="U207" s="530">
        <f t="shared" si="39"/>
        <v>235949983.57547998</v>
      </c>
      <c r="V207" s="530">
        <f t="shared" si="39"/>
        <v>161591943.40713996</v>
      </c>
      <c r="W207" s="530">
        <f t="shared" si="39"/>
        <v>110736038.39594623</v>
      </c>
      <c r="X207" s="530">
        <f t="shared" si="39"/>
        <v>75923241.306122422</v>
      </c>
      <c r="Y207" s="530">
        <f t="shared" si="39"/>
        <v>137990249.05000001</v>
      </c>
    </row>
    <row r="208" spans="2:26" ht="24" customHeight="1">
      <c r="P208" s="531" t="s">
        <v>971</v>
      </c>
      <c r="Q208" s="529">
        <f t="shared" si="35"/>
        <v>358604550</v>
      </c>
      <c r="R208" s="530">
        <f t="shared" si="38"/>
        <v>143212682.21875</v>
      </c>
      <c r="S208" s="530">
        <f t="shared" si="38"/>
        <v>215391867.78125003</v>
      </c>
      <c r="T208" s="530">
        <f t="shared" si="39"/>
        <v>493437588.02100003</v>
      </c>
      <c r="U208" s="530">
        <f t="shared" si="39"/>
        <v>338991622.97042698</v>
      </c>
      <c r="V208" s="530">
        <f t="shared" si="39"/>
        <v>232887244.98068336</v>
      </c>
      <c r="W208" s="530">
        <f t="shared" si="39"/>
        <v>159993537.30172947</v>
      </c>
      <c r="X208" s="530">
        <f t="shared" si="39"/>
        <v>109915560.12628813</v>
      </c>
      <c r="Y208" s="530">
        <f t="shared" si="39"/>
        <v>197059739.625</v>
      </c>
    </row>
    <row r="209" spans="2:25" ht="24" customHeight="1">
      <c r="P209" s="531" t="s">
        <v>973</v>
      </c>
      <c r="Q209" s="529">
        <f t="shared" si="35"/>
        <v>27632516</v>
      </c>
      <c r="R209" s="530">
        <f t="shared" si="38"/>
        <v>11133170.291666668</v>
      </c>
      <c r="S209" s="530">
        <f t="shared" si="38"/>
        <v>16499345.708333332</v>
      </c>
      <c r="T209" s="530">
        <f t="shared" si="39"/>
        <v>320368120.37</v>
      </c>
      <c r="U209" s="530">
        <f t="shared" si="39"/>
        <v>216775499.211936</v>
      </c>
      <c r="V209" s="530">
        <f t="shared" si="39"/>
        <v>147103515.64284259</v>
      </c>
      <c r="W209" s="530">
        <f t="shared" si="39"/>
        <v>100060247.72528201</v>
      </c>
      <c r="X209" s="530">
        <f t="shared" si="39"/>
        <v>68192462.91804713</v>
      </c>
      <c r="Y209" s="530">
        <f t="shared" si="39"/>
        <v>129002616.47499999</v>
      </c>
    </row>
    <row r="210" spans="2:25" s="546" customFormat="1" ht="24" customHeight="1">
      <c r="P210" s="557" t="s">
        <v>992</v>
      </c>
      <c r="Q210" s="547"/>
      <c r="R210" s="548"/>
      <c r="S210" s="547"/>
      <c r="T210" s="554">
        <f t="shared" ref="T210:Y210" si="40">T215</f>
        <v>41733333.333333336</v>
      </c>
      <c r="U210" s="554">
        <f t="shared" si="40"/>
        <v>237337466.66666666</v>
      </c>
      <c r="V210" s="554">
        <f t="shared" si="40"/>
        <v>163050839.59999999</v>
      </c>
      <c r="W210" s="554">
        <f t="shared" si="40"/>
        <v>112015926.8052</v>
      </c>
      <c r="X210" s="554">
        <f t="shared" si="40"/>
        <v>76954941.715172395</v>
      </c>
      <c r="Y210" s="554">
        <f t="shared" si="40"/>
        <v>0</v>
      </c>
    </row>
    <row r="211" spans="2:25" s="550" customFormat="1" ht="24" customHeight="1">
      <c r="B211" s="546"/>
      <c r="R211" s="551"/>
      <c r="T211" s="551"/>
      <c r="U211" s="551"/>
      <c r="V211" s="551"/>
      <c r="W211" s="551"/>
      <c r="X211" s="551"/>
      <c r="Y211" s="551"/>
    </row>
    <row r="212" spans="2:25" s="551" customFormat="1" ht="24" customHeight="1">
      <c r="B212" s="549"/>
      <c r="Q212" s="551" t="s">
        <v>2381</v>
      </c>
    </row>
    <row r="213" spans="2:25" s="551" customFormat="1" ht="24" customHeight="1">
      <c r="B213" s="549"/>
      <c r="Q213" s="783" t="s">
        <v>2372</v>
      </c>
      <c r="R213" s="783" t="s">
        <v>2373</v>
      </c>
      <c r="S213" s="783" t="s">
        <v>2374</v>
      </c>
      <c r="T213" s="783" t="s">
        <v>2375</v>
      </c>
      <c r="U213" s="783"/>
      <c r="V213" s="783"/>
      <c r="W213" s="783"/>
      <c r="X213" s="783"/>
    </row>
    <row r="214" spans="2:25" s="551" customFormat="1" ht="24" customHeight="1">
      <c r="B214" s="549"/>
      <c r="Q214" s="783"/>
      <c r="R214" s="783"/>
      <c r="S214" s="783"/>
      <c r="T214" s="548" t="s">
        <v>2242</v>
      </c>
      <c r="U214" s="548" t="s">
        <v>2243</v>
      </c>
      <c r="V214" s="548" t="s">
        <v>2244</v>
      </c>
      <c r="W214" s="548" t="s">
        <v>2245</v>
      </c>
      <c r="X214" s="548" t="s">
        <v>2246</v>
      </c>
    </row>
    <row r="215" spans="2:25" s="551" customFormat="1" ht="24" customHeight="1">
      <c r="B215" s="549"/>
      <c r="Q215" s="548">
        <v>800000000</v>
      </c>
      <c r="R215" s="548">
        <v>8</v>
      </c>
      <c r="S215" s="552">
        <v>0.313</v>
      </c>
      <c r="T215" s="553">
        <f>Q215*S215*2/12</f>
        <v>41733333.333333336</v>
      </c>
      <c r="U215" s="553">
        <f>(Q215-T215)*S215</f>
        <v>237337466.66666666</v>
      </c>
      <c r="V215" s="553">
        <f>(Q215-T215-U215)*S215</f>
        <v>163050839.59999999</v>
      </c>
      <c r="W215" s="553">
        <f>(Q215-T215-U215-V215)*S215</f>
        <v>112015926.8052</v>
      </c>
      <c r="X215" s="553">
        <f>(Q215-T215-U215-V215-W215)*S215</f>
        <v>76954941.715172395</v>
      </c>
    </row>
    <row r="216" spans="2:25" s="551" customFormat="1" ht="24" customHeight="1">
      <c r="B216" s="549"/>
    </row>
    <row r="217" spans="2:25" s="551" customFormat="1" ht="24" customHeight="1">
      <c r="B217" s="549"/>
      <c r="Q217" s="551" t="s">
        <v>2382</v>
      </c>
    </row>
    <row r="218" spans="2:25" s="551" customFormat="1" ht="24" customHeight="1">
      <c r="B218" s="549"/>
      <c r="Q218" s="783" t="s">
        <v>2372</v>
      </c>
      <c r="R218" s="783" t="s">
        <v>2373</v>
      </c>
      <c r="S218" s="783" t="s">
        <v>2374</v>
      </c>
      <c r="T218" s="783" t="s">
        <v>2375</v>
      </c>
      <c r="U218" s="783"/>
      <c r="V218" s="783"/>
      <c r="W218" s="783"/>
      <c r="X218" s="783"/>
    </row>
    <row r="219" spans="2:25" s="551" customFormat="1" ht="24" customHeight="1">
      <c r="B219" s="549"/>
      <c r="Q219" s="783"/>
      <c r="R219" s="783"/>
      <c r="S219" s="783"/>
      <c r="T219" s="548" t="s">
        <v>2242</v>
      </c>
      <c r="U219" s="548" t="s">
        <v>2243</v>
      </c>
      <c r="V219" s="548" t="s">
        <v>2244</v>
      </c>
      <c r="W219" s="548" t="s">
        <v>2245</v>
      </c>
      <c r="X219" s="548" t="s">
        <v>2246</v>
      </c>
    </row>
    <row r="220" spans="2:25" s="551" customFormat="1" ht="24" customHeight="1">
      <c r="B220" s="549"/>
      <c r="Q220" s="548">
        <v>800000000</v>
      </c>
      <c r="R220" s="548">
        <v>8</v>
      </c>
      <c r="S220" s="552">
        <v>0.125</v>
      </c>
      <c r="T220" s="553">
        <f>Q220*S220*2/12</f>
        <v>16666666.666666666</v>
      </c>
      <c r="U220" s="553">
        <f>T220*6</f>
        <v>100000000</v>
      </c>
      <c r="V220" s="553">
        <f>U220</f>
        <v>100000000</v>
      </c>
      <c r="W220" s="553">
        <f>V220</f>
        <v>100000000</v>
      </c>
      <c r="X220" s="553">
        <f>W220</f>
        <v>100000000</v>
      </c>
    </row>
    <row r="221" spans="2:25" s="551" customFormat="1" ht="24" customHeight="1">
      <c r="B221" s="549"/>
    </row>
    <row r="222" spans="2:25" s="551" customFormat="1" ht="24" customHeight="1">
      <c r="B222" s="549"/>
    </row>
    <row r="223" spans="2:25" s="551" customFormat="1" ht="24" customHeight="1">
      <c r="B223" s="549"/>
    </row>
    <row r="225" spans="1:26" s="167" customFormat="1" ht="24" customHeight="1">
      <c r="B225" s="319"/>
      <c r="I225" s="134" t="s">
        <v>1987</v>
      </c>
      <c r="R225" s="311"/>
      <c r="S225" s="15"/>
      <c r="T225" s="311"/>
      <c r="U225" s="311"/>
      <c r="V225" s="311"/>
      <c r="W225" s="311"/>
      <c r="X225" s="311"/>
      <c r="Y225" s="311"/>
      <c r="Z225" s="15"/>
    </row>
    <row r="226" spans="1:26" s="167" customFormat="1" ht="24" customHeight="1">
      <c r="B226" s="319"/>
      <c r="I226" s="135" t="s">
        <v>1301</v>
      </c>
      <c r="R226" s="311"/>
      <c r="S226" s="15"/>
      <c r="T226" s="311"/>
      <c r="U226" s="311"/>
      <c r="V226" s="311"/>
      <c r="W226" s="311"/>
      <c r="X226" s="311"/>
      <c r="Y226" s="311"/>
      <c r="Z226" s="15"/>
    </row>
    <row r="227" spans="1:26" s="167" customFormat="1" ht="24" customHeight="1">
      <c r="A227" s="136" t="s">
        <v>1951</v>
      </c>
      <c r="B227" s="135"/>
      <c r="I227" s="137" t="s">
        <v>68</v>
      </c>
      <c r="Q227" s="138" t="s">
        <v>69</v>
      </c>
      <c r="R227" s="311"/>
      <c r="S227" s="15"/>
      <c r="T227" s="311"/>
      <c r="U227" s="311"/>
      <c r="V227" s="311"/>
      <c r="W227" s="311"/>
      <c r="X227" s="311"/>
      <c r="Y227" s="311"/>
      <c r="Z227" s="15"/>
    </row>
    <row r="228" spans="1:26" s="167" customFormat="1" ht="24" customHeight="1">
      <c r="A228" s="139" t="s">
        <v>70</v>
      </c>
      <c r="B228" s="139"/>
      <c r="C228" s="139" t="s">
        <v>71</v>
      </c>
      <c r="D228" s="781" t="s">
        <v>72</v>
      </c>
      <c r="E228" s="781"/>
      <c r="F228" s="139" t="s">
        <v>73</v>
      </c>
      <c r="G228" s="139" t="s">
        <v>74</v>
      </c>
      <c r="H228" s="139" t="s">
        <v>75</v>
      </c>
      <c r="I228" s="139" t="s">
        <v>76</v>
      </c>
      <c r="J228" s="139" t="s">
        <v>77</v>
      </c>
      <c r="K228" s="139" t="s">
        <v>78</v>
      </c>
      <c r="L228" s="139" t="s">
        <v>79</v>
      </c>
      <c r="M228" s="139" t="s">
        <v>80</v>
      </c>
      <c r="N228" s="139" t="s">
        <v>81</v>
      </c>
      <c r="O228" s="139" t="s">
        <v>82</v>
      </c>
      <c r="P228" s="139" t="s">
        <v>83</v>
      </c>
      <c r="Q228" s="139" t="s">
        <v>84</v>
      </c>
      <c r="R228" s="311"/>
      <c r="S228" s="56" t="s">
        <v>1367</v>
      </c>
      <c r="T228" s="461"/>
      <c r="U228" s="461"/>
      <c r="V228" s="461"/>
      <c r="W228" s="311"/>
      <c r="X228" s="311"/>
      <c r="Y228" s="311"/>
      <c r="Z228" s="15"/>
    </row>
    <row r="229" spans="1:26" s="168" customFormat="1" ht="24" customHeight="1">
      <c r="A229" s="155" t="s">
        <v>1988</v>
      </c>
      <c r="B229" s="156" t="s">
        <v>970</v>
      </c>
      <c r="C229" s="156" t="s">
        <v>1989</v>
      </c>
      <c r="D229" s="157" t="s">
        <v>97</v>
      </c>
      <c r="E229" s="158" t="s">
        <v>90</v>
      </c>
      <c r="F229" s="159"/>
      <c r="G229" s="159">
        <v>318273750</v>
      </c>
      <c r="H229" s="159">
        <v>318273750</v>
      </c>
      <c r="I229" s="159"/>
      <c r="J229" s="159">
        <v>318273750</v>
      </c>
      <c r="K229" s="160">
        <v>5</v>
      </c>
      <c r="L229" s="161">
        <v>0.2</v>
      </c>
      <c r="M229" s="160">
        <v>10</v>
      </c>
      <c r="N229" s="159">
        <v>53045625</v>
      </c>
      <c r="O229" s="159"/>
      <c r="P229" s="159">
        <v>53045625</v>
      </c>
      <c r="Q229" s="159">
        <v>265228125</v>
      </c>
      <c r="R229" s="468"/>
      <c r="S229" s="381" t="s">
        <v>2007</v>
      </c>
      <c r="T229" s="522" t="s">
        <v>964</v>
      </c>
      <c r="U229" s="522" t="s">
        <v>2008</v>
      </c>
      <c r="V229" s="522" t="s">
        <v>2009</v>
      </c>
      <c r="W229" s="468"/>
      <c r="X229" s="468"/>
      <c r="Y229" s="468"/>
      <c r="Z229" s="384"/>
    </row>
    <row r="230" spans="1:26" s="168" customFormat="1" ht="24" customHeight="1">
      <c r="A230" s="155" t="s">
        <v>1990</v>
      </c>
      <c r="B230" s="156" t="s">
        <v>972</v>
      </c>
      <c r="C230" s="156" t="s">
        <v>1333</v>
      </c>
      <c r="D230" s="157" t="s">
        <v>97</v>
      </c>
      <c r="E230" s="158" t="s">
        <v>90</v>
      </c>
      <c r="F230" s="159"/>
      <c r="G230" s="159">
        <v>548562500</v>
      </c>
      <c r="H230" s="159">
        <v>548562500</v>
      </c>
      <c r="I230" s="159"/>
      <c r="J230" s="159">
        <v>548562500</v>
      </c>
      <c r="K230" s="160">
        <v>5</v>
      </c>
      <c r="L230" s="161">
        <v>0.2</v>
      </c>
      <c r="M230" s="160">
        <v>7</v>
      </c>
      <c r="N230" s="159">
        <v>63998958</v>
      </c>
      <c r="O230" s="159"/>
      <c r="P230" s="159">
        <v>63998958</v>
      </c>
      <c r="Q230" s="159">
        <v>484563542</v>
      </c>
      <c r="R230" s="468"/>
      <c r="S230" s="382">
        <f>H232</f>
        <v>1175277500</v>
      </c>
      <c r="T230" s="522">
        <f>P232</f>
        <v>127325958</v>
      </c>
      <c r="U230" s="522">
        <f>S230-T230</f>
        <v>1047951542</v>
      </c>
      <c r="V230" s="522">
        <f>N232</f>
        <v>127325958</v>
      </c>
      <c r="W230" s="468"/>
      <c r="X230" s="468"/>
      <c r="Y230" s="468"/>
      <c r="Z230" s="384"/>
    </row>
    <row r="231" spans="1:26" s="168" customFormat="1" ht="24" customHeight="1">
      <c r="A231" s="155" t="s">
        <v>1991</v>
      </c>
      <c r="B231" s="156" t="s">
        <v>974</v>
      </c>
      <c r="C231" s="156" t="s">
        <v>1992</v>
      </c>
      <c r="D231" s="157" t="s">
        <v>97</v>
      </c>
      <c r="E231" s="158" t="s">
        <v>90</v>
      </c>
      <c r="F231" s="159"/>
      <c r="G231" s="159">
        <v>308441250</v>
      </c>
      <c r="H231" s="159">
        <v>308441250</v>
      </c>
      <c r="I231" s="159"/>
      <c r="J231" s="159">
        <v>308441250</v>
      </c>
      <c r="K231" s="160">
        <v>5</v>
      </c>
      <c r="L231" s="161">
        <v>0.2</v>
      </c>
      <c r="M231" s="160">
        <v>2</v>
      </c>
      <c r="N231" s="159">
        <v>10281375</v>
      </c>
      <c r="O231" s="159"/>
      <c r="P231" s="159">
        <v>10281375</v>
      </c>
      <c r="Q231" s="159">
        <v>298159875</v>
      </c>
      <c r="R231" s="468"/>
      <c r="S231" s="384"/>
      <c r="T231" s="468"/>
      <c r="U231" s="468"/>
      <c r="V231" s="468"/>
      <c r="W231" s="468"/>
      <c r="X231" s="468"/>
      <c r="Y231" s="468"/>
      <c r="Z231" s="384"/>
    </row>
    <row r="232" spans="1:26" s="167" customFormat="1" ht="24" customHeight="1">
      <c r="A232" s="147" t="s">
        <v>1993</v>
      </c>
      <c r="B232" s="148"/>
      <c r="C232" s="148" t="s">
        <v>90</v>
      </c>
      <c r="D232" s="149" t="s">
        <v>90</v>
      </c>
      <c r="E232" s="150" t="s">
        <v>90</v>
      </c>
      <c r="F232" s="151"/>
      <c r="G232" s="151">
        <v>1175277500</v>
      </c>
      <c r="H232" s="151">
        <v>1175277500</v>
      </c>
      <c r="I232" s="151"/>
      <c r="J232" s="151">
        <v>1175277500</v>
      </c>
      <c r="K232" s="148"/>
      <c r="L232" s="152"/>
      <c r="M232" s="148"/>
      <c r="N232" s="151">
        <v>127325958</v>
      </c>
      <c r="O232" s="151"/>
      <c r="P232" s="151">
        <v>127325958</v>
      </c>
      <c r="Q232" s="151">
        <v>1047951542</v>
      </c>
      <c r="R232" s="311"/>
      <c r="S232" s="15"/>
      <c r="T232" s="311"/>
      <c r="U232" s="311"/>
      <c r="V232" s="311"/>
      <c r="W232" s="311"/>
      <c r="X232" s="311"/>
      <c r="Y232" s="311"/>
      <c r="Z232" s="15"/>
    </row>
    <row r="233" spans="1:26" s="167" customFormat="1" ht="24" customHeight="1">
      <c r="A233" s="140" t="s">
        <v>33</v>
      </c>
      <c r="B233" s="141"/>
      <c r="C233" s="141" t="s">
        <v>1994</v>
      </c>
      <c r="D233" s="142" t="s">
        <v>93</v>
      </c>
      <c r="E233" s="143" t="s">
        <v>94</v>
      </c>
      <c r="F233" s="144">
        <v>1000</v>
      </c>
      <c r="G233" s="144"/>
      <c r="H233" s="144">
        <v>1000</v>
      </c>
      <c r="I233" s="144">
        <v>459000</v>
      </c>
      <c r="J233" s="144">
        <v>460000</v>
      </c>
      <c r="K233" s="145">
        <v>10</v>
      </c>
      <c r="L233" s="146">
        <v>0.1</v>
      </c>
      <c r="M233" s="145">
        <v>12</v>
      </c>
      <c r="N233" s="144"/>
      <c r="O233" s="144"/>
      <c r="P233" s="144"/>
      <c r="Q233" s="144">
        <v>1000</v>
      </c>
      <c r="R233" s="311"/>
      <c r="S233" s="15"/>
      <c r="T233" s="311"/>
      <c r="U233" s="311"/>
      <c r="V233" s="311"/>
      <c r="W233" s="311"/>
      <c r="X233" s="311"/>
      <c r="Y233" s="311"/>
      <c r="Z233" s="15"/>
    </row>
    <row r="234" spans="1:26" s="167" customFormat="1" ht="24" customHeight="1">
      <c r="A234" s="147" t="s">
        <v>1995</v>
      </c>
      <c r="B234" s="148"/>
      <c r="C234" s="148" t="s">
        <v>90</v>
      </c>
      <c r="D234" s="149" t="s">
        <v>90</v>
      </c>
      <c r="E234" s="150" t="s">
        <v>90</v>
      </c>
      <c r="F234" s="151">
        <v>1000</v>
      </c>
      <c r="G234" s="151"/>
      <c r="H234" s="151">
        <v>1000</v>
      </c>
      <c r="I234" s="151">
        <v>459000</v>
      </c>
      <c r="J234" s="151">
        <v>460000</v>
      </c>
      <c r="K234" s="148"/>
      <c r="L234" s="152"/>
      <c r="M234" s="148"/>
      <c r="N234" s="151"/>
      <c r="O234" s="151"/>
      <c r="P234" s="151"/>
      <c r="Q234" s="151">
        <v>1000</v>
      </c>
      <c r="R234" s="311"/>
      <c r="S234" s="15"/>
      <c r="T234" s="311"/>
      <c r="U234" s="311"/>
      <c r="V234" s="311"/>
      <c r="W234" s="311"/>
      <c r="X234" s="311"/>
      <c r="Y234" s="311"/>
      <c r="Z234" s="15"/>
    </row>
    <row r="235" spans="1:26" s="167" customFormat="1" ht="24" customHeight="1">
      <c r="A235" s="140" t="s">
        <v>1996</v>
      </c>
      <c r="B235" s="141"/>
      <c r="C235" s="141" t="s">
        <v>1997</v>
      </c>
      <c r="D235" s="142" t="s">
        <v>93</v>
      </c>
      <c r="E235" s="143" t="s">
        <v>94</v>
      </c>
      <c r="F235" s="144">
        <v>1000</v>
      </c>
      <c r="G235" s="144"/>
      <c r="H235" s="144">
        <v>1000</v>
      </c>
      <c r="I235" s="144">
        <v>599000</v>
      </c>
      <c r="J235" s="144">
        <v>600000</v>
      </c>
      <c r="K235" s="145">
        <v>5</v>
      </c>
      <c r="L235" s="146">
        <v>0.2</v>
      </c>
      <c r="M235" s="145">
        <v>12</v>
      </c>
      <c r="N235" s="144"/>
      <c r="O235" s="144"/>
      <c r="P235" s="144"/>
      <c r="Q235" s="144">
        <v>1000</v>
      </c>
      <c r="R235" s="311"/>
      <c r="S235" s="15"/>
      <c r="T235" s="311"/>
      <c r="U235" s="311"/>
      <c r="V235" s="311"/>
      <c r="W235" s="311"/>
      <c r="X235" s="311"/>
      <c r="Y235" s="311"/>
      <c r="Z235" s="15"/>
    </row>
    <row r="236" spans="1:26" s="167" customFormat="1" ht="24" customHeight="1">
      <c r="A236" s="140" t="s">
        <v>1998</v>
      </c>
      <c r="B236" s="141"/>
      <c r="C236" s="141" t="s">
        <v>1999</v>
      </c>
      <c r="D236" s="142" t="s">
        <v>93</v>
      </c>
      <c r="E236" s="143" t="s">
        <v>94</v>
      </c>
      <c r="F236" s="144">
        <v>1000</v>
      </c>
      <c r="G236" s="144"/>
      <c r="H236" s="144">
        <v>1000</v>
      </c>
      <c r="I236" s="144">
        <v>599000</v>
      </c>
      <c r="J236" s="144">
        <v>600000</v>
      </c>
      <c r="K236" s="145">
        <v>5</v>
      </c>
      <c r="L236" s="146">
        <v>0.2</v>
      </c>
      <c r="M236" s="145">
        <v>12</v>
      </c>
      <c r="N236" s="144"/>
      <c r="O236" s="144"/>
      <c r="P236" s="144"/>
      <c r="Q236" s="144">
        <v>1000</v>
      </c>
      <c r="R236" s="311"/>
      <c r="S236" s="15"/>
      <c r="T236" s="311"/>
      <c r="U236" s="311"/>
      <c r="V236" s="311"/>
      <c r="W236" s="311"/>
      <c r="X236" s="311"/>
      <c r="Y236" s="311"/>
      <c r="Z236" s="15"/>
    </row>
    <row r="237" spans="1:26" s="167" customFormat="1" ht="24" customHeight="1">
      <c r="A237" s="147" t="s">
        <v>2000</v>
      </c>
      <c r="B237" s="148"/>
      <c r="C237" s="148" t="s">
        <v>90</v>
      </c>
      <c r="D237" s="149" t="s">
        <v>90</v>
      </c>
      <c r="E237" s="150" t="s">
        <v>90</v>
      </c>
      <c r="F237" s="151">
        <v>2000</v>
      </c>
      <c r="G237" s="151"/>
      <c r="H237" s="151">
        <v>2000</v>
      </c>
      <c r="I237" s="151">
        <v>1198000</v>
      </c>
      <c r="J237" s="151">
        <v>1200000</v>
      </c>
      <c r="K237" s="148"/>
      <c r="L237" s="152"/>
      <c r="M237" s="148"/>
      <c r="N237" s="151"/>
      <c r="O237" s="151"/>
      <c r="P237" s="151"/>
      <c r="Q237" s="151">
        <v>2000</v>
      </c>
      <c r="R237" s="311"/>
      <c r="S237" s="15"/>
      <c r="T237" s="311"/>
      <c r="U237" s="311"/>
      <c r="V237" s="311"/>
      <c r="W237" s="311"/>
      <c r="X237" s="311"/>
      <c r="Y237" s="311"/>
      <c r="Z237" s="15"/>
    </row>
    <row r="238" spans="1:26" s="167" customFormat="1" ht="24" customHeight="1">
      <c r="A238" s="140" t="s">
        <v>2001</v>
      </c>
      <c r="B238" s="141"/>
      <c r="C238" s="141" t="s">
        <v>2002</v>
      </c>
      <c r="D238" s="142" t="s">
        <v>97</v>
      </c>
      <c r="E238" s="143" t="s">
        <v>90</v>
      </c>
      <c r="F238" s="144">
        <v>30483334</v>
      </c>
      <c r="G238" s="144"/>
      <c r="H238" s="144">
        <v>30483334</v>
      </c>
      <c r="I238" s="144">
        <v>516666</v>
      </c>
      <c r="J238" s="144">
        <v>31000000</v>
      </c>
      <c r="K238" s="145">
        <v>5</v>
      </c>
      <c r="L238" s="146">
        <v>0.2</v>
      </c>
      <c r="M238" s="145">
        <v>12</v>
      </c>
      <c r="N238" s="144">
        <v>6200000</v>
      </c>
      <c r="O238" s="144"/>
      <c r="P238" s="144">
        <v>6200000</v>
      </c>
      <c r="Q238" s="144">
        <v>24283334</v>
      </c>
      <c r="R238" s="311"/>
      <c r="S238" s="15"/>
      <c r="T238" s="311"/>
      <c r="U238" s="311"/>
      <c r="V238" s="311"/>
      <c r="W238" s="311"/>
      <c r="X238" s="311"/>
      <c r="Y238" s="311"/>
      <c r="Z238" s="15"/>
    </row>
    <row r="239" spans="1:26" s="167" customFormat="1" ht="24" customHeight="1">
      <c r="A239" s="147" t="s">
        <v>2003</v>
      </c>
      <c r="B239" s="148"/>
      <c r="C239" s="148" t="s">
        <v>90</v>
      </c>
      <c r="D239" s="149" t="s">
        <v>90</v>
      </c>
      <c r="E239" s="150" t="s">
        <v>90</v>
      </c>
      <c r="F239" s="151">
        <v>30483334</v>
      </c>
      <c r="G239" s="151"/>
      <c r="H239" s="151">
        <v>30483334</v>
      </c>
      <c r="I239" s="151">
        <v>516666</v>
      </c>
      <c r="J239" s="151">
        <v>31000000</v>
      </c>
      <c r="K239" s="148"/>
      <c r="L239" s="152"/>
      <c r="M239" s="148"/>
      <c r="N239" s="151">
        <v>6200000</v>
      </c>
      <c r="O239" s="151"/>
      <c r="P239" s="151">
        <v>6200000</v>
      </c>
      <c r="Q239" s="151">
        <v>24283334</v>
      </c>
      <c r="R239" s="311"/>
      <c r="S239" s="15"/>
      <c r="T239" s="311"/>
      <c r="U239" s="311"/>
      <c r="V239" s="311"/>
      <c r="W239" s="311"/>
      <c r="X239" s="311"/>
      <c r="Y239" s="311"/>
      <c r="Z239" s="15"/>
    </row>
    <row r="240" spans="1:26" s="167" customFormat="1" ht="24" customHeight="1">
      <c r="A240" s="153" t="s">
        <v>254</v>
      </c>
      <c r="B240" s="153"/>
      <c r="C240" s="153" t="s">
        <v>90</v>
      </c>
      <c r="D240" s="782" t="s">
        <v>90</v>
      </c>
      <c r="E240" s="782"/>
      <c r="F240" s="151">
        <v>30486334</v>
      </c>
      <c r="G240" s="151">
        <v>1175277500</v>
      </c>
      <c r="H240" s="151">
        <v>1205763834</v>
      </c>
      <c r="I240" s="151">
        <v>2173666</v>
      </c>
      <c r="J240" s="151">
        <v>1207937500</v>
      </c>
      <c r="K240" s="153" t="s">
        <v>90</v>
      </c>
      <c r="L240" s="154" t="s">
        <v>90</v>
      </c>
      <c r="M240" s="153" t="s">
        <v>90</v>
      </c>
      <c r="N240" s="151">
        <v>133525958</v>
      </c>
      <c r="O240" s="151"/>
      <c r="P240" s="151">
        <v>133525958</v>
      </c>
      <c r="Q240" s="151">
        <v>1072237876</v>
      </c>
      <c r="R240" s="311"/>
      <c r="S240" s="15"/>
      <c r="T240" s="311"/>
      <c r="U240" s="311"/>
      <c r="V240" s="311"/>
      <c r="W240" s="311"/>
      <c r="X240" s="311"/>
      <c r="Y240" s="311"/>
      <c r="Z240" s="15"/>
    </row>
    <row r="241" spans="2:30" s="167" customFormat="1" ht="24" customHeight="1">
      <c r="B241" s="319"/>
      <c r="R241" s="311"/>
      <c r="S241" s="15"/>
      <c r="T241" s="311"/>
      <c r="U241" s="311"/>
      <c r="V241" s="311"/>
      <c r="W241" s="311"/>
      <c r="X241" s="311"/>
      <c r="Y241" s="311"/>
      <c r="Z241" s="15"/>
    </row>
    <row r="243" spans="2:30" ht="24" customHeight="1" thickBot="1">
      <c r="B243" s="165"/>
      <c r="E243" s="57" t="s">
        <v>2011</v>
      </c>
      <c r="F243" s="57"/>
      <c r="G243" s="57"/>
      <c r="H243" s="57"/>
      <c r="I243" s="57"/>
      <c r="J243" s="56"/>
      <c r="K243" s="56"/>
      <c r="R243" s="469"/>
      <c r="S243" s="165"/>
      <c r="T243" s="469"/>
      <c r="U243" s="469"/>
      <c r="V243" s="469"/>
      <c r="W243" s="469"/>
      <c r="X243" s="469"/>
    </row>
    <row r="244" spans="2:30" ht="24" customHeight="1">
      <c r="B244" s="165"/>
      <c r="E244" s="435" t="s">
        <v>903</v>
      </c>
      <c r="F244" s="436" t="s">
        <v>329</v>
      </c>
      <c r="G244" s="436" t="s">
        <v>2014</v>
      </c>
      <c r="H244" s="436" t="s">
        <v>966</v>
      </c>
      <c r="I244" s="436" t="s">
        <v>968</v>
      </c>
      <c r="J244" s="436" t="s">
        <v>970</v>
      </c>
      <c r="K244" s="436" t="s">
        <v>972</v>
      </c>
      <c r="L244" s="436" t="s">
        <v>974</v>
      </c>
      <c r="M244" s="786" t="s">
        <v>2012</v>
      </c>
      <c r="N244" s="787"/>
      <c r="R244" s="469"/>
      <c r="S244" s="165"/>
      <c r="T244" s="469"/>
      <c r="U244" s="469"/>
      <c r="V244" s="469"/>
      <c r="W244" s="469"/>
      <c r="X244" s="469"/>
      <c r="Y244" s="469"/>
      <c r="Z244" s="165"/>
      <c r="AC244" s="56"/>
      <c r="AD244" s="56"/>
    </row>
    <row r="245" spans="2:30" ht="24" customHeight="1">
      <c r="B245" s="165"/>
      <c r="E245" s="385" t="s">
        <v>2010</v>
      </c>
      <c r="F245" s="386">
        <f>SUM(G245:L245)</f>
        <v>268551452</v>
      </c>
      <c r="G245" s="386">
        <f>N91</f>
        <v>0</v>
      </c>
      <c r="H245" s="386">
        <f>N92</f>
        <v>36765495</v>
      </c>
      <c r="I245" s="386">
        <f>N93</f>
        <v>79336111</v>
      </c>
      <c r="J245" s="386">
        <f>N94</f>
        <v>75992569</v>
      </c>
      <c r="K245" s="386">
        <f>N95</f>
        <v>70396760</v>
      </c>
      <c r="L245" s="386">
        <f>N96</f>
        <v>6060517</v>
      </c>
      <c r="M245" s="448" t="s">
        <v>2013</v>
      </c>
      <c r="N245" s="459" t="s">
        <v>965</v>
      </c>
      <c r="R245" s="469"/>
      <c r="S245" s="165"/>
      <c r="T245" s="469"/>
      <c r="U245" s="469"/>
      <c r="V245" s="469"/>
      <c r="W245" s="469"/>
      <c r="X245" s="469"/>
      <c r="Y245" s="469"/>
      <c r="Z245" s="165"/>
      <c r="AC245" s="56"/>
      <c r="AD245" s="56"/>
    </row>
    <row r="246" spans="2:30" ht="24" customHeight="1">
      <c r="B246" s="165"/>
      <c r="E246" s="385" t="s">
        <v>2006</v>
      </c>
      <c r="F246" s="386">
        <f>SUM(G246:L246)</f>
        <v>21426033</v>
      </c>
      <c r="G246" s="386">
        <f>N130</f>
        <v>0</v>
      </c>
      <c r="H246" s="386">
        <f>N131</f>
        <v>3523604</v>
      </c>
      <c r="I246" s="386">
        <f>N132</f>
        <v>8240782</v>
      </c>
      <c r="J246" s="386">
        <f>N133</f>
        <v>7443480</v>
      </c>
      <c r="K246" s="386">
        <f>N134</f>
        <v>0</v>
      </c>
      <c r="L246" s="386">
        <f>N135</f>
        <v>2218167</v>
      </c>
      <c r="M246" s="448"/>
      <c r="N246" s="459"/>
      <c r="R246" s="469"/>
      <c r="S246" s="165"/>
      <c r="T246" s="469"/>
      <c r="U246" s="469"/>
      <c r="V246" s="469"/>
      <c r="W246" s="469"/>
      <c r="X246" s="469"/>
      <c r="Y246" s="469"/>
      <c r="Z246" s="165"/>
      <c r="AC246" s="56"/>
      <c r="AD246" s="56"/>
    </row>
    <row r="247" spans="2:30" ht="24" customHeight="1">
      <c r="B247" s="165"/>
      <c r="E247" s="385" t="s">
        <v>912</v>
      </c>
      <c r="F247" s="386">
        <f>SUM(G247:L247)</f>
        <v>1173280769</v>
      </c>
      <c r="G247" s="386">
        <f>N193</f>
        <v>0</v>
      </c>
      <c r="H247" s="386">
        <f>N194</f>
        <v>382442047</v>
      </c>
      <c r="I247" s="386">
        <f>N195</f>
        <v>323858376</v>
      </c>
      <c r="J247" s="386">
        <f>N196</f>
        <v>159418724</v>
      </c>
      <c r="K247" s="386">
        <f>N197</f>
        <v>288207790</v>
      </c>
      <c r="L247" s="386">
        <f>N198</f>
        <v>19353832</v>
      </c>
      <c r="M247" s="448"/>
      <c r="N247" s="459"/>
      <c r="R247" s="469"/>
      <c r="S247" s="165"/>
      <c r="T247" s="469"/>
      <c r="U247" s="469"/>
      <c r="V247" s="469"/>
      <c r="W247" s="469"/>
      <c r="X247" s="469"/>
      <c r="Y247" s="469"/>
      <c r="Z247" s="165"/>
      <c r="AC247" s="56"/>
      <c r="AD247" s="56"/>
    </row>
    <row r="248" spans="2:30" ht="24" customHeight="1">
      <c r="B248" s="165"/>
      <c r="E248" s="433" t="s">
        <v>902</v>
      </c>
      <c r="F248" s="434">
        <f>SUM(F245:F247)</f>
        <v>1463258254</v>
      </c>
      <c r="G248" s="434">
        <f t="shared" ref="G248:L248" si="41">SUM(G245:G247)</f>
        <v>0</v>
      </c>
      <c r="H248" s="434">
        <f t="shared" si="41"/>
        <v>422731146</v>
      </c>
      <c r="I248" s="434">
        <f t="shared" si="41"/>
        <v>411435269</v>
      </c>
      <c r="J248" s="434">
        <f t="shared" si="41"/>
        <v>242854773</v>
      </c>
      <c r="K248" s="434">
        <f t="shared" si="41"/>
        <v>358604550</v>
      </c>
      <c r="L248" s="434">
        <f t="shared" si="41"/>
        <v>27632516</v>
      </c>
      <c r="M248" s="387">
        <v>674238778</v>
      </c>
      <c r="N248" s="388">
        <f>F248-M248</f>
        <v>789019476</v>
      </c>
      <c r="R248" s="469"/>
      <c r="S248" s="165"/>
      <c r="T248" s="469"/>
      <c r="U248" s="469"/>
      <c r="V248" s="469"/>
      <c r="W248" s="469"/>
      <c r="X248" s="469"/>
      <c r="Y248" s="469"/>
      <c r="Z248" s="165"/>
      <c r="AC248" s="56"/>
      <c r="AD248" s="56"/>
    </row>
    <row r="249" spans="2:30" ht="24" customHeight="1" thickBot="1">
      <c r="B249" s="165"/>
      <c r="E249" s="389" t="s">
        <v>1367</v>
      </c>
      <c r="F249" s="390">
        <f>SUM(G249:L249)</f>
        <v>127325958</v>
      </c>
      <c r="G249" s="390">
        <v>0</v>
      </c>
      <c r="H249" s="390">
        <v>0</v>
      </c>
      <c r="I249" s="390">
        <v>0</v>
      </c>
      <c r="J249" s="390">
        <f>N229</f>
        <v>53045625</v>
      </c>
      <c r="K249" s="390">
        <f>N230</f>
        <v>63998958</v>
      </c>
      <c r="L249" s="390">
        <f>N231</f>
        <v>10281375</v>
      </c>
      <c r="M249" s="391">
        <v>0</v>
      </c>
      <c r="N249" s="392">
        <f>F249-M249</f>
        <v>127325958</v>
      </c>
      <c r="R249" s="469"/>
      <c r="S249" s="165"/>
      <c r="T249" s="469"/>
      <c r="U249" s="469"/>
      <c r="V249" s="469"/>
      <c r="W249" s="469"/>
      <c r="X249" s="469"/>
      <c r="Y249" s="469"/>
      <c r="Z249" s="165"/>
      <c r="AC249" s="56"/>
      <c r="AD249" s="56"/>
    </row>
    <row r="250" spans="2:30" ht="24" customHeight="1">
      <c r="F250" s="458" t="s">
        <v>904</v>
      </c>
    </row>
  </sheetData>
  <autoFilter ref="A4:Z189" xr:uid="{BC9C3BF9-395F-40F3-8AA0-9F2FE733EAC6}">
    <filterColumn colId="3" showButton="0"/>
  </autoFilter>
  <mergeCells count="18">
    <mergeCell ref="T201:X201"/>
    <mergeCell ref="R201:R202"/>
    <mergeCell ref="Q201:Q202"/>
    <mergeCell ref="M244:N244"/>
    <mergeCell ref="R218:R219"/>
    <mergeCell ref="S218:S219"/>
    <mergeCell ref="T218:X218"/>
    <mergeCell ref="T213:X213"/>
    <mergeCell ref="Q213:Q214"/>
    <mergeCell ref="R213:R214"/>
    <mergeCell ref="S213:S214"/>
    <mergeCell ref="S201:S202"/>
    <mergeCell ref="D4:E4"/>
    <mergeCell ref="D189:E189"/>
    <mergeCell ref="D228:E228"/>
    <mergeCell ref="D240:E240"/>
    <mergeCell ref="Q218:Q219"/>
    <mergeCell ref="P201:P202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8B89-ADAE-4E8A-8826-F289DF58CA17}">
  <sheetPr>
    <tabColor theme="5" tint="-0.249977111117893"/>
    <outlinePr summaryBelow="0" summaryRight="0"/>
    <pageSetUpPr autoPageBreaks="0"/>
  </sheetPr>
  <dimension ref="A1:P95"/>
  <sheetViews>
    <sheetView zoomScaleNormal="100" workbookViewId="0">
      <pane xSplit="4" ySplit="5" topLeftCell="E41" activePane="bottomRight" state="frozen"/>
      <selection activeCell="C100" sqref="C100"/>
      <selection pane="topRight" activeCell="C100" sqref="C100"/>
      <selection pane="bottomLeft" activeCell="C100" sqref="C100"/>
      <selection pane="bottomRight" activeCell="F52" sqref="F52"/>
    </sheetView>
  </sheetViews>
  <sheetFormatPr defaultColWidth="8.7109375" defaultRowHeight="23.45" customHeight="1"/>
  <cols>
    <col min="1" max="1" width="24.7109375" style="18" hidden="1" customWidth="1"/>
    <col min="2" max="2" width="32.140625" style="15" hidden="1" customWidth="1"/>
    <col min="3" max="3" width="16.85546875" style="15" hidden="1" customWidth="1"/>
    <col min="4" max="4" width="34.5703125" style="18" customWidth="1"/>
    <col min="5" max="5" width="18.7109375" style="15" customWidth="1"/>
    <col min="6" max="6" width="15.5703125" style="15" customWidth="1"/>
    <col min="7" max="7" width="16.7109375" style="15" customWidth="1"/>
    <col min="8" max="8" width="20" style="15" customWidth="1"/>
    <col min="9" max="11" width="16.7109375" style="15" customWidth="1"/>
    <col min="12" max="13" width="18" style="461" customWidth="1"/>
    <col min="14" max="14" width="13.140625" style="56" customWidth="1"/>
    <col min="15" max="15" width="8.7109375" style="15"/>
    <col min="16" max="16" width="45.85546875" style="15" customWidth="1"/>
    <col min="17" max="16384" width="8.7109375" style="15"/>
  </cols>
  <sheetData>
    <row r="1" spans="1:14" s="234" customFormat="1" ht="47.25" customHeight="1">
      <c r="A1" s="232"/>
      <c r="B1" s="569" t="s">
        <v>2416</v>
      </c>
      <c r="C1" s="233"/>
      <c r="D1" s="232"/>
      <c r="F1" s="789" t="s">
        <v>2417</v>
      </c>
      <c r="G1" s="789"/>
      <c r="H1" s="789"/>
      <c r="I1" s="789"/>
      <c r="J1" s="789"/>
      <c r="K1" s="789"/>
      <c r="L1" s="628"/>
      <c r="M1" s="628"/>
      <c r="N1" s="629"/>
    </row>
    <row r="2" spans="1:14" ht="23.45" customHeight="1">
      <c r="A2" s="14"/>
      <c r="B2" s="16" t="s">
        <v>1365</v>
      </c>
      <c r="C2" s="16"/>
      <c r="D2" s="14"/>
      <c r="H2" s="16" t="s">
        <v>2445</v>
      </c>
    </row>
    <row r="3" spans="1:14" ht="23.45" customHeight="1">
      <c r="A3" s="17" t="s">
        <v>1</v>
      </c>
      <c r="D3" s="17" t="s">
        <v>904</v>
      </c>
      <c r="E3" s="17" t="s">
        <v>2444</v>
      </c>
    </row>
    <row r="4" spans="1:14" s="312" customFormat="1" ht="21" customHeight="1" thickBot="1">
      <c r="A4" s="795" t="s">
        <v>2</v>
      </c>
      <c r="B4" s="479" t="s">
        <v>2210</v>
      </c>
      <c r="C4" s="800" t="s">
        <v>2229</v>
      </c>
      <c r="D4" s="796" t="s">
        <v>2212</v>
      </c>
      <c r="E4" s="797"/>
      <c r="F4" s="798"/>
      <c r="G4" s="798"/>
      <c r="H4" s="798"/>
      <c r="I4" s="798"/>
      <c r="J4" s="798"/>
      <c r="K4" s="799"/>
      <c r="L4" s="790" t="s">
        <v>2443</v>
      </c>
      <c r="M4" s="790"/>
      <c r="N4" s="790"/>
    </row>
    <row r="5" spans="1:14" s="312" customFormat="1" ht="21" customHeight="1">
      <c r="A5" s="795"/>
      <c r="B5" s="479" t="s">
        <v>1366</v>
      </c>
      <c r="C5" s="801"/>
      <c r="D5" s="477" t="s">
        <v>2211</v>
      </c>
      <c r="E5" s="483" t="s">
        <v>329</v>
      </c>
      <c r="F5" s="478" t="s">
        <v>2213</v>
      </c>
      <c r="G5" s="479" t="s">
        <v>2015</v>
      </c>
      <c r="H5" s="479" t="s">
        <v>2426</v>
      </c>
      <c r="I5" s="479" t="s">
        <v>2196</v>
      </c>
      <c r="J5" s="479" t="s">
        <v>2231</v>
      </c>
      <c r="K5" s="479" t="s">
        <v>2017</v>
      </c>
      <c r="L5" s="633" t="s">
        <v>2433</v>
      </c>
      <c r="M5" s="633" t="s">
        <v>2432</v>
      </c>
      <c r="N5" s="634" t="s">
        <v>332</v>
      </c>
    </row>
    <row r="6" spans="1:14" s="312" customFormat="1" ht="17.25">
      <c r="A6" s="313" t="s">
        <v>257</v>
      </c>
      <c r="B6" s="314">
        <f>SUM(B7:B9)</f>
        <v>24993995056</v>
      </c>
      <c r="C6" s="506"/>
      <c r="D6" s="480" t="s">
        <v>257</v>
      </c>
      <c r="E6" s="485">
        <f t="shared" ref="E6:K6" si="0">SUM(E7:E9)</f>
        <v>13051031409</v>
      </c>
      <c r="F6" s="482">
        <f t="shared" si="0"/>
        <v>0</v>
      </c>
      <c r="G6" s="314">
        <f t="shared" si="0"/>
        <v>6651954576</v>
      </c>
      <c r="H6" s="314">
        <f t="shared" si="0"/>
        <v>1341924568</v>
      </c>
      <c r="I6" s="314">
        <f t="shared" si="0"/>
        <v>2345285192</v>
      </c>
      <c r="J6" s="314">
        <f t="shared" si="0"/>
        <v>2435826273</v>
      </c>
      <c r="K6" s="314">
        <f t="shared" si="0"/>
        <v>276040800</v>
      </c>
      <c r="L6" s="630">
        <f>'영업점별 IS(통합)'!B7</f>
        <v>13032465838</v>
      </c>
      <c r="M6" s="630">
        <f>E6-L6</f>
        <v>18565571</v>
      </c>
      <c r="N6" s="631" t="s">
        <v>2442</v>
      </c>
    </row>
    <row r="7" spans="1:14" s="312" customFormat="1" ht="17.25">
      <c r="A7" s="315" t="s">
        <v>258</v>
      </c>
      <c r="B7" s="316">
        <v>11248271647</v>
      </c>
      <c r="C7" s="507"/>
      <c r="D7" s="619" t="s">
        <v>2206</v>
      </c>
      <c r="E7" s="594"/>
      <c r="F7" s="620"/>
      <c r="G7" s="316"/>
      <c r="H7" s="316"/>
      <c r="I7" s="316"/>
      <c r="J7" s="316"/>
      <c r="K7" s="316"/>
      <c r="L7" s="632"/>
      <c r="M7" s="632"/>
      <c r="N7" s="631"/>
    </row>
    <row r="8" spans="1:14" s="312" customFormat="1" ht="17.25">
      <c r="A8" s="315" t="s">
        <v>259</v>
      </c>
      <c r="B8" s="621">
        <v>13051031409</v>
      </c>
      <c r="C8" s="622"/>
      <c r="D8" s="484" t="s">
        <v>259</v>
      </c>
      <c r="E8" s="594">
        <f>SUM(F8:K8)</f>
        <v>13051031409</v>
      </c>
      <c r="F8" s="595">
        <v>0</v>
      </c>
      <c r="G8" s="316">
        <f>'영업점별 IS(통합)'!D7</f>
        <v>6651954576</v>
      </c>
      <c r="H8" s="316">
        <f>1323358997+15656571+2909000</f>
        <v>1341924568</v>
      </c>
      <c r="I8" s="316">
        <f>'영업점별 IS(통합)'!H7</f>
        <v>2345285192</v>
      </c>
      <c r="J8" s="316">
        <f>'영업점별 IS(통합)'!J7</f>
        <v>2435826273</v>
      </c>
      <c r="K8" s="316">
        <f>'영업점별 IS(통합)'!L7</f>
        <v>276040800</v>
      </c>
      <c r="L8" s="632" t="s">
        <v>904</v>
      </c>
      <c r="M8" s="632"/>
      <c r="N8" s="631"/>
    </row>
    <row r="9" spans="1:14" s="312" customFormat="1" ht="17.25">
      <c r="A9" s="315" t="s">
        <v>260</v>
      </c>
      <c r="B9" s="316">
        <v>694692000</v>
      </c>
      <c r="C9" s="507"/>
      <c r="D9" s="619" t="s">
        <v>2206</v>
      </c>
      <c r="E9" s="594"/>
      <c r="F9" s="620"/>
      <c r="G9" s="316"/>
      <c r="H9" s="316"/>
      <c r="I9" s="316"/>
      <c r="J9" s="316"/>
      <c r="K9" s="316"/>
      <c r="L9" s="632"/>
      <c r="M9" s="632"/>
      <c r="N9" s="631"/>
    </row>
    <row r="10" spans="1:14" s="312" customFormat="1" ht="17.25">
      <c r="A10" s="317" t="s">
        <v>261</v>
      </c>
      <c r="B10" s="310">
        <f>B11+B16</f>
        <v>13149703587</v>
      </c>
      <c r="C10" s="508"/>
      <c r="D10" s="481" t="s">
        <v>2215</v>
      </c>
      <c r="E10" s="623">
        <f>SUM(F10:K10)</f>
        <v>4507776710</v>
      </c>
      <c r="F10" s="624">
        <f t="shared" ref="F10:K10" si="1">F16</f>
        <v>0</v>
      </c>
      <c r="G10" s="310">
        <f t="shared" si="1"/>
        <v>2298630375</v>
      </c>
      <c r="H10" s="310">
        <f t="shared" si="1"/>
        <v>437429276</v>
      </c>
      <c r="I10" s="310">
        <f t="shared" si="1"/>
        <v>929706124</v>
      </c>
      <c r="J10" s="310">
        <f t="shared" si="1"/>
        <v>698912728</v>
      </c>
      <c r="K10" s="310">
        <f t="shared" si="1"/>
        <v>143098207</v>
      </c>
      <c r="L10" s="632">
        <f>'영업점별 IS(통합)'!C10</f>
        <v>4507776710</v>
      </c>
      <c r="M10" s="632"/>
      <c r="N10" s="631"/>
    </row>
    <row r="11" spans="1:14" s="312" customFormat="1" ht="18" customHeight="1">
      <c r="A11" s="317" t="s">
        <v>262</v>
      </c>
      <c r="B11" s="310">
        <f>B12+B13-B14-B15</f>
        <v>5279534698</v>
      </c>
      <c r="C11" s="508"/>
      <c r="D11" s="481"/>
      <c r="E11" s="594"/>
      <c r="F11" s="624"/>
      <c r="G11" s="310"/>
      <c r="H11" s="310"/>
      <c r="I11" s="310"/>
      <c r="J11" s="310"/>
      <c r="K11" s="310"/>
      <c r="L11" s="632"/>
      <c r="M11" s="632"/>
      <c r="N11" s="631"/>
    </row>
    <row r="12" spans="1:14" s="312" customFormat="1" ht="18" customHeight="1">
      <c r="A12" s="315" t="s">
        <v>263</v>
      </c>
      <c r="B12" s="316">
        <v>8251381603</v>
      </c>
      <c r="C12" s="507"/>
      <c r="D12" s="619"/>
      <c r="E12" s="594"/>
      <c r="F12" s="620"/>
      <c r="G12" s="316"/>
      <c r="H12" s="316"/>
      <c r="I12" s="316"/>
      <c r="J12" s="316"/>
      <c r="K12" s="316"/>
      <c r="L12" s="632"/>
      <c r="M12" s="632"/>
      <c r="N12" s="631"/>
    </row>
    <row r="13" spans="1:14" s="312" customFormat="1" ht="18" customHeight="1">
      <c r="A13" s="315" t="s">
        <v>264</v>
      </c>
      <c r="B13" s="316">
        <v>5043985959</v>
      </c>
      <c r="C13" s="507"/>
      <c r="D13" s="619"/>
      <c r="E13" s="594"/>
      <c r="F13" s="620"/>
      <c r="G13" s="316"/>
      <c r="H13" s="316"/>
      <c r="I13" s="316"/>
      <c r="J13" s="316"/>
      <c r="K13" s="316"/>
      <c r="L13" s="632"/>
      <c r="M13" s="632"/>
      <c r="N13" s="631"/>
    </row>
    <row r="14" spans="1:14" s="312" customFormat="1" ht="18" customHeight="1">
      <c r="A14" s="315" t="s">
        <v>265</v>
      </c>
      <c r="B14" s="316">
        <v>157035693</v>
      </c>
      <c r="C14" s="507"/>
      <c r="D14" s="619"/>
      <c r="E14" s="594"/>
      <c r="F14" s="620"/>
      <c r="G14" s="316"/>
      <c r="H14" s="316"/>
      <c r="I14" s="316"/>
      <c r="J14" s="316"/>
      <c r="K14" s="316"/>
      <c r="L14" s="632"/>
      <c r="M14" s="632"/>
      <c r="N14" s="631"/>
    </row>
    <row r="15" spans="1:14" s="312" customFormat="1" ht="18" customHeight="1">
      <c r="A15" s="315" t="s">
        <v>266</v>
      </c>
      <c r="B15" s="316">
        <v>7858797171</v>
      </c>
      <c r="C15" s="507"/>
      <c r="D15" s="619"/>
      <c r="E15" s="594"/>
      <c r="F15" s="620"/>
      <c r="G15" s="316"/>
      <c r="H15" s="316"/>
      <c r="I15" s="316"/>
      <c r="J15" s="316"/>
      <c r="K15" s="316"/>
      <c r="L15" s="632"/>
      <c r="M15" s="632"/>
      <c r="N15" s="631"/>
    </row>
    <row r="16" spans="1:14" s="312" customFormat="1" ht="18" customHeight="1">
      <c r="A16" s="317" t="s">
        <v>267</v>
      </c>
      <c r="B16" s="310">
        <f>B17+B18-B19</f>
        <v>7870168889</v>
      </c>
      <c r="C16" s="508"/>
      <c r="D16" s="481" t="s">
        <v>2214</v>
      </c>
      <c r="E16" s="623">
        <f>SUM(F16:K16)</f>
        <v>4507776710</v>
      </c>
      <c r="F16" s="624">
        <f t="shared" ref="F16:K16" si="2">F17+F18-F19</f>
        <v>0</v>
      </c>
      <c r="G16" s="310">
        <f t="shared" si="2"/>
        <v>2298630375</v>
      </c>
      <c r="H16" s="310">
        <f t="shared" si="2"/>
        <v>437429276</v>
      </c>
      <c r="I16" s="310">
        <f t="shared" si="2"/>
        <v>929706124</v>
      </c>
      <c r="J16" s="310">
        <f t="shared" si="2"/>
        <v>698912728</v>
      </c>
      <c r="K16" s="310">
        <f t="shared" si="2"/>
        <v>143098207</v>
      </c>
      <c r="L16" s="632">
        <f>SUM(F10:K10)</f>
        <v>4507776710</v>
      </c>
      <c r="M16" s="632"/>
      <c r="N16" s="631"/>
    </row>
    <row r="17" spans="1:16" s="312" customFormat="1" ht="18" customHeight="1">
      <c r="A17" s="315" t="s">
        <v>268</v>
      </c>
      <c r="B17" s="316">
        <v>0</v>
      </c>
      <c r="C17" s="507"/>
      <c r="D17" s="484" t="s">
        <v>2076</v>
      </c>
      <c r="E17" s="594">
        <f>SUM(F17:K17)</f>
        <v>13711156</v>
      </c>
      <c r="F17" s="595">
        <v>0</v>
      </c>
      <c r="G17" s="316">
        <f>'영업점별 IS(통합)'!D11</f>
        <v>7591164</v>
      </c>
      <c r="H17" s="316">
        <f>'영업점별 IS(통합)'!F11</f>
        <v>6119992</v>
      </c>
      <c r="I17" s="316"/>
      <c r="J17" s="316"/>
      <c r="K17" s="316"/>
      <c r="L17" s="632"/>
      <c r="M17" s="632" t="s">
        <v>904</v>
      </c>
      <c r="N17" s="631"/>
    </row>
    <row r="18" spans="1:16" s="312" customFormat="1" ht="18" customHeight="1">
      <c r="A18" s="315" t="s">
        <v>269</v>
      </c>
      <c r="B18" s="316">
        <v>7870168889</v>
      </c>
      <c r="C18" s="507"/>
      <c r="D18" s="484" t="s">
        <v>2077</v>
      </c>
      <c r="E18" s="594">
        <f>SUM(F18:K18)</f>
        <v>4534062975</v>
      </c>
      <c r="F18" s="595">
        <v>0</v>
      </c>
      <c r="G18" s="592">
        <f>'영업점별 IS(통합)'!D12</f>
        <v>2305403850</v>
      </c>
      <c r="H18" s="592">
        <f>'영업점별 IS(통합)'!F12</f>
        <v>439711839</v>
      </c>
      <c r="I18" s="592">
        <f>'영업점별 IS(통합)'!H12</f>
        <v>932616747</v>
      </c>
      <c r="J18" s="592">
        <f>'영업점별 IS(통합)'!J12</f>
        <v>707302668</v>
      </c>
      <c r="K18" s="592">
        <f>'영업점별 IS(통합)'!L12</f>
        <v>149027871</v>
      </c>
      <c r="L18" s="632">
        <f>'영업점별 IS(통합)'!B12</f>
        <v>4534062975</v>
      </c>
      <c r="M18" s="632">
        <f>E18-L18</f>
        <v>0</v>
      </c>
      <c r="N18" s="631"/>
    </row>
    <row r="19" spans="1:16" s="312" customFormat="1" ht="18" customHeight="1">
      <c r="A19" s="315" t="s">
        <v>270</v>
      </c>
      <c r="B19" s="316">
        <v>0</v>
      </c>
      <c r="C19" s="507"/>
      <c r="D19" s="484" t="s">
        <v>2078</v>
      </c>
      <c r="E19" s="594">
        <f>SUM(F19:K19)</f>
        <v>39997421</v>
      </c>
      <c r="F19" s="620"/>
      <c r="G19" s="316">
        <f>'영업점별 IS(통합)'!D13</f>
        <v>14364639</v>
      </c>
      <c r="H19" s="316">
        <f>'영업점별 IS(통합)'!F13</f>
        <v>8402555</v>
      </c>
      <c r="I19" s="316">
        <f>'영업점별 IS(통합)'!H13</f>
        <v>2910623</v>
      </c>
      <c r="J19" s="316">
        <f>'영업점별 IS(통합)'!J13</f>
        <v>8389940</v>
      </c>
      <c r="K19" s="316">
        <f>'영업점별 IS(통합)'!L13</f>
        <v>5929664</v>
      </c>
      <c r="L19" s="632"/>
      <c r="M19" s="632"/>
      <c r="N19" s="631"/>
    </row>
    <row r="20" spans="1:16" s="312" customFormat="1" ht="18" customHeight="1">
      <c r="A20" s="315"/>
      <c r="B20" s="316"/>
      <c r="C20" s="507"/>
      <c r="D20" s="619"/>
      <c r="E20" s="594"/>
      <c r="F20" s="620"/>
      <c r="G20" s="316"/>
      <c r="H20" s="316"/>
      <c r="I20" s="316"/>
      <c r="J20" s="316"/>
      <c r="K20" s="316"/>
      <c r="L20" s="632" t="s">
        <v>904</v>
      </c>
      <c r="M20" s="632"/>
      <c r="N20" s="631"/>
    </row>
    <row r="21" spans="1:16" s="312" customFormat="1" ht="41.45" customHeight="1">
      <c r="A21" s="317" t="s">
        <v>271</v>
      </c>
      <c r="B21" s="310">
        <f>B6-B10</f>
        <v>11844291469</v>
      </c>
      <c r="C21" s="508"/>
      <c r="D21" s="481" t="s">
        <v>271</v>
      </c>
      <c r="E21" s="625">
        <f>SUM(F21:K21)</f>
        <v>8543254699</v>
      </c>
      <c r="F21" s="624">
        <f t="shared" ref="F21:K21" si="3">F6-F16</f>
        <v>0</v>
      </c>
      <c r="G21" s="310">
        <f t="shared" si="3"/>
        <v>4353324201</v>
      </c>
      <c r="H21" s="310">
        <f t="shared" si="3"/>
        <v>904495292</v>
      </c>
      <c r="I21" s="310">
        <f t="shared" si="3"/>
        <v>1415579068</v>
      </c>
      <c r="J21" s="310">
        <f t="shared" si="3"/>
        <v>1736913545</v>
      </c>
      <c r="K21" s="310">
        <f t="shared" si="3"/>
        <v>132942593</v>
      </c>
      <c r="L21" s="632">
        <f>L6-L10</f>
        <v>8524689128</v>
      </c>
      <c r="M21" s="632">
        <f>E21-L21</f>
        <v>18565571</v>
      </c>
      <c r="N21" s="631"/>
    </row>
    <row r="22" spans="1:16" s="312" customFormat="1" ht="18" customHeight="1">
      <c r="A22" s="317"/>
      <c r="B22" s="310"/>
      <c r="C22" s="508"/>
      <c r="D22" s="481"/>
      <c r="E22" s="625"/>
      <c r="F22" s="624"/>
      <c r="G22" s="310"/>
      <c r="H22" s="310"/>
      <c r="I22" s="310"/>
      <c r="J22" s="310"/>
      <c r="K22" s="310"/>
      <c r="L22" s="632"/>
      <c r="M22" s="632"/>
      <c r="N22" s="631"/>
    </row>
    <row r="23" spans="1:16" s="312" customFormat="1" ht="41.45" customHeight="1">
      <c r="A23" s="317" t="s">
        <v>272</v>
      </c>
      <c r="B23" s="310">
        <f>SUM(B24:B61)</f>
        <v>13814050936</v>
      </c>
      <c r="C23" s="310">
        <f>SUM(C24:C61)</f>
        <v>123154415</v>
      </c>
      <c r="D23" s="626" t="s">
        <v>2225</v>
      </c>
      <c r="E23" s="625">
        <f t="shared" ref="E23:K23" si="4">SUM(E24:E61)</f>
        <v>10063671410</v>
      </c>
      <c r="F23" s="627">
        <f t="shared" si="4"/>
        <v>447990942</v>
      </c>
      <c r="G23" s="310">
        <f t="shared" si="4"/>
        <v>3979167679</v>
      </c>
      <c r="H23" s="310">
        <f t="shared" si="4"/>
        <v>2186828057</v>
      </c>
      <c r="I23" s="310">
        <f t="shared" si="4"/>
        <v>1307911633</v>
      </c>
      <c r="J23" s="310">
        <f t="shared" si="4"/>
        <v>1995445130</v>
      </c>
      <c r="K23" s="310">
        <f t="shared" si="4"/>
        <v>146327969</v>
      </c>
      <c r="L23" s="632">
        <f>SUM(L24:L61)</f>
        <v>9650373864</v>
      </c>
      <c r="M23" s="632">
        <f>E23-L23</f>
        <v>413297546</v>
      </c>
      <c r="N23" s="631"/>
    </row>
    <row r="24" spans="1:16" s="312" customFormat="1" ht="18" customHeight="1" thickBot="1">
      <c r="A24" s="315" t="s">
        <v>2080</v>
      </c>
      <c r="B24" s="316">
        <v>4551127641</v>
      </c>
      <c r="C24" s="507">
        <v>110111686</v>
      </c>
      <c r="D24" s="484" t="s">
        <v>932</v>
      </c>
      <c r="E24" s="694">
        <f t="shared" ref="E24:E61" si="5">SUM(F24:K24)</f>
        <v>3604635878</v>
      </c>
      <c r="F24" s="595">
        <f>-'1호점'!H16-C24</f>
        <v>413297546</v>
      </c>
      <c r="G24" s="592">
        <f>'영업점별 IS(통합)'!D16</f>
        <v>1076064918</v>
      </c>
      <c r="H24" s="592">
        <f>'영업점별 IS(통합)'!F16</f>
        <v>897522964</v>
      </c>
      <c r="I24" s="592">
        <f>'영업점별 IS(통합)'!H16</f>
        <v>341857630</v>
      </c>
      <c r="J24" s="592">
        <f>'영업점별 IS(통합)'!J16</f>
        <v>826432509</v>
      </c>
      <c r="K24" s="592">
        <f>'영업점별 IS(통합)'!L16</f>
        <v>49460311</v>
      </c>
      <c r="L24" s="632">
        <f>'영업점별 IS(통합)'!B16</f>
        <v>3191338332</v>
      </c>
      <c r="M24" s="632">
        <f>E24-L24</f>
        <v>413297546</v>
      </c>
      <c r="N24" s="631"/>
    </row>
    <row r="25" spans="1:16" s="312" customFormat="1" ht="18" customHeight="1">
      <c r="A25" s="315" t="s">
        <v>933</v>
      </c>
      <c r="B25" s="316">
        <v>82090000</v>
      </c>
      <c r="C25" s="507"/>
      <c r="D25" s="484" t="s">
        <v>933</v>
      </c>
      <c r="E25" s="594">
        <f t="shared" si="5"/>
        <v>16429000</v>
      </c>
      <c r="F25" s="595"/>
      <c r="G25" s="592">
        <f>'영업점별 IS(통합)'!D17</f>
        <v>7429000</v>
      </c>
      <c r="H25" s="592">
        <f>'영업점별 IS(통합)'!F17</f>
        <v>1000000</v>
      </c>
      <c r="I25" s="592">
        <f>'영업점별 IS(통합)'!H17</f>
        <v>5600000</v>
      </c>
      <c r="J25" s="592">
        <f>'영업점별 IS(통합)'!J17</f>
        <v>2400000</v>
      </c>
      <c r="K25" s="592">
        <f>'영업점별 IS(통합)'!L17</f>
        <v>0</v>
      </c>
      <c r="L25" s="632">
        <f>'영업점별 IS(통합)'!B17</f>
        <v>16429000</v>
      </c>
      <c r="M25" s="632">
        <f t="shared" ref="M25:M61" si="6">E25-L25</f>
        <v>0</v>
      </c>
      <c r="N25" s="791" t="s">
        <v>904</v>
      </c>
      <c r="O25" s="794" t="s">
        <v>904</v>
      </c>
      <c r="P25" s="695" t="s">
        <v>2483</v>
      </c>
    </row>
    <row r="26" spans="1:16" s="312" customFormat="1" ht="18" customHeight="1">
      <c r="A26" s="315" t="s">
        <v>273</v>
      </c>
      <c r="B26" s="316">
        <v>36840862</v>
      </c>
      <c r="C26" s="507"/>
      <c r="D26" s="484" t="s">
        <v>2021</v>
      </c>
      <c r="E26" s="594">
        <f t="shared" si="5"/>
        <v>0</v>
      </c>
      <c r="F26" s="595"/>
      <c r="G26" s="592">
        <f>'영업점별 IS(통합)'!D18</f>
        <v>0</v>
      </c>
      <c r="H26" s="592">
        <f>'영업점별 IS(통합)'!F18</f>
        <v>0</v>
      </c>
      <c r="I26" s="592">
        <f>'영업점별 IS(통합)'!H18</f>
        <v>0</v>
      </c>
      <c r="J26" s="592">
        <f>'영업점별 IS(통합)'!J18</f>
        <v>0</v>
      </c>
      <c r="K26" s="592">
        <f>'영업점별 IS(통합)'!L18</f>
        <v>0</v>
      </c>
      <c r="L26" s="632">
        <f>'영업점별 IS(통합)'!B18</f>
        <v>0</v>
      </c>
      <c r="M26" s="632">
        <f t="shared" si="6"/>
        <v>0</v>
      </c>
      <c r="N26" s="792"/>
      <c r="O26" s="794"/>
      <c r="P26" s="696">
        <f>SUM(E25:E28)</f>
        <v>606223545</v>
      </c>
    </row>
    <row r="27" spans="1:16" s="312" customFormat="1" ht="18" customHeight="1">
      <c r="A27" s="315" t="s">
        <v>274</v>
      </c>
      <c r="B27" s="316">
        <v>579747832</v>
      </c>
      <c r="C27" s="507"/>
      <c r="D27" s="484" t="s">
        <v>2216</v>
      </c>
      <c r="E27" s="594">
        <f t="shared" si="5"/>
        <v>414868962</v>
      </c>
      <c r="F27" s="595">
        <v>0</v>
      </c>
      <c r="G27" s="592">
        <f>'영업점별 IS(통합)'!D19</f>
        <v>294473780</v>
      </c>
      <c r="H27" s="592">
        <f>'영업점별 IS(통합)'!F19</f>
        <v>67517500</v>
      </c>
      <c r="I27" s="592">
        <f>'영업점별 IS(통합)'!H19</f>
        <v>30027500</v>
      </c>
      <c r="J27" s="592">
        <f>'영업점별 IS(통합)'!J19</f>
        <v>17541000</v>
      </c>
      <c r="K27" s="592">
        <f>'영업점별 IS(통합)'!L19</f>
        <v>5309182</v>
      </c>
      <c r="L27" s="632">
        <f>'영업점별 IS(통합)'!B19</f>
        <v>414868962</v>
      </c>
      <c r="M27" s="632">
        <f t="shared" si="6"/>
        <v>0</v>
      </c>
      <c r="N27" s="792"/>
      <c r="O27" s="794"/>
      <c r="P27" s="697" t="s">
        <v>2484</v>
      </c>
    </row>
    <row r="28" spans="1:16" s="312" customFormat="1" ht="18" customHeight="1" thickBot="1">
      <c r="A28" s="315" t="s">
        <v>275</v>
      </c>
      <c r="B28" s="316">
        <v>389688006</v>
      </c>
      <c r="C28" s="507"/>
      <c r="D28" s="484" t="s">
        <v>935</v>
      </c>
      <c r="E28" s="594">
        <f t="shared" si="5"/>
        <v>174925583</v>
      </c>
      <c r="F28" s="595"/>
      <c r="G28" s="592">
        <f>'영업점별 IS(통합)'!D20</f>
        <v>151765913</v>
      </c>
      <c r="H28" s="592">
        <f>'영업점별 IS(통합)'!F20</f>
        <v>16290861</v>
      </c>
      <c r="I28" s="592">
        <f>'영업점별 IS(통합)'!H20</f>
        <v>6496261</v>
      </c>
      <c r="J28" s="592">
        <f>'영업점별 IS(통합)'!J20</f>
        <v>0</v>
      </c>
      <c r="K28" s="592">
        <f>'영업점별 IS(통합)'!L20</f>
        <v>372548</v>
      </c>
      <c r="L28" s="632">
        <f>'영업점별 IS(통합)'!B20</f>
        <v>174925583</v>
      </c>
      <c r="M28" s="632">
        <f t="shared" si="6"/>
        <v>0</v>
      </c>
      <c r="N28" s="792"/>
      <c r="O28" s="794"/>
      <c r="P28" s="698">
        <f>P26/E24</f>
        <v>0.16817885787020401</v>
      </c>
    </row>
    <row r="29" spans="1:16" s="312" customFormat="1" ht="18" customHeight="1">
      <c r="A29" s="315" t="s">
        <v>276</v>
      </c>
      <c r="B29" s="316">
        <v>3036807</v>
      </c>
      <c r="C29" s="507"/>
      <c r="D29" s="484" t="s">
        <v>2022</v>
      </c>
      <c r="E29" s="594">
        <f t="shared" si="5"/>
        <v>0</v>
      </c>
      <c r="F29" s="595"/>
      <c r="G29" s="592">
        <f>'영업점별 IS(통합)'!D21</f>
        <v>0</v>
      </c>
      <c r="H29" s="592">
        <f>'영업점별 IS(통합)'!F21</f>
        <v>0</v>
      </c>
      <c r="I29" s="592">
        <f>'영업점별 IS(통합)'!H21</f>
        <v>0</v>
      </c>
      <c r="J29" s="592">
        <f>'영업점별 IS(통합)'!J21</f>
        <v>0</v>
      </c>
      <c r="K29" s="592">
        <f>'영업점별 IS(통합)'!L21</f>
        <v>0</v>
      </c>
      <c r="L29" s="632">
        <f>'영업점별 IS(통합)'!B21</f>
        <v>0</v>
      </c>
      <c r="M29" s="632">
        <f t="shared" si="6"/>
        <v>0</v>
      </c>
      <c r="N29" s="793"/>
      <c r="O29" s="794"/>
      <c r="P29" s="312" t="s">
        <v>2485</v>
      </c>
    </row>
    <row r="30" spans="1:16" s="312" customFormat="1" ht="18" customHeight="1">
      <c r="A30" s="315" t="s">
        <v>277</v>
      </c>
      <c r="B30" s="592">
        <v>438798969</v>
      </c>
      <c r="C30" s="593">
        <v>8368488</v>
      </c>
      <c r="D30" s="484" t="s">
        <v>936</v>
      </c>
      <c r="E30" s="594">
        <f t="shared" si="5"/>
        <v>254318559</v>
      </c>
      <c r="F30" s="595">
        <f>30628497-C30</f>
        <v>22260009</v>
      </c>
      <c r="G30" s="592">
        <f>'영업점별 IS(통합)'!D22-F30</f>
        <v>106293831</v>
      </c>
      <c r="H30" s="592">
        <f>'영업점별 IS(통합)'!F22</f>
        <v>49437714</v>
      </c>
      <c r="I30" s="592">
        <f>'영업점별 IS(통합)'!H22</f>
        <v>31439157</v>
      </c>
      <c r="J30" s="592">
        <f>'영업점별 IS(통합)'!J22</f>
        <v>44316178</v>
      </c>
      <c r="K30" s="592">
        <f>'영업점별 IS(통합)'!L22</f>
        <v>571670</v>
      </c>
      <c r="L30" s="632">
        <f>'영업점별 IS(통합)'!B22</f>
        <v>254318559</v>
      </c>
      <c r="M30" s="632">
        <f t="shared" si="6"/>
        <v>0</v>
      </c>
      <c r="N30" s="631"/>
      <c r="P30" s="312" t="s">
        <v>2486</v>
      </c>
    </row>
    <row r="31" spans="1:16" s="312" customFormat="1" ht="18" customHeight="1">
      <c r="A31" s="315" t="s">
        <v>278</v>
      </c>
      <c r="B31" s="316">
        <v>71857846</v>
      </c>
      <c r="C31" s="507"/>
      <c r="D31" s="484" t="s">
        <v>937</v>
      </c>
      <c r="E31" s="594">
        <f t="shared" si="5"/>
        <v>1587507</v>
      </c>
      <c r="F31" s="595">
        <v>0</v>
      </c>
      <c r="G31" s="592">
        <f>'영업점별 IS(통합)'!D23</f>
        <v>450837</v>
      </c>
      <c r="H31" s="592">
        <f>'영업점별 IS(통합)'!F23</f>
        <v>148900</v>
      </c>
      <c r="I31" s="592">
        <f>'영업점별 IS(통합)'!H23</f>
        <v>272300</v>
      </c>
      <c r="J31" s="592">
        <f>'영업점별 IS(통합)'!J23</f>
        <v>715470</v>
      </c>
      <c r="K31" s="592">
        <f>'영업점별 IS(통합)'!L23</f>
        <v>0</v>
      </c>
      <c r="L31" s="632">
        <f>'영업점별 IS(통합)'!B23</f>
        <v>1587507</v>
      </c>
      <c r="M31" s="632">
        <f t="shared" si="6"/>
        <v>0</v>
      </c>
      <c r="N31" s="631"/>
    </row>
    <row r="32" spans="1:16" s="312" customFormat="1" ht="18" customHeight="1">
      <c r="A32" s="315" t="s">
        <v>279</v>
      </c>
      <c r="B32" s="316">
        <v>166328114</v>
      </c>
      <c r="C32" s="507"/>
      <c r="D32" s="484" t="s">
        <v>938</v>
      </c>
      <c r="E32" s="594">
        <f t="shared" si="5"/>
        <v>471779</v>
      </c>
      <c r="F32" s="595"/>
      <c r="G32" s="592">
        <f>'영업점별 IS(통합)'!D24</f>
        <v>0</v>
      </c>
      <c r="H32" s="592">
        <f>'영업점별 IS(통합)'!F24</f>
        <v>171779</v>
      </c>
      <c r="I32" s="592">
        <f>'영업점별 IS(통합)'!H24</f>
        <v>0</v>
      </c>
      <c r="J32" s="592">
        <f>'영업점별 IS(통합)'!J24</f>
        <v>300000</v>
      </c>
      <c r="K32" s="592">
        <f>'영업점별 IS(통합)'!L24</f>
        <v>0</v>
      </c>
      <c r="L32" s="632">
        <f>'영업점별 IS(통합)'!B24</f>
        <v>471779</v>
      </c>
      <c r="M32" s="632">
        <f t="shared" si="6"/>
        <v>0</v>
      </c>
      <c r="N32" s="631"/>
    </row>
    <row r="33" spans="1:14" s="312" customFormat="1" ht="18" customHeight="1">
      <c r="A33" s="315" t="s">
        <v>280</v>
      </c>
      <c r="B33" s="316">
        <v>19588506</v>
      </c>
      <c r="C33" s="507"/>
      <c r="D33" s="484" t="s">
        <v>939</v>
      </c>
      <c r="E33" s="594">
        <f t="shared" si="5"/>
        <v>2887270</v>
      </c>
      <c r="F33" s="595">
        <v>0</v>
      </c>
      <c r="G33" s="592">
        <f>'영업점별 IS(통합)'!D25</f>
        <v>1044475</v>
      </c>
      <c r="H33" s="592">
        <f>'영업점별 IS(통합)'!F25</f>
        <v>1050843</v>
      </c>
      <c r="I33" s="592">
        <f>'영업점별 IS(통합)'!H25</f>
        <v>659552</v>
      </c>
      <c r="J33" s="592">
        <f>'영업점별 IS(통합)'!J25</f>
        <v>132400</v>
      </c>
      <c r="K33" s="592">
        <f>'영업점별 IS(통합)'!L25</f>
        <v>0</v>
      </c>
      <c r="L33" s="632">
        <f>'영업점별 IS(통합)'!B25</f>
        <v>2887270</v>
      </c>
      <c r="M33" s="632">
        <f t="shared" si="6"/>
        <v>0</v>
      </c>
      <c r="N33" s="631"/>
    </row>
    <row r="34" spans="1:14" s="312" customFormat="1" ht="18" customHeight="1">
      <c r="A34" s="315" t="s">
        <v>281</v>
      </c>
      <c r="B34" s="316">
        <v>3970124</v>
      </c>
      <c r="C34" s="507"/>
      <c r="D34" s="484" t="s">
        <v>940</v>
      </c>
      <c r="E34" s="594">
        <f t="shared" si="5"/>
        <v>58905598</v>
      </c>
      <c r="F34" s="595"/>
      <c r="G34" s="592">
        <f>'영업점별 IS(통합)'!D26</f>
        <v>17445659</v>
      </c>
      <c r="H34" s="592">
        <f>'영업점별 IS(통합)'!F26</f>
        <v>28258543</v>
      </c>
      <c r="I34" s="592">
        <f>'영업점별 IS(통합)'!H26</f>
        <v>0</v>
      </c>
      <c r="J34" s="592">
        <f>'영업점별 IS(통합)'!J26</f>
        <v>13201396</v>
      </c>
      <c r="K34" s="592">
        <f>'영업점별 IS(통합)'!L26</f>
        <v>0</v>
      </c>
      <c r="L34" s="632">
        <f>'영업점별 IS(통합)'!B26</f>
        <v>58905598</v>
      </c>
      <c r="M34" s="632">
        <f t="shared" si="6"/>
        <v>0</v>
      </c>
      <c r="N34" s="631"/>
    </row>
    <row r="35" spans="1:14" s="312" customFormat="1" ht="18" customHeight="1">
      <c r="A35" s="315" t="s">
        <v>282</v>
      </c>
      <c r="B35" s="316">
        <v>87645184</v>
      </c>
      <c r="C35" s="507"/>
      <c r="D35" s="484" t="s">
        <v>941</v>
      </c>
      <c r="E35" s="594">
        <f t="shared" si="5"/>
        <v>75984256</v>
      </c>
      <c r="F35" s="595">
        <v>0</v>
      </c>
      <c r="G35" s="592">
        <f>'영업점별 IS(통합)'!D27</f>
        <v>21296751</v>
      </c>
      <c r="H35" s="592">
        <f>'영업점별 IS(통합)'!F27</f>
        <v>27886124</v>
      </c>
      <c r="I35" s="592">
        <f>'영업점별 IS(통합)'!H27</f>
        <v>0</v>
      </c>
      <c r="J35" s="592">
        <f>'영업점별 IS(통합)'!J27</f>
        <v>26502122</v>
      </c>
      <c r="K35" s="592">
        <f>'영업점별 IS(통합)'!L27</f>
        <v>299259</v>
      </c>
      <c r="L35" s="632">
        <f>'영업점별 IS(통합)'!B27</f>
        <v>75984256</v>
      </c>
      <c r="M35" s="632">
        <f t="shared" si="6"/>
        <v>0</v>
      </c>
      <c r="N35" s="631"/>
    </row>
    <row r="36" spans="1:14" s="312" customFormat="1" ht="18" customHeight="1">
      <c r="A36" s="315" t="s">
        <v>283</v>
      </c>
      <c r="B36" s="316">
        <v>238974004</v>
      </c>
      <c r="C36" s="507">
        <v>3903459</v>
      </c>
      <c r="D36" s="484" t="s">
        <v>2217</v>
      </c>
      <c r="E36" s="594">
        <f t="shared" si="5"/>
        <v>88198260</v>
      </c>
      <c r="F36" s="595">
        <f>14286582-C36</f>
        <v>10383123</v>
      </c>
      <c r="G36" s="592">
        <f>'영업점별 IS(통합)'!D28-F36</f>
        <v>25060297</v>
      </c>
      <c r="H36" s="592">
        <f>'영업점별 IS(통합)'!F28</f>
        <v>8589260</v>
      </c>
      <c r="I36" s="592">
        <f>'영업점별 IS(통합)'!H28</f>
        <v>14602870</v>
      </c>
      <c r="J36" s="592">
        <f>'영업점별 IS(통합)'!J28</f>
        <v>28527080</v>
      </c>
      <c r="K36" s="592">
        <f>'영업점별 IS(통합)'!L28</f>
        <v>1035630</v>
      </c>
      <c r="L36" s="632">
        <f>'영업점별 IS(통합)'!B28</f>
        <v>88198260</v>
      </c>
      <c r="M36" s="632">
        <f t="shared" si="6"/>
        <v>0</v>
      </c>
      <c r="N36" s="631"/>
    </row>
    <row r="37" spans="1:14" s="312" customFormat="1" ht="18" customHeight="1">
      <c r="A37" s="315" t="s">
        <v>284</v>
      </c>
      <c r="B37" s="316">
        <v>1045710266</v>
      </c>
      <c r="C37" s="507"/>
      <c r="D37" s="484" t="s">
        <v>957</v>
      </c>
      <c r="E37" s="594">
        <f t="shared" si="5"/>
        <v>1463258254</v>
      </c>
      <c r="F37" s="595">
        <f>'별첨4_분할명세(고정자산)'!G248</f>
        <v>0</v>
      </c>
      <c r="G37" s="592">
        <f>'별첨4_분할명세(고정자산)'!H248</f>
        <v>422731146</v>
      </c>
      <c r="H37" s="592">
        <f>'별첨4_분할명세(고정자산)'!I248</f>
        <v>411435269</v>
      </c>
      <c r="I37" s="592">
        <f>'별첨4_분할명세(고정자산)'!J248</f>
        <v>242854773</v>
      </c>
      <c r="J37" s="592">
        <f>'별첨4_분할명세(고정자산)'!K248</f>
        <v>358604550</v>
      </c>
      <c r="K37" s="592">
        <f>'별첨4_분할명세(고정자산)'!L248</f>
        <v>27632516</v>
      </c>
      <c r="L37" s="632">
        <f>'영업점별 IS(통합)'!B29</f>
        <v>1463258254</v>
      </c>
      <c r="M37" s="632">
        <f t="shared" si="6"/>
        <v>0</v>
      </c>
      <c r="N37" s="631"/>
    </row>
    <row r="38" spans="1:14" s="312" customFormat="1" ht="18" customHeight="1">
      <c r="A38" s="315" t="s">
        <v>285</v>
      </c>
      <c r="B38" s="316">
        <v>1033069209</v>
      </c>
      <c r="C38" s="507"/>
      <c r="D38" s="484" t="s">
        <v>943</v>
      </c>
      <c r="E38" s="594">
        <f t="shared" si="5"/>
        <v>1027923486</v>
      </c>
      <c r="F38" s="595">
        <v>0</v>
      </c>
      <c r="G38" s="592">
        <f>'영업점별 IS(통합)'!D30</f>
        <v>688051610</v>
      </c>
      <c r="H38" s="592">
        <f>'영업점별 IS(통합)'!F30</f>
        <v>109451225</v>
      </c>
      <c r="I38" s="592">
        <f>'영업점별 IS(통합)'!H30</f>
        <v>16068219</v>
      </c>
      <c r="J38" s="592">
        <f>'영업점별 IS(통합)'!J30</f>
        <v>195181757</v>
      </c>
      <c r="K38" s="592">
        <f>'영업점별 IS(통합)'!L30</f>
        <v>19170675</v>
      </c>
      <c r="L38" s="632">
        <f>'영업점별 IS(통합)'!B30</f>
        <v>1027923486</v>
      </c>
      <c r="M38" s="632">
        <f t="shared" si="6"/>
        <v>0</v>
      </c>
      <c r="N38" s="631"/>
    </row>
    <row r="39" spans="1:14" s="312" customFormat="1" ht="18" customHeight="1">
      <c r="A39" s="315" t="s">
        <v>286</v>
      </c>
      <c r="B39" s="316">
        <v>17296548</v>
      </c>
      <c r="C39" s="507"/>
      <c r="D39" s="484" t="s">
        <v>944</v>
      </c>
      <c r="E39" s="594">
        <f t="shared" si="5"/>
        <v>17682913</v>
      </c>
      <c r="F39" s="595"/>
      <c r="G39" s="592">
        <f>'영업점별 IS(통합)'!D31</f>
        <v>5650640</v>
      </c>
      <c r="H39" s="592">
        <f>'영업점별 IS(통합)'!F31</f>
        <v>5700000</v>
      </c>
      <c r="I39" s="592">
        <f>'영업점별 IS(통합)'!H31</f>
        <v>760000</v>
      </c>
      <c r="J39" s="592">
        <f>'영업점별 IS(통합)'!J31</f>
        <v>5572273</v>
      </c>
      <c r="K39" s="592">
        <f>'영업점별 IS(통합)'!L31</f>
        <v>0</v>
      </c>
      <c r="L39" s="632">
        <f>'영업점별 IS(통합)'!B31</f>
        <v>17682913</v>
      </c>
      <c r="M39" s="632">
        <f t="shared" si="6"/>
        <v>0</v>
      </c>
      <c r="N39" s="631"/>
    </row>
    <row r="40" spans="1:14" s="312" customFormat="1" ht="18" customHeight="1">
      <c r="A40" s="315" t="s">
        <v>287</v>
      </c>
      <c r="B40" s="316">
        <v>77312363</v>
      </c>
      <c r="C40" s="507">
        <v>770782</v>
      </c>
      <c r="D40" s="484" t="s">
        <v>945</v>
      </c>
      <c r="E40" s="594">
        <f t="shared" si="5"/>
        <v>22631729</v>
      </c>
      <c r="F40" s="595">
        <f>2821046-C40</f>
        <v>2050264</v>
      </c>
      <c r="G40" s="592">
        <f>'영업점별 IS(통합)'!D32-F40</f>
        <v>6757509</v>
      </c>
      <c r="H40" s="592">
        <f>'영업점별 IS(통합)'!F32</f>
        <v>2765160</v>
      </c>
      <c r="I40" s="592">
        <f>'영업점별 IS(통합)'!H32</f>
        <v>4776376</v>
      </c>
      <c r="J40" s="592">
        <f>'영업점별 IS(통합)'!J32</f>
        <v>6061710</v>
      </c>
      <c r="K40" s="592">
        <f>'영업점별 IS(통합)'!L32</f>
        <v>220710</v>
      </c>
      <c r="L40" s="632">
        <f>'영업점별 IS(통합)'!B32</f>
        <v>22631729</v>
      </c>
      <c r="M40" s="632">
        <f t="shared" si="6"/>
        <v>0</v>
      </c>
      <c r="N40" s="631"/>
    </row>
    <row r="41" spans="1:14" s="312" customFormat="1" ht="18" customHeight="1">
      <c r="A41" s="315" t="s">
        <v>288</v>
      </c>
      <c r="B41" s="316">
        <v>76792675</v>
      </c>
      <c r="C41" s="507"/>
      <c r="D41" s="484" t="s">
        <v>963</v>
      </c>
      <c r="E41" s="594">
        <f t="shared" si="5"/>
        <v>0</v>
      </c>
      <c r="F41" s="595">
        <v>0</v>
      </c>
      <c r="G41" s="592">
        <f>'영업점별 IS(통합)'!D33</f>
        <v>0</v>
      </c>
      <c r="H41" s="592">
        <f>'영업점별 IS(통합)'!F33</f>
        <v>0</v>
      </c>
      <c r="I41" s="592">
        <f>'영업점별 IS(통합)'!H33</f>
        <v>0</v>
      </c>
      <c r="J41" s="592">
        <f>'영업점별 IS(통합)'!J33</f>
        <v>0</v>
      </c>
      <c r="K41" s="592">
        <f>'영업점별 IS(통합)'!L33</f>
        <v>0</v>
      </c>
      <c r="L41" s="632">
        <f>'영업점별 IS(통합)'!B33</f>
        <v>0</v>
      </c>
      <c r="M41" s="632">
        <f t="shared" si="6"/>
        <v>0</v>
      </c>
      <c r="N41" s="631"/>
    </row>
    <row r="42" spans="1:14" s="312" customFormat="1" ht="18" customHeight="1">
      <c r="A42" s="315" t="s">
        <v>289</v>
      </c>
      <c r="B42" s="316">
        <v>258104391</v>
      </c>
      <c r="C42" s="507"/>
      <c r="D42" s="484" t="s">
        <v>2018</v>
      </c>
      <c r="E42" s="594">
        <f t="shared" si="5"/>
        <v>0</v>
      </c>
      <c r="F42" s="595"/>
      <c r="G42" s="592">
        <f>'영업점별 IS(통합)'!D34</f>
        <v>0</v>
      </c>
      <c r="H42" s="592">
        <f>'영업점별 IS(통합)'!F34</f>
        <v>0</v>
      </c>
      <c r="I42" s="592">
        <f>'영업점별 IS(통합)'!H34</f>
        <v>0</v>
      </c>
      <c r="J42" s="592">
        <f>'영업점별 IS(통합)'!J34</f>
        <v>0</v>
      </c>
      <c r="K42" s="592">
        <f>'영업점별 IS(통합)'!L34</f>
        <v>0</v>
      </c>
      <c r="L42" s="632">
        <f>'영업점별 IS(통합)'!B34</f>
        <v>0</v>
      </c>
      <c r="M42" s="632">
        <f t="shared" si="6"/>
        <v>0</v>
      </c>
      <c r="N42" s="631"/>
    </row>
    <row r="43" spans="1:14" s="312" customFormat="1" ht="18" customHeight="1">
      <c r="A43" s="315" t="s">
        <v>290</v>
      </c>
      <c r="B43" s="316">
        <v>134677940</v>
      </c>
      <c r="C43" s="507"/>
      <c r="D43" s="484" t="s">
        <v>946</v>
      </c>
      <c r="E43" s="594">
        <f t="shared" si="5"/>
        <v>1532375</v>
      </c>
      <c r="F43" s="595">
        <v>0</v>
      </c>
      <c r="G43" s="592">
        <f>'영업점별 IS(통합)'!D35</f>
        <v>1499184</v>
      </c>
      <c r="H43" s="592">
        <f>'영업점별 IS(통합)'!F35</f>
        <v>12000</v>
      </c>
      <c r="I43" s="592">
        <f>'영업점별 IS(통합)'!H35</f>
        <v>0</v>
      </c>
      <c r="J43" s="592">
        <f>'영업점별 IS(통합)'!J35</f>
        <v>21191</v>
      </c>
      <c r="K43" s="592">
        <f>'영업점별 IS(통합)'!L35</f>
        <v>0</v>
      </c>
      <c r="L43" s="632">
        <f>'영업점별 IS(통합)'!B35</f>
        <v>1532375</v>
      </c>
      <c r="M43" s="632">
        <f t="shared" si="6"/>
        <v>0</v>
      </c>
      <c r="N43" s="631"/>
    </row>
    <row r="44" spans="1:14" s="312" customFormat="1" ht="18" customHeight="1">
      <c r="A44" s="315" t="s">
        <v>291</v>
      </c>
      <c r="B44" s="316">
        <v>41939975</v>
      </c>
      <c r="C44" s="507"/>
      <c r="D44" s="484" t="s">
        <v>947</v>
      </c>
      <c r="E44" s="594">
        <f t="shared" si="5"/>
        <v>12583000</v>
      </c>
      <c r="F44" s="595"/>
      <c r="G44" s="592">
        <f>'영업점별 IS(통합)'!D36</f>
        <v>6286000</v>
      </c>
      <c r="H44" s="592">
        <f>'영업점별 IS(통합)'!F36</f>
        <v>3124000</v>
      </c>
      <c r="I44" s="592">
        <f>'영업점별 IS(통합)'!H36</f>
        <v>3173000</v>
      </c>
      <c r="J44" s="592">
        <f>'영업점별 IS(통합)'!J36</f>
        <v>0</v>
      </c>
      <c r="K44" s="592">
        <f>'영업점별 IS(통합)'!L36</f>
        <v>0</v>
      </c>
      <c r="L44" s="632">
        <f>'영업점별 IS(통합)'!B36</f>
        <v>12583000</v>
      </c>
      <c r="M44" s="632">
        <f t="shared" si="6"/>
        <v>0</v>
      </c>
      <c r="N44" s="631"/>
    </row>
    <row r="45" spans="1:14" s="312" customFormat="1" ht="18" customHeight="1">
      <c r="A45" s="315" t="s">
        <v>292</v>
      </c>
      <c r="B45" s="316">
        <v>17488145</v>
      </c>
      <c r="C45" s="507"/>
      <c r="D45" s="484" t="s">
        <v>948</v>
      </c>
      <c r="E45" s="594">
        <f t="shared" si="5"/>
        <v>8402574</v>
      </c>
      <c r="F45" s="595">
        <v>0</v>
      </c>
      <c r="G45" s="592">
        <f>'영업점별 IS(통합)'!D37</f>
        <v>3572674</v>
      </c>
      <c r="H45" s="592">
        <f>'영업점별 IS(통합)'!F37</f>
        <v>336180</v>
      </c>
      <c r="I45" s="592">
        <f>'영업점별 IS(통합)'!H37</f>
        <v>3783038</v>
      </c>
      <c r="J45" s="592">
        <f>'영업점별 IS(통합)'!J37</f>
        <v>710682</v>
      </c>
      <c r="K45" s="592">
        <f>'영업점별 IS(통합)'!L37</f>
        <v>0</v>
      </c>
      <c r="L45" s="632">
        <f>'영업점별 IS(통합)'!B37</f>
        <v>8402574</v>
      </c>
      <c r="M45" s="632">
        <f t="shared" si="6"/>
        <v>0</v>
      </c>
      <c r="N45" s="631"/>
    </row>
    <row r="46" spans="1:14" s="312" customFormat="1" ht="18" customHeight="1">
      <c r="A46" s="315" t="s">
        <v>293</v>
      </c>
      <c r="B46" s="316">
        <v>159520978</v>
      </c>
      <c r="C46" s="507"/>
      <c r="D46" s="484" t="s">
        <v>949</v>
      </c>
      <c r="E46" s="594">
        <f t="shared" si="5"/>
        <v>69995158</v>
      </c>
      <c r="F46" s="595">
        <v>0</v>
      </c>
      <c r="G46" s="592">
        <f>'영업점별 IS(통합)'!D38</f>
        <v>4597200</v>
      </c>
      <c r="H46" s="592">
        <f>'영업점별 IS(통합)'!F38</f>
        <v>3537900</v>
      </c>
      <c r="I46" s="592">
        <f>'영업점별 IS(통합)'!H38</f>
        <v>58492591</v>
      </c>
      <c r="J46" s="592">
        <f>'영업점별 IS(통합)'!J38</f>
        <v>3367467</v>
      </c>
      <c r="K46" s="592">
        <f>'영업점별 IS(통합)'!L38</f>
        <v>0</v>
      </c>
      <c r="L46" s="632">
        <f>'영업점별 IS(통합)'!B38</f>
        <v>69995158</v>
      </c>
      <c r="M46" s="632">
        <f t="shared" si="6"/>
        <v>0</v>
      </c>
      <c r="N46" s="631"/>
    </row>
    <row r="47" spans="1:14" s="312" customFormat="1" ht="18" customHeight="1">
      <c r="A47" s="315" t="s">
        <v>294</v>
      </c>
      <c r="B47" s="316">
        <v>1370286</v>
      </c>
      <c r="C47" s="507"/>
      <c r="D47" s="484" t="s">
        <v>950</v>
      </c>
      <c r="E47" s="594">
        <f t="shared" si="5"/>
        <v>607714</v>
      </c>
      <c r="F47" s="595"/>
      <c r="G47" s="592">
        <f>'영업점별 IS(통합)'!D39</f>
        <v>390393</v>
      </c>
      <c r="H47" s="592">
        <f>'영업점별 IS(통합)'!F39</f>
        <v>150370</v>
      </c>
      <c r="I47" s="592">
        <f>'영업점별 IS(통합)'!H39</f>
        <v>20907</v>
      </c>
      <c r="J47" s="592">
        <f>'영업점별 IS(통합)'!J39</f>
        <v>46044</v>
      </c>
      <c r="K47" s="592">
        <f>'영업점별 IS(통합)'!L39</f>
        <v>0</v>
      </c>
      <c r="L47" s="632">
        <f>'영업점별 IS(통합)'!B39</f>
        <v>607714</v>
      </c>
      <c r="M47" s="632">
        <f t="shared" si="6"/>
        <v>0</v>
      </c>
      <c r="N47" s="631"/>
    </row>
    <row r="48" spans="1:14" s="312" customFormat="1" ht="18" customHeight="1">
      <c r="A48" s="315" t="s">
        <v>295</v>
      </c>
      <c r="B48" s="316">
        <v>252837135</v>
      </c>
      <c r="C48" s="507"/>
      <c r="D48" s="484" t="s">
        <v>951</v>
      </c>
      <c r="E48" s="594">
        <f t="shared" si="5"/>
        <v>196602987</v>
      </c>
      <c r="F48" s="595">
        <v>0</v>
      </c>
      <c r="G48" s="592">
        <f>'영업점별 IS(통합)'!D40</f>
        <v>93542411</v>
      </c>
      <c r="H48" s="592">
        <f>'영업점별 IS(통합)'!F40</f>
        <v>19012918</v>
      </c>
      <c r="I48" s="592">
        <f>'영업점별 IS(통합)'!H40</f>
        <v>42708323</v>
      </c>
      <c r="J48" s="592">
        <f>'영업점별 IS(통합)'!J40</f>
        <v>38461314</v>
      </c>
      <c r="K48" s="592">
        <f>'영업점별 IS(통합)'!L40</f>
        <v>2878021</v>
      </c>
      <c r="L48" s="632">
        <f>'영업점별 IS(통합)'!B40</f>
        <v>196602987</v>
      </c>
      <c r="M48" s="632">
        <f t="shared" si="6"/>
        <v>0</v>
      </c>
      <c r="N48" s="631"/>
    </row>
    <row r="49" spans="1:14" s="759" customFormat="1" ht="18" customHeight="1">
      <c r="A49" s="750" t="s">
        <v>296</v>
      </c>
      <c r="B49" s="751">
        <v>2139657791</v>
      </c>
      <c r="C49" s="752"/>
      <c r="D49" s="753" t="s">
        <v>952</v>
      </c>
      <c r="E49" s="754">
        <f t="shared" si="5"/>
        <v>1925016787</v>
      </c>
      <c r="F49" s="755">
        <v>0</v>
      </c>
      <c r="G49" s="756">
        <f>'영업점별 IS(통합)'!D41</f>
        <v>825442125</v>
      </c>
      <c r="H49" s="756">
        <f>'영업점별 IS(통합)'!F41</f>
        <v>394547420</v>
      </c>
      <c r="I49" s="756">
        <f>'영업점별 IS(통합)'!H41</f>
        <v>370704481</v>
      </c>
      <c r="J49" s="756">
        <f>'영업점별 IS(통합)'!J41</f>
        <v>310426689</v>
      </c>
      <c r="K49" s="756">
        <f>'영업점별 IS(통합)'!L41</f>
        <v>23896072</v>
      </c>
      <c r="L49" s="757">
        <f>'영업점별 IS(통합)'!B41</f>
        <v>1925016787</v>
      </c>
      <c r="M49" s="757">
        <f t="shared" si="6"/>
        <v>0</v>
      </c>
      <c r="N49" s="758"/>
    </row>
    <row r="50" spans="1:14" s="312" customFormat="1" ht="18" customHeight="1">
      <c r="A50" s="315" t="s">
        <v>297</v>
      </c>
      <c r="B50" s="316">
        <v>334346030</v>
      </c>
      <c r="C50" s="507"/>
      <c r="D50" s="484" t="s">
        <v>953</v>
      </c>
      <c r="E50" s="594">
        <f t="shared" si="5"/>
        <v>290874798</v>
      </c>
      <c r="F50" s="595">
        <v>0</v>
      </c>
      <c r="G50" s="592">
        <f>'영업점별 IS(통합)'!D42</f>
        <v>118459152</v>
      </c>
      <c r="H50" s="592">
        <f>'영업점별 IS(통합)'!F42</f>
        <v>61629290</v>
      </c>
      <c r="I50" s="592">
        <f>'영업점별 IS(통합)'!H42</f>
        <v>80364438</v>
      </c>
      <c r="J50" s="592">
        <f>'영업점별 IS(통합)'!J42</f>
        <v>25221918</v>
      </c>
      <c r="K50" s="592">
        <f>'영업점별 IS(통합)'!L42</f>
        <v>5200000</v>
      </c>
      <c r="L50" s="632">
        <f>'영업점별 IS(통합)'!B42</f>
        <v>290874798</v>
      </c>
      <c r="M50" s="632">
        <f t="shared" si="6"/>
        <v>0</v>
      </c>
      <c r="N50" s="631"/>
    </row>
    <row r="51" spans="1:14" s="312" customFormat="1" ht="18" customHeight="1">
      <c r="A51" s="315" t="s">
        <v>298</v>
      </c>
      <c r="B51" s="316">
        <v>13613902</v>
      </c>
      <c r="C51" s="507"/>
      <c r="D51" s="484" t="s">
        <v>2019</v>
      </c>
      <c r="E51" s="594">
        <f t="shared" si="5"/>
        <v>0</v>
      </c>
      <c r="F51" s="595"/>
      <c r="G51" s="592">
        <f>'영업점별 IS(통합)'!D43</f>
        <v>0</v>
      </c>
      <c r="H51" s="592">
        <f>'영업점별 IS(통합)'!F43</f>
        <v>0</v>
      </c>
      <c r="I51" s="592">
        <f>'영업점별 IS(통합)'!H43</f>
        <v>0</v>
      </c>
      <c r="J51" s="592">
        <f>'영업점별 IS(통합)'!J43</f>
        <v>0</v>
      </c>
      <c r="K51" s="592">
        <f>'영업점별 IS(통합)'!L43</f>
        <v>0</v>
      </c>
      <c r="L51" s="632">
        <f>'영업점별 IS(통합)'!B43</f>
        <v>0</v>
      </c>
      <c r="M51" s="632">
        <f t="shared" si="6"/>
        <v>0</v>
      </c>
      <c r="N51" s="631"/>
    </row>
    <row r="52" spans="1:14" s="312" customFormat="1" ht="18" customHeight="1">
      <c r="A52" s="315" t="s">
        <v>299</v>
      </c>
      <c r="B52" s="316">
        <v>30287929</v>
      </c>
      <c r="C52" s="507"/>
      <c r="D52" s="484" t="s">
        <v>2023</v>
      </c>
      <c r="E52" s="594">
        <f t="shared" si="5"/>
        <v>0</v>
      </c>
      <c r="F52" s="595"/>
      <c r="G52" s="592">
        <f>'영업점별 IS(통합)'!D44</f>
        <v>0</v>
      </c>
      <c r="H52" s="592">
        <f>'영업점별 IS(통합)'!F44</f>
        <v>0</v>
      </c>
      <c r="I52" s="592">
        <f>'영업점별 IS(통합)'!H44</f>
        <v>0</v>
      </c>
      <c r="J52" s="592">
        <f>'영업점별 IS(통합)'!J44</f>
        <v>0</v>
      </c>
      <c r="K52" s="592">
        <f>'영업점별 IS(통합)'!L44</f>
        <v>0</v>
      </c>
      <c r="L52" s="632">
        <f>'영업점별 IS(통합)'!B44</f>
        <v>0</v>
      </c>
      <c r="M52" s="632">
        <f t="shared" si="6"/>
        <v>0</v>
      </c>
      <c r="N52" s="631"/>
    </row>
    <row r="53" spans="1:14" s="312" customFormat="1" ht="18" customHeight="1">
      <c r="A53" s="315" t="s">
        <v>300</v>
      </c>
      <c r="B53" s="316">
        <v>169271315</v>
      </c>
      <c r="C53" s="507"/>
      <c r="D53" s="484" t="s">
        <v>954</v>
      </c>
      <c r="E53" s="594">
        <f t="shared" si="5"/>
        <v>199119991</v>
      </c>
      <c r="F53" s="595"/>
      <c r="G53" s="592">
        <f>'영업점별 IS(통합)'!D45</f>
        <v>99781128</v>
      </c>
      <c r="H53" s="592">
        <f>'영업점별 IS(통합)'!F45</f>
        <v>71886875</v>
      </c>
      <c r="I53" s="592">
        <f>'영업점별 IS(통합)'!H45</f>
        <v>0</v>
      </c>
      <c r="J53" s="592">
        <f>'영업점별 IS(통합)'!J45</f>
        <v>27451988</v>
      </c>
      <c r="K53" s="592">
        <f>'영업점별 IS(통합)'!L45</f>
        <v>0</v>
      </c>
      <c r="L53" s="632">
        <f>'영업점별 IS(통합)'!B45</f>
        <v>199119991</v>
      </c>
      <c r="M53" s="632">
        <f t="shared" si="6"/>
        <v>0</v>
      </c>
      <c r="N53" s="631"/>
    </row>
    <row r="54" spans="1:14" s="312" customFormat="1" ht="18" customHeight="1">
      <c r="A54" s="315" t="s">
        <v>301</v>
      </c>
      <c r="B54" s="316">
        <v>0</v>
      </c>
      <c r="C54" s="507"/>
      <c r="D54" s="484" t="s">
        <v>2218</v>
      </c>
      <c r="E54" s="594">
        <f t="shared" si="5"/>
        <v>0</v>
      </c>
      <c r="F54" s="595"/>
      <c r="G54" s="592"/>
      <c r="H54" s="592"/>
      <c r="I54" s="592"/>
      <c r="J54" s="592"/>
      <c r="K54" s="592"/>
      <c r="L54" s="632">
        <f>'영업점별 IS(통합)'!B46</f>
        <v>0</v>
      </c>
      <c r="M54" s="632">
        <f t="shared" si="6"/>
        <v>0</v>
      </c>
      <c r="N54" s="631"/>
    </row>
    <row r="55" spans="1:14" s="312" customFormat="1" ht="18" customHeight="1">
      <c r="A55" s="315" t="s">
        <v>302</v>
      </c>
      <c r="B55" s="316">
        <v>1044089211</v>
      </c>
      <c r="C55" s="507"/>
      <c r="D55" s="484" t="s">
        <v>2219</v>
      </c>
      <c r="E55" s="594">
        <f t="shared" si="5"/>
        <v>0</v>
      </c>
      <c r="F55" s="595"/>
      <c r="G55" s="592"/>
      <c r="H55" s="592"/>
      <c r="I55" s="592"/>
      <c r="J55" s="592"/>
      <c r="K55" s="592"/>
      <c r="L55" s="632">
        <f>'영업점별 IS(통합)'!B47</f>
        <v>0</v>
      </c>
      <c r="M55" s="632">
        <f t="shared" si="6"/>
        <v>0</v>
      </c>
      <c r="N55" s="631"/>
    </row>
    <row r="56" spans="1:14" s="312" customFormat="1" ht="18" customHeight="1">
      <c r="A56" s="315" t="s">
        <v>303</v>
      </c>
      <c r="B56" s="316">
        <v>133525958</v>
      </c>
      <c r="C56" s="507"/>
      <c r="D56" s="484" t="s">
        <v>2220</v>
      </c>
      <c r="E56" s="594">
        <f t="shared" si="5"/>
        <v>127325958</v>
      </c>
      <c r="F56" s="595">
        <v>0</v>
      </c>
      <c r="G56" s="592"/>
      <c r="H56" s="592"/>
      <c r="I56" s="592">
        <f>'별첨4_분할명세(고정자산)'!J249</f>
        <v>53045625</v>
      </c>
      <c r="J56" s="592">
        <f>'별첨4_분할명세(고정자산)'!K249</f>
        <v>63998958</v>
      </c>
      <c r="K56" s="592">
        <f>'별첨4_분할명세(고정자산)'!L249</f>
        <v>10281375</v>
      </c>
      <c r="L56" s="632">
        <f>'영업점별 IS(통합)'!B48</f>
        <v>127325958</v>
      </c>
      <c r="M56" s="632">
        <f t="shared" si="6"/>
        <v>0</v>
      </c>
      <c r="N56" s="631"/>
    </row>
    <row r="57" spans="1:14" s="312" customFormat="1" ht="18" customHeight="1">
      <c r="A57" s="315" t="s">
        <v>304</v>
      </c>
      <c r="B57" s="316">
        <v>3340468</v>
      </c>
      <c r="C57" s="507"/>
      <c r="D57" s="484" t="s">
        <v>2221</v>
      </c>
      <c r="E57" s="594">
        <f t="shared" si="5"/>
        <v>0</v>
      </c>
      <c r="F57" s="595"/>
      <c r="G57" s="592"/>
      <c r="H57" s="592"/>
      <c r="I57" s="592"/>
      <c r="J57" s="592"/>
      <c r="K57" s="592"/>
      <c r="L57" s="632">
        <f>'영업점별 IS(통합)'!B49</f>
        <v>0</v>
      </c>
      <c r="M57" s="632">
        <f t="shared" si="6"/>
        <v>0</v>
      </c>
      <c r="N57" s="631"/>
    </row>
    <row r="58" spans="1:14" s="312" customFormat="1" ht="18" customHeight="1">
      <c r="A58" s="315" t="s">
        <v>305</v>
      </c>
      <c r="B58" s="316">
        <v>51913441</v>
      </c>
      <c r="C58" s="507"/>
      <c r="D58" s="484" t="s">
        <v>2222</v>
      </c>
      <c r="E58" s="594">
        <f t="shared" si="5"/>
        <v>0</v>
      </c>
      <c r="F58" s="595"/>
      <c r="G58" s="592"/>
      <c r="H58" s="592"/>
      <c r="I58" s="592"/>
      <c r="J58" s="592"/>
      <c r="K58" s="592"/>
      <c r="L58" s="632">
        <f>'영업점별 IS(통합)'!B50</f>
        <v>0</v>
      </c>
      <c r="M58" s="632">
        <f t="shared" si="6"/>
        <v>0</v>
      </c>
      <c r="N58" s="631"/>
    </row>
    <row r="59" spans="1:14" s="312" customFormat="1" ht="18" customHeight="1">
      <c r="A59" s="315" t="s">
        <v>306</v>
      </c>
      <c r="B59" s="316">
        <v>32313265</v>
      </c>
      <c r="C59" s="507"/>
      <c r="D59" s="484" t="s">
        <v>2223</v>
      </c>
      <c r="E59" s="594">
        <f t="shared" si="5"/>
        <v>0</v>
      </c>
      <c r="F59" s="595"/>
      <c r="G59" s="592"/>
      <c r="H59" s="592"/>
      <c r="I59" s="592"/>
      <c r="J59" s="592"/>
      <c r="K59" s="592"/>
      <c r="L59" s="632">
        <f>'영업점별 IS(통합)'!B51</f>
        <v>0</v>
      </c>
      <c r="M59" s="632">
        <f t="shared" si="6"/>
        <v>0</v>
      </c>
      <c r="N59" s="631"/>
    </row>
    <row r="60" spans="1:14" s="312" customFormat="1" ht="18" customHeight="1">
      <c r="A60" s="315" t="s">
        <v>307</v>
      </c>
      <c r="B60" s="316">
        <v>9765510</v>
      </c>
      <c r="C60" s="507"/>
      <c r="D60" s="484" t="s">
        <v>955</v>
      </c>
      <c r="E60" s="594">
        <f t="shared" si="5"/>
        <v>6901034</v>
      </c>
      <c r="F60" s="595">
        <v>0</v>
      </c>
      <c r="G60" s="592">
        <f>'영업점별 IS(통합)'!D52</f>
        <v>1081046</v>
      </c>
      <c r="H60" s="592">
        <f>'영업점별 IS(통합)'!F52</f>
        <v>5364962</v>
      </c>
      <c r="I60" s="592">
        <f>'영업점별 IS(통합)'!H52</f>
        <v>204592</v>
      </c>
      <c r="J60" s="592">
        <f>'영업점별 IS(통합)'!J52</f>
        <v>250434</v>
      </c>
      <c r="K60" s="592">
        <f>'영업점별 IS(통합)'!L52</f>
        <v>0</v>
      </c>
      <c r="L60" s="632">
        <f>'영업점별 IS(통합)'!B52</f>
        <v>6901034</v>
      </c>
      <c r="M60" s="632">
        <f t="shared" si="6"/>
        <v>0</v>
      </c>
      <c r="N60" s="631"/>
    </row>
    <row r="61" spans="1:14" s="312" customFormat="1" ht="18" customHeight="1">
      <c r="A61" s="315" t="s">
        <v>308</v>
      </c>
      <c r="B61" s="316">
        <v>66112310</v>
      </c>
      <c r="C61" s="507"/>
      <c r="D61" s="484" t="s">
        <v>2224</v>
      </c>
      <c r="E61" s="594">
        <f t="shared" si="5"/>
        <v>0</v>
      </c>
      <c r="F61" s="595"/>
      <c r="G61" s="592"/>
      <c r="H61" s="592"/>
      <c r="I61" s="592"/>
      <c r="J61" s="592"/>
      <c r="K61" s="592"/>
      <c r="L61" s="632">
        <f>'영업점별 IS(통합)'!B53</f>
        <v>0</v>
      </c>
      <c r="M61" s="632">
        <f t="shared" si="6"/>
        <v>0</v>
      </c>
      <c r="N61" s="631"/>
    </row>
    <row r="62" spans="1:14" s="312" customFormat="1" ht="17.25">
      <c r="A62" s="317" t="s">
        <v>309</v>
      </c>
      <c r="B62" s="310">
        <f>B21-B23</f>
        <v>-1969759467</v>
      </c>
      <c r="C62" s="508"/>
      <c r="D62" s="481" t="s">
        <v>309</v>
      </c>
      <c r="E62" s="489">
        <f t="shared" ref="E62:L62" si="7">E21-E23</f>
        <v>-1520416711</v>
      </c>
      <c r="F62" s="487">
        <f t="shared" si="7"/>
        <v>-447990942</v>
      </c>
      <c r="G62" s="488">
        <f t="shared" si="7"/>
        <v>374156522</v>
      </c>
      <c r="H62" s="488">
        <f t="shared" si="7"/>
        <v>-1282332765</v>
      </c>
      <c r="I62" s="488">
        <f t="shared" si="7"/>
        <v>107667435</v>
      </c>
      <c r="J62" s="488">
        <f t="shared" si="7"/>
        <v>-258531585</v>
      </c>
      <c r="K62" s="488">
        <f t="shared" si="7"/>
        <v>-13385376</v>
      </c>
      <c r="L62" s="632">
        <f t="shared" si="7"/>
        <v>-1125684736</v>
      </c>
      <c r="M62" s="632">
        <f>E62-L62</f>
        <v>-394731975</v>
      </c>
      <c r="N62" s="631"/>
    </row>
    <row r="63" spans="1:14" s="312" customFormat="1" ht="17.25">
      <c r="A63" s="317" t="s">
        <v>310</v>
      </c>
      <c r="B63" s="310">
        <f>SUM(B64:B70)</f>
        <v>356770167</v>
      </c>
      <c r="C63" s="508"/>
      <c r="D63" s="481" t="s">
        <v>310</v>
      </c>
      <c r="E63" s="489">
        <f t="shared" ref="E63:K63" si="8">SUM(E64:E70)</f>
        <v>172107486</v>
      </c>
      <c r="F63" s="487">
        <f t="shared" si="8"/>
        <v>0</v>
      </c>
      <c r="G63" s="488">
        <f t="shared" si="8"/>
        <v>159297813</v>
      </c>
      <c r="H63" s="488">
        <f t="shared" si="8"/>
        <v>9621852</v>
      </c>
      <c r="I63" s="488">
        <f t="shared" si="8"/>
        <v>21970</v>
      </c>
      <c r="J63" s="488">
        <f t="shared" si="8"/>
        <v>3165807</v>
      </c>
      <c r="K63" s="488">
        <f t="shared" si="8"/>
        <v>44</v>
      </c>
      <c r="L63" s="632"/>
      <c r="M63" s="632"/>
      <c r="N63" s="631"/>
    </row>
    <row r="64" spans="1:14" s="312" customFormat="1" ht="18" customHeight="1">
      <c r="A64" s="315" t="s">
        <v>311</v>
      </c>
      <c r="B64" s="316">
        <v>112434399</v>
      </c>
      <c r="C64" s="507"/>
      <c r="D64" s="484" t="s">
        <v>311</v>
      </c>
      <c r="E64" s="490">
        <f t="shared" ref="E64:E70" si="9">SUM(F64:K64)</f>
        <v>90261</v>
      </c>
      <c r="F64" s="491"/>
      <c r="G64" s="492">
        <v>36815</v>
      </c>
      <c r="H64" s="492">
        <v>20889</v>
      </c>
      <c r="I64" s="492">
        <v>21915</v>
      </c>
      <c r="J64" s="492">
        <v>10599</v>
      </c>
      <c r="K64" s="492">
        <v>43</v>
      </c>
      <c r="L64" s="632"/>
      <c r="M64" s="632"/>
      <c r="N64" s="631"/>
    </row>
    <row r="65" spans="1:14" s="312" customFormat="1" ht="18" customHeight="1">
      <c r="A65" s="315" t="s">
        <v>312</v>
      </c>
      <c r="B65" s="316">
        <v>0</v>
      </c>
      <c r="C65" s="507"/>
      <c r="D65" s="484" t="s">
        <v>312</v>
      </c>
      <c r="E65" s="490">
        <f t="shared" si="9"/>
        <v>0</v>
      </c>
      <c r="F65" s="491"/>
      <c r="G65" s="492"/>
      <c r="H65" s="492"/>
      <c r="I65" s="492"/>
      <c r="J65" s="492"/>
      <c r="K65" s="492"/>
      <c r="L65" s="632"/>
      <c r="M65" s="632"/>
      <c r="N65" s="631"/>
    </row>
    <row r="66" spans="1:14" s="312" customFormat="1" ht="18" customHeight="1">
      <c r="A66" s="315" t="s">
        <v>313</v>
      </c>
      <c r="B66" s="316">
        <v>24042980</v>
      </c>
      <c r="C66" s="507"/>
      <c r="D66" s="484" t="s">
        <v>313</v>
      </c>
      <c r="E66" s="490">
        <f t="shared" si="9"/>
        <v>0</v>
      </c>
      <c r="F66" s="491"/>
      <c r="G66" s="492"/>
      <c r="H66" s="492"/>
      <c r="I66" s="492"/>
      <c r="J66" s="492"/>
      <c r="K66" s="492"/>
      <c r="L66" s="632"/>
      <c r="M66" s="632"/>
      <c r="N66" s="631"/>
    </row>
    <row r="67" spans="1:14" s="312" customFormat="1" ht="18" customHeight="1">
      <c r="A67" s="315" t="s">
        <v>314</v>
      </c>
      <c r="B67" s="316">
        <v>34805545</v>
      </c>
      <c r="C67" s="507"/>
      <c r="D67" s="484" t="s">
        <v>314</v>
      </c>
      <c r="E67" s="490">
        <f t="shared" si="9"/>
        <v>0</v>
      </c>
      <c r="F67" s="491"/>
      <c r="G67" s="492"/>
      <c r="H67" s="492"/>
      <c r="I67" s="492"/>
      <c r="J67" s="492"/>
      <c r="K67" s="492"/>
      <c r="L67" s="632"/>
      <c r="M67" s="632"/>
      <c r="N67" s="631"/>
    </row>
    <row r="68" spans="1:14" s="312" customFormat="1" ht="18" customHeight="1">
      <c r="A68" s="315" t="s">
        <v>315</v>
      </c>
      <c r="B68" s="316">
        <v>0</v>
      </c>
      <c r="C68" s="507"/>
      <c r="D68" s="484" t="s">
        <v>315</v>
      </c>
      <c r="E68" s="490">
        <f t="shared" si="9"/>
        <v>0</v>
      </c>
      <c r="F68" s="491"/>
      <c r="G68" s="492"/>
      <c r="H68" s="492"/>
      <c r="I68" s="492"/>
      <c r="J68" s="492"/>
      <c r="K68" s="492"/>
      <c r="L68" s="632"/>
      <c r="M68" s="632"/>
      <c r="N68" s="631"/>
    </row>
    <row r="69" spans="1:14" s="312" customFormat="1" ht="18" customHeight="1">
      <c r="A69" s="315" t="s">
        <v>2020</v>
      </c>
      <c r="B69" s="316"/>
      <c r="C69" s="507"/>
      <c r="D69" s="484" t="s">
        <v>2020</v>
      </c>
      <c r="E69" s="490">
        <f t="shared" si="9"/>
        <v>0</v>
      </c>
      <c r="F69" s="491"/>
      <c r="G69" s="492"/>
      <c r="H69" s="492"/>
      <c r="I69" s="492"/>
      <c r="J69" s="492"/>
      <c r="K69" s="492"/>
      <c r="L69" s="632"/>
      <c r="M69" s="632"/>
      <c r="N69" s="631"/>
    </row>
    <row r="70" spans="1:14" s="312" customFormat="1" ht="18" customHeight="1">
      <c r="A70" s="315" t="s">
        <v>316</v>
      </c>
      <c r="B70" s="316">
        <v>185487243</v>
      </c>
      <c r="C70" s="507"/>
      <c r="D70" s="484" t="s">
        <v>316</v>
      </c>
      <c r="E70" s="490">
        <f t="shared" si="9"/>
        <v>172017225</v>
      </c>
      <c r="F70" s="491"/>
      <c r="G70" s="492">
        <f>14825510+4435488+140000000</f>
        <v>159260998</v>
      </c>
      <c r="H70" s="492">
        <v>9600963</v>
      </c>
      <c r="I70" s="492">
        <v>55</v>
      </c>
      <c r="J70" s="492">
        <v>3155208</v>
      </c>
      <c r="K70" s="492">
        <v>1</v>
      </c>
      <c r="L70" s="632"/>
      <c r="M70" s="632"/>
      <c r="N70" s="631"/>
    </row>
    <row r="71" spans="1:14" s="312" customFormat="1" ht="36.4" customHeight="1">
      <c r="A71" s="317" t="s">
        <v>317</v>
      </c>
      <c r="B71" s="310">
        <f>SUM(B72:B77)</f>
        <v>283248967</v>
      </c>
      <c r="C71" s="508"/>
      <c r="D71" s="481" t="s">
        <v>317</v>
      </c>
      <c r="E71" s="489">
        <f t="shared" ref="E71:K71" si="10">SUM(E72:E77)</f>
        <v>971784</v>
      </c>
      <c r="F71" s="487">
        <f t="shared" si="10"/>
        <v>0</v>
      </c>
      <c r="G71" s="488">
        <f t="shared" si="10"/>
        <v>50044</v>
      </c>
      <c r="H71" s="488">
        <f t="shared" si="10"/>
        <v>74198</v>
      </c>
      <c r="I71" s="488">
        <f t="shared" si="10"/>
        <v>456029</v>
      </c>
      <c r="J71" s="488">
        <f t="shared" si="10"/>
        <v>383263</v>
      </c>
      <c r="K71" s="488">
        <f t="shared" si="10"/>
        <v>8250</v>
      </c>
      <c r="L71" s="632"/>
      <c r="M71" s="632"/>
      <c r="N71" s="631"/>
    </row>
    <row r="72" spans="1:14" s="312" customFormat="1" ht="18" customHeight="1">
      <c r="A72" s="315" t="s">
        <v>318</v>
      </c>
      <c r="B72" s="316">
        <v>258794440</v>
      </c>
      <c r="C72" s="507"/>
      <c r="D72" s="484" t="s">
        <v>318</v>
      </c>
      <c r="E72" s="490">
        <f t="shared" ref="E72:E77" si="11">SUM(F72:K72)</f>
        <v>0</v>
      </c>
      <c r="F72" s="491"/>
      <c r="G72" s="492"/>
      <c r="H72" s="492"/>
      <c r="I72" s="492"/>
      <c r="J72" s="492"/>
      <c r="K72" s="492"/>
      <c r="L72" s="630"/>
      <c r="M72" s="630"/>
      <c r="N72" s="631"/>
    </row>
    <row r="73" spans="1:14" s="312" customFormat="1" ht="18" customHeight="1">
      <c r="A73" s="315" t="s">
        <v>319</v>
      </c>
      <c r="B73" s="316">
        <v>1188253</v>
      </c>
      <c r="C73" s="507"/>
      <c r="D73" s="484" t="s">
        <v>319</v>
      </c>
      <c r="E73" s="490">
        <f t="shared" si="11"/>
        <v>0</v>
      </c>
      <c r="F73" s="491"/>
      <c r="G73" s="492"/>
      <c r="H73" s="492"/>
      <c r="I73" s="492"/>
      <c r="J73" s="492"/>
      <c r="K73" s="492"/>
      <c r="L73" s="630"/>
      <c r="M73" s="630"/>
      <c r="N73" s="631"/>
    </row>
    <row r="74" spans="1:14" s="312" customFormat="1" ht="18" customHeight="1">
      <c r="A74" s="315" t="s">
        <v>320</v>
      </c>
      <c r="B74" s="316">
        <v>0</v>
      </c>
      <c r="C74" s="507"/>
      <c r="D74" s="484" t="s">
        <v>320</v>
      </c>
      <c r="E74" s="490">
        <f t="shared" si="11"/>
        <v>0</v>
      </c>
      <c r="F74" s="491"/>
      <c r="G74" s="492"/>
      <c r="H74" s="492"/>
      <c r="I74" s="492"/>
      <c r="J74" s="492"/>
      <c r="K74" s="492"/>
      <c r="L74" s="630"/>
      <c r="M74" s="630"/>
      <c r="N74" s="631"/>
    </row>
    <row r="75" spans="1:14" s="312" customFormat="1" ht="18" customHeight="1">
      <c r="A75" s="315" t="s">
        <v>321</v>
      </c>
      <c r="B75" s="316">
        <v>456136</v>
      </c>
      <c r="C75" s="507"/>
      <c r="D75" s="484" t="s">
        <v>321</v>
      </c>
      <c r="E75" s="490">
        <f t="shared" si="11"/>
        <v>0</v>
      </c>
      <c r="F75" s="491"/>
      <c r="G75" s="492"/>
      <c r="H75" s="492"/>
      <c r="I75" s="492"/>
      <c r="J75" s="492"/>
      <c r="K75" s="492"/>
      <c r="L75" s="630"/>
      <c r="M75" s="630"/>
      <c r="N75" s="631"/>
    </row>
    <row r="76" spans="1:14" s="312" customFormat="1" ht="18" customHeight="1">
      <c r="A76" s="315" t="s">
        <v>322</v>
      </c>
      <c r="B76" s="316">
        <v>15847371</v>
      </c>
      <c r="C76" s="507"/>
      <c r="D76" s="484" t="s">
        <v>322</v>
      </c>
      <c r="E76" s="490">
        <f t="shared" si="11"/>
        <v>0</v>
      </c>
      <c r="F76" s="491"/>
      <c r="G76" s="492"/>
      <c r="H76" s="492"/>
      <c r="I76" s="492"/>
      <c r="J76" s="492"/>
      <c r="K76" s="492"/>
      <c r="L76" s="630"/>
      <c r="M76" s="630"/>
      <c r="N76" s="631"/>
    </row>
    <row r="77" spans="1:14" s="312" customFormat="1" ht="18" customHeight="1">
      <c r="A77" s="315" t="s">
        <v>323</v>
      </c>
      <c r="B77" s="316">
        <v>6962767</v>
      </c>
      <c r="C77" s="507"/>
      <c r="D77" s="484" t="s">
        <v>323</v>
      </c>
      <c r="E77" s="490">
        <f t="shared" si="11"/>
        <v>971784</v>
      </c>
      <c r="F77" s="491"/>
      <c r="G77" s="492">
        <f>50004+40</f>
        <v>50044</v>
      </c>
      <c r="H77" s="492">
        <v>74198</v>
      </c>
      <c r="I77" s="492">
        <v>456029</v>
      </c>
      <c r="J77" s="492">
        <v>383263</v>
      </c>
      <c r="K77" s="492">
        <v>8250</v>
      </c>
      <c r="L77" s="632"/>
      <c r="M77" s="632"/>
      <c r="N77" s="631"/>
    </row>
    <row r="78" spans="1:14" s="312" customFormat="1" ht="17.25">
      <c r="A78" s="317" t="s">
        <v>324</v>
      </c>
      <c r="B78" s="310">
        <f>B62+B63-B71</f>
        <v>-1896238267</v>
      </c>
      <c r="C78" s="508"/>
      <c r="D78" s="481" t="s">
        <v>324</v>
      </c>
      <c r="E78" s="489">
        <f t="shared" ref="E78:K78" si="12">E62+E63-E71</f>
        <v>-1349281009</v>
      </c>
      <c r="F78" s="487">
        <f t="shared" si="12"/>
        <v>-447990942</v>
      </c>
      <c r="G78" s="488">
        <f t="shared" si="12"/>
        <v>533404291</v>
      </c>
      <c r="H78" s="488">
        <f t="shared" si="12"/>
        <v>-1272785111</v>
      </c>
      <c r="I78" s="488">
        <f t="shared" si="12"/>
        <v>107233376</v>
      </c>
      <c r="J78" s="488">
        <f t="shared" si="12"/>
        <v>-255749041</v>
      </c>
      <c r="K78" s="488">
        <f t="shared" si="12"/>
        <v>-13393582</v>
      </c>
      <c r="L78" s="630"/>
      <c r="M78" s="630"/>
      <c r="N78" s="631"/>
    </row>
    <row r="79" spans="1:14" s="312" customFormat="1" ht="17.25">
      <c r="A79" s="317" t="s">
        <v>325</v>
      </c>
      <c r="B79" s="310">
        <f>B80</f>
        <v>0</v>
      </c>
      <c r="C79" s="508"/>
      <c r="D79" s="481" t="s">
        <v>325</v>
      </c>
      <c r="E79" s="490">
        <f>SUM(F79:K79)</f>
        <v>0</v>
      </c>
      <c r="F79" s="487"/>
      <c r="G79" s="488">
        <f>G80</f>
        <v>0</v>
      </c>
      <c r="H79" s="488"/>
      <c r="I79" s="488"/>
      <c r="J79" s="488"/>
      <c r="K79" s="488"/>
      <c r="L79" s="630"/>
      <c r="M79" s="630"/>
      <c r="N79" s="631"/>
    </row>
    <row r="80" spans="1:14" s="312" customFormat="1" ht="17.25">
      <c r="A80" s="315" t="s">
        <v>326</v>
      </c>
      <c r="B80" s="316">
        <v>0</v>
      </c>
      <c r="C80" s="507"/>
      <c r="D80" s="484" t="s">
        <v>326</v>
      </c>
      <c r="E80" s="490">
        <f>SUM(F80:K80)</f>
        <v>0</v>
      </c>
      <c r="F80" s="491"/>
      <c r="G80" s="492"/>
      <c r="H80" s="492"/>
      <c r="I80" s="492"/>
      <c r="J80" s="492"/>
      <c r="K80" s="492"/>
      <c r="L80" s="630"/>
      <c r="M80" s="630"/>
      <c r="N80" s="631"/>
    </row>
    <row r="81" spans="1:14" s="312" customFormat="1" ht="18" thickBot="1">
      <c r="A81" s="317" t="s">
        <v>327</v>
      </c>
      <c r="B81" s="310">
        <f>B78-B79</f>
        <v>-1896238267</v>
      </c>
      <c r="C81" s="508"/>
      <c r="D81" s="486" t="s">
        <v>2209</v>
      </c>
      <c r="E81" s="493">
        <f t="shared" ref="E81:K81" si="13">E78-E79</f>
        <v>-1349281009</v>
      </c>
      <c r="F81" s="494">
        <f t="shared" si="13"/>
        <v>-447990942</v>
      </c>
      <c r="G81" s="495">
        <f t="shared" si="13"/>
        <v>533404291</v>
      </c>
      <c r="H81" s="495">
        <f t="shared" si="13"/>
        <v>-1272785111</v>
      </c>
      <c r="I81" s="495">
        <f t="shared" si="13"/>
        <v>107233376</v>
      </c>
      <c r="J81" s="495">
        <f t="shared" si="13"/>
        <v>-255749041</v>
      </c>
      <c r="K81" s="495">
        <f t="shared" si="13"/>
        <v>-13393582</v>
      </c>
      <c r="L81" s="630"/>
      <c r="M81" s="630"/>
      <c r="N81" s="631"/>
    </row>
    <row r="82" spans="1:14" s="312" customFormat="1" ht="24.4" customHeight="1">
      <c r="A82" s="496"/>
      <c r="B82" s="497"/>
      <c r="C82" s="497"/>
      <c r="D82" s="496"/>
      <c r="E82" s="498"/>
      <c r="F82" s="498"/>
      <c r="G82" s="498"/>
      <c r="H82" s="498"/>
      <c r="I82" s="498"/>
      <c r="J82" s="498"/>
      <c r="K82" s="498"/>
      <c r="L82" s="590"/>
      <c r="M82" s="590"/>
      <c r="N82" s="476"/>
    </row>
    <row r="83" spans="1:14" s="312" customFormat="1" ht="24.4" customHeight="1">
      <c r="A83" s="496"/>
      <c r="B83" s="497"/>
      <c r="C83" s="497"/>
      <c r="D83" s="496"/>
      <c r="E83" s="498"/>
      <c r="F83" s="498"/>
      <c r="G83" s="498"/>
      <c r="H83" s="498"/>
      <c r="I83" s="498"/>
      <c r="J83" s="498"/>
      <c r="K83" s="498"/>
      <c r="L83" s="590"/>
      <c r="M83" s="590"/>
      <c r="N83" s="476"/>
    </row>
    <row r="84" spans="1:14" s="312" customFormat="1" ht="24.4" customHeight="1">
      <c r="A84" s="496"/>
      <c r="B84" s="497"/>
      <c r="C84" s="497"/>
      <c r="D84" s="496"/>
      <c r="E84" s="498"/>
      <c r="F84" s="498"/>
      <c r="G84" s="498"/>
      <c r="H84" s="498"/>
      <c r="I84" s="498"/>
      <c r="J84" s="498"/>
      <c r="K84" s="498"/>
      <c r="L84" s="590"/>
      <c r="M84" s="590"/>
      <c r="N84" s="476"/>
    </row>
    <row r="85" spans="1:14" s="312" customFormat="1" ht="24.4" customHeight="1" thickBot="1">
      <c r="A85" s="496"/>
      <c r="B85" s="497"/>
      <c r="C85" s="497"/>
      <c r="D85" s="509" t="s">
        <v>2446</v>
      </c>
      <c r="E85" s="498"/>
      <c r="F85" s="498"/>
      <c r="G85" s="498"/>
      <c r="H85" s="498"/>
      <c r="I85" s="498"/>
      <c r="J85" s="498"/>
      <c r="K85" s="510" t="s">
        <v>906</v>
      </c>
      <c r="L85" s="590"/>
      <c r="M85" s="590"/>
      <c r="N85" s="476"/>
    </row>
    <row r="86" spans="1:14" s="312" customFormat="1" ht="24.4" customHeight="1">
      <c r="A86" s="496"/>
      <c r="B86" s="497"/>
      <c r="C86" s="497"/>
      <c r="D86" s="499" t="s">
        <v>903</v>
      </c>
      <c r="E86" s="500" t="s">
        <v>2226</v>
      </c>
      <c r="F86" s="501" t="s">
        <v>2213</v>
      </c>
      <c r="G86" s="501" t="s">
        <v>2015</v>
      </c>
      <c r="H86" s="501" t="s">
        <v>2016</v>
      </c>
      <c r="I86" s="501" t="s">
        <v>2196</v>
      </c>
      <c r="J86" s="501" t="s">
        <v>2231</v>
      </c>
      <c r="K86" s="502" t="s">
        <v>2017</v>
      </c>
      <c r="L86" s="590"/>
      <c r="M86" s="590"/>
      <c r="N86" s="476"/>
    </row>
    <row r="87" spans="1:14" s="312" customFormat="1" ht="39.4" customHeight="1">
      <c r="A87" s="496"/>
      <c r="B87" s="497"/>
      <c r="C87" s="497"/>
      <c r="D87" s="570" t="s">
        <v>2227</v>
      </c>
      <c r="E87" s="488">
        <f t="shared" ref="E87:K87" si="14">E81</f>
        <v>-1349281009</v>
      </c>
      <c r="F87" s="488">
        <f t="shared" si="14"/>
        <v>-447990942</v>
      </c>
      <c r="G87" s="488">
        <f t="shared" si="14"/>
        <v>533404291</v>
      </c>
      <c r="H87" s="488">
        <f t="shared" si="14"/>
        <v>-1272785111</v>
      </c>
      <c r="I87" s="488">
        <f t="shared" si="14"/>
        <v>107233376</v>
      </c>
      <c r="J87" s="488">
        <f t="shared" si="14"/>
        <v>-255749041</v>
      </c>
      <c r="K87" s="503">
        <f t="shared" si="14"/>
        <v>-13393582</v>
      </c>
      <c r="L87" s="590"/>
      <c r="M87" s="590"/>
      <c r="N87" s="476"/>
    </row>
    <row r="88" spans="1:14" s="476" customFormat="1" ht="39.4" customHeight="1">
      <c r="A88" s="475"/>
      <c r="D88" s="571" t="s">
        <v>2418</v>
      </c>
      <c r="E88" s="504">
        <f>'별첨4_분할명세(고정자산)'!S203</f>
        <v>792191132.80208337</v>
      </c>
      <c r="F88" s="504">
        <v>0</v>
      </c>
      <c r="G88" s="504">
        <f>'별첨4_분할명세(고정자산)'!S205</f>
        <v>178079212.20833334</v>
      </c>
      <c r="H88" s="504">
        <f>'별첨4_분할명세(고정자산)'!S206</f>
        <v>236680909.40000001</v>
      </c>
      <c r="I88" s="504">
        <f>'별첨4_분할명세(고정자산)'!S207</f>
        <v>145539797.70416665</v>
      </c>
      <c r="J88" s="504">
        <f>'별첨4_분할명세(고정자산)'!S208</f>
        <v>215391867.78125003</v>
      </c>
      <c r="K88" s="505">
        <f>'별첨4_분할명세(고정자산)'!S209</f>
        <v>16499345.708333332</v>
      </c>
      <c r="L88" s="590"/>
      <c r="M88" s="590"/>
    </row>
    <row r="89" spans="1:14" s="476" customFormat="1" ht="39.4" customHeight="1" thickBot="1">
      <c r="A89" s="475"/>
      <c r="D89" s="616" t="s">
        <v>2228</v>
      </c>
      <c r="E89" s="617">
        <f>E87+E88</f>
        <v>-557089876.19791663</v>
      </c>
      <c r="F89" s="617">
        <f t="shared" ref="F89:K89" si="15">F87+F88</f>
        <v>-447990942</v>
      </c>
      <c r="G89" s="617">
        <f t="shared" si="15"/>
        <v>711483503.20833337</v>
      </c>
      <c r="H89" s="617">
        <f t="shared" si="15"/>
        <v>-1036104201.6</v>
      </c>
      <c r="I89" s="617">
        <f t="shared" si="15"/>
        <v>252773173.70416665</v>
      </c>
      <c r="J89" s="617">
        <f t="shared" si="15"/>
        <v>-40357173.21874997</v>
      </c>
      <c r="K89" s="618">
        <f t="shared" si="15"/>
        <v>3105763.7083333321</v>
      </c>
      <c r="L89" s="590"/>
      <c r="M89" s="590"/>
    </row>
    <row r="90" spans="1:14" s="311" customFormat="1" ht="23.45" customHeight="1">
      <c r="A90" s="460"/>
      <c r="D90" s="460"/>
      <c r="L90" s="461"/>
      <c r="M90" s="461"/>
      <c r="N90" s="461"/>
    </row>
    <row r="91" spans="1:14" s="311" customFormat="1" ht="23.45" customHeight="1">
      <c r="A91" s="460"/>
      <c r="D91" s="460"/>
      <c r="L91" s="461"/>
      <c r="M91" s="461"/>
      <c r="N91" s="461"/>
    </row>
    <row r="92" spans="1:14" s="311" customFormat="1" ht="23.45" customHeight="1">
      <c r="A92" s="460"/>
      <c r="D92" s="460"/>
      <c r="L92" s="461"/>
      <c r="M92" s="461"/>
      <c r="N92" s="461"/>
    </row>
    <row r="93" spans="1:14" s="311" customFormat="1" ht="23.45" customHeight="1">
      <c r="A93" s="460"/>
      <c r="D93" s="460"/>
      <c r="L93" s="461"/>
      <c r="M93" s="461"/>
      <c r="N93" s="461"/>
    </row>
    <row r="94" spans="1:14" s="311" customFormat="1" ht="23.45" customHeight="1">
      <c r="A94" s="460"/>
      <c r="D94" s="460"/>
      <c r="L94" s="461"/>
      <c r="M94" s="461"/>
      <c r="N94" s="461"/>
    </row>
    <row r="95" spans="1:14" s="311" customFormat="1" ht="23.45" customHeight="1">
      <c r="A95" s="460"/>
      <c r="D95" s="460"/>
      <c r="L95" s="461"/>
      <c r="M95" s="461"/>
      <c r="N95" s="461"/>
    </row>
  </sheetData>
  <mergeCells count="7">
    <mergeCell ref="F1:K1"/>
    <mergeCell ref="L4:N4"/>
    <mergeCell ref="N25:N29"/>
    <mergeCell ref="O25:O29"/>
    <mergeCell ref="A4:A5"/>
    <mergeCell ref="D4:K4"/>
    <mergeCell ref="C4:C5"/>
  </mergeCells>
  <phoneticPr fontId="4" type="noConversion"/>
  <pageMargins left="0.3958333432674408" right="0" top="0.51458334922790527" bottom="0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A16E4-631A-40A9-83D7-7CAA9D28670B}">
  <sheetPr>
    <tabColor theme="5" tint="-0.249977111117893"/>
  </sheetPr>
  <dimension ref="B2:I9"/>
  <sheetViews>
    <sheetView workbookViewId="0">
      <selection activeCell="F32" sqref="F32"/>
    </sheetView>
  </sheetViews>
  <sheetFormatPr defaultColWidth="9" defaultRowHeight="16.5"/>
  <cols>
    <col min="1" max="1" width="3.140625" style="15" customWidth="1"/>
    <col min="2" max="2" width="9" style="15"/>
    <col min="3" max="6" width="14.85546875" style="311" customWidth="1"/>
    <col min="7" max="7" width="14.85546875" style="15" customWidth="1"/>
    <col min="8" max="8" width="14.85546875" style="311" customWidth="1"/>
    <col min="9" max="9" width="14.85546875" style="15" customWidth="1"/>
    <col min="10" max="16384" width="9" style="15"/>
  </cols>
  <sheetData>
    <row r="2" spans="2:9" ht="17.25" thickBot="1">
      <c r="C2" s="802" t="s">
        <v>2438</v>
      </c>
      <c r="D2" s="802"/>
      <c r="E2" s="802"/>
      <c r="F2" s="802"/>
      <c r="G2" s="802"/>
      <c r="H2" s="591" t="s">
        <v>2439</v>
      </c>
      <c r="I2" s="605" t="s">
        <v>906</v>
      </c>
    </row>
    <row r="3" spans="2:9" ht="18.399999999999999" customHeight="1">
      <c r="B3" s="606"/>
      <c r="C3" s="607" t="s">
        <v>966</v>
      </c>
      <c r="D3" s="607" t="s">
        <v>968</v>
      </c>
      <c r="E3" s="607" t="s">
        <v>970</v>
      </c>
      <c r="F3" s="607" t="s">
        <v>972</v>
      </c>
      <c r="G3" s="608" t="s">
        <v>329</v>
      </c>
      <c r="H3" s="607" t="s">
        <v>2435</v>
      </c>
      <c r="I3" s="609" t="s">
        <v>333</v>
      </c>
    </row>
    <row r="4" spans="2:9" ht="18.399999999999999" customHeight="1">
      <c r="B4" s="610" t="s">
        <v>2436</v>
      </c>
      <c r="C4" s="611">
        <v>1853904091</v>
      </c>
      <c r="D4" s="611">
        <v>590169640</v>
      </c>
      <c r="E4" s="611">
        <v>50428596</v>
      </c>
      <c r="F4" s="611"/>
      <c r="G4" s="611">
        <f>SUM(C4:F4)</f>
        <v>2494502327</v>
      </c>
      <c r="H4" s="611"/>
      <c r="I4" s="612"/>
    </row>
    <row r="5" spans="2:9" ht="18.399999999999999" customHeight="1">
      <c r="B5" s="610" t="s">
        <v>2437</v>
      </c>
      <c r="C5" s="611">
        <v>1710508364</v>
      </c>
      <c r="D5" s="611">
        <v>298611150</v>
      </c>
      <c r="E5" s="611">
        <v>956994397</v>
      </c>
      <c r="F5" s="611">
        <v>39786455</v>
      </c>
      <c r="G5" s="611">
        <f>SUM(C5:F5)</f>
        <v>3005900366</v>
      </c>
      <c r="H5" s="611"/>
      <c r="I5" s="612"/>
    </row>
    <row r="6" spans="2:9" ht="18.399999999999999" customHeight="1" thickBot="1">
      <c r="B6" s="613" t="s">
        <v>902</v>
      </c>
      <c r="C6" s="614">
        <f>SUM(C4:C5)</f>
        <v>3564412455</v>
      </c>
      <c r="D6" s="614">
        <f>SUM(D4:D5)</f>
        <v>888780790</v>
      </c>
      <c r="E6" s="614">
        <f>SUM(E4:E5)</f>
        <v>1007422993</v>
      </c>
      <c r="F6" s="614">
        <f>SUM(F4:F5)</f>
        <v>39786455</v>
      </c>
      <c r="G6" s="614">
        <f>SUM(G4:G5)</f>
        <v>5500402693</v>
      </c>
      <c r="H6" s="614">
        <v>5518968264</v>
      </c>
      <c r="I6" s="615">
        <f>H6-G6</f>
        <v>18565571</v>
      </c>
    </row>
    <row r="8" spans="2:9">
      <c r="B8" s="15" t="s">
        <v>2440</v>
      </c>
    </row>
    <row r="9" spans="2:9">
      <c r="B9" s="15" t="s">
        <v>2441</v>
      </c>
    </row>
  </sheetData>
  <mergeCells count="1">
    <mergeCell ref="C2:G2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E32E-CE71-48BE-AEEB-F6CCB35C1A19}">
  <sheetPr>
    <tabColor theme="5" tint="-0.249977111117893"/>
  </sheetPr>
  <dimension ref="A1:AE37"/>
  <sheetViews>
    <sheetView workbookViewId="0">
      <selection activeCell="D15" sqref="D15"/>
    </sheetView>
  </sheetViews>
  <sheetFormatPr defaultColWidth="9.140625" defaultRowHeight="12.75"/>
  <cols>
    <col min="1" max="1" width="9.140625" style="19"/>
    <col min="2" max="2" width="18.28515625" style="19" customWidth="1"/>
    <col min="3" max="3" width="6.85546875" style="19" customWidth="1"/>
    <col min="4" max="4" width="5.5703125" style="19" customWidth="1"/>
    <col min="5" max="5" width="11.140625" style="19" customWidth="1"/>
    <col min="6" max="6" width="12.5703125" style="19" customWidth="1"/>
    <col min="7" max="7" width="11.7109375" style="19" customWidth="1"/>
    <col min="8" max="14" width="11.140625" style="235" bestFit="1" customWidth="1"/>
    <col min="15" max="15" width="9.5703125" style="235" bestFit="1" customWidth="1"/>
    <col min="16" max="16" width="11.140625" style="235" bestFit="1" customWidth="1"/>
    <col min="17" max="17" width="9.5703125" style="235" bestFit="1" customWidth="1"/>
    <col min="18" max="18" width="11.140625" style="235" bestFit="1" customWidth="1"/>
    <col min="19" max="19" width="9.5703125" style="235" bestFit="1" customWidth="1"/>
    <col min="20" max="20" width="11" style="19" customWidth="1"/>
    <col min="21" max="21" width="11.140625" style="19" bestFit="1" customWidth="1"/>
    <col min="22" max="22" width="12.28515625" style="19" bestFit="1" customWidth="1"/>
    <col min="23" max="23" width="11.140625" style="19" bestFit="1" customWidth="1"/>
    <col min="24" max="26" width="12.28515625" style="19" bestFit="1" customWidth="1"/>
    <col min="27" max="27" width="11.140625" style="19" bestFit="1" customWidth="1"/>
    <col min="28" max="28" width="12.28515625" style="19" bestFit="1" customWidth="1"/>
    <col min="29" max="29" width="11.140625" style="19" bestFit="1" customWidth="1"/>
    <col min="30" max="30" width="12.28515625" style="19" bestFit="1" customWidth="1"/>
    <col min="31" max="31" width="11.140625" style="19" bestFit="1" customWidth="1"/>
    <col min="32" max="16384" width="9.140625" style="19"/>
  </cols>
  <sheetData>
    <row r="1" spans="1:31" ht="21" customHeight="1">
      <c r="A1" s="811" t="s">
        <v>2171</v>
      </c>
      <c r="B1" s="808" t="s">
        <v>2170</v>
      </c>
      <c r="C1" s="808" t="s">
        <v>2169</v>
      </c>
      <c r="D1" s="808" t="s">
        <v>2168</v>
      </c>
      <c r="E1" s="809"/>
      <c r="F1" s="811" t="s">
        <v>2167</v>
      </c>
      <c r="G1" s="809"/>
      <c r="H1" s="815" t="s">
        <v>2166</v>
      </c>
      <c r="I1" s="807"/>
      <c r="J1" s="807" t="s">
        <v>2165</v>
      </c>
      <c r="K1" s="807"/>
      <c r="L1" s="807" t="s">
        <v>2164</v>
      </c>
      <c r="M1" s="807"/>
      <c r="N1" s="807" t="s">
        <v>2163</v>
      </c>
      <c r="O1" s="807"/>
      <c r="P1" s="807" t="s">
        <v>2162</v>
      </c>
      <c r="Q1" s="807"/>
      <c r="R1" s="807" t="s">
        <v>2161</v>
      </c>
      <c r="S1" s="810"/>
      <c r="T1" s="811" t="s">
        <v>2160</v>
      </c>
      <c r="U1" s="808"/>
      <c r="V1" s="808" t="s">
        <v>2159</v>
      </c>
      <c r="W1" s="808"/>
      <c r="X1" s="808" t="s">
        <v>2158</v>
      </c>
      <c r="Y1" s="808"/>
      <c r="Z1" s="808" t="s">
        <v>2157</v>
      </c>
      <c r="AA1" s="808"/>
      <c r="AB1" s="808" t="s">
        <v>2156</v>
      </c>
      <c r="AC1" s="808"/>
      <c r="AD1" s="808" t="s">
        <v>2155</v>
      </c>
      <c r="AE1" s="809"/>
    </row>
    <row r="2" spans="1:31" ht="21" customHeight="1" thickBot="1">
      <c r="A2" s="812"/>
      <c r="B2" s="813"/>
      <c r="C2" s="813"/>
      <c r="D2" s="813"/>
      <c r="E2" s="814"/>
      <c r="F2" s="309" t="s">
        <v>2154</v>
      </c>
      <c r="G2" s="308" t="s">
        <v>2153</v>
      </c>
      <c r="H2" s="307" t="s">
        <v>2152</v>
      </c>
      <c r="I2" s="306" t="s">
        <v>2151</v>
      </c>
      <c r="J2" s="306" t="s">
        <v>2152</v>
      </c>
      <c r="K2" s="306" t="s">
        <v>2151</v>
      </c>
      <c r="L2" s="306" t="s">
        <v>2152</v>
      </c>
      <c r="M2" s="306" t="s">
        <v>2151</v>
      </c>
      <c r="N2" s="306" t="s">
        <v>2152</v>
      </c>
      <c r="O2" s="306" t="s">
        <v>2151</v>
      </c>
      <c r="P2" s="306" t="s">
        <v>2152</v>
      </c>
      <c r="Q2" s="306" t="s">
        <v>2151</v>
      </c>
      <c r="R2" s="306" t="s">
        <v>2152</v>
      </c>
      <c r="S2" s="305" t="s">
        <v>2151</v>
      </c>
      <c r="T2" s="304" t="s">
        <v>2152</v>
      </c>
      <c r="U2" s="303" t="s">
        <v>2151</v>
      </c>
      <c r="V2" s="303" t="s">
        <v>2152</v>
      </c>
      <c r="W2" s="303" t="s">
        <v>2151</v>
      </c>
      <c r="X2" s="303" t="s">
        <v>2152</v>
      </c>
      <c r="Y2" s="303" t="s">
        <v>2151</v>
      </c>
      <c r="Z2" s="303" t="s">
        <v>2152</v>
      </c>
      <c r="AA2" s="303" t="s">
        <v>2151</v>
      </c>
      <c r="AB2" s="303" t="s">
        <v>2152</v>
      </c>
      <c r="AC2" s="303" t="s">
        <v>2151</v>
      </c>
      <c r="AD2" s="303" t="s">
        <v>2152</v>
      </c>
      <c r="AE2" s="302" t="s">
        <v>2151</v>
      </c>
    </row>
    <row r="3" spans="1:31" ht="21" customHeight="1">
      <c r="A3" s="301" t="s">
        <v>881</v>
      </c>
      <c r="B3" s="300" t="s">
        <v>2150</v>
      </c>
      <c r="C3" s="300" t="s">
        <v>977</v>
      </c>
      <c r="D3" s="299" t="s">
        <v>2095</v>
      </c>
      <c r="E3" s="298" t="s">
        <v>2149</v>
      </c>
      <c r="F3" s="297">
        <f>H3+J3+L3+N3+P3+R3+T3+V3+X3+Z3+AB3+AD3</f>
        <v>62208875</v>
      </c>
      <c r="G3" s="296">
        <f>I3+K3+M3+O3+Q3+S3+U3+W3+Y3+AA3+AC3+AE3</f>
        <v>10312830</v>
      </c>
      <c r="H3" s="295">
        <v>6548360</v>
      </c>
      <c r="I3" s="294">
        <v>2562280</v>
      </c>
      <c r="J3" s="294">
        <v>4639360</v>
      </c>
      <c r="K3" s="294">
        <v>-1904390</v>
      </c>
      <c r="L3" s="294">
        <v>6785890</v>
      </c>
      <c r="M3" s="294">
        <v>1173130</v>
      </c>
      <c r="N3" s="294">
        <v>5992218</v>
      </c>
      <c r="O3" s="294">
        <v>922400</v>
      </c>
      <c r="P3" s="294">
        <v>5794249</v>
      </c>
      <c r="Q3" s="294">
        <v>881850</v>
      </c>
      <c r="R3" s="294">
        <v>5456087</v>
      </c>
      <c r="S3" s="293">
        <v>406790</v>
      </c>
      <c r="T3" s="292">
        <v>5850366</v>
      </c>
      <c r="U3" s="291">
        <v>974990</v>
      </c>
      <c r="V3" s="291">
        <v>5001000</v>
      </c>
      <c r="W3" s="291">
        <v>803790</v>
      </c>
      <c r="X3" s="291">
        <v>6923000</v>
      </c>
      <c r="Y3" s="291">
        <v>3263920</v>
      </c>
      <c r="Z3" s="291">
        <v>4962000</v>
      </c>
      <c r="AA3" s="291">
        <v>795710</v>
      </c>
      <c r="AB3" s="291">
        <v>4256345</v>
      </c>
      <c r="AC3" s="291">
        <v>432360</v>
      </c>
      <c r="AD3" s="290">
        <v>0</v>
      </c>
      <c r="AE3" s="289">
        <v>0</v>
      </c>
    </row>
    <row r="4" spans="1:31" ht="21" customHeight="1">
      <c r="A4" s="286" t="s">
        <v>1944</v>
      </c>
      <c r="B4" s="285" t="s">
        <v>2148</v>
      </c>
      <c r="C4" s="285" t="s">
        <v>977</v>
      </c>
      <c r="D4" s="284" t="s">
        <v>2095</v>
      </c>
      <c r="E4" s="283" t="s">
        <v>2147</v>
      </c>
      <c r="F4" s="282">
        <f>H4+J4+L4+N4+P4+R4+T4+V4+X4+Z4+AB4+AD4</f>
        <v>72045968</v>
      </c>
      <c r="G4" s="281">
        <f>I4+K4+M4+O4+Q4+S4+U4+W4+Y4+AA4+AC4+AE4</f>
        <v>12812790</v>
      </c>
      <c r="H4" s="280">
        <v>6810282</v>
      </c>
      <c r="I4" s="279">
        <v>2598830</v>
      </c>
      <c r="J4" s="279">
        <v>4637000</v>
      </c>
      <c r="K4" s="279">
        <v>-742820</v>
      </c>
      <c r="L4" s="279">
        <v>5792321</v>
      </c>
      <c r="M4" s="279">
        <v>880450</v>
      </c>
      <c r="N4" s="279">
        <v>6070428</v>
      </c>
      <c r="O4" s="279">
        <v>958870</v>
      </c>
      <c r="P4" s="279">
        <v>5798690</v>
      </c>
      <c r="Q4" s="279">
        <v>880760</v>
      </c>
      <c r="R4" s="279">
        <v>6042321</v>
      </c>
      <c r="S4" s="278">
        <v>434220</v>
      </c>
      <c r="T4" s="288">
        <v>5371107</v>
      </c>
      <c r="U4" s="275">
        <v>887230</v>
      </c>
      <c r="V4" s="275">
        <v>5850321</v>
      </c>
      <c r="W4" s="275">
        <v>984760</v>
      </c>
      <c r="X4" s="275">
        <v>7768321</v>
      </c>
      <c r="Y4" s="275">
        <v>3500650</v>
      </c>
      <c r="Z4" s="275">
        <v>5458214</v>
      </c>
      <c r="AA4" s="275">
        <v>903840</v>
      </c>
      <c r="AB4" s="275">
        <v>5778321</v>
      </c>
      <c r="AC4" s="275">
        <v>968900</v>
      </c>
      <c r="AD4" s="275">
        <v>6668642</v>
      </c>
      <c r="AE4" s="274">
        <v>557100</v>
      </c>
    </row>
    <row r="5" spans="1:31" ht="21" customHeight="1">
      <c r="A5" s="286" t="s">
        <v>2146</v>
      </c>
      <c r="B5" s="285" t="s">
        <v>2145</v>
      </c>
      <c r="C5" s="285" t="s">
        <v>2434</v>
      </c>
      <c r="D5" s="284" t="s">
        <v>2095</v>
      </c>
      <c r="E5" s="283" t="s">
        <v>2144</v>
      </c>
      <c r="F5" s="282">
        <v>6124152</v>
      </c>
      <c r="G5" s="281">
        <v>70760</v>
      </c>
      <c r="H5" s="288">
        <v>6124152</v>
      </c>
      <c r="I5" s="275">
        <v>70760</v>
      </c>
      <c r="J5" s="276">
        <v>0</v>
      </c>
      <c r="K5" s="276">
        <v>0</v>
      </c>
      <c r="L5" s="276">
        <v>0</v>
      </c>
      <c r="M5" s="276">
        <v>0</v>
      </c>
      <c r="N5" s="276">
        <v>0</v>
      </c>
      <c r="O5" s="276">
        <v>0</v>
      </c>
      <c r="P5" s="276">
        <v>0</v>
      </c>
      <c r="Q5" s="276">
        <v>0</v>
      </c>
      <c r="R5" s="276">
        <v>0</v>
      </c>
      <c r="S5" s="287">
        <v>0</v>
      </c>
      <c r="T5" s="277">
        <v>0</v>
      </c>
      <c r="U5" s="276">
        <v>0</v>
      </c>
      <c r="V5" s="276">
        <v>0</v>
      </c>
      <c r="W5" s="276">
        <v>0</v>
      </c>
      <c r="X5" s="276">
        <v>0</v>
      </c>
      <c r="Y5" s="276">
        <v>0</v>
      </c>
      <c r="Z5" s="276">
        <v>0</v>
      </c>
      <c r="AA5" s="276">
        <v>0</v>
      </c>
      <c r="AB5" s="276">
        <v>0</v>
      </c>
      <c r="AC5" s="276">
        <v>0</v>
      </c>
      <c r="AD5" s="276">
        <v>0</v>
      </c>
      <c r="AE5" s="287">
        <v>0</v>
      </c>
    </row>
    <row r="6" spans="1:31" ht="21" customHeight="1">
      <c r="A6" s="286" t="s">
        <v>2143</v>
      </c>
      <c r="B6" s="285" t="s">
        <v>2142</v>
      </c>
      <c r="C6" s="285" t="s">
        <v>977</v>
      </c>
      <c r="D6" s="284" t="s">
        <v>2095</v>
      </c>
      <c r="E6" s="283" t="s">
        <v>2141</v>
      </c>
      <c r="F6" s="282">
        <v>16522470</v>
      </c>
      <c r="G6" s="281">
        <v>2213710</v>
      </c>
      <c r="H6" s="288">
        <v>4133000</v>
      </c>
      <c r="I6" s="275">
        <v>1684360</v>
      </c>
      <c r="J6" s="275">
        <v>2758000</v>
      </c>
      <c r="K6" s="275">
        <v>-532550</v>
      </c>
      <c r="L6" s="275">
        <v>2898000</v>
      </c>
      <c r="M6" s="275">
        <v>303540</v>
      </c>
      <c r="N6" s="275">
        <v>3462220</v>
      </c>
      <c r="O6" s="275">
        <v>488660</v>
      </c>
      <c r="P6" s="275">
        <v>3271250</v>
      </c>
      <c r="Q6" s="275">
        <v>269700</v>
      </c>
      <c r="R6" s="276">
        <v>0</v>
      </c>
      <c r="S6" s="287">
        <v>0</v>
      </c>
      <c r="T6" s="277">
        <v>0</v>
      </c>
      <c r="U6" s="276">
        <v>0</v>
      </c>
      <c r="V6" s="276">
        <v>0</v>
      </c>
      <c r="W6" s="276">
        <v>0</v>
      </c>
      <c r="X6" s="276">
        <v>0</v>
      </c>
      <c r="Y6" s="276">
        <v>0</v>
      </c>
      <c r="Z6" s="276">
        <v>0</v>
      </c>
      <c r="AA6" s="276">
        <v>0</v>
      </c>
      <c r="AB6" s="276">
        <v>0</v>
      </c>
      <c r="AC6" s="276">
        <v>0</v>
      </c>
      <c r="AD6" s="276">
        <v>0</v>
      </c>
      <c r="AE6" s="287">
        <v>0</v>
      </c>
    </row>
    <row r="7" spans="1:31" ht="21" customHeight="1">
      <c r="A7" s="286" t="s">
        <v>2140</v>
      </c>
      <c r="B7" s="285" t="s">
        <v>2139</v>
      </c>
      <c r="C7" s="285" t="s">
        <v>2434</v>
      </c>
      <c r="D7" s="284" t="s">
        <v>2095</v>
      </c>
      <c r="E7" s="283" t="s">
        <v>2138</v>
      </c>
      <c r="F7" s="282">
        <v>14293724</v>
      </c>
      <c r="G7" s="281">
        <v>1629430</v>
      </c>
      <c r="H7" s="288">
        <v>3408800</v>
      </c>
      <c r="I7" s="275">
        <v>892530</v>
      </c>
      <c r="J7" s="275">
        <v>2842000</v>
      </c>
      <c r="K7" s="275">
        <v>-152560</v>
      </c>
      <c r="L7" s="275">
        <v>3252000</v>
      </c>
      <c r="M7" s="275">
        <v>358070</v>
      </c>
      <c r="N7" s="275">
        <v>3245000</v>
      </c>
      <c r="O7" s="275">
        <v>334300</v>
      </c>
      <c r="P7" s="275">
        <v>1545924</v>
      </c>
      <c r="Q7" s="275">
        <v>197090</v>
      </c>
      <c r="R7" s="276">
        <v>0</v>
      </c>
      <c r="S7" s="287">
        <v>0</v>
      </c>
      <c r="T7" s="277">
        <v>0</v>
      </c>
      <c r="U7" s="276">
        <v>0</v>
      </c>
      <c r="V7" s="276">
        <v>0</v>
      </c>
      <c r="W7" s="276">
        <v>0</v>
      </c>
      <c r="X7" s="276">
        <v>0</v>
      </c>
      <c r="Y7" s="276">
        <v>0</v>
      </c>
      <c r="Z7" s="276">
        <v>0</v>
      </c>
      <c r="AA7" s="276">
        <v>0</v>
      </c>
      <c r="AB7" s="276">
        <v>0</v>
      </c>
      <c r="AC7" s="276">
        <v>0</v>
      </c>
      <c r="AD7" s="276">
        <v>0</v>
      </c>
      <c r="AE7" s="287">
        <v>0</v>
      </c>
    </row>
    <row r="8" spans="1:31" ht="21" customHeight="1">
      <c r="A8" s="286" t="s">
        <v>2137</v>
      </c>
      <c r="B8" s="285" t="s">
        <v>2136</v>
      </c>
      <c r="C8" s="285" t="s">
        <v>2434</v>
      </c>
      <c r="D8" s="284" t="s">
        <v>2095</v>
      </c>
      <c r="E8" s="283" t="s">
        <v>2135</v>
      </c>
      <c r="F8" s="282">
        <f>H8+J8+L8+N8+P8+R8+T8+V8+X8+Z8+AB8+AD8</f>
        <v>58112291</v>
      </c>
      <c r="G8" s="281">
        <f>I8+K8+M8+O8+Q8+S8+U8+W8+Y8+AA8+AC8+AE8</f>
        <v>9149230</v>
      </c>
      <c r="H8" s="280">
        <v>5508800</v>
      </c>
      <c r="I8" s="279">
        <v>1611150</v>
      </c>
      <c r="J8" s="279">
        <v>4592000</v>
      </c>
      <c r="K8" s="279">
        <v>-850040</v>
      </c>
      <c r="L8" s="279">
        <v>4592000</v>
      </c>
      <c r="M8" s="279">
        <v>658260</v>
      </c>
      <c r="N8" s="279">
        <v>4797891</v>
      </c>
      <c r="O8" s="279">
        <v>673750</v>
      </c>
      <c r="P8" s="279">
        <v>4592000</v>
      </c>
      <c r="Q8" s="279">
        <v>658260</v>
      </c>
      <c r="R8" s="279">
        <v>4632000</v>
      </c>
      <c r="S8" s="278">
        <v>388870</v>
      </c>
      <c r="T8" s="288">
        <v>4594000</v>
      </c>
      <c r="U8" s="275">
        <v>669480</v>
      </c>
      <c r="V8" s="275">
        <v>4594000</v>
      </c>
      <c r="W8" s="275">
        <v>669480</v>
      </c>
      <c r="X8" s="275">
        <v>6427600</v>
      </c>
      <c r="Y8" s="275">
        <v>2932930</v>
      </c>
      <c r="Z8" s="275">
        <v>4594000</v>
      </c>
      <c r="AA8" s="275">
        <v>669480</v>
      </c>
      <c r="AB8" s="275">
        <v>4594000</v>
      </c>
      <c r="AC8" s="275">
        <v>669480</v>
      </c>
      <c r="AD8" s="275">
        <v>4594000</v>
      </c>
      <c r="AE8" s="274">
        <v>398130</v>
      </c>
    </row>
    <row r="9" spans="1:31" ht="21" customHeight="1">
      <c r="A9" s="286" t="s">
        <v>2134</v>
      </c>
      <c r="B9" s="285" t="s">
        <v>2133</v>
      </c>
      <c r="C9" s="285" t="s">
        <v>977</v>
      </c>
      <c r="D9" s="284" t="s">
        <v>2095</v>
      </c>
      <c r="E9" s="283" t="s">
        <v>2132</v>
      </c>
      <c r="F9" s="282">
        <v>23042800</v>
      </c>
      <c r="G9" s="281">
        <v>3214940</v>
      </c>
      <c r="H9" s="288">
        <v>5625800</v>
      </c>
      <c r="I9" s="275">
        <v>1596770</v>
      </c>
      <c r="J9" s="275">
        <v>4342000</v>
      </c>
      <c r="K9" s="275">
        <v>96270</v>
      </c>
      <c r="L9" s="275">
        <v>4356000</v>
      </c>
      <c r="M9" s="275">
        <v>611470</v>
      </c>
      <c r="N9" s="275">
        <v>4377000</v>
      </c>
      <c r="O9" s="275">
        <v>535770</v>
      </c>
      <c r="P9" s="275">
        <v>4342000</v>
      </c>
      <c r="Q9" s="275">
        <v>374660</v>
      </c>
      <c r="R9" s="276">
        <v>0</v>
      </c>
      <c r="S9" s="287">
        <v>0</v>
      </c>
      <c r="T9" s="277">
        <v>0</v>
      </c>
      <c r="U9" s="276">
        <v>0</v>
      </c>
      <c r="V9" s="276">
        <v>0</v>
      </c>
      <c r="W9" s="276">
        <v>0</v>
      </c>
      <c r="X9" s="276">
        <v>0</v>
      </c>
      <c r="Y9" s="276">
        <v>0</v>
      </c>
      <c r="Z9" s="276">
        <v>0</v>
      </c>
      <c r="AA9" s="276">
        <v>0</v>
      </c>
      <c r="AB9" s="276">
        <v>0</v>
      </c>
      <c r="AC9" s="276">
        <v>0</v>
      </c>
      <c r="AD9" s="276">
        <v>0</v>
      </c>
      <c r="AE9" s="287">
        <v>0</v>
      </c>
    </row>
    <row r="10" spans="1:31" ht="21" customHeight="1">
      <c r="A10" s="286" t="s">
        <v>2131</v>
      </c>
      <c r="B10" s="285" t="s">
        <v>2130</v>
      </c>
      <c r="C10" s="285" t="s">
        <v>977</v>
      </c>
      <c r="D10" s="284" t="s">
        <v>2095</v>
      </c>
      <c r="E10" s="283" t="s">
        <v>2129</v>
      </c>
      <c r="F10" s="282">
        <f>H10+J10+L10+N10+P10+R10+T10+V10+X10+Z10+AB10+AD10</f>
        <v>52014471</v>
      </c>
      <c r="G10" s="281">
        <f>I10+K10+M10+O10+Q10+S10+U10+W10+Y10+AA10+AC10+AE10</f>
        <v>6571660</v>
      </c>
      <c r="H10" s="280">
        <v>3616000</v>
      </c>
      <c r="I10" s="279">
        <v>485460</v>
      </c>
      <c r="J10" s="279">
        <v>3624000</v>
      </c>
      <c r="K10" s="279">
        <v>175280</v>
      </c>
      <c r="L10" s="279">
        <v>4690082</v>
      </c>
      <c r="M10" s="279">
        <v>593930</v>
      </c>
      <c r="N10" s="279">
        <v>4653364</v>
      </c>
      <c r="O10" s="279">
        <v>655120</v>
      </c>
      <c r="P10" s="279">
        <v>4802102</v>
      </c>
      <c r="Q10" s="279">
        <v>689520</v>
      </c>
      <c r="R10" s="279">
        <v>4128460</v>
      </c>
      <c r="S10" s="278">
        <v>349220</v>
      </c>
      <c r="T10" s="288">
        <v>4600023</v>
      </c>
      <c r="U10" s="275">
        <v>646630</v>
      </c>
      <c r="V10" s="275">
        <v>3928000</v>
      </c>
      <c r="W10" s="275">
        <v>508920</v>
      </c>
      <c r="X10" s="275">
        <v>4259400</v>
      </c>
      <c r="Y10" s="275">
        <v>960470</v>
      </c>
      <c r="Z10" s="275">
        <v>3890000</v>
      </c>
      <c r="AA10" s="275">
        <v>501690</v>
      </c>
      <c r="AB10" s="275">
        <v>4310734</v>
      </c>
      <c r="AC10" s="275">
        <v>588390</v>
      </c>
      <c r="AD10" s="275">
        <v>5512306</v>
      </c>
      <c r="AE10" s="274">
        <v>417030</v>
      </c>
    </row>
    <row r="11" spans="1:31" ht="21" customHeight="1">
      <c r="A11" s="286" t="s">
        <v>2128</v>
      </c>
      <c r="B11" s="285" t="s">
        <v>2127</v>
      </c>
      <c r="C11" s="285" t="s">
        <v>977</v>
      </c>
      <c r="D11" s="284" t="s">
        <v>2095</v>
      </c>
      <c r="E11" s="283" t="s">
        <v>2126</v>
      </c>
      <c r="F11" s="282">
        <v>9649941</v>
      </c>
      <c r="G11" s="281">
        <v>1222610</v>
      </c>
      <c r="H11" s="288">
        <v>3806000</v>
      </c>
      <c r="I11" s="275">
        <v>529120</v>
      </c>
      <c r="J11" s="275">
        <v>4163395</v>
      </c>
      <c r="K11" s="275">
        <v>452360</v>
      </c>
      <c r="L11" s="275">
        <v>1680546</v>
      </c>
      <c r="M11" s="275">
        <v>241130</v>
      </c>
      <c r="N11" s="276">
        <v>0</v>
      </c>
      <c r="O11" s="276">
        <v>0</v>
      </c>
      <c r="P11" s="276">
        <v>0</v>
      </c>
      <c r="Q11" s="276">
        <v>0</v>
      </c>
      <c r="R11" s="276">
        <v>0</v>
      </c>
      <c r="S11" s="287">
        <v>0</v>
      </c>
      <c r="T11" s="277">
        <v>0</v>
      </c>
      <c r="U11" s="276">
        <v>0</v>
      </c>
      <c r="V11" s="276">
        <v>0</v>
      </c>
      <c r="W11" s="276">
        <v>0</v>
      </c>
      <c r="X11" s="276">
        <v>0</v>
      </c>
      <c r="Y11" s="276">
        <v>0</v>
      </c>
      <c r="Z11" s="276">
        <v>0</v>
      </c>
      <c r="AA11" s="276">
        <v>0</v>
      </c>
      <c r="AB11" s="276">
        <v>0</v>
      </c>
      <c r="AC11" s="276">
        <v>0</v>
      </c>
      <c r="AD11" s="276">
        <v>0</v>
      </c>
      <c r="AE11" s="287">
        <v>0</v>
      </c>
    </row>
    <row r="12" spans="1:31" ht="21" customHeight="1">
      <c r="A12" s="286" t="s">
        <v>2125</v>
      </c>
      <c r="B12" s="285" t="s">
        <v>2124</v>
      </c>
      <c r="C12" s="285" t="s">
        <v>977</v>
      </c>
      <c r="D12" s="284" t="s">
        <v>2095</v>
      </c>
      <c r="E12" s="283" t="s">
        <v>2123</v>
      </c>
      <c r="F12" s="282">
        <v>16807104</v>
      </c>
      <c r="G12" s="281">
        <v>1853210</v>
      </c>
      <c r="H12" s="288">
        <v>3342000</v>
      </c>
      <c r="I12" s="275">
        <v>425810</v>
      </c>
      <c r="J12" s="275">
        <v>3342000</v>
      </c>
      <c r="K12" s="275">
        <v>332500</v>
      </c>
      <c r="L12" s="275">
        <v>3356000</v>
      </c>
      <c r="M12" s="275">
        <v>395100</v>
      </c>
      <c r="N12" s="275">
        <v>3370000</v>
      </c>
      <c r="O12" s="275">
        <v>397660</v>
      </c>
      <c r="P12" s="275">
        <v>3397104</v>
      </c>
      <c r="Q12" s="275">
        <v>302140</v>
      </c>
      <c r="R12" s="276">
        <v>0</v>
      </c>
      <c r="S12" s="287">
        <v>0</v>
      </c>
      <c r="T12" s="277">
        <v>0</v>
      </c>
      <c r="U12" s="276">
        <v>0</v>
      </c>
      <c r="V12" s="276">
        <v>0</v>
      </c>
      <c r="W12" s="276">
        <v>0</v>
      </c>
      <c r="X12" s="276">
        <v>0</v>
      </c>
      <c r="Y12" s="276">
        <v>0</v>
      </c>
      <c r="Z12" s="276">
        <v>0</v>
      </c>
      <c r="AA12" s="276">
        <v>0</v>
      </c>
      <c r="AB12" s="276">
        <v>0</v>
      </c>
      <c r="AC12" s="276">
        <v>0</v>
      </c>
      <c r="AD12" s="276">
        <v>0</v>
      </c>
      <c r="AE12" s="287">
        <v>0</v>
      </c>
    </row>
    <row r="13" spans="1:31" ht="21" customHeight="1">
      <c r="A13" s="286" t="s">
        <v>2122</v>
      </c>
      <c r="B13" s="285" t="s">
        <v>2121</v>
      </c>
      <c r="C13" s="285" t="s">
        <v>977</v>
      </c>
      <c r="D13" s="284" t="s">
        <v>2095</v>
      </c>
      <c r="E13" s="283" t="s">
        <v>2120</v>
      </c>
      <c r="F13" s="282">
        <f>H13+J13+L13+N13+P13+R13+T13+V13+X13+Z13+AB13+AD13</f>
        <v>83476035</v>
      </c>
      <c r="G13" s="281">
        <f>I13+K13+M13+O13+Q13+S13+U13+W13+Y13+AA13+AC13+AE13</f>
        <v>13627120</v>
      </c>
      <c r="H13" s="288">
        <v>6675000</v>
      </c>
      <c r="I13" s="275">
        <v>1316650</v>
      </c>
      <c r="J13" s="275">
        <v>6675000</v>
      </c>
      <c r="K13" s="275">
        <v>405920</v>
      </c>
      <c r="L13" s="275">
        <v>6689000</v>
      </c>
      <c r="M13" s="275">
        <v>1242980</v>
      </c>
      <c r="N13" s="275">
        <v>6717000</v>
      </c>
      <c r="O13" s="275">
        <v>1249340</v>
      </c>
      <c r="P13" s="275">
        <v>6944035</v>
      </c>
      <c r="Q13" s="275">
        <v>1320340</v>
      </c>
      <c r="R13" s="275">
        <v>7212000</v>
      </c>
      <c r="S13" s="274">
        <v>592360</v>
      </c>
      <c r="T13" s="288">
        <v>7094000</v>
      </c>
      <c r="U13" s="275">
        <v>1379260</v>
      </c>
      <c r="V13" s="275">
        <v>7094000</v>
      </c>
      <c r="W13" s="275">
        <v>1379260</v>
      </c>
      <c r="X13" s="275">
        <v>7094000</v>
      </c>
      <c r="Y13" s="275">
        <v>1379260</v>
      </c>
      <c r="Z13" s="275">
        <v>7094000</v>
      </c>
      <c r="AA13" s="275">
        <v>1379260</v>
      </c>
      <c r="AB13" s="275">
        <v>7094000</v>
      </c>
      <c r="AC13" s="275">
        <v>1379260</v>
      </c>
      <c r="AD13" s="275">
        <v>7094000</v>
      </c>
      <c r="AE13" s="274">
        <v>603230</v>
      </c>
    </row>
    <row r="14" spans="1:31" ht="21" customHeight="1">
      <c r="A14" s="286" t="s">
        <v>2119</v>
      </c>
      <c r="B14" s="285" t="s">
        <v>2118</v>
      </c>
      <c r="C14" s="285" t="s">
        <v>977</v>
      </c>
      <c r="D14" s="284" t="s">
        <v>2095</v>
      </c>
      <c r="E14" s="283" t="s">
        <v>2117</v>
      </c>
      <c r="F14" s="282">
        <f>H14+J14+L14+N14+P14+R14+T14+V14+X14+Z14+AB14+AD14</f>
        <v>32660228</v>
      </c>
      <c r="G14" s="281">
        <f>I14+K14+M14+O14+Q14+S14+U14+W14+Y14+AA14+AC14+AE14</f>
        <v>3434430</v>
      </c>
      <c r="H14" s="277">
        <v>0</v>
      </c>
      <c r="I14" s="276">
        <v>0</v>
      </c>
      <c r="J14" s="275">
        <v>3008000</v>
      </c>
      <c r="K14" s="275">
        <v>337590</v>
      </c>
      <c r="L14" s="275">
        <v>3015000</v>
      </c>
      <c r="M14" s="275">
        <v>327320</v>
      </c>
      <c r="N14" s="275">
        <v>3008000</v>
      </c>
      <c r="O14" s="275">
        <v>326040</v>
      </c>
      <c r="P14" s="275">
        <v>3008000</v>
      </c>
      <c r="Q14" s="275">
        <v>326040</v>
      </c>
      <c r="R14" s="275">
        <v>2808001</v>
      </c>
      <c r="S14" s="274">
        <v>254020</v>
      </c>
      <c r="T14" s="288">
        <v>3010000</v>
      </c>
      <c r="U14" s="275">
        <v>327080</v>
      </c>
      <c r="V14" s="275">
        <v>2913227</v>
      </c>
      <c r="W14" s="275">
        <v>312920</v>
      </c>
      <c r="X14" s="275">
        <v>3010000</v>
      </c>
      <c r="Y14" s="275">
        <v>327080</v>
      </c>
      <c r="Z14" s="275">
        <v>3010000</v>
      </c>
      <c r="AA14" s="275">
        <v>327080</v>
      </c>
      <c r="AB14" s="275">
        <v>2860000</v>
      </c>
      <c r="AC14" s="275">
        <v>305600</v>
      </c>
      <c r="AD14" s="275">
        <v>3010000</v>
      </c>
      <c r="AE14" s="274">
        <v>263660</v>
      </c>
    </row>
    <row r="15" spans="1:31" ht="21" customHeight="1">
      <c r="A15" s="286" t="s">
        <v>2116</v>
      </c>
      <c r="B15" s="285" t="s">
        <v>2115</v>
      </c>
      <c r="C15" s="285" t="s">
        <v>2434</v>
      </c>
      <c r="D15" s="284" t="s">
        <v>2095</v>
      </c>
      <c r="E15" s="283" t="s">
        <v>2114</v>
      </c>
      <c r="F15" s="282">
        <v>2958744</v>
      </c>
      <c r="G15" s="281">
        <v>220830</v>
      </c>
      <c r="H15" s="277">
        <v>0</v>
      </c>
      <c r="I15" s="276">
        <v>0</v>
      </c>
      <c r="J15" s="276">
        <v>0</v>
      </c>
      <c r="K15" s="276">
        <v>0</v>
      </c>
      <c r="L15" s="276">
        <v>0</v>
      </c>
      <c r="M15" s="276">
        <v>0</v>
      </c>
      <c r="N15" s="275">
        <v>1991001</v>
      </c>
      <c r="O15" s="275">
        <v>32850</v>
      </c>
      <c r="P15" s="275">
        <v>967743</v>
      </c>
      <c r="Q15" s="275">
        <v>187980</v>
      </c>
      <c r="R15" s="276">
        <v>0</v>
      </c>
      <c r="S15" s="287">
        <v>0</v>
      </c>
      <c r="T15" s="277">
        <v>0</v>
      </c>
      <c r="U15" s="276">
        <v>0</v>
      </c>
      <c r="V15" s="276">
        <v>0</v>
      </c>
      <c r="W15" s="276">
        <v>0</v>
      </c>
      <c r="X15" s="276">
        <v>0</v>
      </c>
      <c r="Y15" s="276">
        <v>0</v>
      </c>
      <c r="Z15" s="276">
        <v>0</v>
      </c>
      <c r="AA15" s="276">
        <v>0</v>
      </c>
      <c r="AB15" s="276">
        <v>0</v>
      </c>
      <c r="AC15" s="276">
        <v>0</v>
      </c>
      <c r="AD15" s="276">
        <v>0</v>
      </c>
      <c r="AE15" s="287">
        <v>0</v>
      </c>
    </row>
    <row r="16" spans="1:31" ht="21" customHeight="1">
      <c r="A16" s="286" t="s">
        <v>2113</v>
      </c>
      <c r="B16" s="285" t="s">
        <v>2112</v>
      </c>
      <c r="C16" s="285" t="s">
        <v>977</v>
      </c>
      <c r="D16" s="284" t="s">
        <v>2111</v>
      </c>
      <c r="E16" s="283" t="s">
        <v>2110</v>
      </c>
      <c r="F16" s="282">
        <f t="shared" ref="F16:G21" si="0">H16+J16+L16+N16+P16+R16+T16+V16+X16+Z16+AB16+AD16</f>
        <v>27102335</v>
      </c>
      <c r="G16" s="281">
        <f t="shared" si="0"/>
        <v>3169970</v>
      </c>
      <c r="H16" s="277">
        <v>0</v>
      </c>
      <c r="I16" s="276">
        <v>0</v>
      </c>
      <c r="J16" s="276">
        <v>0</v>
      </c>
      <c r="K16" s="276">
        <v>0</v>
      </c>
      <c r="L16" s="276">
        <v>0</v>
      </c>
      <c r="M16" s="276">
        <v>0</v>
      </c>
      <c r="N16" s="276">
        <v>0</v>
      </c>
      <c r="O16" s="276">
        <v>0</v>
      </c>
      <c r="P16" s="276">
        <v>0</v>
      </c>
      <c r="Q16" s="276">
        <v>0</v>
      </c>
      <c r="R16" s="275">
        <v>2541335</v>
      </c>
      <c r="S16" s="274">
        <v>21660</v>
      </c>
      <c r="T16" s="288">
        <v>4010000</v>
      </c>
      <c r="U16" s="275">
        <v>543830</v>
      </c>
      <c r="V16" s="275">
        <v>4010000</v>
      </c>
      <c r="W16" s="275">
        <v>543830</v>
      </c>
      <c r="X16" s="275">
        <v>4010000</v>
      </c>
      <c r="Y16" s="275">
        <v>543830</v>
      </c>
      <c r="Z16" s="275">
        <v>4177000</v>
      </c>
      <c r="AA16" s="275">
        <v>575500</v>
      </c>
      <c r="AB16" s="275">
        <v>4177000</v>
      </c>
      <c r="AC16" s="275">
        <v>575500</v>
      </c>
      <c r="AD16" s="275">
        <v>4177000</v>
      </c>
      <c r="AE16" s="274">
        <v>365820</v>
      </c>
    </row>
    <row r="17" spans="1:31" ht="21" customHeight="1">
      <c r="A17" s="286" t="s">
        <v>2109</v>
      </c>
      <c r="B17" s="285" t="s">
        <v>2108</v>
      </c>
      <c r="C17" s="285" t="s">
        <v>977</v>
      </c>
      <c r="D17" s="284" t="s">
        <v>2095</v>
      </c>
      <c r="E17" s="283" t="s">
        <v>2107</v>
      </c>
      <c r="F17" s="282">
        <f t="shared" si="0"/>
        <v>13418944</v>
      </c>
      <c r="G17" s="281">
        <f t="shared" si="0"/>
        <v>1120810</v>
      </c>
      <c r="H17" s="280">
        <v>0</v>
      </c>
      <c r="I17" s="279">
        <v>0</v>
      </c>
      <c r="J17" s="279">
        <v>0</v>
      </c>
      <c r="K17" s="279">
        <v>0</v>
      </c>
      <c r="L17" s="279">
        <v>0</v>
      </c>
      <c r="M17" s="279">
        <v>0</v>
      </c>
      <c r="N17" s="279">
        <v>0</v>
      </c>
      <c r="O17" s="279">
        <v>0</v>
      </c>
      <c r="P17" s="279">
        <v>0</v>
      </c>
      <c r="Q17" s="279">
        <v>0</v>
      </c>
      <c r="R17" s="279">
        <v>0</v>
      </c>
      <c r="S17" s="278">
        <v>0</v>
      </c>
      <c r="T17" s="277">
        <v>0</v>
      </c>
      <c r="U17" s="276">
        <v>0</v>
      </c>
      <c r="V17" s="275">
        <v>2227744</v>
      </c>
      <c r="W17" s="275">
        <v>41740</v>
      </c>
      <c r="X17" s="275">
        <v>2760000</v>
      </c>
      <c r="Y17" s="275">
        <v>281570</v>
      </c>
      <c r="Z17" s="275">
        <v>2760000</v>
      </c>
      <c r="AA17" s="275">
        <v>281570</v>
      </c>
      <c r="AB17" s="275">
        <v>2827200</v>
      </c>
      <c r="AC17" s="275">
        <v>288980</v>
      </c>
      <c r="AD17" s="275">
        <v>2844000</v>
      </c>
      <c r="AE17" s="274">
        <v>226950</v>
      </c>
    </row>
    <row r="18" spans="1:31" ht="21" customHeight="1">
      <c r="A18" s="286" t="s">
        <v>2106</v>
      </c>
      <c r="B18" s="285" t="s">
        <v>2105</v>
      </c>
      <c r="C18" s="285" t="s">
        <v>2434</v>
      </c>
      <c r="D18" s="284" t="s">
        <v>2095</v>
      </c>
      <c r="E18" s="283" t="s">
        <v>2104</v>
      </c>
      <c r="F18" s="282">
        <f t="shared" si="0"/>
        <v>13042600</v>
      </c>
      <c r="G18" s="281">
        <f t="shared" si="0"/>
        <v>916150</v>
      </c>
      <c r="H18" s="280">
        <v>0</v>
      </c>
      <c r="I18" s="279">
        <v>0</v>
      </c>
      <c r="J18" s="279">
        <v>0</v>
      </c>
      <c r="K18" s="279">
        <v>0</v>
      </c>
      <c r="L18" s="279">
        <v>0</v>
      </c>
      <c r="M18" s="279">
        <v>0</v>
      </c>
      <c r="N18" s="279">
        <v>0</v>
      </c>
      <c r="O18" s="279">
        <v>0</v>
      </c>
      <c r="P18" s="279">
        <v>0</v>
      </c>
      <c r="Q18" s="279">
        <v>0</v>
      </c>
      <c r="R18" s="279">
        <v>0</v>
      </c>
      <c r="S18" s="278">
        <v>0</v>
      </c>
      <c r="T18" s="277">
        <v>0</v>
      </c>
      <c r="U18" s="276">
        <v>0</v>
      </c>
      <c r="V18" s="276">
        <v>0</v>
      </c>
      <c r="W18" s="276">
        <v>0</v>
      </c>
      <c r="X18" s="275">
        <v>2410300</v>
      </c>
      <c r="Y18" s="275">
        <v>49220</v>
      </c>
      <c r="Z18" s="275">
        <v>2677000</v>
      </c>
      <c r="AA18" s="275">
        <v>270430</v>
      </c>
      <c r="AB18" s="275">
        <v>2677000</v>
      </c>
      <c r="AC18" s="275">
        <v>270430</v>
      </c>
      <c r="AD18" s="275">
        <v>5278300</v>
      </c>
      <c r="AE18" s="274">
        <v>326070</v>
      </c>
    </row>
    <row r="19" spans="1:31" ht="21" customHeight="1">
      <c r="A19" s="286" t="s">
        <v>2103</v>
      </c>
      <c r="B19" s="285" t="s">
        <v>2102</v>
      </c>
      <c r="C19" s="285" t="s">
        <v>2434</v>
      </c>
      <c r="D19" s="284" t="s">
        <v>2095</v>
      </c>
      <c r="E19" s="283" t="s">
        <v>2101</v>
      </c>
      <c r="F19" s="282">
        <f t="shared" si="0"/>
        <v>14732840</v>
      </c>
      <c r="G19" s="281">
        <f t="shared" si="0"/>
        <v>1500890</v>
      </c>
      <c r="H19" s="280">
        <v>0</v>
      </c>
      <c r="I19" s="279">
        <v>0</v>
      </c>
      <c r="J19" s="279">
        <v>0</v>
      </c>
      <c r="K19" s="279">
        <v>0</v>
      </c>
      <c r="L19" s="279">
        <v>0</v>
      </c>
      <c r="M19" s="279">
        <v>0</v>
      </c>
      <c r="N19" s="279">
        <v>0</v>
      </c>
      <c r="O19" s="279">
        <v>0</v>
      </c>
      <c r="P19" s="279">
        <v>0</v>
      </c>
      <c r="Q19" s="279">
        <v>0</v>
      </c>
      <c r="R19" s="279">
        <v>0</v>
      </c>
      <c r="S19" s="278">
        <v>0</v>
      </c>
      <c r="T19" s="277">
        <v>0</v>
      </c>
      <c r="U19" s="276">
        <v>0</v>
      </c>
      <c r="V19" s="275">
        <v>287452</v>
      </c>
      <c r="W19" s="275">
        <v>2320</v>
      </c>
      <c r="X19" s="275">
        <v>2877000</v>
      </c>
      <c r="Y19" s="275">
        <v>301380</v>
      </c>
      <c r="Z19" s="275">
        <v>2877000</v>
      </c>
      <c r="AA19" s="275">
        <v>301380</v>
      </c>
      <c r="AB19" s="275">
        <v>5097388</v>
      </c>
      <c r="AC19" s="275">
        <v>710420</v>
      </c>
      <c r="AD19" s="275">
        <v>3594000</v>
      </c>
      <c r="AE19" s="274">
        <v>185390</v>
      </c>
    </row>
    <row r="20" spans="1:31" ht="21" customHeight="1">
      <c r="A20" s="286" t="s">
        <v>2100</v>
      </c>
      <c r="B20" s="285" t="s">
        <v>2099</v>
      </c>
      <c r="C20" s="285" t="s">
        <v>2434</v>
      </c>
      <c r="D20" s="284" t="s">
        <v>2095</v>
      </c>
      <c r="E20" s="283" t="s">
        <v>2098</v>
      </c>
      <c r="F20" s="282">
        <f t="shared" si="0"/>
        <v>847335</v>
      </c>
      <c r="G20" s="281">
        <f t="shared" si="0"/>
        <v>7200</v>
      </c>
      <c r="H20" s="280">
        <v>0</v>
      </c>
      <c r="I20" s="279">
        <v>0</v>
      </c>
      <c r="J20" s="279">
        <v>0</v>
      </c>
      <c r="K20" s="279">
        <v>0</v>
      </c>
      <c r="L20" s="279">
        <v>0</v>
      </c>
      <c r="M20" s="279">
        <v>0</v>
      </c>
      <c r="N20" s="279">
        <v>0</v>
      </c>
      <c r="O20" s="279">
        <v>0</v>
      </c>
      <c r="P20" s="279">
        <v>0</v>
      </c>
      <c r="Q20" s="279">
        <v>0</v>
      </c>
      <c r="R20" s="279">
        <v>0</v>
      </c>
      <c r="S20" s="278">
        <v>0</v>
      </c>
      <c r="T20" s="277">
        <v>0</v>
      </c>
      <c r="U20" s="276">
        <v>0</v>
      </c>
      <c r="V20" s="276">
        <v>0</v>
      </c>
      <c r="W20" s="276">
        <v>0</v>
      </c>
      <c r="X20" s="276">
        <v>0</v>
      </c>
      <c r="Y20" s="276">
        <v>0</v>
      </c>
      <c r="Z20" s="276">
        <v>0</v>
      </c>
      <c r="AA20" s="276">
        <v>0</v>
      </c>
      <c r="AB20" s="275">
        <v>847335</v>
      </c>
      <c r="AC20" s="275">
        <v>7200</v>
      </c>
      <c r="AD20" s="276">
        <v>0</v>
      </c>
      <c r="AE20" s="287">
        <v>0</v>
      </c>
    </row>
    <row r="21" spans="1:31" ht="21" customHeight="1">
      <c r="A21" s="286" t="s">
        <v>2097</v>
      </c>
      <c r="B21" s="285" t="s">
        <v>2096</v>
      </c>
      <c r="C21" s="285" t="s">
        <v>977</v>
      </c>
      <c r="D21" s="284" t="s">
        <v>2095</v>
      </c>
      <c r="E21" s="283" t="s">
        <v>2094</v>
      </c>
      <c r="F21" s="282">
        <f t="shared" si="0"/>
        <v>4348375</v>
      </c>
      <c r="G21" s="281">
        <f t="shared" si="0"/>
        <v>37330</v>
      </c>
      <c r="H21" s="280">
        <v>0</v>
      </c>
      <c r="I21" s="279">
        <v>0</v>
      </c>
      <c r="J21" s="279">
        <v>0</v>
      </c>
      <c r="K21" s="279">
        <v>0</v>
      </c>
      <c r="L21" s="279">
        <v>0</v>
      </c>
      <c r="M21" s="279">
        <v>0</v>
      </c>
      <c r="N21" s="279">
        <v>0</v>
      </c>
      <c r="O21" s="279">
        <v>0</v>
      </c>
      <c r="P21" s="279">
        <v>0</v>
      </c>
      <c r="Q21" s="279">
        <v>0</v>
      </c>
      <c r="R21" s="279">
        <v>0</v>
      </c>
      <c r="S21" s="278">
        <v>0</v>
      </c>
      <c r="T21" s="277">
        <v>0</v>
      </c>
      <c r="U21" s="276">
        <v>0</v>
      </c>
      <c r="V21" s="276">
        <v>0</v>
      </c>
      <c r="W21" s="276">
        <v>0</v>
      </c>
      <c r="X21" s="276">
        <v>0</v>
      </c>
      <c r="Y21" s="276">
        <v>0</v>
      </c>
      <c r="Z21" s="276">
        <v>0</v>
      </c>
      <c r="AA21" s="276">
        <v>0</v>
      </c>
      <c r="AB21" s="276">
        <v>0</v>
      </c>
      <c r="AC21" s="276">
        <v>0</v>
      </c>
      <c r="AD21" s="275">
        <v>4348375</v>
      </c>
      <c r="AE21" s="274">
        <v>37330</v>
      </c>
    </row>
    <row r="22" spans="1:31" ht="17.25" customHeight="1" thickBot="1">
      <c r="A22" s="803" t="s">
        <v>2093</v>
      </c>
      <c r="B22" s="804"/>
      <c r="C22" s="273"/>
      <c r="D22" s="805" t="s">
        <v>2092</v>
      </c>
      <c r="E22" s="806"/>
      <c r="F22" s="272">
        <f t="shared" ref="F22:AE22" si="1">SUM(F3:F21)</f>
        <v>523409232</v>
      </c>
      <c r="G22" s="270">
        <f t="shared" si="1"/>
        <v>73085900</v>
      </c>
      <c r="H22" s="272">
        <f t="shared" si="1"/>
        <v>55598194</v>
      </c>
      <c r="I22" s="271">
        <f t="shared" si="1"/>
        <v>13773720</v>
      </c>
      <c r="J22" s="271">
        <f t="shared" si="1"/>
        <v>44622755</v>
      </c>
      <c r="K22" s="271">
        <f t="shared" si="1"/>
        <v>-2382440</v>
      </c>
      <c r="L22" s="271">
        <f t="shared" si="1"/>
        <v>47106839</v>
      </c>
      <c r="M22" s="271">
        <f t="shared" si="1"/>
        <v>6785380</v>
      </c>
      <c r="N22" s="271">
        <f t="shared" si="1"/>
        <v>47684122</v>
      </c>
      <c r="O22" s="271">
        <f t="shared" si="1"/>
        <v>6574760</v>
      </c>
      <c r="P22" s="271">
        <f t="shared" si="1"/>
        <v>44463097</v>
      </c>
      <c r="Q22" s="271">
        <f t="shared" si="1"/>
        <v>6088340</v>
      </c>
      <c r="R22" s="271">
        <f t="shared" si="1"/>
        <v>32820204</v>
      </c>
      <c r="S22" s="270">
        <f t="shared" si="1"/>
        <v>2447140</v>
      </c>
      <c r="T22" s="269">
        <f t="shared" si="1"/>
        <v>34529496</v>
      </c>
      <c r="U22" s="268">
        <f t="shared" si="1"/>
        <v>5428500</v>
      </c>
      <c r="V22" s="268">
        <f t="shared" si="1"/>
        <v>35905744</v>
      </c>
      <c r="W22" s="268">
        <f t="shared" si="1"/>
        <v>5247020</v>
      </c>
      <c r="X22" s="268">
        <f t="shared" si="1"/>
        <v>47539621</v>
      </c>
      <c r="Y22" s="268">
        <f t="shared" si="1"/>
        <v>13540310</v>
      </c>
      <c r="Z22" s="268">
        <f t="shared" si="1"/>
        <v>41499214</v>
      </c>
      <c r="AA22" s="268">
        <f t="shared" si="1"/>
        <v>6005940</v>
      </c>
      <c r="AB22" s="268">
        <f t="shared" si="1"/>
        <v>44519323</v>
      </c>
      <c r="AC22" s="268">
        <f t="shared" si="1"/>
        <v>6196520</v>
      </c>
      <c r="AD22" s="268">
        <f t="shared" si="1"/>
        <v>47120623</v>
      </c>
      <c r="AE22" s="267">
        <f t="shared" si="1"/>
        <v>3380710</v>
      </c>
    </row>
    <row r="23" spans="1:31" s="253" customFormat="1" ht="22.5" customHeight="1" thickBot="1">
      <c r="A23" s="266"/>
      <c r="B23" s="265" t="s">
        <v>2091</v>
      </c>
      <c r="C23" s="265"/>
      <c r="D23" s="264"/>
      <c r="E23" s="263"/>
      <c r="F23" s="262">
        <f>H23+J23+L23+N23+P23+R23+T23+V23+X23+Z23+AB23+AD23</f>
        <v>272295211</v>
      </c>
      <c r="G23" s="261">
        <f>I23+K23+M23+O23+Q23+S23+U23+W23+Y23+AA23+AC23+AE23</f>
        <v>33286900</v>
      </c>
      <c r="H23" s="260">
        <f t="shared" ref="H23:S23" si="2">SUM(H3:H21)</f>
        <v>55598194</v>
      </c>
      <c r="I23" s="259">
        <f t="shared" si="2"/>
        <v>13773720</v>
      </c>
      <c r="J23" s="259">
        <f t="shared" si="2"/>
        <v>44622755</v>
      </c>
      <c r="K23" s="259">
        <f t="shared" si="2"/>
        <v>-2382440</v>
      </c>
      <c r="L23" s="259">
        <f t="shared" si="2"/>
        <v>47106839</v>
      </c>
      <c r="M23" s="259">
        <f t="shared" si="2"/>
        <v>6785380</v>
      </c>
      <c r="N23" s="259">
        <f t="shared" si="2"/>
        <v>47684122</v>
      </c>
      <c r="O23" s="259">
        <f t="shared" si="2"/>
        <v>6574760</v>
      </c>
      <c r="P23" s="259">
        <f t="shared" si="2"/>
        <v>44463097</v>
      </c>
      <c r="Q23" s="259">
        <f t="shared" si="2"/>
        <v>6088340</v>
      </c>
      <c r="R23" s="259">
        <f t="shared" si="2"/>
        <v>32820204</v>
      </c>
      <c r="S23" s="258">
        <f t="shared" si="2"/>
        <v>2447140</v>
      </c>
      <c r="T23" s="254"/>
      <c r="U23" s="254"/>
      <c r="V23" s="254"/>
      <c r="W23" s="254"/>
      <c r="X23" s="254"/>
      <c r="Y23" s="254"/>
      <c r="Z23" s="254"/>
      <c r="AA23" s="254"/>
      <c r="AB23" s="254"/>
      <c r="AC23" s="254"/>
      <c r="AD23" s="254"/>
      <c r="AE23" s="254"/>
    </row>
    <row r="24" spans="1:31" s="253" customFormat="1" ht="22.5" customHeight="1">
      <c r="A24" s="256"/>
      <c r="B24" s="257" t="s">
        <v>2090</v>
      </c>
      <c r="C24" s="257"/>
      <c r="D24" s="256"/>
      <c r="E24" s="256"/>
      <c r="F24" s="255">
        <f>T22+V22+X22+Z22+AB22+AD22</f>
        <v>251114021</v>
      </c>
      <c r="G24" s="255"/>
      <c r="H24" s="255"/>
      <c r="I24" s="255"/>
      <c r="J24" s="255"/>
      <c r="K24" s="255"/>
      <c r="L24" s="255"/>
      <c r="M24" s="255"/>
      <c r="N24" s="255"/>
      <c r="O24" s="255"/>
      <c r="P24" s="255"/>
      <c r="Q24" s="255"/>
      <c r="R24" s="255"/>
      <c r="S24" s="255"/>
      <c r="T24" s="254"/>
      <c r="U24" s="254"/>
      <c r="V24" s="254"/>
      <c r="W24" s="254"/>
      <c r="X24" s="254"/>
      <c r="Y24" s="254"/>
      <c r="Z24" s="254"/>
      <c r="AA24" s="254"/>
      <c r="AB24" s="254"/>
      <c r="AC24" s="254"/>
      <c r="AD24" s="254"/>
      <c r="AE24" s="254"/>
    </row>
    <row r="25" spans="1:31" ht="13.5" customHeight="1"/>
    <row r="26" spans="1:31" ht="21" customHeight="1"/>
    <row r="27" spans="1:31" ht="21" customHeight="1"/>
    <row r="28" spans="1:31" ht="21" customHeight="1"/>
    <row r="29" spans="1:31" ht="21" customHeight="1"/>
    <row r="30" spans="1:31" ht="21" customHeight="1"/>
    <row r="31" spans="1:31" ht="21" customHeight="1"/>
    <row r="32" spans="1:31" ht="21" customHeight="1"/>
    <row r="33" ht="21" customHeight="1"/>
    <row r="34" ht="21" customHeight="1"/>
    <row r="35" ht="21" customHeight="1"/>
    <row r="36" ht="21" customHeight="1"/>
    <row r="37" ht="21" customHeight="1"/>
  </sheetData>
  <mergeCells count="19">
    <mergeCell ref="P1:Q1"/>
    <mergeCell ref="R1:S1"/>
    <mergeCell ref="T1:U1"/>
    <mergeCell ref="A1:A2"/>
    <mergeCell ref="B1:B2"/>
    <mergeCell ref="C1:C2"/>
    <mergeCell ref="D1:E2"/>
    <mergeCell ref="F1:G1"/>
    <mergeCell ref="H1:I1"/>
    <mergeCell ref="V1:W1"/>
    <mergeCell ref="X1:Y1"/>
    <mergeCell ref="Z1:AA1"/>
    <mergeCell ref="AB1:AC1"/>
    <mergeCell ref="AD1:AE1"/>
    <mergeCell ref="A22:B22"/>
    <mergeCell ref="D22:E22"/>
    <mergeCell ref="J1:K1"/>
    <mergeCell ref="L1:M1"/>
    <mergeCell ref="N1:O1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B360-80FE-4F24-BA38-8702241956D3}">
  <sheetPr>
    <tabColor theme="9" tint="-0.499984740745262"/>
  </sheetPr>
  <dimension ref="B1:L182"/>
  <sheetViews>
    <sheetView tabSelected="1" zoomScaleNormal="100" workbookViewId="0">
      <pane xSplit="3" ySplit="1" topLeftCell="D2" activePane="bottomRight" state="frozen"/>
      <selection activeCell="I74" sqref="I74"/>
      <selection pane="topRight" activeCell="I74" sqref="I74"/>
      <selection pane="bottomLeft" activeCell="I74" sqref="I74"/>
      <selection pane="bottomRight" activeCell="G32" sqref="G32"/>
    </sheetView>
  </sheetViews>
  <sheetFormatPr defaultColWidth="9.42578125" defaultRowHeight="20.25"/>
  <cols>
    <col min="1" max="1" width="3.5703125" style="42" customWidth="1"/>
    <col min="2" max="2" width="14.42578125" style="42" customWidth="1"/>
    <col min="3" max="3" width="17.140625" style="42" customWidth="1"/>
    <col min="4" max="4" width="17.28515625" style="42" customWidth="1"/>
    <col min="5" max="10" width="17.42578125" style="42" customWidth="1"/>
    <col min="11" max="11" width="20.5703125" style="42" customWidth="1"/>
    <col min="12" max="12" width="16.42578125" style="437" customWidth="1"/>
    <col min="13" max="16384" width="9.42578125" style="42"/>
  </cols>
  <sheetData>
    <row r="1" spans="2:12" s="50" customFormat="1" ht="16.5"/>
    <row r="2" spans="2:12" s="50" customFormat="1" ht="21" thickBot="1">
      <c r="B2" s="444" t="s">
        <v>2203</v>
      </c>
      <c r="D2" s="50" t="s">
        <v>904</v>
      </c>
      <c r="J2" s="443" t="s">
        <v>906</v>
      </c>
      <c r="L2" s="437"/>
    </row>
    <row r="3" spans="2:12" s="50" customFormat="1">
      <c r="B3" s="832" t="s">
        <v>982</v>
      </c>
      <c r="C3" s="833"/>
      <c r="D3" s="514" t="s">
        <v>2202</v>
      </c>
      <c r="E3" s="514" t="s">
        <v>985</v>
      </c>
      <c r="F3" s="514" t="s">
        <v>986</v>
      </c>
      <c r="G3" s="514" t="s">
        <v>987</v>
      </c>
      <c r="H3" s="514" t="s">
        <v>988</v>
      </c>
      <c r="I3" s="514" t="s">
        <v>989</v>
      </c>
      <c r="J3" s="514" t="s">
        <v>984</v>
      </c>
      <c r="K3" s="636" t="s">
        <v>332</v>
      </c>
      <c r="L3" s="437"/>
    </row>
    <row r="4" spans="2:12" s="50" customFormat="1">
      <c r="B4" s="834" t="s">
        <v>990</v>
      </c>
      <c r="C4" s="835"/>
      <c r="D4" s="556">
        <f>SUM(D5:D14)</f>
        <v>-1520416711</v>
      </c>
      <c r="E4" s="556">
        <f t="shared" ref="E4:J4" si="0">SUM(E5:E14)</f>
        <v>273007974.61023009</v>
      </c>
      <c r="F4" s="556">
        <f t="shared" si="0"/>
        <v>3832275428.8555169</v>
      </c>
      <c r="G4" s="556">
        <f t="shared" si="0"/>
        <v>3508118807.1149702</v>
      </c>
      <c r="H4" s="556">
        <f t="shared" si="0"/>
        <v>3172589252.2115908</v>
      </c>
      <c r="I4" s="556">
        <f t="shared" si="0"/>
        <v>3442330725.8179522</v>
      </c>
      <c r="J4" s="556">
        <f t="shared" si="0"/>
        <v>14228322188.610262</v>
      </c>
      <c r="K4" s="637"/>
      <c r="L4" s="437"/>
    </row>
    <row r="5" spans="2:12" s="50" customFormat="1">
      <c r="B5" s="826" t="s">
        <v>977</v>
      </c>
      <c r="C5" s="827"/>
      <c r="D5" s="655">
        <f t="shared" ref="D5:I5" si="1">D30-D39-D56</f>
        <v>-447990942</v>
      </c>
      <c r="E5" s="655">
        <f t="shared" si="1"/>
        <v>-754930670.25999999</v>
      </c>
      <c r="F5" s="655">
        <f t="shared" si="1"/>
        <v>-777578590.36780012</v>
      </c>
      <c r="G5" s="655">
        <f t="shared" si="1"/>
        <v>-800905948.07883406</v>
      </c>
      <c r="H5" s="655">
        <f t="shared" si="1"/>
        <v>-824933126.52119911</v>
      </c>
      <c r="I5" s="655">
        <f t="shared" si="1"/>
        <v>-849681120.31683505</v>
      </c>
      <c r="J5" s="656">
        <f>SUM(E5:I5)</f>
        <v>-4008029455.5446682</v>
      </c>
      <c r="K5" s="657"/>
      <c r="L5" s="437"/>
    </row>
    <row r="6" spans="2:12" s="50" customFormat="1">
      <c r="B6" s="653" t="s">
        <v>966</v>
      </c>
      <c r="C6" s="654" t="s">
        <v>2192</v>
      </c>
      <c r="D6" s="655">
        <f t="shared" ref="D6:I14" si="2">D21-D40-D57</f>
        <v>374156522</v>
      </c>
      <c r="E6" s="655">
        <f t="shared" si="2"/>
        <v>904551124.74903297</v>
      </c>
      <c r="F6" s="655">
        <f t="shared" si="2"/>
        <v>988009492.04610491</v>
      </c>
      <c r="G6" s="655">
        <f t="shared" si="2"/>
        <v>1021293291.7834878</v>
      </c>
      <c r="H6" s="655">
        <f t="shared" si="2"/>
        <v>1111462033.6930289</v>
      </c>
      <c r="I6" s="655">
        <f t="shared" si="2"/>
        <v>1206012430.7052574</v>
      </c>
      <c r="J6" s="656">
        <f>SUM(E6:I6)</f>
        <v>5231328372.9769115</v>
      </c>
      <c r="K6" s="657"/>
      <c r="L6" s="437"/>
    </row>
    <row r="7" spans="2:12" s="50" customFormat="1">
      <c r="B7" s="653" t="s">
        <v>968</v>
      </c>
      <c r="C7" s="654" t="s">
        <v>2191</v>
      </c>
      <c r="D7" s="655">
        <f t="shared" si="2"/>
        <v>-1282332765</v>
      </c>
      <c r="E7" s="655">
        <f t="shared" si="2"/>
        <v>-345581395.03884387</v>
      </c>
      <c r="F7" s="655">
        <f t="shared" si="2"/>
        <v>0</v>
      </c>
      <c r="G7" s="655">
        <f t="shared" si="2"/>
        <v>0</v>
      </c>
      <c r="H7" s="655">
        <f t="shared" si="2"/>
        <v>0</v>
      </c>
      <c r="I7" s="655">
        <f t="shared" si="2"/>
        <v>0</v>
      </c>
      <c r="J7" s="656">
        <f t="shared" ref="J7:J14" si="3">SUM(E7:I7)</f>
        <v>-345581395.03884387</v>
      </c>
      <c r="K7" s="657"/>
      <c r="L7" s="437"/>
    </row>
    <row r="8" spans="2:12" s="50" customFormat="1">
      <c r="B8" s="653" t="s">
        <v>970</v>
      </c>
      <c r="C8" s="654" t="s">
        <v>2190</v>
      </c>
      <c r="D8" s="655">
        <f t="shared" si="2"/>
        <v>107667435</v>
      </c>
      <c r="E8" s="655">
        <f t="shared" si="2"/>
        <v>200395114.33967853</v>
      </c>
      <c r="F8" s="655">
        <f t="shared" si="2"/>
        <v>234844277.52526855</v>
      </c>
      <c r="G8" s="655">
        <f t="shared" si="2"/>
        <v>246029313.32252669</v>
      </c>
      <c r="H8" s="655">
        <f t="shared" si="2"/>
        <v>283327226.45669174</v>
      </c>
      <c r="I8" s="655">
        <f t="shared" si="2"/>
        <v>322517396.7727716</v>
      </c>
      <c r="J8" s="656">
        <f t="shared" si="3"/>
        <v>1287113328.4169371</v>
      </c>
      <c r="K8" s="657"/>
      <c r="L8" s="437"/>
    </row>
    <row r="9" spans="2:12" s="50" customFormat="1">
      <c r="B9" s="653" t="s">
        <v>972</v>
      </c>
      <c r="C9" s="654" t="s">
        <v>2193</v>
      </c>
      <c r="D9" s="655">
        <f t="shared" si="2"/>
        <v>-258531585</v>
      </c>
      <c r="E9" s="655">
        <f t="shared" si="2"/>
        <v>-30114230.343382597</v>
      </c>
      <c r="F9" s="655">
        <f t="shared" si="2"/>
        <v>70823340.856422424</v>
      </c>
      <c r="G9" s="655">
        <f t="shared" si="2"/>
        <v>29160444.870864868</v>
      </c>
      <c r="H9" s="655">
        <f t="shared" si="2"/>
        <v>67199492.767261267</v>
      </c>
      <c r="I9" s="655">
        <f t="shared" si="2"/>
        <v>107070142.02339482</v>
      </c>
      <c r="J9" s="656">
        <f t="shared" si="3"/>
        <v>244139190.17456079</v>
      </c>
      <c r="K9" s="657"/>
      <c r="L9" s="437"/>
    </row>
    <row r="10" spans="2:12" s="50" customFormat="1">
      <c r="B10" s="653" t="s">
        <v>974</v>
      </c>
      <c r="C10" s="654" t="s">
        <v>2194</v>
      </c>
      <c r="D10" s="655">
        <f t="shared" si="2"/>
        <v>-13385376</v>
      </c>
      <c r="E10" s="655">
        <f t="shared" si="2"/>
        <v>177845949.71911621</v>
      </c>
      <c r="F10" s="655">
        <f t="shared" si="2"/>
        <v>211477230.79453969</v>
      </c>
      <c r="G10" s="655">
        <f t="shared" si="2"/>
        <v>221691626.2126255</v>
      </c>
      <c r="H10" s="655">
        <f t="shared" si="2"/>
        <v>258125810.26991129</v>
      </c>
      <c r="I10" s="655">
        <f t="shared" si="2"/>
        <v>296430420.55221486</v>
      </c>
      <c r="J10" s="656">
        <f t="shared" si="3"/>
        <v>1165571037.5484076</v>
      </c>
      <c r="K10" s="657"/>
      <c r="L10" s="437"/>
    </row>
    <row r="11" spans="2:12" s="50" customFormat="1">
      <c r="B11" s="658" t="s">
        <v>992</v>
      </c>
      <c r="C11" s="659" t="s">
        <v>2391</v>
      </c>
      <c r="D11" s="660">
        <f t="shared" si="2"/>
        <v>0</v>
      </c>
      <c r="E11" s="660">
        <f t="shared" si="2"/>
        <v>98203482.529856443</v>
      </c>
      <c r="F11" s="660">
        <f t="shared" si="2"/>
        <v>327304717.24512339</v>
      </c>
      <c r="G11" s="660">
        <f t="shared" si="2"/>
        <v>337933858.76247692</v>
      </c>
      <c r="H11" s="660">
        <f t="shared" si="2"/>
        <v>348881874.52535105</v>
      </c>
      <c r="I11" s="660">
        <f t="shared" si="2"/>
        <v>360158330.76111174</v>
      </c>
      <c r="J11" s="661">
        <f t="shared" si="3"/>
        <v>1472482263.8239195</v>
      </c>
      <c r="K11" s="662" t="s">
        <v>2397</v>
      </c>
      <c r="L11" s="437"/>
    </row>
    <row r="12" spans="2:12" s="50" customFormat="1">
      <c r="B12" s="658" t="s">
        <v>2390</v>
      </c>
      <c r="C12" s="659" t="s">
        <v>2195</v>
      </c>
      <c r="D12" s="660">
        <f t="shared" si="2"/>
        <v>0</v>
      </c>
      <c r="E12" s="660">
        <f t="shared" si="2"/>
        <v>22638598.914772391</v>
      </c>
      <c r="F12" s="660">
        <f t="shared" si="2"/>
        <v>2471538559.1596413</v>
      </c>
      <c r="G12" s="660">
        <f t="shared" si="2"/>
        <v>1901238588.0094004</v>
      </c>
      <c r="H12" s="660">
        <f t="shared" si="2"/>
        <v>1350036622.3522758</v>
      </c>
      <c r="I12" s="660">
        <f t="shared" si="2"/>
        <v>1393717769.6228442</v>
      </c>
      <c r="J12" s="661">
        <f t="shared" si="3"/>
        <v>7139170138.0589352</v>
      </c>
      <c r="K12" s="662" t="s">
        <v>2398</v>
      </c>
      <c r="L12" s="437"/>
    </row>
    <row r="13" spans="2:12" s="50" customFormat="1">
      <c r="B13" s="512" t="s">
        <v>2393</v>
      </c>
      <c r="C13" s="53" t="s">
        <v>2395</v>
      </c>
      <c r="D13" s="647">
        <f t="shared" si="2"/>
        <v>0</v>
      </c>
      <c r="E13" s="647">
        <f t="shared" si="2"/>
        <v>0</v>
      </c>
      <c r="F13" s="647">
        <f t="shared" si="2"/>
        <v>273812817.1531527</v>
      </c>
      <c r="G13" s="647">
        <f t="shared" si="2"/>
        <v>268070131.88947892</v>
      </c>
      <c r="H13" s="647">
        <f t="shared" si="2"/>
        <v>281254654.0666008</v>
      </c>
      <c r="I13" s="647">
        <f t="shared" si="2"/>
        <v>294834711.90903664</v>
      </c>
      <c r="J13" s="648">
        <f t="shared" si="3"/>
        <v>1117972315.0182691</v>
      </c>
      <c r="K13" s="638" t="s">
        <v>2399</v>
      </c>
      <c r="L13" s="437"/>
    </row>
    <row r="14" spans="2:12" s="50" customFormat="1" ht="21" thickBot="1">
      <c r="B14" s="651" t="s">
        <v>2394</v>
      </c>
      <c r="C14" s="652" t="s">
        <v>2396</v>
      </c>
      <c r="D14" s="649">
        <f t="shared" si="2"/>
        <v>0</v>
      </c>
      <c r="E14" s="649">
        <f t="shared" si="2"/>
        <v>0</v>
      </c>
      <c r="F14" s="649">
        <f t="shared" si="2"/>
        <v>32043584.443064153</v>
      </c>
      <c r="G14" s="649">
        <f t="shared" si="2"/>
        <v>283607500.34294295</v>
      </c>
      <c r="H14" s="649">
        <f t="shared" si="2"/>
        <v>297234664.6016686</v>
      </c>
      <c r="I14" s="649">
        <f t="shared" si="2"/>
        <v>311270643.78815627</v>
      </c>
      <c r="J14" s="650">
        <f t="shared" si="3"/>
        <v>924156393.17583203</v>
      </c>
      <c r="K14" s="513" t="s">
        <v>2400</v>
      </c>
      <c r="L14" s="437"/>
    </row>
    <row r="15" spans="2:12" s="50" customFormat="1">
      <c r="D15" s="644"/>
      <c r="E15" s="644"/>
      <c r="F15" s="644"/>
      <c r="G15" s="644"/>
      <c r="H15" s="644"/>
      <c r="I15" s="644"/>
      <c r="J15" s="644"/>
      <c r="K15" s="51"/>
      <c r="L15" s="437"/>
    </row>
    <row r="16" spans="2:12" s="50" customFormat="1">
      <c r="L16" s="437"/>
    </row>
    <row r="17" spans="2:12" ht="17.649999999999999" customHeight="1">
      <c r="E17" s="816"/>
      <c r="F17" s="816"/>
      <c r="G17" s="816"/>
      <c r="H17" s="816"/>
      <c r="I17" s="816"/>
    </row>
    <row r="18" spans="2:12">
      <c r="B18" s="515" t="s">
        <v>2199</v>
      </c>
      <c r="D18" s="42" t="s">
        <v>904</v>
      </c>
      <c r="E18" s="511"/>
      <c r="F18" s="511"/>
      <c r="G18" s="511"/>
      <c r="H18" s="42" t="s">
        <v>991</v>
      </c>
      <c r="I18" s="440">
        <v>0.03</v>
      </c>
      <c r="J18" s="44" t="s">
        <v>906</v>
      </c>
    </row>
    <row r="19" spans="2:12" ht="20.65" customHeight="1">
      <c r="B19" s="817" t="s">
        <v>982</v>
      </c>
      <c r="C19" s="817"/>
      <c r="D19" s="564" t="s">
        <v>2074</v>
      </c>
      <c r="E19" s="564" t="s">
        <v>985</v>
      </c>
      <c r="F19" s="564" t="s">
        <v>986</v>
      </c>
      <c r="G19" s="564" t="s">
        <v>987</v>
      </c>
      <c r="H19" s="564" t="s">
        <v>988</v>
      </c>
      <c r="I19" s="564" t="s">
        <v>989</v>
      </c>
      <c r="J19" s="564" t="s">
        <v>984</v>
      </c>
      <c r="K19" s="564" t="s">
        <v>332</v>
      </c>
    </row>
    <row r="20" spans="2:12">
      <c r="B20" s="818" t="s">
        <v>329</v>
      </c>
      <c r="C20" s="818"/>
      <c r="D20" s="48">
        <f t="shared" ref="D20:I20" si="4">SUM(D21:D30)</f>
        <v>13051031409</v>
      </c>
      <c r="E20" s="48">
        <f t="shared" si="4"/>
        <v>14434117623</v>
      </c>
      <c r="F20" s="48">
        <f t="shared" si="4"/>
        <v>28378296609.349998</v>
      </c>
      <c r="G20" s="48">
        <f t="shared" si="4"/>
        <v>29097815507.630501</v>
      </c>
      <c r="H20" s="48">
        <f t="shared" si="4"/>
        <v>28005629972.859417</v>
      </c>
      <c r="I20" s="48">
        <f t="shared" si="4"/>
        <v>28845798872.045197</v>
      </c>
      <c r="J20" s="48">
        <f>SUM(E20:I20)</f>
        <v>128761658584.88512</v>
      </c>
      <c r="K20" s="43"/>
    </row>
    <row r="21" spans="2:12" s="51" customFormat="1" ht="23.65" customHeight="1">
      <c r="B21" s="663" t="s">
        <v>966</v>
      </c>
      <c r="C21" s="663" t="s">
        <v>2192</v>
      </c>
      <c r="D21" s="566">
        <f>'분할사업부문 손익(2023년 실적)'!G8</f>
        <v>6651954576</v>
      </c>
      <c r="E21" s="566">
        <f>'2024년1Q영업점별 실적'!I5</f>
        <v>5114399862</v>
      </c>
      <c r="F21" s="566">
        <f>E21*($I$18+1)</f>
        <v>5267831857.8600006</v>
      </c>
      <c r="G21" s="566">
        <f>F21*($I$18+1)</f>
        <v>5425866813.5958004</v>
      </c>
      <c r="H21" s="566">
        <f>G21*($I$18+1)</f>
        <v>5588642818.0036745</v>
      </c>
      <c r="I21" s="566">
        <f>H21*($I$18+1)</f>
        <v>5756302102.5437851</v>
      </c>
      <c r="J21" s="566">
        <f t="shared" ref="J21:J30" si="5">SUM(E21:I21)</f>
        <v>27153043454.003262</v>
      </c>
      <c r="K21" s="664"/>
      <c r="L21" s="438"/>
    </row>
    <row r="22" spans="2:12" s="51" customFormat="1">
      <c r="B22" s="663" t="s">
        <v>968</v>
      </c>
      <c r="C22" s="663" t="s">
        <v>2191</v>
      </c>
      <c r="D22" s="566">
        <f>'분할사업부문 손익(2023년 실적)'!H8</f>
        <v>1341924568</v>
      </c>
      <c r="E22" s="566">
        <f>'2024년1Q영업점별 실적'!G6</f>
        <v>281135478</v>
      </c>
      <c r="F22" s="566">
        <v>0</v>
      </c>
      <c r="G22" s="566">
        <v>0</v>
      </c>
      <c r="H22" s="566">
        <v>0</v>
      </c>
      <c r="I22" s="566">
        <v>0</v>
      </c>
      <c r="J22" s="566">
        <f t="shared" si="5"/>
        <v>281135478</v>
      </c>
      <c r="K22" s="665"/>
      <c r="L22" s="438"/>
    </row>
    <row r="23" spans="2:12" s="51" customFormat="1">
      <c r="B23" s="663" t="s">
        <v>970</v>
      </c>
      <c r="C23" s="663" t="s">
        <v>2190</v>
      </c>
      <c r="D23" s="566">
        <f>'분할사업부문 손익(2023년 실적)'!I8</f>
        <v>2345285192</v>
      </c>
      <c r="E23" s="566">
        <f>'2024년1Q영업점별 실적'!I7</f>
        <v>2358990513</v>
      </c>
      <c r="F23" s="566">
        <f>E23*(1+$I$18)</f>
        <v>2429760228.3899999</v>
      </c>
      <c r="G23" s="566">
        <f>F23*(1+$I$18)</f>
        <v>2502653035.2416997</v>
      </c>
      <c r="H23" s="566">
        <f>G23*(1+$I$18)</f>
        <v>2577732626.2989507</v>
      </c>
      <c r="I23" s="566">
        <f>H23*(1+$I$18)</f>
        <v>2655064605.0879192</v>
      </c>
      <c r="J23" s="566">
        <f t="shared" si="5"/>
        <v>12524201008.018568</v>
      </c>
      <c r="K23" s="665"/>
      <c r="L23" s="438"/>
    </row>
    <row r="24" spans="2:12" s="51" customFormat="1">
      <c r="B24" s="663" t="s">
        <v>972</v>
      </c>
      <c r="C24" s="663" t="s">
        <v>2193</v>
      </c>
      <c r="D24" s="566">
        <f>'분할사업부문 손익(2023년 실적)'!J8</f>
        <v>2435826273</v>
      </c>
      <c r="E24" s="566">
        <f>'2024년1Q영업점별 실적'!I8</f>
        <v>2340152538</v>
      </c>
      <c r="F24" s="566">
        <f t="shared" ref="F24:I25" si="6">E24*(1+$I$18)</f>
        <v>2410357114.1399999</v>
      </c>
      <c r="G24" s="566">
        <f t="shared" si="6"/>
        <v>2482667827.5641999</v>
      </c>
      <c r="H24" s="566">
        <f t="shared" si="6"/>
        <v>2557147862.3911262</v>
      </c>
      <c r="I24" s="566">
        <f t="shared" si="6"/>
        <v>2633862298.2628598</v>
      </c>
      <c r="J24" s="566">
        <f t="shared" si="5"/>
        <v>12424187640.358185</v>
      </c>
      <c r="K24" s="665"/>
      <c r="L24" s="438"/>
    </row>
    <row r="25" spans="2:12" s="51" customFormat="1">
      <c r="B25" s="663" t="s">
        <v>974</v>
      </c>
      <c r="C25" s="663" t="s">
        <v>2194</v>
      </c>
      <c r="D25" s="566">
        <f>'분할사업부문 손익(2023년 실적)'!K8</f>
        <v>276040800</v>
      </c>
      <c r="E25" s="566">
        <f>'2024년1Q영업점별 실적'!I9</f>
        <v>2371439232</v>
      </c>
      <c r="F25" s="566">
        <f t="shared" si="6"/>
        <v>2442582408.96</v>
      </c>
      <c r="G25" s="566">
        <f t="shared" si="6"/>
        <v>2515859881.2288003</v>
      </c>
      <c r="H25" s="566">
        <f t="shared" si="6"/>
        <v>2591335677.6656642</v>
      </c>
      <c r="I25" s="566">
        <f t="shared" si="6"/>
        <v>2669075747.9956341</v>
      </c>
      <c r="J25" s="566">
        <f t="shared" si="5"/>
        <v>12590292947.8501</v>
      </c>
      <c r="K25" s="666"/>
      <c r="L25" s="438"/>
    </row>
    <row r="26" spans="2:12" s="51" customFormat="1">
      <c r="B26" s="645" t="s">
        <v>992</v>
      </c>
      <c r="C26" s="645" t="s">
        <v>2391</v>
      </c>
      <c r="D26" s="646"/>
      <c r="E26" s="646">
        <v>1248000000</v>
      </c>
      <c r="F26" s="646">
        <f>1971100000*1.15</f>
        <v>2266765000</v>
      </c>
      <c r="G26" s="646">
        <f>F26*(1+$I$18)</f>
        <v>2334767950</v>
      </c>
      <c r="H26" s="646">
        <f>G26*(1+$I$18)</f>
        <v>2404810988.5</v>
      </c>
      <c r="I26" s="646">
        <f>H26*(1+$I$18)</f>
        <v>2476955318.1550002</v>
      </c>
      <c r="J26" s="646">
        <f t="shared" si="5"/>
        <v>10731299256.655001</v>
      </c>
      <c r="K26" s="53" t="s">
        <v>2397</v>
      </c>
      <c r="L26" s="438"/>
    </row>
    <row r="27" spans="2:12" s="51" customFormat="1">
      <c r="B27" s="645" t="s">
        <v>2390</v>
      </c>
      <c r="C27" s="645" t="s">
        <v>2195</v>
      </c>
      <c r="D27" s="646"/>
      <c r="E27" s="646">
        <v>720000000</v>
      </c>
      <c r="F27" s="646">
        <f>10680000000</f>
        <v>10680000000</v>
      </c>
      <c r="G27" s="58">
        <f>F27*0.8</f>
        <v>8544000000</v>
      </c>
      <c r="H27" s="58">
        <f>G27*0.8</f>
        <v>6835200000</v>
      </c>
      <c r="I27" s="646">
        <f t="shared" ref="H27:I29" si="7">H27*(1+$I$18)</f>
        <v>7040256000</v>
      </c>
      <c r="J27" s="646">
        <f t="shared" si="5"/>
        <v>33819456000</v>
      </c>
      <c r="K27" s="53" t="s">
        <v>2398</v>
      </c>
      <c r="L27" s="438" t="s">
        <v>904</v>
      </c>
    </row>
    <row r="28" spans="2:12" s="51" customFormat="1">
      <c r="B28" s="645" t="s">
        <v>2393</v>
      </c>
      <c r="C28" s="645" t="s">
        <v>2395</v>
      </c>
      <c r="D28" s="646"/>
      <c r="E28" s="646"/>
      <c r="F28" s="646">
        <v>2425000000</v>
      </c>
      <c r="G28" s="646">
        <f>2688000000</f>
        <v>2688000000</v>
      </c>
      <c r="H28" s="646">
        <f t="shared" si="7"/>
        <v>2768640000</v>
      </c>
      <c r="I28" s="646">
        <f t="shared" si="7"/>
        <v>2851699200</v>
      </c>
      <c r="J28" s="646">
        <f t="shared" si="5"/>
        <v>10733339200</v>
      </c>
      <c r="K28" s="53" t="s">
        <v>2399</v>
      </c>
      <c r="L28" s="438" t="s">
        <v>904</v>
      </c>
    </row>
    <row r="29" spans="2:12" s="51" customFormat="1">
      <c r="B29" s="645" t="s">
        <v>2394</v>
      </c>
      <c r="C29" s="645" t="s">
        <v>2396</v>
      </c>
      <c r="D29" s="646"/>
      <c r="E29" s="646"/>
      <c r="F29" s="646">
        <f>570000000*0.8</f>
        <v>456000000</v>
      </c>
      <c r="G29" s="646">
        <f>2604000000</f>
        <v>2604000000</v>
      </c>
      <c r="H29" s="646">
        <f t="shared" si="7"/>
        <v>2682120000</v>
      </c>
      <c r="I29" s="646">
        <f t="shared" si="7"/>
        <v>2762583600</v>
      </c>
      <c r="J29" s="646">
        <f t="shared" si="5"/>
        <v>8504703600</v>
      </c>
      <c r="K29" s="53" t="s">
        <v>2400</v>
      </c>
      <c r="L29" s="438"/>
    </row>
    <row r="30" spans="2:12" s="51" customFormat="1">
      <c r="B30" s="819" t="s">
        <v>977</v>
      </c>
      <c r="C30" s="820"/>
      <c r="D30" s="58">
        <v>0</v>
      </c>
      <c r="E30" s="58"/>
      <c r="F30" s="58"/>
      <c r="G30" s="58"/>
      <c r="H30" s="58"/>
      <c r="I30" s="58"/>
      <c r="J30" s="58">
        <f t="shared" si="5"/>
        <v>0</v>
      </c>
      <c r="K30" s="53"/>
      <c r="L30" s="438"/>
    </row>
    <row r="31" spans="2:12" s="51" customFormat="1">
      <c r="B31" s="821" t="s">
        <v>332</v>
      </c>
      <c r="C31" s="821"/>
      <c r="D31" s="53" t="s">
        <v>2232</v>
      </c>
      <c r="E31" s="53" t="s">
        <v>2233</v>
      </c>
      <c r="F31" s="821" t="s">
        <v>2234</v>
      </c>
      <c r="G31" s="821"/>
      <c r="H31" s="821"/>
      <c r="I31" s="821"/>
      <c r="J31" s="53"/>
      <c r="K31" s="53"/>
      <c r="L31" s="438"/>
    </row>
    <row r="32" spans="2:12" s="51" customFormat="1">
      <c r="D32" s="42" t="b">
        <f>'분할사업부문 손익(2023년 실적)'!E8=D20</f>
        <v>1</v>
      </c>
      <c r="J32" s="52"/>
      <c r="L32" s="438"/>
    </row>
    <row r="33" spans="2:12" s="51" customFormat="1">
      <c r="L33" s="438"/>
    </row>
    <row r="34" spans="2:12" s="51" customFormat="1">
      <c r="B34" s="516" t="s">
        <v>2238</v>
      </c>
      <c r="J34" s="52"/>
      <c r="L34" s="438"/>
    </row>
    <row r="35" spans="2:12" s="51" customFormat="1">
      <c r="B35" s="821" t="s">
        <v>903</v>
      </c>
      <c r="C35" s="821"/>
      <c r="D35" s="821" t="s">
        <v>2237</v>
      </c>
      <c r="E35" s="821" t="s">
        <v>2377</v>
      </c>
      <c r="F35" s="821"/>
      <c r="G35" s="821"/>
      <c r="H35" s="821"/>
      <c r="I35" s="821"/>
      <c r="J35" s="563"/>
      <c r="L35" s="438"/>
    </row>
    <row r="36" spans="2:12" s="51" customFormat="1">
      <c r="B36" s="821"/>
      <c r="C36" s="821"/>
      <c r="D36" s="821"/>
      <c r="E36" s="749">
        <v>0.32</v>
      </c>
      <c r="F36" s="749">
        <f>E36-1%</f>
        <v>0.31</v>
      </c>
      <c r="G36" s="749">
        <f>F36</f>
        <v>0.31</v>
      </c>
      <c r="H36" s="749">
        <f>G36-1%</f>
        <v>0.3</v>
      </c>
      <c r="I36" s="749">
        <f>H36-1%</f>
        <v>0.28999999999999998</v>
      </c>
      <c r="J36" s="45" t="s">
        <v>906</v>
      </c>
      <c r="L36" s="438"/>
    </row>
    <row r="37" spans="2:12" s="51" customFormat="1">
      <c r="B37" s="821"/>
      <c r="C37" s="821"/>
      <c r="D37" s="47" t="s">
        <v>2074</v>
      </c>
      <c r="E37" s="47" t="s">
        <v>985</v>
      </c>
      <c r="F37" s="47" t="s">
        <v>986</v>
      </c>
      <c r="G37" s="47" t="s">
        <v>987</v>
      </c>
      <c r="H37" s="47" t="s">
        <v>988</v>
      </c>
      <c r="I37" s="47" t="s">
        <v>989</v>
      </c>
      <c r="J37" s="47" t="s">
        <v>984</v>
      </c>
      <c r="K37" s="564" t="s">
        <v>332</v>
      </c>
      <c r="L37" s="438"/>
    </row>
    <row r="38" spans="2:12" ht="16.5">
      <c r="B38" s="818" t="s">
        <v>329</v>
      </c>
      <c r="C38" s="818"/>
      <c r="D38" s="46">
        <f>SUM(D39:D48)</f>
        <v>4507776710</v>
      </c>
      <c r="E38" s="46">
        <f t="shared" ref="E38:J38" si="8">SUM(E39:E48)</f>
        <v>4544032758.1440001</v>
      </c>
      <c r="F38" s="46">
        <f t="shared" si="8"/>
        <v>8880828528.3601608</v>
      </c>
      <c r="G38" s="46">
        <f t="shared" si="8"/>
        <v>9105067784.2109642</v>
      </c>
      <c r="H38" s="46">
        <f t="shared" si="8"/>
        <v>8618789975.7560921</v>
      </c>
      <c r="I38" s="46">
        <f t="shared" si="8"/>
        <v>8742844489.7881336</v>
      </c>
      <c r="J38" s="46">
        <f t="shared" si="8"/>
        <v>39891563536.259354</v>
      </c>
      <c r="K38" s="43"/>
      <c r="L38" s="42"/>
    </row>
    <row r="39" spans="2:12">
      <c r="B39" s="822" t="s">
        <v>977</v>
      </c>
      <c r="C39" s="822"/>
      <c r="D39" s="566">
        <f>'분할사업부문 손익(2023년 실적)'!F16</f>
        <v>0</v>
      </c>
      <c r="E39" s="667">
        <f>E30*$E$36</f>
        <v>0</v>
      </c>
      <c r="F39" s="667">
        <f>F30*$F$36</f>
        <v>0</v>
      </c>
      <c r="G39" s="667">
        <f>G30*$G$36</f>
        <v>0</v>
      </c>
      <c r="H39" s="667">
        <f>H30*$H$36</f>
        <v>0</v>
      </c>
      <c r="I39" s="667">
        <f>I30*$I$36</f>
        <v>0</v>
      </c>
      <c r="J39" s="667">
        <f>SUM(E39:I39)</f>
        <v>0</v>
      </c>
      <c r="K39" s="663"/>
    </row>
    <row r="40" spans="2:12">
      <c r="B40" s="663" t="s">
        <v>966</v>
      </c>
      <c r="C40" s="663" t="s">
        <v>2192</v>
      </c>
      <c r="D40" s="566">
        <f>'분할사업부문 손익(2023년 실적)'!G16</f>
        <v>2298630375</v>
      </c>
      <c r="E40" s="667">
        <f>E21*$E$36</f>
        <v>1636607955.8400002</v>
      </c>
      <c r="F40" s="667">
        <f>F21*$F$36</f>
        <v>1633027875.9366002</v>
      </c>
      <c r="G40" s="667">
        <f>G21*$G$36</f>
        <v>1682018712.2146981</v>
      </c>
      <c r="H40" s="667">
        <f>H21*$H$36</f>
        <v>1676592845.4011023</v>
      </c>
      <c r="I40" s="667">
        <f>I21*$I$36</f>
        <v>1669327609.7376976</v>
      </c>
      <c r="J40" s="667">
        <f>SUM(E40:I40)</f>
        <v>8297574999.1300983</v>
      </c>
      <c r="K40" s="663"/>
    </row>
    <row r="41" spans="2:12">
      <c r="B41" s="663" t="s">
        <v>967</v>
      </c>
      <c r="C41" s="663" t="s">
        <v>2191</v>
      </c>
      <c r="D41" s="566">
        <f>'분할사업부문 손익(2023년 실적)'!H16</f>
        <v>437429276</v>
      </c>
      <c r="E41" s="667">
        <f>E22*$E$36</f>
        <v>89963352.960000008</v>
      </c>
      <c r="F41" s="667">
        <f>F22*$F$36</f>
        <v>0</v>
      </c>
      <c r="G41" s="667">
        <f>G22*$G$36</f>
        <v>0</v>
      </c>
      <c r="H41" s="667">
        <f>H22*$H$36</f>
        <v>0</v>
      </c>
      <c r="I41" s="667">
        <f>I22*$I$36</f>
        <v>0</v>
      </c>
      <c r="J41" s="667">
        <f t="shared" ref="J41:J48" si="9">SUM(E41:I41)</f>
        <v>89963352.960000008</v>
      </c>
      <c r="K41" s="663"/>
    </row>
    <row r="42" spans="2:12">
      <c r="B42" s="663" t="s">
        <v>969</v>
      </c>
      <c r="C42" s="663" t="s">
        <v>2190</v>
      </c>
      <c r="D42" s="566">
        <f>'분할사업부문 손익(2023년 실적)'!I16</f>
        <v>929706124</v>
      </c>
      <c r="E42" s="667">
        <f>E23*$E$36</f>
        <v>754876964.15999997</v>
      </c>
      <c r="F42" s="667">
        <f>F23*$F$36</f>
        <v>753225670.80089998</v>
      </c>
      <c r="G42" s="667">
        <f>G23*$G$36</f>
        <v>775822440.92492688</v>
      </c>
      <c r="H42" s="667">
        <f>H23*$H$36</f>
        <v>773319787.88968515</v>
      </c>
      <c r="I42" s="667">
        <f>I23*$I$36</f>
        <v>769968735.47549653</v>
      </c>
      <c r="J42" s="667">
        <f t="shared" si="9"/>
        <v>3827213599.251008</v>
      </c>
      <c r="K42" s="663"/>
    </row>
    <row r="43" spans="2:12">
      <c r="B43" s="663" t="s">
        <v>972</v>
      </c>
      <c r="C43" s="663" t="s">
        <v>2193</v>
      </c>
      <c r="D43" s="566">
        <f>'분할사업부문 손익(2023년 실적)'!J16</f>
        <v>698912728</v>
      </c>
      <c r="E43" s="667">
        <f>E24*$E$36*0.9</f>
        <v>673963930.94400001</v>
      </c>
      <c r="F43" s="667">
        <f>F24*$F$36*0.9</f>
        <v>672489634.84505999</v>
      </c>
      <c r="G43" s="667">
        <f>G24*$G$36*0.9</f>
        <v>692664323.89041173</v>
      </c>
      <c r="H43" s="667">
        <f>H24*$H$36*0.9</f>
        <v>690429922.84560406</v>
      </c>
      <c r="I43" s="667">
        <f>I24*$I$36*0.9</f>
        <v>687438059.84660637</v>
      </c>
      <c r="J43" s="667">
        <f t="shared" si="9"/>
        <v>3416985872.3716822</v>
      </c>
      <c r="K43" s="663"/>
    </row>
    <row r="44" spans="2:12">
      <c r="B44" s="663" t="s">
        <v>974</v>
      </c>
      <c r="C44" s="663" t="s">
        <v>2194</v>
      </c>
      <c r="D44" s="566">
        <f>'분할사업부문 손익(2023년 실적)'!K16</f>
        <v>143098207</v>
      </c>
      <c r="E44" s="667">
        <f>E25*$E$36</f>
        <v>758860554.24000001</v>
      </c>
      <c r="F44" s="667">
        <f>F25*$F$36</f>
        <v>757200546.77760005</v>
      </c>
      <c r="G44" s="667">
        <f>G25*$G$36</f>
        <v>779916563.18092811</v>
      </c>
      <c r="H44" s="667">
        <f>H25*$H$36</f>
        <v>777400703.29969919</v>
      </c>
      <c r="I44" s="667">
        <f>I25*$I$36</f>
        <v>774031966.91873384</v>
      </c>
      <c r="J44" s="667">
        <f t="shared" si="9"/>
        <v>3847410334.4169617</v>
      </c>
      <c r="K44" s="663"/>
    </row>
    <row r="45" spans="2:12">
      <c r="B45" s="47" t="s">
        <v>992</v>
      </c>
      <c r="C45" s="47" t="s">
        <v>2391</v>
      </c>
      <c r="D45" s="518"/>
      <c r="E45" s="668">
        <f>E26*$E$36</f>
        <v>399360000</v>
      </c>
      <c r="F45" s="668">
        <f t="shared" ref="F45:I48" si="10">F26*$E$36</f>
        <v>725364800</v>
      </c>
      <c r="G45" s="668">
        <f t="shared" si="10"/>
        <v>747125744</v>
      </c>
      <c r="H45" s="668">
        <f t="shared" si="10"/>
        <v>769539516.32000005</v>
      </c>
      <c r="I45" s="668">
        <f t="shared" si="10"/>
        <v>792625701.80960011</v>
      </c>
      <c r="J45" s="668">
        <f t="shared" si="9"/>
        <v>3434015762.1296005</v>
      </c>
      <c r="K45" s="47" t="s">
        <v>2397</v>
      </c>
    </row>
    <row r="46" spans="2:12">
      <c r="B46" s="47" t="s">
        <v>2390</v>
      </c>
      <c r="C46" s="47" t="s">
        <v>2195</v>
      </c>
      <c r="D46" s="518"/>
      <c r="E46" s="668">
        <f>E27*$E$36</f>
        <v>230400000</v>
      </c>
      <c r="F46" s="668">
        <f t="shared" si="10"/>
        <v>3417600000</v>
      </c>
      <c r="G46" s="668">
        <f t="shared" si="10"/>
        <v>2734080000</v>
      </c>
      <c r="H46" s="668">
        <f t="shared" si="10"/>
        <v>2187264000</v>
      </c>
      <c r="I46" s="668">
        <f t="shared" si="10"/>
        <v>2252881920</v>
      </c>
      <c r="J46" s="668">
        <f t="shared" si="9"/>
        <v>10822225920</v>
      </c>
      <c r="K46" s="47" t="s">
        <v>2398</v>
      </c>
    </row>
    <row r="47" spans="2:12">
      <c r="B47" s="53" t="s">
        <v>2393</v>
      </c>
      <c r="C47" s="53" t="s">
        <v>2395</v>
      </c>
      <c r="D47" s="442"/>
      <c r="E47" s="441">
        <f>E28*$E$36</f>
        <v>0</v>
      </c>
      <c r="F47" s="441">
        <f t="shared" si="10"/>
        <v>776000000</v>
      </c>
      <c r="G47" s="441">
        <f t="shared" si="10"/>
        <v>860160000</v>
      </c>
      <c r="H47" s="441">
        <f t="shared" si="10"/>
        <v>885964800</v>
      </c>
      <c r="I47" s="441">
        <f t="shared" si="10"/>
        <v>912543744</v>
      </c>
      <c r="J47" s="441">
        <f t="shared" si="9"/>
        <v>3434668544</v>
      </c>
      <c r="K47" s="53" t="s">
        <v>2399</v>
      </c>
    </row>
    <row r="48" spans="2:12">
      <c r="B48" s="53" t="s">
        <v>2394</v>
      </c>
      <c r="C48" s="53" t="s">
        <v>2396</v>
      </c>
      <c r="D48" s="442"/>
      <c r="E48" s="441">
        <f>E29*$E$36</f>
        <v>0</v>
      </c>
      <c r="F48" s="441">
        <f t="shared" si="10"/>
        <v>145920000</v>
      </c>
      <c r="G48" s="441">
        <f t="shared" si="10"/>
        <v>833280000</v>
      </c>
      <c r="H48" s="441">
        <f t="shared" si="10"/>
        <v>858278400</v>
      </c>
      <c r="I48" s="441">
        <f t="shared" si="10"/>
        <v>884026752</v>
      </c>
      <c r="J48" s="441">
        <f t="shared" si="9"/>
        <v>2721505152</v>
      </c>
      <c r="K48" s="53" t="s">
        <v>2400</v>
      </c>
    </row>
    <row r="49" spans="2:12" s="51" customFormat="1">
      <c r="B49" s="821" t="s">
        <v>332</v>
      </c>
      <c r="C49" s="821"/>
      <c r="D49" s="53" t="s">
        <v>2232</v>
      </c>
      <c r="E49" s="53" t="s">
        <v>2233</v>
      </c>
      <c r="F49" s="821" t="s">
        <v>2236</v>
      </c>
      <c r="G49" s="821"/>
      <c r="H49" s="821"/>
      <c r="I49" s="821"/>
      <c r="J49" s="53"/>
      <c r="K49" s="53"/>
      <c r="L49" s="438"/>
    </row>
    <row r="50" spans="2:12">
      <c r="B50" s="816" t="s">
        <v>904</v>
      </c>
      <c r="C50" s="816"/>
      <c r="D50" s="51" t="b">
        <f>'분할사업부문 손익(2023년 실적)'!E16=D38</f>
        <v>1</v>
      </c>
      <c r="E50" s="40"/>
      <c r="F50" s="40"/>
      <c r="G50" s="40"/>
      <c r="H50" s="40"/>
      <c r="I50" s="40"/>
      <c r="J50" s="635" t="s">
        <v>904</v>
      </c>
    </row>
    <row r="51" spans="2:12">
      <c r="D51" s="748" t="s">
        <v>904</v>
      </c>
      <c r="E51" s="40"/>
      <c r="F51" s="40"/>
      <c r="G51" s="40"/>
      <c r="H51" s="40"/>
      <c r="I51" s="40"/>
      <c r="J51" s="40"/>
    </row>
    <row r="52" spans="2:12">
      <c r="D52" s="51"/>
      <c r="E52" s="40"/>
      <c r="F52" s="40"/>
      <c r="G52" s="40"/>
      <c r="H52" s="40"/>
      <c r="I52" s="40"/>
      <c r="J52" s="40"/>
    </row>
    <row r="53" spans="2:12" ht="23.65" customHeight="1">
      <c r="B53" s="517" t="s">
        <v>965</v>
      </c>
      <c r="E53" s="816" t="s">
        <v>904</v>
      </c>
      <c r="F53" s="816"/>
      <c r="G53" s="816"/>
      <c r="H53" s="816"/>
      <c r="I53" s="816"/>
      <c r="J53" s="44" t="s">
        <v>906</v>
      </c>
    </row>
    <row r="54" spans="2:12">
      <c r="B54" s="823" t="s">
        <v>982</v>
      </c>
      <c r="C54" s="823"/>
      <c r="D54" s="47" t="s">
        <v>2074</v>
      </c>
      <c r="E54" s="47" t="s">
        <v>985</v>
      </c>
      <c r="F54" s="47" t="s">
        <v>986</v>
      </c>
      <c r="G54" s="47" t="s">
        <v>987</v>
      </c>
      <c r="H54" s="47" t="s">
        <v>988</v>
      </c>
      <c r="I54" s="47" t="s">
        <v>989</v>
      </c>
      <c r="J54" s="47" t="s">
        <v>984</v>
      </c>
      <c r="K54" s="564" t="s">
        <v>332</v>
      </c>
    </row>
    <row r="55" spans="2:12">
      <c r="B55" s="818" t="s">
        <v>329</v>
      </c>
      <c r="C55" s="818"/>
      <c r="D55" s="48">
        <f>SUM(D56:D65)</f>
        <v>10063671410</v>
      </c>
      <c r="E55" s="48">
        <f t="shared" ref="E55:J55" si="11">SUM(E56:E65)</f>
        <v>9617076890.2457714</v>
      </c>
      <c r="F55" s="48">
        <f t="shared" si="11"/>
        <v>15665192652.134325</v>
      </c>
      <c r="G55" s="48">
        <f t="shared" si="11"/>
        <v>16484628916.304565</v>
      </c>
      <c r="H55" s="48">
        <f t="shared" si="11"/>
        <v>16214250744.891735</v>
      </c>
      <c r="I55" s="48">
        <f t="shared" si="11"/>
        <v>16660623656.43911</v>
      </c>
      <c r="J55" s="48">
        <f t="shared" si="11"/>
        <v>74641772860.015518</v>
      </c>
      <c r="K55" s="43"/>
      <c r="L55" s="437" t="s">
        <v>904</v>
      </c>
    </row>
    <row r="56" spans="2:12">
      <c r="B56" s="822" t="s">
        <v>977</v>
      </c>
      <c r="C56" s="822"/>
      <c r="D56" s="667">
        <f t="shared" ref="D56:I65" si="12">D72+D87+D102+D117+D132+D147+D162</f>
        <v>447990942</v>
      </c>
      <c r="E56" s="667">
        <f t="shared" si="12"/>
        <v>754930670.25999999</v>
      </c>
      <c r="F56" s="667">
        <f t="shared" si="12"/>
        <v>777578590.36780012</v>
      </c>
      <c r="G56" s="667">
        <f t="shared" si="12"/>
        <v>800905948.07883406</v>
      </c>
      <c r="H56" s="667">
        <f t="shared" si="12"/>
        <v>824933126.52119911</v>
      </c>
      <c r="I56" s="667">
        <f t="shared" si="12"/>
        <v>849681120.31683505</v>
      </c>
      <c r="J56" s="667">
        <f>SUM(E56:I56)</f>
        <v>4008029455.5446682</v>
      </c>
      <c r="K56" s="663"/>
    </row>
    <row r="57" spans="2:12">
      <c r="B57" s="663" t="s">
        <v>966</v>
      </c>
      <c r="C57" s="663" t="s">
        <v>2192</v>
      </c>
      <c r="D57" s="566">
        <f>'분할사업부문 손익(2023년 실적)'!G23</f>
        <v>3979167679</v>
      </c>
      <c r="E57" s="667">
        <f t="shared" si="12"/>
        <v>2573240781.4109669</v>
      </c>
      <c r="F57" s="667">
        <f t="shared" si="12"/>
        <v>2646794489.8772955</v>
      </c>
      <c r="G57" s="667">
        <f t="shared" si="12"/>
        <v>2722554809.5976148</v>
      </c>
      <c r="H57" s="667">
        <f t="shared" si="12"/>
        <v>2800587938.9095435</v>
      </c>
      <c r="I57" s="667">
        <f t="shared" si="12"/>
        <v>2880962062.1008301</v>
      </c>
      <c r="J57" s="667">
        <f>SUM(E57:I57)</f>
        <v>13624140081.896252</v>
      </c>
      <c r="K57" s="663"/>
    </row>
    <row r="58" spans="2:12">
      <c r="B58" s="663" t="s">
        <v>967</v>
      </c>
      <c r="C58" s="663" t="s">
        <v>2191</v>
      </c>
      <c r="D58" s="566">
        <f>'분할사업부문 손익(2023년 실적)'!H23</f>
        <v>2186828057</v>
      </c>
      <c r="E58" s="667">
        <f t="shared" si="12"/>
        <v>536753520.07884389</v>
      </c>
      <c r="F58" s="667">
        <f t="shared" si="12"/>
        <v>0</v>
      </c>
      <c r="G58" s="667">
        <f t="shared" si="12"/>
        <v>0</v>
      </c>
      <c r="H58" s="667">
        <f t="shared" si="12"/>
        <v>0</v>
      </c>
      <c r="I58" s="667">
        <f t="shared" si="12"/>
        <v>0</v>
      </c>
      <c r="J58" s="667">
        <f t="shared" ref="J58:J65" si="13">SUM(E58:I58)</f>
        <v>536753520.07884389</v>
      </c>
      <c r="K58" s="663"/>
    </row>
    <row r="59" spans="2:12">
      <c r="B59" s="663" t="s">
        <v>969</v>
      </c>
      <c r="C59" s="663" t="s">
        <v>2190</v>
      </c>
      <c r="D59" s="566">
        <f>'분할사업부문 손익(2023년 실적)'!I23</f>
        <v>1307911633</v>
      </c>
      <c r="E59" s="667">
        <f t="shared" si="12"/>
        <v>1403718434.5003216</v>
      </c>
      <c r="F59" s="667">
        <f t="shared" si="12"/>
        <v>1441690280.0638313</v>
      </c>
      <c r="G59" s="667">
        <f t="shared" si="12"/>
        <v>1480801280.9942462</v>
      </c>
      <c r="H59" s="667">
        <f t="shared" si="12"/>
        <v>1521085611.9525738</v>
      </c>
      <c r="I59" s="667">
        <f t="shared" si="12"/>
        <v>1562578472.8396511</v>
      </c>
      <c r="J59" s="667">
        <f t="shared" si="13"/>
        <v>7409874080.3506241</v>
      </c>
      <c r="K59" s="663"/>
    </row>
    <row r="60" spans="2:12">
      <c r="B60" s="663" t="s">
        <v>971</v>
      </c>
      <c r="C60" s="663" t="s">
        <v>2193</v>
      </c>
      <c r="D60" s="566">
        <f>'분할사업부문 손익(2023년 실적)'!J23</f>
        <v>1995445130</v>
      </c>
      <c r="E60" s="667">
        <f t="shared" si="12"/>
        <v>1696302837.3993826</v>
      </c>
      <c r="F60" s="667">
        <f t="shared" si="12"/>
        <v>1667044138.4385176</v>
      </c>
      <c r="G60" s="667">
        <f t="shared" si="12"/>
        <v>1760843058.8029232</v>
      </c>
      <c r="H60" s="667">
        <f t="shared" si="12"/>
        <v>1799518446.7782609</v>
      </c>
      <c r="I60" s="667">
        <f t="shared" si="12"/>
        <v>1839354096.3928587</v>
      </c>
      <c r="J60" s="667">
        <f t="shared" si="13"/>
        <v>8763062577.8119431</v>
      </c>
      <c r="K60" s="663"/>
    </row>
    <row r="61" spans="2:12">
      <c r="B61" s="663" t="s">
        <v>974</v>
      </c>
      <c r="C61" s="663" t="s">
        <v>2194</v>
      </c>
      <c r="D61" s="566">
        <f>'분할사업부문 손익(2023년 실적)'!K23</f>
        <v>146327969</v>
      </c>
      <c r="E61" s="667">
        <f t="shared" si="12"/>
        <v>1434732728.0408838</v>
      </c>
      <c r="F61" s="667">
        <f t="shared" si="12"/>
        <v>1473904631.3878603</v>
      </c>
      <c r="G61" s="667">
        <f t="shared" si="12"/>
        <v>1514251691.8352466</v>
      </c>
      <c r="H61" s="667">
        <f t="shared" si="12"/>
        <v>1555809164.0960536</v>
      </c>
      <c r="I61" s="667">
        <f t="shared" si="12"/>
        <v>1598613360.5246854</v>
      </c>
      <c r="J61" s="667">
        <f t="shared" si="13"/>
        <v>7577311575.8847294</v>
      </c>
      <c r="K61" s="663"/>
    </row>
    <row r="62" spans="2:12">
      <c r="B62" s="47" t="s">
        <v>992</v>
      </c>
      <c r="C62" s="47" t="s">
        <v>2391</v>
      </c>
      <c r="D62" s="518"/>
      <c r="E62" s="668">
        <f t="shared" si="12"/>
        <v>750436517.47014356</v>
      </c>
      <c r="F62" s="668">
        <f t="shared" si="12"/>
        <v>1214095482.7548766</v>
      </c>
      <c r="G62" s="668">
        <f t="shared" si="12"/>
        <v>1249708347.2375231</v>
      </c>
      <c r="H62" s="668">
        <f t="shared" si="12"/>
        <v>1286389597.6546488</v>
      </c>
      <c r="I62" s="668">
        <f t="shared" si="12"/>
        <v>1324171285.5842884</v>
      </c>
      <c r="J62" s="668">
        <f t="shared" si="13"/>
        <v>5824801230.7014809</v>
      </c>
      <c r="K62" s="47" t="s">
        <v>2397</v>
      </c>
    </row>
    <row r="63" spans="2:12">
      <c r="B63" s="47" t="s">
        <v>2390</v>
      </c>
      <c r="C63" s="47" t="s">
        <v>2195</v>
      </c>
      <c r="D63" s="518"/>
      <c r="E63" s="668">
        <f t="shared" si="12"/>
        <v>466961401.08522761</v>
      </c>
      <c r="F63" s="668">
        <f t="shared" si="12"/>
        <v>4790861440.8403587</v>
      </c>
      <c r="G63" s="668">
        <f t="shared" si="12"/>
        <v>3908681411.9905996</v>
      </c>
      <c r="H63" s="668">
        <f t="shared" si="12"/>
        <v>3297899377.6477242</v>
      </c>
      <c r="I63" s="668">
        <f t="shared" si="12"/>
        <v>3393656310.3771558</v>
      </c>
      <c r="J63" s="668">
        <f t="shared" si="13"/>
        <v>15858059941.941067</v>
      </c>
      <c r="K63" s="47" t="s">
        <v>2398</v>
      </c>
    </row>
    <row r="64" spans="2:12">
      <c r="B64" s="53" t="s">
        <v>2393</v>
      </c>
      <c r="C64" s="53" t="s">
        <v>2395</v>
      </c>
      <c r="D64" s="58"/>
      <c r="E64" s="41">
        <f t="shared" si="12"/>
        <v>0</v>
      </c>
      <c r="F64" s="41">
        <f t="shared" si="12"/>
        <v>1375187182.8468473</v>
      </c>
      <c r="G64" s="41">
        <f t="shared" si="12"/>
        <v>1559769868.1105211</v>
      </c>
      <c r="H64" s="41">
        <f t="shared" si="12"/>
        <v>1601420545.9333992</v>
      </c>
      <c r="I64" s="41">
        <f t="shared" si="12"/>
        <v>1644320744.0909634</v>
      </c>
      <c r="J64" s="441">
        <f t="shared" si="13"/>
        <v>6180698340.9817314</v>
      </c>
      <c r="K64" s="53" t="s">
        <v>2399</v>
      </c>
    </row>
    <row r="65" spans="2:12">
      <c r="B65" s="53" t="s">
        <v>2394</v>
      </c>
      <c r="C65" s="53" t="s">
        <v>2396</v>
      </c>
      <c r="D65" s="58"/>
      <c r="E65" s="41">
        <f t="shared" si="12"/>
        <v>0</v>
      </c>
      <c r="F65" s="41">
        <f t="shared" si="12"/>
        <v>278036415.55693585</v>
      </c>
      <c r="G65" s="41">
        <f t="shared" si="12"/>
        <v>1487112499.657057</v>
      </c>
      <c r="H65" s="41">
        <f t="shared" si="12"/>
        <v>1526606935.3983314</v>
      </c>
      <c r="I65" s="41">
        <f t="shared" si="12"/>
        <v>1567286204.2118437</v>
      </c>
      <c r="J65" s="441">
        <f t="shared" si="13"/>
        <v>4859042054.8241682</v>
      </c>
      <c r="K65" s="53" t="s">
        <v>2400</v>
      </c>
    </row>
    <row r="66" spans="2:12" s="51" customFormat="1">
      <c r="B66" s="821" t="s">
        <v>332</v>
      </c>
      <c r="C66" s="821"/>
      <c r="D66" s="53" t="s">
        <v>2232</v>
      </c>
      <c r="E66" s="53" t="s">
        <v>2233</v>
      </c>
      <c r="F66" s="821" t="s">
        <v>2235</v>
      </c>
      <c r="G66" s="821"/>
      <c r="H66" s="821"/>
      <c r="I66" s="821"/>
      <c r="J66" s="53"/>
      <c r="K66" s="53"/>
      <c r="L66" s="438"/>
    </row>
    <row r="67" spans="2:12">
      <c r="D67" s="42" t="b">
        <f>'분할사업부문 손익(2023년 실적)'!E23=D55</f>
        <v>1</v>
      </c>
      <c r="E67" s="44"/>
      <c r="F67" s="44"/>
      <c r="G67" s="44"/>
      <c r="H67" s="44"/>
      <c r="I67" s="44"/>
      <c r="J67" s="44"/>
    </row>
    <row r="68" spans="2:12">
      <c r="C68" s="50"/>
      <c r="D68" s="443"/>
      <c r="E68" s="443"/>
      <c r="F68" s="443"/>
      <c r="G68" s="443"/>
      <c r="H68" s="443"/>
      <c r="I68" s="443"/>
      <c r="J68" s="44"/>
    </row>
    <row r="69" spans="2:12">
      <c r="B69" s="444" t="s">
        <v>2197</v>
      </c>
      <c r="C69" s="50"/>
      <c r="E69" s="443"/>
      <c r="F69" s="443"/>
      <c r="G69" s="443"/>
      <c r="H69" s="42" t="s">
        <v>2198</v>
      </c>
      <c r="I69" s="440">
        <v>0.03</v>
      </c>
      <c r="J69" s="44" t="s">
        <v>906</v>
      </c>
    </row>
    <row r="70" spans="2:12">
      <c r="B70" s="823" t="s">
        <v>982</v>
      </c>
      <c r="C70" s="823"/>
      <c r="D70" s="47" t="s">
        <v>2074</v>
      </c>
      <c r="E70" s="47" t="s">
        <v>985</v>
      </c>
      <c r="F70" s="47" t="s">
        <v>986</v>
      </c>
      <c r="G70" s="47" t="s">
        <v>987</v>
      </c>
      <c r="H70" s="47" t="s">
        <v>988</v>
      </c>
      <c r="I70" s="47" t="s">
        <v>989</v>
      </c>
      <c r="J70" s="47" t="s">
        <v>984</v>
      </c>
      <c r="K70" s="564" t="s">
        <v>332</v>
      </c>
    </row>
    <row r="71" spans="2:12" ht="16.5">
      <c r="B71" s="830" t="s">
        <v>975</v>
      </c>
      <c r="C71" s="830"/>
      <c r="D71" s="49">
        <f>SUM(D72:D81)</f>
        <v>4210859423</v>
      </c>
      <c r="E71" s="49">
        <f t="shared" ref="E71:J71" si="14">SUM(E72:E81)</f>
        <v>5041192980.6799994</v>
      </c>
      <c r="F71" s="49">
        <f t="shared" si="14"/>
        <v>8352930525.6935005</v>
      </c>
      <c r="G71" s="49">
        <f t="shared" si="14"/>
        <v>8591128841.4643059</v>
      </c>
      <c r="H71" s="49">
        <f t="shared" si="14"/>
        <v>8416536306.7082348</v>
      </c>
      <c r="I71" s="49">
        <f t="shared" si="14"/>
        <v>8669032395.909481</v>
      </c>
      <c r="J71" s="49">
        <f t="shared" si="14"/>
        <v>39070821050.455521</v>
      </c>
      <c r="K71" s="43"/>
      <c r="L71" s="42"/>
    </row>
    <row r="72" spans="2:12">
      <c r="B72" s="831" t="s">
        <v>977</v>
      </c>
      <c r="C72" s="831"/>
      <c r="D72" s="45">
        <f>'분할사업부문 손익(2023년 실적)'!F24+'분할사업부문 손익(2023년 실적)'!F25+'분할사업부문 손익(2023년 실적)'!F26+'분할사업부문 손익(2023년 실적)'!F27+'분할사업부문 손익(2023년 실적)'!F28</f>
        <v>413297546</v>
      </c>
      <c r="E72" s="58">
        <f>(D72+250000000)*(1+$I$69)</f>
        <v>683196472.38</v>
      </c>
      <c r="F72" s="45">
        <f t="shared" ref="F72:I73" si="15">E72*(1+$I$69)</f>
        <v>703692366.55140007</v>
      </c>
      <c r="G72" s="45">
        <f t="shared" si="15"/>
        <v>724803137.54794204</v>
      </c>
      <c r="H72" s="45">
        <f t="shared" si="15"/>
        <v>746547231.6743803</v>
      </c>
      <c r="I72" s="45">
        <f t="shared" si="15"/>
        <v>768943648.62461174</v>
      </c>
      <c r="J72" s="441">
        <f>SUM(E72:I72)</f>
        <v>3627182856.7783341</v>
      </c>
      <c r="K72" s="53"/>
    </row>
    <row r="73" spans="2:12">
      <c r="B73" s="43" t="s">
        <v>966</v>
      </c>
      <c r="C73" s="43" t="s">
        <v>2192</v>
      </c>
      <c r="D73" s="45">
        <f>'분할사업부문 손익(2023년 실적)'!G24+'분할사업부문 손익(2023년 실적)'!G25+'분할사업부문 손익(2023년 실적)'!G26+'분할사업부문 손익(2023년 실적)'!G27+'분할사업부문 손익(2023년 실적)'!G28</f>
        <v>1529733611</v>
      </c>
      <c r="E73" s="58">
        <f>'2024년1Q영업점별 실적'!I15</f>
        <v>1175933211</v>
      </c>
      <c r="F73" s="45">
        <f t="shared" si="15"/>
        <v>1211211207.3299999</v>
      </c>
      <c r="G73" s="45">
        <f t="shared" si="15"/>
        <v>1247547543.5499001</v>
      </c>
      <c r="H73" s="45">
        <f t="shared" si="15"/>
        <v>1284973969.8563972</v>
      </c>
      <c r="I73" s="45">
        <f t="shared" si="15"/>
        <v>1323523188.9520891</v>
      </c>
      <c r="J73" s="441">
        <f>SUM(E73:I73)</f>
        <v>6243189120.6883869</v>
      </c>
      <c r="K73" s="53"/>
    </row>
    <row r="74" spans="2:12">
      <c r="B74" s="43" t="s">
        <v>967</v>
      </c>
      <c r="C74" s="43" t="s">
        <v>2191</v>
      </c>
      <c r="D74" s="45">
        <f>'분할사업부문 손익(2023년 실적)'!H24+'분할사업부문 손익(2023년 실적)'!H25+'분할사업부문 손익(2023년 실적)'!H26+'분할사업부문 손익(2023년 실적)'!H27+'분할사업부문 손익(2023년 실적)'!H28</f>
        <v>982331325</v>
      </c>
      <c r="E74" s="58">
        <f>'2024년1Q영업점별 실적'!G16</f>
        <v>142996954</v>
      </c>
      <c r="F74" s="45">
        <v>0</v>
      </c>
      <c r="G74" s="45">
        <f t="shared" ref="G74:I77" si="16">F74*(1+$I$69)</f>
        <v>0</v>
      </c>
      <c r="H74" s="45">
        <f t="shared" si="16"/>
        <v>0</v>
      </c>
      <c r="I74" s="45">
        <f t="shared" si="16"/>
        <v>0</v>
      </c>
      <c r="J74" s="441">
        <f t="shared" ref="J74:J81" si="17">SUM(E74:I74)</f>
        <v>142996954</v>
      </c>
      <c r="K74" s="53"/>
    </row>
    <row r="75" spans="2:12">
      <c r="B75" s="43" t="s">
        <v>969</v>
      </c>
      <c r="C75" s="43" t="s">
        <v>2190</v>
      </c>
      <c r="D75" s="45">
        <f>'분할사업부문 손익(2023년 실적)'!I24+'분할사업부문 손익(2023년 실적)'!I25+'분할사업부문 손익(2023년 실적)'!I26+'분할사업부문 손익(2023년 실적)'!I27+'분할사업부문 손익(2023년 실적)'!I28</f>
        <v>383981391</v>
      </c>
      <c r="E75" s="58">
        <f>'2024년1Q영업점별 실적'!I17</f>
        <v>714057681</v>
      </c>
      <c r="F75" s="45">
        <f>E75*(1+$I$69)</f>
        <v>735479411.43000007</v>
      </c>
      <c r="G75" s="45">
        <f t="shared" si="16"/>
        <v>757543793.7729001</v>
      </c>
      <c r="H75" s="45">
        <f t="shared" si="16"/>
        <v>780270107.58608711</v>
      </c>
      <c r="I75" s="45">
        <f t="shared" si="16"/>
        <v>803678210.8136698</v>
      </c>
      <c r="J75" s="441">
        <f t="shared" si="17"/>
        <v>3791029204.6026568</v>
      </c>
      <c r="K75" s="53"/>
    </row>
    <row r="76" spans="2:12">
      <c r="B76" s="43" t="s">
        <v>971</v>
      </c>
      <c r="C76" s="43" t="s">
        <v>2193</v>
      </c>
      <c r="D76" s="45">
        <f>'분할사업부문 손익(2023년 실적)'!J24+'분할사업부문 손익(2023년 실적)'!J25+'분할사업부문 손익(2023년 실적)'!J26+'분할사업부문 손익(2023년 실적)'!J27+'분할사업부문 손익(2023년 실적)'!J28</f>
        <v>846373509</v>
      </c>
      <c r="E76" s="58">
        <f>'2024년1Q영업점별 실적'!I18</f>
        <v>868099590.60000002</v>
      </c>
      <c r="F76" s="58">
        <f>E76*(1+$I$69)*0.95</f>
        <v>849435449.40210009</v>
      </c>
      <c r="G76" s="45">
        <f t="shared" si="16"/>
        <v>874918512.88416314</v>
      </c>
      <c r="H76" s="45">
        <f t="shared" si="16"/>
        <v>901166068.27068806</v>
      </c>
      <c r="I76" s="45">
        <f t="shared" si="16"/>
        <v>928201050.31880867</v>
      </c>
      <c r="J76" s="441">
        <f t="shared" si="17"/>
        <v>4421820671.4757595</v>
      </c>
      <c r="K76" s="53"/>
    </row>
    <row r="77" spans="2:12">
      <c r="B77" s="43" t="s">
        <v>974</v>
      </c>
      <c r="C77" s="43" t="s">
        <v>2194</v>
      </c>
      <c r="D77" s="45">
        <f>'분할사업부문 손익(2023년 실적)'!K24+'분할사업부문 손익(2023년 실적)'!K25+'분할사업부문 손익(2023년 실적)'!K26+'분할사업부문 손익(2023년 실적)'!K27+'분할사업부문 손익(2023년 실적)'!K28</f>
        <v>55142041</v>
      </c>
      <c r="E77" s="58">
        <f>'2024년1Q영업점별 실적'!I19</f>
        <v>771614166</v>
      </c>
      <c r="F77" s="58">
        <f>E77*(1+$I$69)</f>
        <v>794762590.98000002</v>
      </c>
      <c r="G77" s="58">
        <f t="shared" si="16"/>
        <v>818605468.70940006</v>
      </c>
      <c r="H77" s="58">
        <f t="shared" si="16"/>
        <v>843163632.7706821</v>
      </c>
      <c r="I77" s="58">
        <f t="shared" si="16"/>
        <v>868458541.75380254</v>
      </c>
      <c r="J77" s="441">
        <f t="shared" si="17"/>
        <v>4096604400.2138844</v>
      </c>
      <c r="K77" s="53"/>
    </row>
    <row r="78" spans="2:12">
      <c r="B78" s="53" t="s">
        <v>992</v>
      </c>
      <c r="C78" s="53" t="s">
        <v>2391</v>
      </c>
      <c r="D78" s="45"/>
      <c r="E78" s="58">
        <f>E77*7/12</f>
        <v>450108263.5</v>
      </c>
      <c r="F78" s="58">
        <f>F26*0.3</f>
        <v>680029500</v>
      </c>
      <c r="G78" s="58">
        <f>G26*0.3</f>
        <v>700430385</v>
      </c>
      <c r="H78" s="58">
        <f>H26*0.3</f>
        <v>721443296.54999995</v>
      </c>
      <c r="I78" s="58">
        <f>I26*0.3</f>
        <v>743086595.44650006</v>
      </c>
      <c r="J78" s="441">
        <f t="shared" si="17"/>
        <v>3295098040.4965</v>
      </c>
      <c r="K78" s="53" t="s">
        <v>2397</v>
      </c>
    </row>
    <row r="79" spans="2:12">
      <c r="B79" s="53" t="s">
        <v>2390</v>
      </c>
      <c r="C79" s="53" t="s">
        <v>2195</v>
      </c>
      <c r="D79" s="45">
        <v>0</v>
      </c>
      <c r="E79" s="58">
        <f>E73*1.2*2/12</f>
        <v>235186642.20000002</v>
      </c>
      <c r="F79" s="58">
        <f>F27*0.23</f>
        <v>2456400000</v>
      </c>
      <c r="G79" s="58">
        <f>G27*0.22</f>
        <v>1879680000</v>
      </c>
      <c r="H79" s="58">
        <f>H27*0.22</f>
        <v>1503744000</v>
      </c>
      <c r="I79" s="58">
        <f>I27*0.22</f>
        <v>1548856320</v>
      </c>
      <c r="J79" s="441">
        <f t="shared" si="17"/>
        <v>7623866962.1999998</v>
      </c>
      <c r="K79" s="53" t="s">
        <v>2398</v>
      </c>
    </row>
    <row r="80" spans="2:12">
      <c r="B80" s="53" t="s">
        <v>2393</v>
      </c>
      <c r="C80" s="53" t="s">
        <v>2395</v>
      </c>
      <c r="D80" s="45"/>
      <c r="E80" s="58"/>
      <c r="F80" s="58">
        <f>F28*0.32</f>
        <v>776000000</v>
      </c>
      <c r="G80" s="58">
        <f t="shared" ref="G80:I81" si="18">G28*0.3</f>
        <v>806400000</v>
      </c>
      <c r="H80" s="58">
        <f t="shared" si="18"/>
        <v>830592000</v>
      </c>
      <c r="I80" s="58">
        <f t="shared" si="18"/>
        <v>855509760</v>
      </c>
      <c r="J80" s="441">
        <f t="shared" si="17"/>
        <v>3268501760</v>
      </c>
      <c r="K80" s="53" t="s">
        <v>2399</v>
      </c>
    </row>
    <row r="81" spans="2:12">
      <c r="B81" s="53" t="s">
        <v>2394</v>
      </c>
      <c r="C81" s="53" t="s">
        <v>2396</v>
      </c>
      <c r="D81" s="45"/>
      <c r="E81" s="58"/>
      <c r="F81" s="58">
        <f>F29*0.32</f>
        <v>145920000</v>
      </c>
      <c r="G81" s="58">
        <f t="shared" si="18"/>
        <v>781200000</v>
      </c>
      <c r="H81" s="58">
        <f t="shared" si="18"/>
        <v>804636000</v>
      </c>
      <c r="I81" s="58">
        <f t="shared" si="18"/>
        <v>828775080</v>
      </c>
      <c r="J81" s="441">
        <f t="shared" si="17"/>
        <v>2560531080</v>
      </c>
      <c r="K81" s="53" t="s">
        <v>2400</v>
      </c>
    </row>
    <row r="82" spans="2:12">
      <c r="D82" s="50" t="b">
        <f>'분할사업부문 손익(2023년 실적)'!E24+'분할사업부문 손익(2023년 실적)'!E25+'분할사업부문 손익(2023년 실적)'!E26+'분할사업부문 손익(2023년 실적)'!E27+'분할사업부문 손익(2023년 실적)'!E28=D71</f>
        <v>1</v>
      </c>
      <c r="E82" s="44" t="s">
        <v>904</v>
      </c>
      <c r="F82" s="44"/>
      <c r="G82" s="44"/>
      <c r="H82" s="44"/>
      <c r="I82" s="44"/>
      <c r="J82" s="44"/>
      <c r="K82" s="51"/>
    </row>
    <row r="83" spans="2:12">
      <c r="E83" s="44"/>
      <c r="F83" s="44"/>
      <c r="G83" s="44"/>
      <c r="H83" s="44"/>
      <c r="I83" s="44"/>
      <c r="J83" s="44"/>
    </row>
    <row r="84" spans="2:12" s="50" customFormat="1">
      <c r="B84" s="445" t="s">
        <v>936</v>
      </c>
      <c r="D84" s="50" t="s">
        <v>2447</v>
      </c>
      <c r="E84" s="440">
        <f>D86/D71</f>
        <v>6.0395879665536868E-2</v>
      </c>
      <c r="F84" s="443"/>
      <c r="G84" s="443"/>
      <c r="H84" s="42" t="s">
        <v>2198</v>
      </c>
      <c r="I84" s="440">
        <v>0.03</v>
      </c>
      <c r="J84" s="44" t="s">
        <v>906</v>
      </c>
      <c r="L84" s="437"/>
    </row>
    <row r="85" spans="2:12">
      <c r="B85" s="823" t="s">
        <v>982</v>
      </c>
      <c r="C85" s="823"/>
      <c r="D85" s="47" t="s">
        <v>2074</v>
      </c>
      <c r="E85" s="47" t="s">
        <v>985</v>
      </c>
      <c r="F85" s="47" t="s">
        <v>986</v>
      </c>
      <c r="G85" s="47" t="s">
        <v>987</v>
      </c>
      <c r="H85" s="47" t="s">
        <v>988</v>
      </c>
      <c r="I85" s="47" t="s">
        <v>989</v>
      </c>
      <c r="J85" s="47" t="s">
        <v>984</v>
      </c>
      <c r="K85" s="564" t="s">
        <v>332</v>
      </c>
    </row>
    <row r="86" spans="2:12">
      <c r="B86" s="830" t="s">
        <v>978</v>
      </c>
      <c r="C86" s="830"/>
      <c r="D86" s="49">
        <f>SUM(D87:D96)</f>
        <v>254318559</v>
      </c>
      <c r="E86" s="49">
        <f t="shared" ref="E86:J86" si="19">SUM(E87:E96)</f>
        <v>286132841.96811664</v>
      </c>
      <c r="F86" s="49">
        <f t="shared" si="19"/>
        <v>485598110.94067895</v>
      </c>
      <c r="G86" s="49">
        <f t="shared" si="19"/>
        <v>499417773.47819531</v>
      </c>
      <c r="H86" s="49">
        <f t="shared" si="19"/>
        <v>488289573.45190638</v>
      </c>
      <c r="I86" s="49">
        <f t="shared" si="19"/>
        <v>502938260.65546358</v>
      </c>
      <c r="J86" s="49">
        <f t="shared" si="19"/>
        <v>2262376560.4943609</v>
      </c>
      <c r="K86" s="43"/>
    </row>
    <row r="87" spans="2:12">
      <c r="B87" s="831" t="s">
        <v>977</v>
      </c>
      <c r="C87" s="831"/>
      <c r="D87" s="45">
        <f>'분할사업부문 손익(2023년 실적)'!F30</f>
        <v>22260009</v>
      </c>
      <c r="E87" s="45">
        <f>D87*(1+$I$84)</f>
        <v>22927809.27</v>
      </c>
      <c r="F87" s="45">
        <f>E87*(1+$I$84)</f>
        <v>23615643.548099998</v>
      </c>
      <c r="G87" s="45">
        <f>F87*(1+$I$84)</f>
        <v>24324112.854543</v>
      </c>
      <c r="H87" s="45">
        <f>G87*(1+$I$84)</f>
        <v>25053836.240179293</v>
      </c>
      <c r="I87" s="45">
        <f>H87*(1+$I$84)</f>
        <v>25805451.327384673</v>
      </c>
      <c r="J87" s="441">
        <f>SUM(E87:I87)</f>
        <v>121726853.24020699</v>
      </c>
      <c r="K87" s="53"/>
    </row>
    <row r="88" spans="2:12">
      <c r="B88" s="43" t="s">
        <v>966</v>
      </c>
      <c r="C88" s="43" t="s">
        <v>2192</v>
      </c>
      <c r="D88" s="45">
        <f>'분할사업부문 손익(2023년 실적)'!G30</f>
        <v>106293831</v>
      </c>
      <c r="E88" s="45">
        <f t="shared" ref="E88:I96" si="20">E73*$E$84</f>
        <v>71021520.706264377</v>
      </c>
      <c r="F88" s="45">
        <f t="shared" si="20"/>
        <v>73152166.327452302</v>
      </c>
      <c r="G88" s="45">
        <f t="shared" si="20"/>
        <v>75346731.317275882</v>
      </c>
      <c r="H88" s="45">
        <f t="shared" si="20"/>
        <v>77607133.256794155</v>
      </c>
      <c r="I88" s="45">
        <f t="shared" si="20"/>
        <v>79935347.25449799</v>
      </c>
      <c r="J88" s="441">
        <f>SUM(E88:I88)</f>
        <v>377062898.86228472</v>
      </c>
      <c r="K88" s="53"/>
    </row>
    <row r="89" spans="2:12">
      <c r="B89" s="43" t="s">
        <v>967</v>
      </c>
      <c r="C89" s="43" t="s">
        <v>2191</v>
      </c>
      <c r="D89" s="45">
        <f>'분할사업부문 손익(2023년 실적)'!H30</f>
        <v>49437714</v>
      </c>
      <c r="E89" s="45">
        <f t="shared" si="20"/>
        <v>8636426.8263223115</v>
      </c>
      <c r="F89" s="45">
        <f t="shared" si="20"/>
        <v>0</v>
      </c>
      <c r="G89" s="45">
        <f t="shared" si="20"/>
        <v>0</v>
      </c>
      <c r="H89" s="45">
        <f t="shared" si="20"/>
        <v>0</v>
      </c>
      <c r="I89" s="45">
        <f t="shared" si="20"/>
        <v>0</v>
      </c>
      <c r="J89" s="441">
        <f t="shared" ref="J89:J96" si="21">SUM(E89:I89)</f>
        <v>8636426.8263223115</v>
      </c>
      <c r="K89" s="53"/>
    </row>
    <row r="90" spans="2:12">
      <c r="B90" s="43" t="s">
        <v>969</v>
      </c>
      <c r="C90" s="43" t="s">
        <v>2190</v>
      </c>
      <c r="D90" s="45">
        <f>'분할사업부문 손익(2023년 실적)'!I30</f>
        <v>31439157</v>
      </c>
      <c r="E90" s="45">
        <f t="shared" si="20"/>
        <v>43126141.775928311</v>
      </c>
      <c r="F90" s="45">
        <f t="shared" si="20"/>
        <v>44419926.029206164</v>
      </c>
      <c r="G90" s="45">
        <f t="shared" si="20"/>
        <v>45752523.810082354</v>
      </c>
      <c r="H90" s="45">
        <f t="shared" si="20"/>
        <v>47125099.524384826</v>
      </c>
      <c r="I90" s="45">
        <f t="shared" si="20"/>
        <v>48538852.510116376</v>
      </c>
      <c r="J90" s="441">
        <f t="shared" si="21"/>
        <v>228962543.64971802</v>
      </c>
      <c r="K90" s="53"/>
    </row>
    <row r="91" spans="2:12">
      <c r="B91" s="43" t="s">
        <v>971</v>
      </c>
      <c r="C91" s="43" t="s">
        <v>2193</v>
      </c>
      <c r="D91" s="45">
        <f>'분할사업부문 손익(2023년 실적)'!J30</f>
        <v>44316178</v>
      </c>
      <c r="E91" s="45">
        <f t="shared" si="20"/>
        <v>52429638.411579423</v>
      </c>
      <c r="F91" s="45">
        <f t="shared" si="20"/>
        <v>51302401.185730465</v>
      </c>
      <c r="G91" s="45">
        <f t="shared" si="20"/>
        <v>52841473.221302383</v>
      </c>
      <c r="H91" s="45">
        <f t="shared" si="20"/>
        <v>54426717.417941459</v>
      </c>
      <c r="I91" s="45">
        <f t="shared" si="20"/>
        <v>56059518.940479703</v>
      </c>
      <c r="J91" s="441">
        <f t="shared" si="21"/>
        <v>267059749.17703342</v>
      </c>
      <c r="K91" s="53"/>
    </row>
    <row r="92" spans="2:12">
      <c r="B92" s="43" t="s">
        <v>974</v>
      </c>
      <c r="C92" s="43" t="s">
        <v>2194</v>
      </c>
      <c r="D92" s="45">
        <f>'분할사업부문 손익(2023년 실적)'!K30</f>
        <v>571670</v>
      </c>
      <c r="E92" s="45">
        <f t="shared" si="20"/>
        <v>46602316.317959592</v>
      </c>
      <c r="F92" s="45">
        <f t="shared" si="20"/>
        <v>48000385.807498381</v>
      </c>
      <c r="G92" s="45">
        <f t="shared" si="20"/>
        <v>49440397.381723329</v>
      </c>
      <c r="H92" s="45">
        <f t="shared" si="20"/>
        <v>50923609.303175032</v>
      </c>
      <c r="I92" s="45">
        <f t="shared" si="20"/>
        <v>52451317.582270287</v>
      </c>
      <c r="J92" s="441">
        <f t="shared" si="21"/>
        <v>247418026.39262661</v>
      </c>
      <c r="K92" s="53"/>
    </row>
    <row r="93" spans="2:12">
      <c r="B93" s="53" t="s">
        <v>992</v>
      </c>
      <c r="C93" s="53" t="s">
        <v>2391</v>
      </c>
      <c r="D93" s="45"/>
      <c r="E93" s="45">
        <f t="shared" si="20"/>
        <v>27184684.518809762</v>
      </c>
      <c r="F93" s="45">
        <f t="shared" si="20"/>
        <v>41070979.851015203</v>
      </c>
      <c r="G93" s="45">
        <f t="shared" si="20"/>
        <v>42303109.246545658</v>
      </c>
      <c r="H93" s="45">
        <f t="shared" si="20"/>
        <v>43572202.523942024</v>
      </c>
      <c r="I93" s="45">
        <f t="shared" si="20"/>
        <v>44879368.599660292</v>
      </c>
      <c r="J93" s="441">
        <f t="shared" si="21"/>
        <v>199010344.73997295</v>
      </c>
      <c r="K93" s="53" t="s">
        <v>2397</v>
      </c>
    </row>
    <row r="94" spans="2:12">
      <c r="B94" s="53" t="s">
        <v>2390</v>
      </c>
      <c r="C94" s="53" t="s">
        <v>2195</v>
      </c>
      <c r="D94" s="45"/>
      <c r="E94" s="45">
        <f t="shared" si="20"/>
        <v>14204304.141252875</v>
      </c>
      <c r="F94" s="45">
        <f t="shared" si="20"/>
        <v>148356438.81042477</v>
      </c>
      <c r="G94" s="45">
        <f t="shared" si="20"/>
        <v>113524927.08971635</v>
      </c>
      <c r="H94" s="45">
        <f t="shared" si="20"/>
        <v>90819941.671773076</v>
      </c>
      <c r="I94" s="45">
        <f t="shared" si="20"/>
        <v>93544539.92192626</v>
      </c>
      <c r="J94" s="441">
        <f t="shared" si="21"/>
        <v>460450151.63509333</v>
      </c>
      <c r="K94" s="53" t="s">
        <v>2398</v>
      </c>
    </row>
    <row r="95" spans="2:12">
      <c r="B95" s="53" t="s">
        <v>2393</v>
      </c>
      <c r="C95" s="53" t="s">
        <v>2395</v>
      </c>
      <c r="D95" s="45"/>
      <c r="E95" s="45">
        <f t="shared" si="20"/>
        <v>0</v>
      </c>
      <c r="F95" s="45">
        <f t="shared" si="20"/>
        <v>46867202.620456606</v>
      </c>
      <c r="G95" s="45">
        <f t="shared" si="20"/>
        <v>48703237.36228893</v>
      </c>
      <c r="H95" s="45">
        <f t="shared" si="20"/>
        <v>50164334.483157597</v>
      </c>
      <c r="I95" s="45">
        <f t="shared" si="20"/>
        <v>51669264.517652325</v>
      </c>
      <c r="J95" s="441">
        <f t="shared" si="21"/>
        <v>197404038.98355547</v>
      </c>
      <c r="K95" s="53" t="s">
        <v>2399</v>
      </c>
    </row>
    <row r="96" spans="2:12">
      <c r="B96" s="53" t="s">
        <v>2394</v>
      </c>
      <c r="C96" s="53" t="s">
        <v>2396</v>
      </c>
      <c r="D96" s="45"/>
      <c r="E96" s="45">
        <f t="shared" si="20"/>
        <v>0</v>
      </c>
      <c r="F96" s="45">
        <f t="shared" si="20"/>
        <v>8812966.7607951406</v>
      </c>
      <c r="G96" s="45">
        <f t="shared" si="20"/>
        <v>47181261.1947174</v>
      </c>
      <c r="H96" s="45">
        <f t="shared" si="20"/>
        <v>48596699.030558921</v>
      </c>
      <c r="I96" s="45">
        <f t="shared" si="20"/>
        <v>50054600.001475692</v>
      </c>
      <c r="J96" s="441">
        <f t="shared" si="21"/>
        <v>154645526.98754716</v>
      </c>
      <c r="K96" s="53" t="s">
        <v>2400</v>
      </c>
    </row>
    <row r="97" spans="2:12">
      <c r="D97" s="50" t="b">
        <f>'분할사업부문 손익(2023년 실적)'!E30=D86</f>
        <v>1</v>
      </c>
      <c r="E97" s="44"/>
      <c r="F97" s="44"/>
      <c r="G97" s="44"/>
      <c r="H97" s="44"/>
      <c r="I97" s="44"/>
      <c r="J97" s="44"/>
      <c r="K97" s="51"/>
    </row>
    <row r="98" spans="2:12">
      <c r="E98" s="44"/>
      <c r="F98" s="44"/>
      <c r="G98" s="44"/>
      <c r="H98" s="44"/>
      <c r="I98" s="44"/>
      <c r="J98" s="44"/>
    </row>
    <row r="99" spans="2:12" s="50" customFormat="1">
      <c r="B99" s="444" t="s">
        <v>2200</v>
      </c>
      <c r="E99" s="443"/>
      <c r="F99" s="443"/>
      <c r="G99" s="443"/>
      <c r="H99" s="42" t="s">
        <v>2448</v>
      </c>
      <c r="I99" s="440" t="s">
        <v>2402</v>
      </c>
      <c r="J99" s="44" t="s">
        <v>906</v>
      </c>
      <c r="L99" s="437"/>
    </row>
    <row r="100" spans="2:12" s="50" customFormat="1">
      <c r="B100" s="828" t="s">
        <v>982</v>
      </c>
      <c r="C100" s="828"/>
      <c r="D100" s="446" t="s">
        <v>2074</v>
      </c>
      <c r="E100" s="446" t="s">
        <v>985</v>
      </c>
      <c r="F100" s="446" t="s">
        <v>986</v>
      </c>
      <c r="G100" s="446" t="s">
        <v>987</v>
      </c>
      <c r="H100" s="446" t="s">
        <v>988</v>
      </c>
      <c r="I100" s="446" t="s">
        <v>989</v>
      </c>
      <c r="J100" s="446" t="s">
        <v>984</v>
      </c>
      <c r="K100" s="564" t="s">
        <v>332</v>
      </c>
      <c r="L100" s="437"/>
    </row>
    <row r="101" spans="2:12" s="50" customFormat="1">
      <c r="B101" s="824" t="s">
        <v>980</v>
      </c>
      <c r="C101" s="824"/>
      <c r="D101" s="447">
        <f>SUM(D102:D111)</f>
        <v>1227043477</v>
      </c>
      <c r="E101" s="447">
        <f t="shared" ref="E101:J101" si="22">SUM(E102:E111)</f>
        <v>1474799007.76</v>
      </c>
      <c r="F101" s="447">
        <f t="shared" si="22"/>
        <v>2075915191.0854506</v>
      </c>
      <c r="G101" s="447">
        <f t="shared" si="22"/>
        <v>2298781639.895422</v>
      </c>
      <c r="H101" s="447">
        <f t="shared" si="22"/>
        <v>2367005577.6442847</v>
      </c>
      <c r="I101" s="447">
        <f t="shared" si="22"/>
        <v>2437276233.5256138</v>
      </c>
      <c r="J101" s="447">
        <f t="shared" si="22"/>
        <v>10653777649.910772</v>
      </c>
      <c r="K101" s="43"/>
      <c r="L101" s="437"/>
    </row>
    <row r="102" spans="2:12" s="50" customFormat="1">
      <c r="B102" s="825" t="s">
        <v>977</v>
      </c>
      <c r="C102" s="825"/>
      <c r="D102" s="449">
        <f>'분할사업부문 손익(2023년 실적)'!F38+'분할사업부문 손익(2023년 실적)'!F53</f>
        <v>0</v>
      </c>
      <c r="E102" s="45">
        <v>36000000</v>
      </c>
      <c r="F102" s="45">
        <f>E102*1.03</f>
        <v>37080000</v>
      </c>
      <c r="G102" s="45">
        <f>F102*1.03</f>
        <v>38192400</v>
      </c>
      <c r="H102" s="45">
        <f>G102*1.03</f>
        <v>39338172</v>
      </c>
      <c r="I102" s="45">
        <f>H102*1.03</f>
        <v>40518317.160000004</v>
      </c>
      <c r="J102" s="441">
        <f>SUM(E102:I102)</f>
        <v>191128889.16</v>
      </c>
      <c r="K102" s="53"/>
      <c r="L102" s="437"/>
    </row>
    <row r="103" spans="2:12" s="50" customFormat="1" ht="49.5">
      <c r="B103" s="448" t="s">
        <v>966</v>
      </c>
      <c r="C103" s="448" t="s">
        <v>2192</v>
      </c>
      <c r="D103" s="449">
        <f>'분할사업부문 손익(2023년 실적)'!G38+'분할사업부문 손익(2023년 실적)'!G53</f>
        <v>787832738</v>
      </c>
      <c r="E103" s="45">
        <f>E21*0.1+5001350</f>
        <v>516441336.20000005</v>
      </c>
      <c r="F103" s="45">
        <f>F21*0.1+5001350</f>
        <v>531784535.78600007</v>
      </c>
      <c r="G103" s="45">
        <f>G21*0.1+5001350</f>
        <v>547588031.35958004</v>
      </c>
      <c r="H103" s="45">
        <f>H21*0.1+5001350</f>
        <v>563865631.80036747</v>
      </c>
      <c r="I103" s="45">
        <f>I21*0.1+5001350</f>
        <v>580631560.25437856</v>
      </c>
      <c r="J103" s="441">
        <f>SUM(E103:I103)</f>
        <v>2740311095.4003258</v>
      </c>
      <c r="K103" s="53" t="s">
        <v>2451</v>
      </c>
      <c r="L103" s="437"/>
    </row>
    <row r="104" spans="2:12" s="50" customFormat="1">
      <c r="B104" s="448" t="s">
        <v>967</v>
      </c>
      <c r="C104" s="448" t="s">
        <v>2191</v>
      </c>
      <c r="D104" s="449">
        <f>'분할사업부문 손익(2023년 실적)'!H38+'분할사업부문 손익(2023년 실적)'!H53</f>
        <v>181338100</v>
      </c>
      <c r="E104" s="45">
        <f>'2024년1Q영업점별 실적'!C26+'2024년1Q영업점별 실적'!E26+100000000</f>
        <v>183173494</v>
      </c>
      <c r="F104" s="45">
        <v>0</v>
      </c>
      <c r="G104" s="45">
        <v>0</v>
      </c>
      <c r="H104" s="45">
        <v>0</v>
      </c>
      <c r="I104" s="45">
        <v>0</v>
      </c>
      <c r="J104" s="441">
        <f t="shared" ref="J104:J111" si="23">SUM(E104:I104)</f>
        <v>183173494</v>
      </c>
      <c r="K104" s="639" t="s">
        <v>904</v>
      </c>
      <c r="L104" s="437"/>
    </row>
    <row r="105" spans="2:12" s="50" customFormat="1">
      <c r="B105" s="448" t="s">
        <v>969</v>
      </c>
      <c r="C105" s="448" t="s">
        <v>2190</v>
      </c>
      <c r="D105" s="449">
        <f>'분할사업부문 손익(2023년 실적)'!I38+'분할사업부문 손익(2023년 실적)'!I53</f>
        <v>16068219</v>
      </c>
      <c r="E105" s="45">
        <f>E23*0.08</f>
        <v>188719241.03999999</v>
      </c>
      <c r="F105" s="45">
        <f>F23*0.08</f>
        <v>194380818.2712</v>
      </c>
      <c r="G105" s="45">
        <f>G23*0.08</f>
        <v>200212242.81933597</v>
      </c>
      <c r="H105" s="45">
        <f>H23*0.08</f>
        <v>206218610.10391605</v>
      </c>
      <c r="I105" s="45">
        <f>I23*0.08</f>
        <v>212405168.40703353</v>
      </c>
      <c r="J105" s="441">
        <f t="shared" si="23"/>
        <v>1001936080.6414856</v>
      </c>
      <c r="K105" s="53" t="s">
        <v>2449</v>
      </c>
      <c r="L105" s="437"/>
    </row>
    <row r="106" spans="2:12" s="50" customFormat="1" ht="33">
      <c r="B106" s="448" t="s">
        <v>971</v>
      </c>
      <c r="C106" s="448" t="s">
        <v>2193</v>
      </c>
      <c r="D106" s="449">
        <f>'분할사업부문 손익(2023년 실적)'!J38+'분할사업부문 손익(2023년 실적)'!J53</f>
        <v>222633745</v>
      </c>
      <c r="E106" s="45">
        <f>E24*0.08+4603720</f>
        <v>191815923.03999999</v>
      </c>
      <c r="F106" s="45">
        <f>F24*0.08+4603720</f>
        <v>197432289.13119999</v>
      </c>
      <c r="G106" s="45">
        <f>G24*0.08+4603720</f>
        <v>203217146.205136</v>
      </c>
      <c r="H106" s="45">
        <f>H24*0.08+4603720</f>
        <v>209175548.99129009</v>
      </c>
      <c r="I106" s="45">
        <f>I24*0.08+4603720</f>
        <v>215312703.86102879</v>
      </c>
      <c r="J106" s="441">
        <f t="shared" si="23"/>
        <v>1016953611.2286549</v>
      </c>
      <c r="K106" s="53" t="s">
        <v>2452</v>
      </c>
      <c r="L106" s="437"/>
    </row>
    <row r="107" spans="2:12" s="50" customFormat="1">
      <c r="B107" s="448" t="s">
        <v>973</v>
      </c>
      <c r="C107" s="448" t="s">
        <v>2194</v>
      </c>
      <c r="D107" s="640">
        <f>'분할사업부문 손익(2023년 실적)'!K38+'분할사업부문 손익(2023년 실적)'!K53</f>
        <v>19170675</v>
      </c>
      <c r="E107" s="58">
        <f>E25*0.07</f>
        <v>166000746.24000001</v>
      </c>
      <c r="F107" s="58">
        <f>F25*0.07</f>
        <v>170980768.62720001</v>
      </c>
      <c r="G107" s="58">
        <f>G25*0.07</f>
        <v>176110191.68601602</v>
      </c>
      <c r="H107" s="58">
        <f>H25*0.07</f>
        <v>181393497.43659651</v>
      </c>
      <c r="I107" s="58">
        <f>I25*0.07</f>
        <v>186835302.35969439</v>
      </c>
      <c r="J107" s="441">
        <f t="shared" si="23"/>
        <v>881320506.34950697</v>
      </c>
      <c r="K107" s="53" t="s">
        <v>2450</v>
      </c>
      <c r="L107" s="437"/>
    </row>
    <row r="108" spans="2:12" s="50" customFormat="1" ht="49.5">
      <c r="B108" s="53" t="s">
        <v>992</v>
      </c>
      <c r="C108" s="53" t="s">
        <v>2391</v>
      </c>
      <c r="D108" s="640"/>
      <c r="E108" s="58">
        <f>E26*0.07+2000000</f>
        <v>89360000.000000015</v>
      </c>
      <c r="F108" s="58">
        <f>F26*0.07+2000000</f>
        <v>160673550.00000003</v>
      </c>
      <c r="G108" s="58">
        <f>G26*0.07+2000000</f>
        <v>165433756.50000003</v>
      </c>
      <c r="H108" s="58">
        <f>H26*0.07+2000000</f>
        <v>170336769.19500002</v>
      </c>
      <c r="I108" s="58">
        <f>I26*0.07+2000000</f>
        <v>175386872.27085003</v>
      </c>
      <c r="J108" s="441">
        <f t="shared" si="23"/>
        <v>761190947.96585023</v>
      </c>
      <c r="K108" s="53" t="s">
        <v>2453</v>
      </c>
      <c r="L108" s="437"/>
    </row>
    <row r="109" spans="2:12" s="50" customFormat="1">
      <c r="B109" s="53" t="s">
        <v>2390</v>
      </c>
      <c r="C109" s="53" t="s">
        <v>2195</v>
      </c>
      <c r="D109" s="449"/>
      <c r="E109" s="58">
        <f>E103*1.2*2/12</f>
        <v>103288267.24000001</v>
      </c>
      <c r="F109" s="58">
        <f>F103*1.2</f>
        <v>638141442.94320011</v>
      </c>
      <c r="G109" s="58">
        <f>G103*1.2</f>
        <v>657105637.63149607</v>
      </c>
      <c r="H109" s="58">
        <f>H103*1.2</f>
        <v>676638758.16044092</v>
      </c>
      <c r="I109" s="58">
        <f>I103*1.2</f>
        <v>696757872.30525422</v>
      </c>
      <c r="J109" s="441">
        <f t="shared" si="23"/>
        <v>2771931978.2803917</v>
      </c>
      <c r="K109" s="53" t="s">
        <v>2398</v>
      </c>
      <c r="L109" s="437"/>
    </row>
    <row r="110" spans="2:12" s="50" customFormat="1">
      <c r="B110" s="53" t="s">
        <v>2393</v>
      </c>
      <c r="C110" s="53" t="s">
        <v>2395</v>
      </c>
      <c r="D110" s="449"/>
      <c r="E110" s="58"/>
      <c r="F110" s="58">
        <f>F106*8/12*0.85</f>
        <v>111878297.17434666</v>
      </c>
      <c r="G110" s="58">
        <f>G106*0.85</f>
        <v>172734574.2743656</v>
      </c>
      <c r="H110" s="58">
        <f>H106*0.85</f>
        <v>177799216.64259657</v>
      </c>
      <c r="I110" s="58">
        <f>I106*0.85</f>
        <v>183015798.28187448</v>
      </c>
      <c r="J110" s="441">
        <f t="shared" si="23"/>
        <v>645427886.37318325</v>
      </c>
      <c r="K110" s="53" t="s">
        <v>2399</v>
      </c>
      <c r="L110" s="437"/>
    </row>
    <row r="111" spans="2:12" s="50" customFormat="1">
      <c r="B111" s="53" t="s">
        <v>2394</v>
      </c>
      <c r="C111" s="53" t="s">
        <v>2396</v>
      </c>
      <c r="D111" s="449"/>
      <c r="E111" s="58"/>
      <c r="F111" s="58">
        <f>F110*0.8*3/8</f>
        <v>33563489.152304001</v>
      </c>
      <c r="G111" s="58">
        <f>G110*0.8</f>
        <v>138187659.41949248</v>
      </c>
      <c r="H111" s="58">
        <f>H110*0.8</f>
        <v>142239373.31407726</v>
      </c>
      <c r="I111" s="58">
        <f>I110*0.8</f>
        <v>146412638.62549958</v>
      </c>
      <c r="J111" s="441">
        <f t="shared" si="23"/>
        <v>460403160.51137328</v>
      </c>
      <c r="K111" s="53" t="s">
        <v>2400</v>
      </c>
      <c r="L111" s="437"/>
    </row>
    <row r="112" spans="2:12" s="50" customFormat="1">
      <c r="D112" s="50" t="b">
        <f>'분할사업부문 손익(2023년 실적)'!E38+'분할사업부문 손익(2023년 실적)'!E53=D101</f>
        <v>1</v>
      </c>
      <c r="E112" s="443"/>
      <c r="F112" s="443"/>
      <c r="G112" s="443"/>
      <c r="H112" s="443"/>
      <c r="I112" s="443"/>
      <c r="J112" s="443"/>
      <c r="K112" s="51"/>
      <c r="L112" s="437"/>
    </row>
    <row r="113" spans="2:12" s="50" customFormat="1">
      <c r="E113" s="60"/>
      <c r="F113" s="642"/>
      <c r="G113" s="642"/>
      <c r="H113" s="642"/>
      <c r="I113" s="642"/>
      <c r="J113" s="641"/>
      <c r="L113" s="437"/>
    </row>
    <row r="114" spans="2:12" s="50" customFormat="1">
      <c r="B114" s="444" t="s">
        <v>2376</v>
      </c>
      <c r="E114" s="443"/>
      <c r="H114" s="443" t="s">
        <v>2401</v>
      </c>
      <c r="I114" s="519">
        <v>7.0000000000000007E-2</v>
      </c>
      <c r="J114" s="44" t="s">
        <v>906</v>
      </c>
      <c r="L114" s="437"/>
    </row>
    <row r="115" spans="2:12" s="50" customFormat="1">
      <c r="B115" s="828" t="s">
        <v>982</v>
      </c>
      <c r="C115" s="828"/>
      <c r="D115" s="446" t="s">
        <v>2074</v>
      </c>
      <c r="E115" s="446" t="s">
        <v>985</v>
      </c>
      <c r="F115" s="446" t="s">
        <v>986</v>
      </c>
      <c r="G115" s="446" t="s">
        <v>987</v>
      </c>
      <c r="H115" s="446" t="s">
        <v>988</v>
      </c>
      <c r="I115" s="446" t="s">
        <v>989</v>
      </c>
      <c r="J115" s="446" t="s">
        <v>984</v>
      </c>
      <c r="K115" s="564" t="s">
        <v>332</v>
      </c>
      <c r="L115" s="437"/>
    </row>
    <row r="116" spans="2:12" s="50" customFormat="1">
      <c r="B116" s="824" t="s">
        <v>976</v>
      </c>
      <c r="C116" s="824"/>
      <c r="D116" s="447">
        <f>SUM(D117:D126)</f>
        <v>1925016787</v>
      </c>
      <c r="E116" s="447">
        <f t="shared" ref="E116:J116" si="24">SUM(E117:E126)</f>
        <v>1172835572.49</v>
      </c>
      <c r="F116" s="447">
        <f t="shared" si="24"/>
        <v>2031505764.6647005</v>
      </c>
      <c r="G116" s="447">
        <f t="shared" si="24"/>
        <v>2133060337.6046412</v>
      </c>
      <c r="H116" s="447">
        <f t="shared" si="24"/>
        <v>2051393747.7327802</v>
      </c>
      <c r="I116" s="447">
        <f t="shared" si="24"/>
        <v>2104835560.1647637</v>
      </c>
      <c r="J116" s="447">
        <f t="shared" si="24"/>
        <v>9493630982.6568851</v>
      </c>
      <c r="K116" s="43"/>
      <c r="L116" s="439" t="s">
        <v>904</v>
      </c>
    </row>
    <row r="117" spans="2:12" s="50" customFormat="1">
      <c r="B117" s="829" t="s">
        <v>977</v>
      </c>
      <c r="C117" s="829"/>
      <c r="D117" s="640">
        <f>'분할사업부문 손익(2023년 실적)'!F49</f>
        <v>0</v>
      </c>
      <c r="E117" s="58">
        <f>D117</f>
        <v>0</v>
      </c>
      <c r="F117" s="58">
        <f>E117</f>
        <v>0</v>
      </c>
      <c r="G117" s="58">
        <f>F117</f>
        <v>0</v>
      </c>
      <c r="H117" s="58">
        <f>G117</f>
        <v>0</v>
      </c>
      <c r="I117" s="58">
        <f>H117</f>
        <v>0</v>
      </c>
      <c r="J117" s="563">
        <f>SUM(E117:I117)</f>
        <v>0</v>
      </c>
      <c r="K117" s="53"/>
      <c r="L117" s="437"/>
    </row>
    <row r="118" spans="2:12" s="50" customFormat="1">
      <c r="B118" s="450" t="s">
        <v>966</v>
      </c>
      <c r="C118" s="450" t="s">
        <v>2192</v>
      </c>
      <c r="D118" s="640">
        <f>'분할사업부문 손익(2023년 실적)'!G49</f>
        <v>825442125</v>
      </c>
      <c r="E118" s="58">
        <f>E21*$I$114</f>
        <v>358007990.34000003</v>
      </c>
      <c r="F118" s="58">
        <f>F21*$I$114</f>
        <v>368748230.0502001</v>
      </c>
      <c r="G118" s="58">
        <f>G21*$I$114</f>
        <v>379810676.95170605</v>
      </c>
      <c r="H118" s="58">
        <f>H21*$I$114</f>
        <v>391204997.26025724</v>
      </c>
      <c r="I118" s="58">
        <f>I21*$I$114</f>
        <v>402941147.178065</v>
      </c>
      <c r="J118" s="563">
        <f>SUM(E118:I118)</f>
        <v>1900713041.7802284</v>
      </c>
      <c r="K118" s="53"/>
      <c r="L118" s="437"/>
    </row>
    <row r="119" spans="2:12" s="50" customFormat="1">
      <c r="B119" s="450" t="s">
        <v>967</v>
      </c>
      <c r="C119" s="450" t="s">
        <v>2191</v>
      </c>
      <c r="D119" s="640">
        <f>'분할사업부문 손익(2023년 실적)'!H49</f>
        <v>394547420</v>
      </c>
      <c r="E119" s="58">
        <v>112500000</v>
      </c>
      <c r="F119" s="58">
        <f t="shared" ref="F119:I120" si="25">F22*$I$114</f>
        <v>0</v>
      </c>
      <c r="G119" s="58">
        <f t="shared" si="25"/>
        <v>0</v>
      </c>
      <c r="H119" s="58">
        <f t="shared" si="25"/>
        <v>0</v>
      </c>
      <c r="I119" s="58">
        <f t="shared" si="25"/>
        <v>0</v>
      </c>
      <c r="J119" s="563">
        <f t="shared" ref="J119:J126" si="26">SUM(E119:I119)</f>
        <v>112500000</v>
      </c>
      <c r="K119" s="53"/>
      <c r="L119" s="437"/>
    </row>
    <row r="120" spans="2:12" s="50" customFormat="1">
      <c r="B120" s="450" t="s">
        <v>969</v>
      </c>
      <c r="C120" s="450" t="s">
        <v>2190</v>
      </c>
      <c r="D120" s="640">
        <f>'분할사업부문 손익(2023년 실적)'!I49</f>
        <v>370704481</v>
      </c>
      <c r="E120" s="58">
        <f>E23*$I$114</f>
        <v>165129335.91000003</v>
      </c>
      <c r="F120" s="58">
        <f t="shared" si="25"/>
        <v>170083215.98730001</v>
      </c>
      <c r="G120" s="58">
        <f t="shared" si="25"/>
        <v>175185712.466919</v>
      </c>
      <c r="H120" s="58">
        <f t="shared" si="25"/>
        <v>180441283.84092656</v>
      </c>
      <c r="I120" s="58">
        <f t="shared" si="25"/>
        <v>185854522.35615435</v>
      </c>
      <c r="J120" s="563">
        <f t="shared" si="26"/>
        <v>876694070.56129992</v>
      </c>
      <c r="K120" s="53"/>
      <c r="L120" s="437"/>
    </row>
    <row r="121" spans="2:12" s="50" customFormat="1" ht="24" customHeight="1">
      <c r="B121" s="450" t="s">
        <v>971</v>
      </c>
      <c r="C121" s="450" t="s">
        <v>2193</v>
      </c>
      <c r="D121" s="640">
        <f>'분할사업부문 손익(2023년 실적)'!J49</f>
        <v>310426689</v>
      </c>
      <c r="E121" s="58">
        <f>(275000*1350)*5/12+(100000*1350)*7/12</f>
        <v>233437500</v>
      </c>
      <c r="F121" s="58">
        <f>(100000*1350)*5/12+(200000*1350)*7/12</f>
        <v>213750000</v>
      </c>
      <c r="G121" s="58">
        <f>200000*1350</f>
        <v>270000000</v>
      </c>
      <c r="H121" s="58">
        <f>G121</f>
        <v>270000000</v>
      </c>
      <c r="I121" s="58">
        <f>H121</f>
        <v>270000000</v>
      </c>
      <c r="J121" s="563">
        <f t="shared" si="26"/>
        <v>1257187500</v>
      </c>
      <c r="K121" s="53"/>
      <c r="L121" s="565" t="s">
        <v>904</v>
      </c>
    </row>
    <row r="122" spans="2:12" s="50" customFormat="1">
      <c r="B122" s="450" t="s">
        <v>974</v>
      </c>
      <c r="C122" s="450" t="s">
        <v>2194</v>
      </c>
      <c r="D122" s="640">
        <f>'분할사업부문 손익(2023년 실적)'!K49</f>
        <v>23896072</v>
      </c>
      <c r="E122" s="58">
        <f t="shared" ref="E122:I124" si="27">E25*$I$114</f>
        <v>166000746.24000001</v>
      </c>
      <c r="F122" s="58">
        <f t="shared" si="27"/>
        <v>170980768.62720001</v>
      </c>
      <c r="G122" s="58">
        <f t="shared" si="27"/>
        <v>176110191.68601602</v>
      </c>
      <c r="H122" s="58">
        <f t="shared" si="27"/>
        <v>181393497.43659651</v>
      </c>
      <c r="I122" s="58">
        <f t="shared" si="27"/>
        <v>186835302.35969439</v>
      </c>
      <c r="J122" s="563">
        <f t="shared" si="26"/>
        <v>881320506.34950697</v>
      </c>
      <c r="K122" s="53"/>
      <c r="L122" s="437"/>
    </row>
    <row r="123" spans="2:12" s="50" customFormat="1">
      <c r="B123" s="53" t="s">
        <v>992</v>
      </c>
      <c r="C123" s="53" t="s">
        <v>2391</v>
      </c>
      <c r="D123" s="640"/>
      <c r="E123" s="58">
        <f t="shared" si="27"/>
        <v>87360000.000000015</v>
      </c>
      <c r="F123" s="58">
        <f t="shared" si="27"/>
        <v>158673550.00000003</v>
      </c>
      <c r="G123" s="58">
        <f t="shared" si="27"/>
        <v>163433756.50000003</v>
      </c>
      <c r="H123" s="58">
        <f t="shared" si="27"/>
        <v>168336769.19500002</v>
      </c>
      <c r="I123" s="58">
        <f t="shared" si="27"/>
        <v>173386872.27085003</v>
      </c>
      <c r="J123" s="563">
        <f t="shared" si="26"/>
        <v>751190947.96585023</v>
      </c>
      <c r="K123" s="53" t="s">
        <v>2397</v>
      </c>
      <c r="L123" s="437"/>
    </row>
    <row r="124" spans="2:12" s="50" customFormat="1">
      <c r="B124" s="53" t="s">
        <v>2390</v>
      </c>
      <c r="C124" s="53" t="s">
        <v>2195</v>
      </c>
      <c r="D124" s="640"/>
      <c r="E124" s="58">
        <f t="shared" si="27"/>
        <v>50400000.000000007</v>
      </c>
      <c r="F124" s="58">
        <f t="shared" si="27"/>
        <v>747600000.00000012</v>
      </c>
      <c r="G124" s="58">
        <f t="shared" si="27"/>
        <v>598080000</v>
      </c>
      <c r="H124" s="58">
        <f t="shared" si="27"/>
        <v>478464000.00000006</v>
      </c>
      <c r="I124" s="58">
        <f t="shared" si="27"/>
        <v>492817920.00000006</v>
      </c>
      <c r="J124" s="563">
        <f t="shared" si="26"/>
        <v>2367361920</v>
      </c>
      <c r="K124" s="53" t="s">
        <v>2398</v>
      </c>
      <c r="L124" s="437"/>
    </row>
    <row r="125" spans="2:12" s="50" customFormat="1">
      <c r="B125" s="53" t="s">
        <v>2393</v>
      </c>
      <c r="C125" s="53" t="s">
        <v>2395</v>
      </c>
      <c r="D125" s="640"/>
      <c r="E125" s="58"/>
      <c r="F125" s="58">
        <f t="shared" ref="F125:I126" si="28">F28*$I$114</f>
        <v>169750000.00000003</v>
      </c>
      <c r="G125" s="58">
        <f t="shared" si="28"/>
        <v>188160000.00000003</v>
      </c>
      <c r="H125" s="58">
        <f t="shared" si="28"/>
        <v>193804800.00000003</v>
      </c>
      <c r="I125" s="58">
        <f t="shared" si="28"/>
        <v>199618944.00000003</v>
      </c>
      <c r="J125" s="563">
        <f t="shared" si="26"/>
        <v>751333744.00000012</v>
      </c>
      <c r="K125" s="53" t="s">
        <v>2399</v>
      </c>
      <c r="L125" s="437"/>
    </row>
    <row r="126" spans="2:12" s="50" customFormat="1">
      <c r="B126" s="53" t="s">
        <v>2394</v>
      </c>
      <c r="C126" s="53" t="s">
        <v>2396</v>
      </c>
      <c r="D126" s="640"/>
      <c r="E126" s="58"/>
      <c r="F126" s="58">
        <f t="shared" si="28"/>
        <v>31920000.000000004</v>
      </c>
      <c r="G126" s="58">
        <f t="shared" si="28"/>
        <v>182280000.00000003</v>
      </c>
      <c r="H126" s="58">
        <f t="shared" si="28"/>
        <v>187748400.00000003</v>
      </c>
      <c r="I126" s="58">
        <f t="shared" si="28"/>
        <v>193380852.00000003</v>
      </c>
      <c r="J126" s="563">
        <f t="shared" si="26"/>
        <v>595329252.00000012</v>
      </c>
      <c r="K126" s="53" t="s">
        <v>2400</v>
      </c>
      <c r="L126" s="437"/>
    </row>
    <row r="127" spans="2:12" s="50" customFormat="1">
      <c r="D127" s="50" t="b">
        <f>'분할사업부문 손익(2023년 실적)'!E49='분할사업부문 손익(향후5개년)'!D116</f>
        <v>1</v>
      </c>
      <c r="E127" s="443"/>
      <c r="F127" s="443"/>
      <c r="G127" s="443"/>
      <c r="H127" s="443"/>
      <c r="I127" s="443"/>
      <c r="J127" s="443"/>
      <c r="K127" s="51"/>
      <c r="L127" s="437"/>
    </row>
    <row r="128" spans="2:12" s="50" customFormat="1">
      <c r="D128" s="443"/>
      <c r="E128" s="443"/>
      <c r="F128" s="443"/>
      <c r="G128" s="443"/>
      <c r="H128" s="443"/>
      <c r="I128" s="443"/>
      <c r="J128" s="443"/>
      <c r="L128" s="437"/>
    </row>
    <row r="129" spans="2:12" s="50" customFormat="1">
      <c r="B129" s="444" t="s">
        <v>2392</v>
      </c>
      <c r="E129" s="443"/>
      <c r="F129" s="443"/>
      <c r="G129" s="443"/>
      <c r="H129" s="443"/>
      <c r="I129" s="443"/>
      <c r="J129" s="44" t="s">
        <v>906</v>
      </c>
      <c r="L129" s="437"/>
    </row>
    <row r="130" spans="2:12" s="50" customFormat="1">
      <c r="B130" s="828" t="s">
        <v>982</v>
      </c>
      <c r="C130" s="828"/>
      <c r="D130" s="446" t="s">
        <v>2074</v>
      </c>
      <c r="E130" s="446" t="s">
        <v>985</v>
      </c>
      <c r="F130" s="446" t="s">
        <v>986</v>
      </c>
      <c r="G130" s="446" t="s">
        <v>987</v>
      </c>
      <c r="H130" s="446" t="s">
        <v>988</v>
      </c>
      <c r="I130" s="446" t="s">
        <v>989</v>
      </c>
      <c r="J130" s="446" t="s">
        <v>984</v>
      </c>
      <c r="K130" s="564" t="s">
        <v>332</v>
      </c>
      <c r="L130" s="437"/>
    </row>
    <row r="131" spans="2:12" s="50" customFormat="1">
      <c r="B131" s="824" t="s">
        <v>983</v>
      </c>
      <c r="C131" s="824"/>
      <c r="D131" s="447">
        <f>SUM(D132:D141)</f>
        <v>1590584212</v>
      </c>
      <c r="E131" s="447">
        <f t="shared" ref="E131:J131" si="29">SUM(E132:E141)</f>
        <v>682762346.79750001</v>
      </c>
      <c r="F131" s="447">
        <f t="shared" si="29"/>
        <v>845085736.58437502</v>
      </c>
      <c r="G131" s="447">
        <f t="shared" si="29"/>
        <v>1040503311.7125</v>
      </c>
      <c r="H131" s="447">
        <f t="shared" si="29"/>
        <v>1040503311.7125</v>
      </c>
      <c r="I131" s="447">
        <f t="shared" si="29"/>
        <v>1040503311.7125</v>
      </c>
      <c r="J131" s="447">
        <f t="shared" si="29"/>
        <v>4649358018.5193758</v>
      </c>
      <c r="K131" s="43"/>
      <c r="L131" s="437"/>
    </row>
    <row r="132" spans="2:12" s="50" customFormat="1">
      <c r="B132" s="825" t="s">
        <v>977</v>
      </c>
      <c r="C132" s="825"/>
      <c r="D132" s="449">
        <f>'분할사업부문 손익(2023년 실적)'!F37+'분할사업부문 손익(2023년 실적)'!F56</f>
        <v>0</v>
      </c>
      <c r="E132" s="449">
        <f>D132</f>
        <v>0</v>
      </c>
      <c r="F132" s="449">
        <f>E132</f>
        <v>0</v>
      </c>
      <c r="G132" s="449">
        <f>F132</f>
        <v>0</v>
      </c>
      <c r="H132" s="449">
        <f>G132</f>
        <v>0</v>
      </c>
      <c r="I132" s="449">
        <f>H132</f>
        <v>0</v>
      </c>
      <c r="J132" s="441">
        <f>SUM(E132:I132)</f>
        <v>0</v>
      </c>
      <c r="K132" s="53"/>
      <c r="L132" s="437"/>
    </row>
    <row r="133" spans="2:12" s="50" customFormat="1">
      <c r="B133" s="448" t="s">
        <v>966</v>
      </c>
      <c r="C133" s="448" t="s">
        <v>2192</v>
      </c>
      <c r="D133" s="387">
        <f>'분할사업부문 손익(2023년 실적)'!G37+'분할사업부문 손익(2023년 실적)'!G56</f>
        <v>422731146</v>
      </c>
      <c r="E133" s="449">
        <f>'별첨4_분할명세(고정자산)'!Y205</f>
        <v>116449149.2</v>
      </c>
      <c r="F133" s="449">
        <f>E133</f>
        <v>116449149.2</v>
      </c>
      <c r="G133" s="449">
        <f>F133</f>
        <v>116449149.2</v>
      </c>
      <c r="H133" s="449">
        <f>G133</f>
        <v>116449149.2</v>
      </c>
      <c r="I133" s="449">
        <f>H133</f>
        <v>116449149.2</v>
      </c>
      <c r="J133" s="441">
        <f>SUM(E133:I133)</f>
        <v>582245746</v>
      </c>
      <c r="K133" s="53"/>
      <c r="L133" s="437"/>
    </row>
    <row r="134" spans="2:12" s="50" customFormat="1">
      <c r="B134" s="448" t="s">
        <v>967</v>
      </c>
      <c r="C134" s="448" t="s">
        <v>2191</v>
      </c>
      <c r="D134" s="387">
        <f>'분할사업부문 손익(2023년 실적)'!H37+'분할사업부문 손익(2023년 실적)'!H56</f>
        <v>411435269</v>
      </c>
      <c r="E134" s="449">
        <f>'별첨4_분할명세(고정자산)'!T206</f>
        <v>71010592.447500005</v>
      </c>
      <c r="F134" s="449">
        <f>'별첨4_분할명세(고정자산)'!U206</f>
        <v>0</v>
      </c>
      <c r="G134" s="449">
        <f t="shared" ref="G134:I137" si="30">F134</f>
        <v>0</v>
      </c>
      <c r="H134" s="449">
        <f t="shared" si="30"/>
        <v>0</v>
      </c>
      <c r="I134" s="449">
        <f t="shared" si="30"/>
        <v>0</v>
      </c>
      <c r="J134" s="441">
        <f t="shared" ref="J134:J141" si="31">SUM(E134:I134)</f>
        <v>71010592.447500005</v>
      </c>
      <c r="K134" s="53"/>
      <c r="L134" s="437"/>
    </row>
    <row r="135" spans="2:12" s="50" customFormat="1">
      <c r="B135" s="448" t="s">
        <v>969</v>
      </c>
      <c r="C135" s="448" t="s">
        <v>2190</v>
      </c>
      <c r="D135" s="387">
        <f>'분할사업부문 손익(2023년 실적)'!I37+'분할사업부문 손익(2023년 실적)'!I56</f>
        <v>295900398</v>
      </c>
      <c r="E135" s="449">
        <f>'별첨4_분할명세(고정자산)'!Y207</f>
        <v>137990249.05000001</v>
      </c>
      <c r="F135" s="449">
        <f>E135</f>
        <v>137990249.05000001</v>
      </c>
      <c r="G135" s="449">
        <f t="shared" si="30"/>
        <v>137990249.05000001</v>
      </c>
      <c r="H135" s="449">
        <f t="shared" si="30"/>
        <v>137990249.05000001</v>
      </c>
      <c r="I135" s="449">
        <f t="shared" si="30"/>
        <v>137990249.05000001</v>
      </c>
      <c r="J135" s="441">
        <f t="shared" si="31"/>
        <v>689951245.25</v>
      </c>
      <c r="K135" s="53"/>
      <c r="L135" s="437"/>
    </row>
    <row r="136" spans="2:12" s="50" customFormat="1">
      <c r="B136" s="448" t="s">
        <v>972</v>
      </c>
      <c r="C136" s="448" t="s">
        <v>2193</v>
      </c>
      <c r="D136" s="387">
        <f>'분할사업부문 손익(2023년 실적)'!J37+'분할사업부문 손익(2023년 실적)'!J56</f>
        <v>422603508</v>
      </c>
      <c r="E136" s="449">
        <f>'별첨4_분할명세(고정자산)'!Y208</f>
        <v>197059739.625</v>
      </c>
      <c r="F136" s="449">
        <f>E136</f>
        <v>197059739.625</v>
      </c>
      <c r="G136" s="449">
        <f t="shared" si="30"/>
        <v>197059739.625</v>
      </c>
      <c r="H136" s="449">
        <f t="shared" si="30"/>
        <v>197059739.625</v>
      </c>
      <c r="I136" s="449">
        <f t="shared" si="30"/>
        <v>197059739.625</v>
      </c>
      <c r="J136" s="441">
        <f t="shared" si="31"/>
        <v>985298698.125</v>
      </c>
      <c r="K136" s="53"/>
      <c r="L136" s="437"/>
    </row>
    <row r="137" spans="2:12" s="50" customFormat="1">
      <c r="B137" s="448" t="s">
        <v>974</v>
      </c>
      <c r="C137" s="448" t="s">
        <v>2194</v>
      </c>
      <c r="D137" s="387">
        <f>'분할사업부문 손익(2023년 실적)'!K37+'분할사업부문 손익(2023년 실적)'!K56</f>
        <v>37913891</v>
      </c>
      <c r="E137" s="449">
        <f>'별첨4_분할명세(고정자산)'!Y209</f>
        <v>129002616.47499999</v>
      </c>
      <c r="F137" s="449">
        <f>E137</f>
        <v>129002616.47499999</v>
      </c>
      <c r="G137" s="449">
        <f t="shared" si="30"/>
        <v>129002616.47499999</v>
      </c>
      <c r="H137" s="449">
        <f t="shared" si="30"/>
        <v>129002616.47499999</v>
      </c>
      <c r="I137" s="449">
        <f t="shared" si="30"/>
        <v>129002616.47499999</v>
      </c>
      <c r="J137" s="441">
        <f t="shared" si="31"/>
        <v>645013082.375</v>
      </c>
      <c r="K137" s="53"/>
      <c r="L137" s="437"/>
    </row>
    <row r="138" spans="2:12" s="50" customFormat="1">
      <c r="B138" s="53" t="s">
        <v>992</v>
      </c>
      <c r="C138" s="53" t="s">
        <v>2391</v>
      </c>
      <c r="D138" s="387"/>
      <c r="E138" s="58">
        <f>200000000/8*7/12</f>
        <v>14583333.333333334</v>
      </c>
      <c r="F138" s="58">
        <f>200000000/8</f>
        <v>25000000</v>
      </c>
      <c r="G138" s="58">
        <f>F138</f>
        <v>25000000</v>
      </c>
      <c r="H138" s="58">
        <f>G138</f>
        <v>25000000</v>
      </c>
      <c r="I138" s="58">
        <f>H138</f>
        <v>25000000</v>
      </c>
      <c r="J138" s="441">
        <f t="shared" si="31"/>
        <v>114583333.33333334</v>
      </c>
      <c r="K138" s="53" t="s">
        <v>2397</v>
      </c>
      <c r="L138" s="437"/>
    </row>
    <row r="139" spans="2:12" s="50" customFormat="1">
      <c r="B139" s="53" t="s">
        <v>2390</v>
      </c>
      <c r="C139" s="53" t="s">
        <v>2195</v>
      </c>
      <c r="D139" s="387"/>
      <c r="E139" s="640">
        <f>'별첨4_분할명세(고정자산)'!T220</f>
        <v>16666666.666666666</v>
      </c>
      <c r="F139" s="640">
        <f>'별첨4_분할명세(고정자산)'!U220</f>
        <v>100000000</v>
      </c>
      <c r="G139" s="640">
        <f>'별첨4_분할명세(고정자산)'!V220</f>
        <v>100000000</v>
      </c>
      <c r="H139" s="640">
        <f>'별첨4_분할명세(고정자산)'!W220</f>
        <v>100000000</v>
      </c>
      <c r="I139" s="640">
        <f>'별첨4_분할명세(고정자산)'!X220</f>
        <v>100000000</v>
      </c>
      <c r="J139" s="441">
        <f t="shared" si="31"/>
        <v>416666666.66666669</v>
      </c>
      <c r="K139" s="53" t="s">
        <v>2398</v>
      </c>
      <c r="L139" s="437"/>
    </row>
    <row r="140" spans="2:12" s="50" customFormat="1">
      <c r="B140" s="53" t="s">
        <v>2393</v>
      </c>
      <c r="C140" s="53" t="s">
        <v>2395</v>
      </c>
      <c r="D140" s="387"/>
      <c r="E140" s="640"/>
      <c r="F140" s="58">
        <f>F136*8/12*0.85</f>
        <v>111667185.78749999</v>
      </c>
      <c r="G140" s="58">
        <f>G136*0.85</f>
        <v>167500778.68125001</v>
      </c>
      <c r="H140" s="58">
        <f>H136*0.85</f>
        <v>167500778.68125001</v>
      </c>
      <c r="I140" s="58">
        <f>I136*0.85</f>
        <v>167500778.68125001</v>
      </c>
      <c r="J140" s="441">
        <f t="shared" si="31"/>
        <v>614169521.83124995</v>
      </c>
      <c r="K140" s="53" t="s">
        <v>2399</v>
      </c>
      <c r="L140" s="437"/>
    </row>
    <row r="141" spans="2:12" s="50" customFormat="1">
      <c r="B141" s="53" t="s">
        <v>2394</v>
      </c>
      <c r="C141" s="53" t="s">
        <v>2396</v>
      </c>
      <c r="D141" s="387"/>
      <c r="E141" s="640"/>
      <c r="F141" s="58">
        <f>F136*0.85*2/12</f>
        <v>27916796.446875002</v>
      </c>
      <c r="G141" s="58">
        <f>F141*6</f>
        <v>167500778.68125001</v>
      </c>
      <c r="H141" s="58">
        <f>G141</f>
        <v>167500778.68125001</v>
      </c>
      <c r="I141" s="58">
        <f>H141</f>
        <v>167500778.68125001</v>
      </c>
      <c r="J141" s="441">
        <f t="shared" si="31"/>
        <v>530419132.49062502</v>
      </c>
      <c r="K141" s="53" t="s">
        <v>2400</v>
      </c>
      <c r="L141" s="437"/>
    </row>
    <row r="142" spans="2:12" s="50" customFormat="1">
      <c r="D142" s="50" t="b">
        <f>'분할사업부문 손익(2023년 실적)'!E37+'분할사업부문 손익(2023년 실적)'!E56=D131</f>
        <v>1</v>
      </c>
      <c r="E142" s="443"/>
      <c r="F142" s="443"/>
      <c r="G142" s="443"/>
      <c r="H142" s="443"/>
      <c r="I142" s="443"/>
      <c r="J142" s="443"/>
      <c r="K142" s="51"/>
      <c r="L142" s="437"/>
    </row>
    <row r="143" spans="2:12" s="50" customFormat="1">
      <c r="E143" s="443"/>
      <c r="F143" s="443"/>
      <c r="G143" s="443"/>
      <c r="H143" s="443"/>
      <c r="I143" s="443"/>
      <c r="J143" s="443"/>
      <c r="L143" s="437"/>
    </row>
    <row r="144" spans="2:12" s="50" customFormat="1">
      <c r="B144" s="444" t="s">
        <v>953</v>
      </c>
      <c r="D144" s="643"/>
      <c r="E144" s="643"/>
      <c r="F144" s="643"/>
      <c r="G144" s="643"/>
      <c r="H144" s="42" t="s">
        <v>2204</v>
      </c>
      <c r="I144" s="440">
        <f>D146/D20</f>
        <v>2.228749505570974E-2</v>
      </c>
      <c r="J144" s="44" t="s">
        <v>906</v>
      </c>
      <c r="L144" s="437"/>
    </row>
    <row r="145" spans="2:12" s="50" customFormat="1">
      <c r="B145" s="828" t="s">
        <v>982</v>
      </c>
      <c r="C145" s="828"/>
      <c r="D145" s="446" t="s">
        <v>2074</v>
      </c>
      <c r="E145" s="446" t="s">
        <v>985</v>
      </c>
      <c r="F145" s="446" t="s">
        <v>986</v>
      </c>
      <c r="G145" s="446" t="s">
        <v>987</v>
      </c>
      <c r="H145" s="446" t="s">
        <v>988</v>
      </c>
      <c r="I145" s="446" t="s">
        <v>989</v>
      </c>
      <c r="J145" s="446" t="s">
        <v>984</v>
      </c>
      <c r="K145" s="564" t="s">
        <v>332</v>
      </c>
      <c r="L145" s="437"/>
    </row>
    <row r="146" spans="2:12" s="50" customFormat="1">
      <c r="B146" s="824" t="s">
        <v>981</v>
      </c>
      <c r="C146" s="824"/>
      <c r="D146" s="447">
        <f>SUM(D147:D156)</f>
        <v>290874798</v>
      </c>
      <c r="E146" s="447">
        <f t="shared" ref="E146:J146" si="32">SUM(E147:E156)</f>
        <v>321700325.15614539</v>
      </c>
      <c r="F146" s="447">
        <f t="shared" si="32"/>
        <v>632481145.37035263</v>
      </c>
      <c r="G146" s="447">
        <f t="shared" si="32"/>
        <v>648517419.25826895</v>
      </c>
      <c r="H146" s="447">
        <f t="shared" si="32"/>
        <v>624175339.55214059</v>
      </c>
      <c r="I146" s="447">
        <f t="shared" si="32"/>
        <v>642900599.73870492</v>
      </c>
      <c r="J146" s="447">
        <f t="shared" si="32"/>
        <v>2869774829.0756125</v>
      </c>
      <c r="K146" s="43"/>
      <c r="L146" s="437" t="s">
        <v>904</v>
      </c>
    </row>
    <row r="147" spans="2:12" s="50" customFormat="1" ht="33">
      <c r="B147" s="825" t="s">
        <v>977</v>
      </c>
      <c r="C147" s="825"/>
      <c r="D147" s="449">
        <v>0</v>
      </c>
      <c r="E147" s="45">
        <f>D147*1.03</f>
        <v>0</v>
      </c>
      <c r="F147" s="45">
        <f>E147*1.03</f>
        <v>0</v>
      </c>
      <c r="G147" s="45">
        <f>F147*1.03</f>
        <v>0</v>
      </c>
      <c r="H147" s="45">
        <f>G147*1.03</f>
        <v>0</v>
      </c>
      <c r="I147" s="45">
        <f>H147*1.03</f>
        <v>0</v>
      </c>
      <c r="J147" s="441">
        <f>SUM(E147:I147)</f>
        <v>0</v>
      </c>
      <c r="K147" s="53" t="s">
        <v>2491</v>
      </c>
      <c r="L147" s="437"/>
    </row>
    <row r="148" spans="2:12" s="50" customFormat="1">
      <c r="B148" s="448" t="s">
        <v>966</v>
      </c>
      <c r="C148" s="448" t="s">
        <v>2192</v>
      </c>
      <c r="D148" s="640">
        <f>'분할사업부문 손익(2023년 실적)'!G50</f>
        <v>118459152</v>
      </c>
      <c r="E148" s="58">
        <f t="shared" ref="E148:I156" si="33">E21*$I$144</f>
        <v>113987161.63724758</v>
      </c>
      <c r="F148" s="58">
        <f t="shared" si="33"/>
        <v>117406776.48636502</v>
      </c>
      <c r="G148" s="58">
        <f t="shared" si="33"/>
        <v>120928979.78095596</v>
      </c>
      <c r="H148" s="58">
        <f t="shared" si="33"/>
        <v>124556849.17438464</v>
      </c>
      <c r="I148" s="58">
        <f t="shared" si="33"/>
        <v>128293554.6496162</v>
      </c>
      <c r="J148" s="563">
        <f>SUM(E148:I148)</f>
        <v>605173321.72856939</v>
      </c>
      <c r="K148" s="53"/>
      <c r="L148" s="437"/>
    </row>
    <row r="149" spans="2:12" s="50" customFormat="1">
      <c r="B149" s="448" t="s">
        <v>967</v>
      </c>
      <c r="C149" s="448" t="s">
        <v>2191</v>
      </c>
      <c r="D149" s="640">
        <f>'분할사업부문 손익(2023년 실적)'!H50</f>
        <v>61629290</v>
      </c>
      <c r="E149" s="58">
        <f t="shared" si="33"/>
        <v>6265805.5759095941</v>
      </c>
      <c r="F149" s="58">
        <f t="shared" si="33"/>
        <v>0</v>
      </c>
      <c r="G149" s="58">
        <f t="shared" si="33"/>
        <v>0</v>
      </c>
      <c r="H149" s="58">
        <f t="shared" si="33"/>
        <v>0</v>
      </c>
      <c r="I149" s="58">
        <f t="shared" si="33"/>
        <v>0</v>
      </c>
      <c r="J149" s="563">
        <f t="shared" ref="J149:J156" si="34">SUM(E149:I149)</f>
        <v>6265805.5759095941</v>
      </c>
      <c r="K149" s="53"/>
      <c r="L149" s="437"/>
    </row>
    <row r="150" spans="2:12" s="50" customFormat="1">
      <c r="B150" s="448" t="s">
        <v>969</v>
      </c>
      <c r="C150" s="448" t="s">
        <v>2190</v>
      </c>
      <c r="D150" s="640">
        <f>'분할사업부문 손익(2023년 실적)'!I50</f>
        <v>80364438</v>
      </c>
      <c r="E150" s="58">
        <f t="shared" si="33"/>
        <v>52575989.394953683</v>
      </c>
      <c r="F150" s="58">
        <f t="shared" si="33"/>
        <v>54153269.076802291</v>
      </c>
      <c r="G150" s="58">
        <f t="shared" si="33"/>
        <v>55777867.149106354</v>
      </c>
      <c r="H150" s="58">
        <f t="shared" si="33"/>
        <v>57451203.163579546</v>
      </c>
      <c r="I150" s="58">
        <f t="shared" si="33"/>
        <v>59174739.258486934</v>
      </c>
      <c r="J150" s="563">
        <f t="shared" si="34"/>
        <v>279133068.04292881</v>
      </c>
      <c r="K150" s="53"/>
      <c r="L150" s="437"/>
    </row>
    <row r="151" spans="2:12" s="50" customFormat="1">
      <c r="B151" s="448" t="s">
        <v>971</v>
      </c>
      <c r="C151" s="448" t="s">
        <v>2193</v>
      </c>
      <c r="D151" s="640">
        <f>'분할사업부문 손익(2023년 실적)'!J50</f>
        <v>25221918</v>
      </c>
      <c r="E151" s="58">
        <f t="shared" si="33"/>
        <v>52156138.120281599</v>
      </c>
      <c r="F151" s="58">
        <f t="shared" si="33"/>
        <v>53720822.263890043</v>
      </c>
      <c r="G151" s="58">
        <f t="shared" si="33"/>
        <v>55332446.931806743</v>
      </c>
      <c r="H151" s="58">
        <f t="shared" si="33"/>
        <v>56992420.339760952</v>
      </c>
      <c r="I151" s="58">
        <f t="shared" si="33"/>
        <v>58702192.94995378</v>
      </c>
      <c r="J151" s="563">
        <f t="shared" si="34"/>
        <v>276904020.6056931</v>
      </c>
      <c r="K151" s="53"/>
      <c r="L151" s="437"/>
    </row>
    <row r="152" spans="2:12" s="50" customFormat="1">
      <c r="B152" s="448" t="s">
        <v>974</v>
      </c>
      <c r="C152" s="448" t="s">
        <v>2194</v>
      </c>
      <c r="D152" s="640">
        <f>'분할사업부문 손익(2023년 실적)'!K50</f>
        <v>5200000</v>
      </c>
      <c r="E152" s="58">
        <f t="shared" si="33"/>
        <v>52853440.158116102</v>
      </c>
      <c r="F152" s="58">
        <f t="shared" si="33"/>
        <v>54439043.362859584</v>
      </c>
      <c r="G152" s="58">
        <f t="shared" si="33"/>
        <v>56072214.663745381</v>
      </c>
      <c r="H152" s="58">
        <f t="shared" si="33"/>
        <v>57754381.103657737</v>
      </c>
      <c r="I152" s="58">
        <f t="shared" si="33"/>
        <v>59487012.536767468</v>
      </c>
      <c r="J152" s="563">
        <f t="shared" si="34"/>
        <v>280606091.82514626</v>
      </c>
      <c r="K152" s="53"/>
      <c r="L152" s="437"/>
    </row>
    <row r="153" spans="2:12" s="50" customFormat="1">
      <c r="B153" s="53" t="s">
        <v>992</v>
      </c>
      <c r="C153" s="53" t="s">
        <v>2391</v>
      </c>
      <c r="D153" s="640"/>
      <c r="E153" s="58">
        <f t="shared" si="33"/>
        <v>27814793.829525754</v>
      </c>
      <c r="F153" s="58">
        <f t="shared" si="33"/>
        <v>50520513.729955889</v>
      </c>
      <c r="G153" s="58">
        <f t="shared" si="33"/>
        <v>52036129.141854562</v>
      </c>
      <c r="H153" s="58">
        <f t="shared" si="33"/>
        <v>53597213.016110204</v>
      </c>
      <c r="I153" s="58">
        <f t="shared" si="33"/>
        <v>55205129.406593509</v>
      </c>
      <c r="J153" s="563">
        <f t="shared" si="34"/>
        <v>239173779.12403992</v>
      </c>
      <c r="K153" s="53" t="s">
        <v>2397</v>
      </c>
      <c r="L153" s="437"/>
    </row>
    <row r="154" spans="2:12" s="50" customFormat="1">
      <c r="B154" s="53" t="s">
        <v>2390</v>
      </c>
      <c r="C154" s="53" t="s">
        <v>2195</v>
      </c>
      <c r="D154" s="640"/>
      <c r="E154" s="58">
        <f t="shared" si="33"/>
        <v>16046996.440111013</v>
      </c>
      <c r="F154" s="58">
        <f t="shared" si="33"/>
        <v>238030447.19498003</v>
      </c>
      <c r="G154" s="58">
        <f t="shared" si="33"/>
        <v>190424357.75598401</v>
      </c>
      <c r="H154" s="58">
        <f t="shared" si="33"/>
        <v>152339486.20478722</v>
      </c>
      <c r="I154" s="58">
        <f t="shared" si="33"/>
        <v>156909670.79093084</v>
      </c>
      <c r="J154" s="563">
        <f t="shared" si="34"/>
        <v>753750958.38679314</v>
      </c>
      <c r="K154" s="53" t="s">
        <v>2398</v>
      </c>
      <c r="L154" s="437"/>
    </row>
    <row r="155" spans="2:12" s="50" customFormat="1">
      <c r="B155" s="53" t="s">
        <v>2393</v>
      </c>
      <c r="C155" s="53" t="s">
        <v>2395</v>
      </c>
      <c r="D155" s="640"/>
      <c r="E155" s="58">
        <f t="shared" si="33"/>
        <v>0</v>
      </c>
      <c r="F155" s="58">
        <f t="shared" si="33"/>
        <v>54047175.510096118</v>
      </c>
      <c r="G155" s="58">
        <f t="shared" si="33"/>
        <v>59908786.709747784</v>
      </c>
      <c r="H155" s="58">
        <f t="shared" si="33"/>
        <v>61706050.311040215</v>
      </c>
      <c r="I155" s="58">
        <f t="shared" si="33"/>
        <v>63557231.820371419</v>
      </c>
      <c r="J155" s="563">
        <f t="shared" si="34"/>
        <v>239219244.35125554</v>
      </c>
      <c r="K155" s="53" t="s">
        <v>2399</v>
      </c>
      <c r="L155" s="437"/>
    </row>
    <row r="156" spans="2:12" s="50" customFormat="1">
      <c r="B156" s="53" t="s">
        <v>2394</v>
      </c>
      <c r="C156" s="53" t="s">
        <v>2396</v>
      </c>
      <c r="D156" s="640"/>
      <c r="E156" s="58">
        <f t="shared" si="33"/>
        <v>0</v>
      </c>
      <c r="F156" s="58">
        <f t="shared" si="33"/>
        <v>10163097.745403642</v>
      </c>
      <c r="G156" s="58">
        <f t="shared" si="33"/>
        <v>58036637.125068165</v>
      </c>
      <c r="H156" s="58">
        <f t="shared" si="33"/>
        <v>59777736.23882021</v>
      </c>
      <c r="I156" s="58">
        <f t="shared" si="33"/>
        <v>61571068.325984813</v>
      </c>
      <c r="J156" s="563">
        <f t="shared" si="34"/>
        <v>189548539.43527684</v>
      </c>
      <c r="K156" s="53" t="s">
        <v>2400</v>
      </c>
      <c r="L156" s="437"/>
    </row>
    <row r="157" spans="2:12" s="50" customFormat="1">
      <c r="D157" s="50" t="b">
        <f>'분할사업부문 손익(2023년 실적)'!E50='분할사업부문 손익(향후5개년)'!D146</f>
        <v>1</v>
      </c>
      <c r="E157" s="443"/>
      <c r="F157" s="443"/>
      <c r="G157" s="443"/>
      <c r="H157" s="443"/>
      <c r="I157" s="443"/>
      <c r="J157" s="443"/>
      <c r="K157" s="51"/>
      <c r="L157" s="437"/>
    </row>
    <row r="158" spans="2:12" s="50" customFormat="1">
      <c r="E158" s="443"/>
      <c r="F158" s="443"/>
      <c r="G158" s="443"/>
      <c r="H158" s="443"/>
      <c r="I158" s="443"/>
      <c r="J158" s="443"/>
      <c r="L158" s="437"/>
    </row>
    <row r="159" spans="2:12" s="50" customFormat="1">
      <c r="B159" s="444" t="s">
        <v>2201</v>
      </c>
      <c r="D159" s="555" t="s">
        <v>904</v>
      </c>
      <c r="E159" s="644" t="s">
        <v>904</v>
      </c>
      <c r="F159" s="443"/>
      <c r="G159" s="443"/>
      <c r="H159" s="42" t="s">
        <v>2204</v>
      </c>
      <c r="I159" s="519">
        <f>D161/D20</f>
        <v>4.3289617218329079E-2</v>
      </c>
      <c r="J159" s="44" t="s">
        <v>906</v>
      </c>
      <c r="L159" s="437"/>
    </row>
    <row r="160" spans="2:12" s="50" customFormat="1">
      <c r="B160" s="828" t="s">
        <v>982</v>
      </c>
      <c r="C160" s="828"/>
      <c r="D160" s="446" t="s">
        <v>2074</v>
      </c>
      <c r="E160" s="446" t="s">
        <v>985</v>
      </c>
      <c r="F160" s="446" t="s">
        <v>986</v>
      </c>
      <c r="G160" s="446" t="s">
        <v>987</v>
      </c>
      <c r="H160" s="446" t="s">
        <v>988</v>
      </c>
      <c r="I160" s="446" t="s">
        <v>989</v>
      </c>
      <c r="J160" s="446" t="s">
        <v>984</v>
      </c>
      <c r="K160" s="564" t="s">
        <v>332</v>
      </c>
      <c r="L160" s="437"/>
    </row>
    <row r="161" spans="2:12" s="50" customFormat="1">
      <c r="B161" s="824" t="s">
        <v>979</v>
      </c>
      <c r="C161" s="824"/>
      <c r="D161" s="447">
        <f>SUM(D162:D171)</f>
        <v>564974154</v>
      </c>
      <c r="E161" s="447">
        <f t="shared" ref="E161:J161" si="35">SUM(E162:E171)</f>
        <v>637653815.39400792</v>
      </c>
      <c r="F161" s="447">
        <f t="shared" si="35"/>
        <v>1241676177.7952673</v>
      </c>
      <c r="G161" s="447">
        <f t="shared" si="35"/>
        <v>1273219592.8912332</v>
      </c>
      <c r="H161" s="447">
        <f t="shared" si="35"/>
        <v>1226346888.0898874</v>
      </c>
      <c r="I161" s="447">
        <f t="shared" si="35"/>
        <v>1263137294.732584</v>
      </c>
      <c r="J161" s="447">
        <f t="shared" si="35"/>
        <v>5642033768.9029799</v>
      </c>
      <c r="K161" s="43"/>
      <c r="L161" s="437" t="s">
        <v>904</v>
      </c>
    </row>
    <row r="162" spans="2:12" s="50" customFormat="1">
      <c r="B162" s="825" t="s">
        <v>977</v>
      </c>
      <c r="C162" s="825"/>
      <c r="D162" s="640">
        <f>'분할사업부문 손익(2023년 실적)'!F36+'분할사업부문 손익(2023년 실적)'!F40</f>
        <v>12433387</v>
      </c>
      <c r="E162" s="45">
        <f>D162*1.03</f>
        <v>12806388.609999999</v>
      </c>
      <c r="F162" s="45">
        <f>E162*1.03</f>
        <v>13190580.268300001</v>
      </c>
      <c r="G162" s="45">
        <f>F162*1.03</f>
        <v>13586297.676349001</v>
      </c>
      <c r="H162" s="45">
        <f>G162*1.03</f>
        <v>13993886.606639471</v>
      </c>
      <c r="I162" s="45">
        <f>H162*1.03</f>
        <v>14413703.204838656</v>
      </c>
      <c r="J162" s="441">
        <f>SUM(E162:I162)</f>
        <v>67990856.366127133</v>
      </c>
      <c r="K162" s="53" t="s">
        <v>2454</v>
      </c>
      <c r="L162" s="437"/>
    </row>
    <row r="163" spans="2:12" s="50" customFormat="1">
      <c r="B163" s="448" t="s">
        <v>966</v>
      </c>
      <c r="C163" s="448" t="s">
        <v>2192</v>
      </c>
      <c r="D163" s="640">
        <f t="shared" ref="D163:D167" si="36">D57-D73-D88-D103-D118-D133-D148</f>
        <v>188675076</v>
      </c>
      <c r="E163" s="58">
        <f t="shared" ref="E163:I171" si="37">E21*$I$159</f>
        <v>221400412.32745507</v>
      </c>
      <c r="F163" s="58">
        <f t="shared" si="37"/>
        <v>228042424.69727874</v>
      </c>
      <c r="G163" s="58">
        <f t="shared" si="37"/>
        <v>234883697.43819711</v>
      </c>
      <c r="H163" s="58">
        <f t="shared" si="37"/>
        <v>241930208.36134303</v>
      </c>
      <c r="I163" s="58">
        <f t="shared" si="37"/>
        <v>249188114.61218333</v>
      </c>
      <c r="J163" s="441">
        <f>SUM(E163:I163)</f>
        <v>1175444857.4364572</v>
      </c>
      <c r="K163" s="53"/>
      <c r="L163" s="437"/>
    </row>
    <row r="164" spans="2:12" s="50" customFormat="1">
      <c r="B164" s="448" t="s">
        <v>967</v>
      </c>
      <c r="C164" s="448" t="s">
        <v>2191</v>
      </c>
      <c r="D164" s="640">
        <f t="shared" si="36"/>
        <v>106108939</v>
      </c>
      <c r="E164" s="58">
        <f t="shared" si="37"/>
        <v>12170247.229111977</v>
      </c>
      <c r="F164" s="58">
        <f t="shared" si="37"/>
        <v>0</v>
      </c>
      <c r="G164" s="58">
        <f t="shared" si="37"/>
        <v>0</v>
      </c>
      <c r="H164" s="58">
        <f t="shared" si="37"/>
        <v>0</v>
      </c>
      <c r="I164" s="58">
        <f t="shared" si="37"/>
        <v>0</v>
      </c>
      <c r="J164" s="441">
        <f t="shared" ref="J164:J171" si="38">SUM(E164:I164)</f>
        <v>12170247.229111977</v>
      </c>
      <c r="K164" s="53"/>
      <c r="L164" s="437"/>
    </row>
    <row r="165" spans="2:12" s="50" customFormat="1">
      <c r="B165" s="448" t="s">
        <v>969</v>
      </c>
      <c r="C165" s="448" t="s">
        <v>2190</v>
      </c>
      <c r="D165" s="640">
        <f t="shared" si="36"/>
        <v>129453549</v>
      </c>
      <c r="E165" s="58">
        <f t="shared" si="37"/>
        <v>102119796.32943974</v>
      </c>
      <c r="F165" s="58">
        <f t="shared" si="37"/>
        <v>105183390.21932293</v>
      </c>
      <c r="G165" s="58">
        <f t="shared" si="37"/>
        <v>108338891.92590262</v>
      </c>
      <c r="H165" s="58">
        <f t="shared" si="37"/>
        <v>111589058.6836797</v>
      </c>
      <c r="I165" s="58">
        <f t="shared" si="37"/>
        <v>114936730.44419008</v>
      </c>
      <c r="J165" s="441">
        <f t="shared" si="38"/>
        <v>542167867.60253501</v>
      </c>
      <c r="K165" s="53"/>
      <c r="L165" s="437"/>
    </row>
    <row r="166" spans="2:12" s="50" customFormat="1">
      <c r="B166" s="448" t="s">
        <v>971</v>
      </c>
      <c r="C166" s="448" t="s">
        <v>2193</v>
      </c>
      <c r="D166" s="640">
        <f t="shared" si="36"/>
        <v>123869583</v>
      </c>
      <c r="E166" s="58">
        <f t="shared" si="37"/>
        <v>101304307.6025213</v>
      </c>
      <c r="F166" s="58">
        <f t="shared" si="37"/>
        <v>104343436.83059692</v>
      </c>
      <c r="G166" s="58">
        <f t="shared" si="37"/>
        <v>107473739.93551484</v>
      </c>
      <c r="H166" s="58">
        <f t="shared" si="37"/>
        <v>110697952.1335803</v>
      </c>
      <c r="I166" s="58">
        <f t="shared" si="37"/>
        <v>114018890.6975877</v>
      </c>
      <c r="J166" s="441">
        <f t="shared" si="38"/>
        <v>537838327.19980109</v>
      </c>
      <c r="K166" s="53"/>
      <c r="L166" s="437"/>
    </row>
    <row r="167" spans="2:12" s="50" customFormat="1">
      <c r="B167" s="448" t="s">
        <v>973</v>
      </c>
      <c r="C167" s="448" t="s">
        <v>2194</v>
      </c>
      <c r="D167" s="640">
        <f t="shared" si="36"/>
        <v>4433620</v>
      </c>
      <c r="E167" s="58">
        <f t="shared" si="37"/>
        <v>102658696.6098083</v>
      </c>
      <c r="F167" s="58">
        <f t="shared" si="37"/>
        <v>105738457.50810254</v>
      </c>
      <c r="G167" s="58">
        <f t="shared" si="37"/>
        <v>108910611.23334563</v>
      </c>
      <c r="H167" s="58">
        <f t="shared" si="37"/>
        <v>112177929.57034598</v>
      </c>
      <c r="I167" s="58">
        <f t="shared" si="37"/>
        <v>115543267.45745637</v>
      </c>
      <c r="J167" s="441">
        <f t="shared" si="38"/>
        <v>545028962.37905884</v>
      </c>
      <c r="K167" s="53"/>
      <c r="L167" s="437"/>
    </row>
    <row r="168" spans="2:12" s="50" customFormat="1">
      <c r="B168" s="53" t="s">
        <v>992</v>
      </c>
      <c r="C168" s="53" t="s">
        <v>2391</v>
      </c>
      <c r="D168" s="640"/>
      <c r="E168" s="58">
        <f t="shared" si="37"/>
        <v>54025442.288474694</v>
      </c>
      <c r="F168" s="58">
        <f t="shared" si="37"/>
        <v>98127389.173905715</v>
      </c>
      <c r="G168" s="58">
        <f t="shared" si="37"/>
        <v>101071210.84912288</v>
      </c>
      <c r="H168" s="58">
        <f t="shared" si="37"/>
        <v>104103347.17459658</v>
      </c>
      <c r="I168" s="58">
        <f t="shared" si="37"/>
        <v>107226447.58983448</v>
      </c>
      <c r="J168" s="441">
        <f t="shared" si="38"/>
        <v>464553837.07593429</v>
      </c>
      <c r="K168" s="53" t="s">
        <v>2397</v>
      </c>
      <c r="L168" s="437"/>
    </row>
    <row r="169" spans="2:12" s="50" customFormat="1">
      <c r="B169" s="53" t="s">
        <v>2390</v>
      </c>
      <c r="C169" s="53" t="s">
        <v>2195</v>
      </c>
      <c r="D169" s="640">
        <f>D63-D79-D94-D109-D124-D139-D154</f>
        <v>0</v>
      </c>
      <c r="E169" s="58">
        <f t="shared" si="37"/>
        <v>31168524.397196937</v>
      </c>
      <c r="F169" s="58">
        <f t="shared" si="37"/>
        <v>462333111.89175457</v>
      </c>
      <c r="G169" s="58">
        <f t="shared" si="37"/>
        <v>369866489.51340365</v>
      </c>
      <c r="H169" s="58">
        <f t="shared" si="37"/>
        <v>295893191.6107229</v>
      </c>
      <c r="I169" s="58">
        <f t="shared" si="37"/>
        <v>304769987.35904461</v>
      </c>
      <c r="J169" s="441">
        <f t="shared" si="38"/>
        <v>1464031304.7721226</v>
      </c>
      <c r="K169" s="53" t="s">
        <v>2398</v>
      </c>
      <c r="L169" s="437"/>
    </row>
    <row r="170" spans="2:12" s="50" customFormat="1">
      <c r="B170" s="53" t="s">
        <v>2393</v>
      </c>
      <c r="C170" s="53" t="s">
        <v>2395</v>
      </c>
      <c r="D170" s="640"/>
      <c r="E170" s="58">
        <f t="shared" si="37"/>
        <v>0</v>
      </c>
      <c r="F170" s="58">
        <f t="shared" si="37"/>
        <v>104977321.75444801</v>
      </c>
      <c r="G170" s="58">
        <f t="shared" si="37"/>
        <v>116362491.08286856</v>
      </c>
      <c r="H170" s="58">
        <f t="shared" si="37"/>
        <v>119853365.81535462</v>
      </c>
      <c r="I170" s="58">
        <f t="shared" si="37"/>
        <v>123448966.78981526</v>
      </c>
      <c r="J170" s="441">
        <f t="shared" si="38"/>
        <v>464642145.44248646</v>
      </c>
      <c r="K170" s="53" t="s">
        <v>2399</v>
      </c>
      <c r="L170" s="437"/>
    </row>
    <row r="171" spans="2:12" s="50" customFormat="1">
      <c r="B171" s="53" t="s">
        <v>2394</v>
      </c>
      <c r="C171" s="53" t="s">
        <v>2396</v>
      </c>
      <c r="D171" s="640"/>
      <c r="E171" s="58">
        <f t="shared" si="37"/>
        <v>0</v>
      </c>
      <c r="F171" s="58">
        <f t="shared" si="37"/>
        <v>19740065.451558061</v>
      </c>
      <c r="G171" s="58">
        <f t="shared" si="37"/>
        <v>112726163.23652892</v>
      </c>
      <c r="H171" s="58">
        <f t="shared" si="37"/>
        <v>116107948.13362479</v>
      </c>
      <c r="I171" s="58">
        <f t="shared" si="37"/>
        <v>119591186.57763353</v>
      </c>
      <c r="J171" s="441">
        <f t="shared" si="38"/>
        <v>368165363.39934528</v>
      </c>
      <c r="K171" s="53" t="s">
        <v>2400</v>
      </c>
      <c r="L171" s="437"/>
    </row>
    <row r="172" spans="2:12" s="50" customFormat="1">
      <c r="D172" s="60" t="s">
        <v>904</v>
      </c>
      <c r="E172" s="443"/>
      <c r="F172" s="443"/>
      <c r="G172" s="443"/>
      <c r="H172" s="443"/>
      <c r="I172" s="443"/>
      <c r="J172" s="443"/>
      <c r="K172" s="51"/>
      <c r="L172" s="437"/>
    </row>
    <row r="173" spans="2:12" s="50" customFormat="1">
      <c r="D173" s="443"/>
      <c r="E173" s="443" t="s">
        <v>904</v>
      </c>
      <c r="F173" s="443"/>
      <c r="G173" s="443"/>
      <c r="H173" s="443"/>
      <c r="I173" s="443"/>
      <c r="J173" s="443"/>
      <c r="L173" s="437"/>
    </row>
    <row r="174" spans="2:12">
      <c r="D174" s="44"/>
      <c r="E174" s="44"/>
      <c r="F174" s="44"/>
      <c r="G174" s="44"/>
      <c r="H174" s="44"/>
      <c r="I174" s="44"/>
      <c r="J174" s="44"/>
    </row>
    <row r="175" spans="2:12">
      <c r="D175" s="44"/>
      <c r="E175" s="44"/>
      <c r="F175" s="44"/>
      <c r="G175" s="44"/>
      <c r="H175" s="44"/>
      <c r="I175" s="44"/>
      <c r="J175" s="44"/>
    </row>
    <row r="176" spans="2:12">
      <c r="D176" s="44"/>
      <c r="E176" s="44"/>
      <c r="F176" s="44"/>
      <c r="G176" s="44"/>
      <c r="H176" s="44"/>
      <c r="I176" s="44"/>
      <c r="J176" s="44"/>
    </row>
    <row r="177" spans="4:10">
      <c r="D177" s="44"/>
      <c r="E177" s="44"/>
      <c r="F177" s="44"/>
      <c r="G177" s="44"/>
      <c r="H177" s="44"/>
      <c r="I177" s="44"/>
      <c r="J177" s="44"/>
    </row>
    <row r="178" spans="4:10">
      <c r="D178" s="44"/>
      <c r="E178" s="44"/>
      <c r="F178" s="44"/>
      <c r="G178" s="44"/>
      <c r="H178" s="44"/>
      <c r="I178" s="44"/>
      <c r="J178" s="44"/>
    </row>
    <row r="179" spans="4:10">
      <c r="D179" s="44"/>
      <c r="E179" s="44"/>
      <c r="F179" s="44"/>
      <c r="G179" s="44"/>
      <c r="H179" s="44"/>
      <c r="I179" s="44"/>
      <c r="J179" s="44"/>
    </row>
    <row r="180" spans="4:10">
      <c r="D180" s="44"/>
      <c r="E180" s="44"/>
      <c r="F180" s="44"/>
      <c r="G180" s="44"/>
      <c r="H180" s="44"/>
      <c r="I180" s="44"/>
      <c r="J180" s="44"/>
    </row>
    <row r="181" spans="4:10">
      <c r="D181" s="44"/>
      <c r="E181" s="44"/>
      <c r="F181" s="44"/>
      <c r="G181" s="44"/>
      <c r="H181" s="44"/>
      <c r="I181" s="44"/>
      <c r="J181" s="44"/>
    </row>
    <row r="182" spans="4:10">
      <c r="D182" s="44"/>
      <c r="E182" s="44"/>
      <c r="F182" s="44"/>
      <c r="G182" s="44"/>
      <c r="H182" s="44"/>
      <c r="I182" s="44"/>
      <c r="J182" s="44"/>
    </row>
  </sheetData>
  <mergeCells count="44">
    <mergeCell ref="B87:C87"/>
    <mergeCell ref="B100:C100"/>
    <mergeCell ref="B160:C160"/>
    <mergeCell ref="B3:C3"/>
    <mergeCell ref="B4:C4"/>
    <mergeCell ref="B146:C146"/>
    <mergeCell ref="B147:C147"/>
    <mergeCell ref="B101:C101"/>
    <mergeCell ref="B161:C161"/>
    <mergeCell ref="B162:C162"/>
    <mergeCell ref="B5:C5"/>
    <mergeCell ref="B130:C130"/>
    <mergeCell ref="B131:C131"/>
    <mergeCell ref="B132:C132"/>
    <mergeCell ref="B145:C145"/>
    <mergeCell ref="B117:C117"/>
    <mergeCell ref="B70:C70"/>
    <mergeCell ref="B71:C71"/>
    <mergeCell ref="B72:C72"/>
    <mergeCell ref="B85:C85"/>
    <mergeCell ref="B86:C86"/>
    <mergeCell ref="B102:C102"/>
    <mergeCell ref="B115:C115"/>
    <mergeCell ref="B116:C116"/>
    <mergeCell ref="F66:I66"/>
    <mergeCell ref="B35:C37"/>
    <mergeCell ref="D35:D36"/>
    <mergeCell ref="E35:I35"/>
    <mergeCell ref="B38:C38"/>
    <mergeCell ref="B39:C39"/>
    <mergeCell ref="B49:C49"/>
    <mergeCell ref="F49:I49"/>
    <mergeCell ref="B50:C50"/>
    <mergeCell ref="E53:I53"/>
    <mergeCell ref="B54:C54"/>
    <mergeCell ref="B55:C55"/>
    <mergeCell ref="B56:C56"/>
    <mergeCell ref="B66:C66"/>
    <mergeCell ref="E17:I17"/>
    <mergeCell ref="B19:C19"/>
    <mergeCell ref="B20:C20"/>
    <mergeCell ref="B30:C30"/>
    <mergeCell ref="B31:C31"/>
    <mergeCell ref="F31:I31"/>
  </mergeCells>
  <phoneticPr fontId="4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E478E5EA1340C4484C34ABBA3EEF49E" ma:contentTypeVersion="7" ma:contentTypeDescription="새 문서를 만듭니다." ma:contentTypeScope="" ma:versionID="a192a8f0ee0d883ec983b41ff85c913d">
  <xsd:schema xmlns:xsd="http://www.w3.org/2001/XMLSchema" xmlns:xs="http://www.w3.org/2001/XMLSchema" xmlns:p="http://schemas.microsoft.com/office/2006/metadata/properties" xmlns:ns3="8c2b5f2a-2ad5-4c4f-8553-23615330cd23" xmlns:ns4="6897131c-daa0-4ea2-bdb5-e49f83f296b1" targetNamespace="http://schemas.microsoft.com/office/2006/metadata/properties" ma:root="true" ma:fieldsID="1817e1efaf6d0a4977d6b62348e18936" ns3:_="" ns4:_="">
    <xsd:import namespace="8c2b5f2a-2ad5-4c4f-8553-23615330cd23"/>
    <xsd:import namespace="6897131c-daa0-4ea2-bdb5-e49f83f296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2b5f2a-2ad5-4c4f-8553-23615330cd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97131c-daa0-4ea2-bdb5-e49f83f29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10B42B-2019-4FFE-980D-3B554C1205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284A16-90F6-4884-B88E-544DDCC8B0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2b5f2a-2ad5-4c4f-8553-23615330cd23"/>
    <ds:schemaRef ds:uri="6897131c-daa0-4ea2-bdb5-e49f83f296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 지정된 범위</vt:lpstr>
      </vt:variant>
      <vt:variant>
        <vt:i4>5</vt:i4>
      </vt:variant>
    </vt:vector>
  </HeadingPairs>
  <TitlesOfParts>
    <vt:vector size="22" baseType="lpstr">
      <vt:lpstr>자산부채분할내역</vt:lpstr>
      <vt:lpstr>별첨1_승계대상자산목록</vt:lpstr>
      <vt:lpstr>별첨2_분할명세(유동자산부채)</vt:lpstr>
      <vt:lpstr>별첨3_분할명세(식재료,보증금 외)</vt:lpstr>
      <vt:lpstr>별첨4_분할명세(고정자산)</vt:lpstr>
      <vt:lpstr>분할사업부문 손익(2023년 실적)</vt:lpstr>
      <vt:lpstr>별첨5_매출 차이 규명</vt:lpstr>
      <vt:lpstr>별첨6_HQ급여 내역</vt:lpstr>
      <vt:lpstr>분할사업부문 손익(향후5개년)</vt:lpstr>
      <vt:lpstr>==&gt; Appendix</vt:lpstr>
      <vt:lpstr>2024년1Q영업점별 실적</vt:lpstr>
      <vt:lpstr>영업점별 IS(통합)</vt:lpstr>
      <vt:lpstr>1호점</vt:lpstr>
      <vt:lpstr>2호점</vt:lpstr>
      <vt:lpstr>3호점</vt:lpstr>
      <vt:lpstr>4호점</vt:lpstr>
      <vt:lpstr>참조_영업점별 유형자산 내역</vt:lpstr>
      <vt:lpstr>'1호점'!Print_Titles</vt:lpstr>
      <vt:lpstr>'2호점'!Print_Titles</vt:lpstr>
      <vt:lpstr>'3호점'!Print_Titles</vt:lpstr>
      <vt:lpstr>'4호점'!Print_Titles</vt:lpstr>
      <vt:lpstr>'영업점별 IS(통합)'!Print_Titles</vt:lpstr>
    </vt:vector>
  </TitlesOfParts>
  <Company>DuzonBizon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김송철</dc:creator>
  <cp:lastModifiedBy>JK</cp:lastModifiedBy>
  <dcterms:created xsi:type="dcterms:W3CDTF">2023-11-13T06:21:45Z</dcterms:created>
  <dcterms:modified xsi:type="dcterms:W3CDTF">2024-05-21T11:05:10Z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  <property fmtid="{D5CDD505-2E9C-101B-9397-08002B2CF9AE}" pid="4" name="ContentTypeId">
    <vt:lpwstr>0x0101001E478E5EA1340C4484C34ABBA3EEF49E</vt:lpwstr>
  </property>
  <property fmtid="{D5CDD505-2E9C-101B-9397-08002B2CF9AE}" pid="5" name="_activity">
    <vt:lpwstr/>
  </property>
</Properties>
</file>