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\\10.10.10.11\Ai본부\F.AI본부\2024년 12월\★키움증권\미래세라텍(채동우)_2412\2. 당기평가\"/>
    </mc:Choice>
  </mc:AlternateContent>
  <bookViews>
    <workbookView xWindow="0" yWindow="0" windowWidth="28800" windowHeight="12285" tabRatio="771" firstSheet="1" activeTab="4"/>
  </bookViews>
  <sheets>
    <sheet name="COMPANY" sheetId="1" r:id="rId1"/>
    <sheet name="RATE" sheetId="2" r:id="rId2"/>
    <sheet name="BETA" sheetId="3" state="hidden" r:id="rId3"/>
    <sheet name="Bloomberg" sheetId="17" r:id="rId4"/>
    <sheet name="TABLE" sheetId="16" r:id="rId5"/>
    <sheet name="재무적정보" sheetId="11" state="hidden" r:id="rId6"/>
    <sheet name="WACC" sheetId="4" r:id="rId7"/>
    <sheet name="감가상각추정" sheetId="6" r:id="rId8"/>
    <sheet name="비용추정" sheetId="5" r:id="rId9"/>
    <sheet name="IS추정" sheetId="8" r:id="rId10"/>
    <sheet name="NWC추정" sheetId="10" r:id="rId11"/>
    <sheet name="BS추정" sheetId="9" r:id="rId12"/>
    <sheet name="FCF추정" sheetId="14" r:id="rId13"/>
    <sheet name="성장률추정" sheetId="12" r:id="rId14"/>
    <sheet name="민감도" sheetId="24" r:id="rId15"/>
    <sheet name="보고서(일반)" sheetId="18" r:id="rId16"/>
    <sheet name="백데이터(상세)" sheetId="25" r:id="rId17"/>
    <sheet name="평가요약시트" sheetId="22" r:id="rId18"/>
    <sheet name="Settings" sheetId="23" r:id="rId19"/>
  </sheets>
  <externalReferences>
    <externalReference r:id="rId20"/>
  </externalReferences>
  <definedNames>
    <definedName name="BS_tbl1_rows">Settings!$E$2</definedName>
    <definedName name="BS_tbl2_rows">Settings!$E$3</definedName>
    <definedName name="Cost_tbl1_rows">Settings!$E$4</definedName>
    <definedName name="Cost_tbl2_rows">Settings!$E$5</definedName>
    <definedName name="Depr_tbl1_rows">Settings!$E$6</definedName>
    <definedName name="Depr_tbl2_rows">Settings!$E$7</definedName>
    <definedName name="Depr_tbl3_rows">Settings!$E$8</definedName>
    <definedName name="FCF_tbl1_rows">Settings!$E$9</definedName>
    <definedName name="FCF_tbl2_rows">Settings!$E$10</definedName>
    <definedName name="FCF_tbl3_rows">Settings!$E$11</definedName>
    <definedName name="IS_tbl1_rows">Settings!$E$12</definedName>
    <definedName name="IS_tbl2_rows">Settings!$E$13</definedName>
    <definedName name="NWC_tbl1_rows">Settings!$E$14</definedName>
    <definedName name="NWC_tbl2_rows">Settings!$E$15</definedName>
    <definedName name="_xlnm.Print_Titles">#N/A</definedName>
    <definedName name="WACC_tbl1_rows">Settings!$E$16</definedName>
    <definedName name="WACC_tbl2_rows">Settings!$E$17</definedName>
    <definedName name="보고서연도설정">Settings!$E$30</definedName>
    <definedName name="보고서파일명">Settings!$E$29</definedName>
    <definedName name="영구g">민감도!$B$9</definedName>
    <definedName name="저장파일명">COMPANY!$G$14</definedName>
    <definedName name="평가값">민감도!$B$7</definedName>
    <definedName name="평가기준일">COMPANY!$G$2</definedName>
    <definedName name="평가회사명">Settings!$E$28</definedName>
    <definedName name="표_1">'보고서(일반)'!$B$4</definedName>
    <definedName name="표_10">'보고서(일반)'!$J$14</definedName>
    <definedName name="표_11">'보고서(일반)'!$J$25</definedName>
    <definedName name="표_12">'보고서(일반)'!$J$42</definedName>
    <definedName name="표_13">'보고서(일반)'!$J$47</definedName>
    <definedName name="표_14">'보고서(일반)'!$J$54</definedName>
    <definedName name="표_15">'보고서(일반)'!$R$4</definedName>
    <definedName name="표_16">'보고서(일반)'!$R$15</definedName>
    <definedName name="표_17">'보고서(일반)'!$U$4</definedName>
    <definedName name="표_18">'보고서(일반)'!$X$22</definedName>
    <definedName name="표_19">'보고서(일반)'!$AC$4</definedName>
    <definedName name="표_2">'보고서(일반)'!$B$8</definedName>
    <definedName name="표_20">'보고서(일반)'!$AC$30</definedName>
    <definedName name="표_21">'보고서(일반)'!$AC$42</definedName>
    <definedName name="표_3">'보고서(일반)'!$D$16</definedName>
    <definedName name="표_4">'보고서(일반)'!$B$25</definedName>
    <definedName name="표_5">'보고서(일반)'!$B$29</definedName>
    <definedName name="표_6">'보고서(일반)'!$B$32</definedName>
    <definedName name="표_7">'보고서(일반)'!$B$41</definedName>
    <definedName name="표_8">'보고서(일반)'!$J$4</definedName>
    <definedName name="표_9">'보고서(일반)'!$J$9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5" l="1"/>
  <c r="I2" i="5"/>
  <c r="B81" i="24"/>
  <c r="B80" i="24"/>
  <c r="B79" i="24"/>
  <c r="B78" i="24"/>
  <c r="B76" i="24"/>
  <c r="B75" i="24"/>
  <c r="B74" i="24"/>
  <c r="R5" i="25" l="1"/>
  <c r="Q5" i="25"/>
  <c r="P5" i="25"/>
  <c r="O5" i="25"/>
  <c r="N5" i="25"/>
  <c r="V118" i="25" l="1"/>
  <c r="V115" i="25"/>
  <c r="V114" i="25"/>
  <c r="V113" i="25"/>
  <c r="V89" i="25"/>
  <c r="C34" i="25" s="1"/>
  <c r="V88" i="25"/>
  <c r="V87" i="25"/>
  <c r="V86" i="25"/>
  <c r="V85" i="25"/>
  <c r="V84" i="25"/>
  <c r="V83" i="25"/>
  <c r="V82" i="25"/>
  <c r="V78" i="25"/>
  <c r="C32" i="25" s="1"/>
  <c r="V77" i="25"/>
  <c r="V76" i="25"/>
  <c r="V75" i="25"/>
  <c r="V74" i="25"/>
  <c r="V73" i="25"/>
  <c r="V72" i="25"/>
  <c r="V71" i="25"/>
  <c r="V70" i="25"/>
  <c r="X47" i="25"/>
  <c r="W60" i="25" s="1"/>
  <c r="W47" i="25"/>
  <c r="W48" i="25" s="1"/>
  <c r="V47" i="25"/>
  <c r="V48" i="25" s="1"/>
  <c r="U47" i="25"/>
  <c r="U48" i="25" s="1"/>
  <c r="X45" i="25"/>
  <c r="W45" i="25"/>
  <c r="V45" i="25"/>
  <c r="U59" i="25" s="1"/>
  <c r="U45" i="25"/>
  <c r="U44" i="25"/>
  <c r="V44" i="25"/>
  <c r="W44" i="25"/>
  <c r="X44" i="25"/>
  <c r="Y28" i="25"/>
  <c r="Y27" i="25"/>
  <c r="Y26" i="25"/>
  <c r="M39" i="25"/>
  <c r="L39" i="25"/>
  <c r="K39" i="25"/>
  <c r="M20" i="25"/>
  <c r="L20" i="25"/>
  <c r="K20" i="25"/>
  <c r="M35" i="25"/>
  <c r="M34" i="25"/>
  <c r="M33" i="25"/>
  <c r="M32" i="25"/>
  <c r="M31" i="25"/>
  <c r="M30" i="25"/>
  <c r="M29" i="25"/>
  <c r="M28" i="25"/>
  <c r="M27" i="25"/>
  <c r="M26" i="25"/>
  <c r="M25" i="25"/>
  <c r="M24" i="25"/>
  <c r="L35" i="25"/>
  <c r="L34" i="25"/>
  <c r="L33" i="25"/>
  <c r="L32" i="25"/>
  <c r="L31" i="25"/>
  <c r="L30" i="25"/>
  <c r="L29" i="25"/>
  <c r="L28" i="25"/>
  <c r="L27" i="25"/>
  <c r="L26" i="25"/>
  <c r="L25" i="25"/>
  <c r="L24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M23" i="25"/>
  <c r="L23" i="25"/>
  <c r="K23" i="25"/>
  <c r="J68" i="25"/>
  <c r="J70" i="25"/>
  <c r="J69" i="25"/>
  <c r="K74" i="25"/>
  <c r="K73" i="25"/>
  <c r="K72" i="25"/>
  <c r="L74" i="25"/>
  <c r="L73" i="25"/>
  <c r="L72" i="25"/>
  <c r="O66" i="25"/>
  <c r="U14" i="25"/>
  <c r="M14" i="25"/>
  <c r="M17" i="25" s="1"/>
  <c r="L14" i="25"/>
  <c r="L17" i="25" s="1"/>
  <c r="K14" i="25"/>
  <c r="K11" i="25" s="1"/>
  <c r="W13" i="25"/>
  <c r="V13" i="25"/>
  <c r="U13" i="25"/>
  <c r="X12" i="25"/>
  <c r="M38" i="25" s="1"/>
  <c r="W12" i="25"/>
  <c r="V12" i="25"/>
  <c r="K38" i="25" s="1"/>
  <c r="U12" i="25"/>
  <c r="M12" i="25"/>
  <c r="M11" i="25" s="1"/>
  <c r="L12" i="25"/>
  <c r="K12" i="25"/>
  <c r="X11" i="25"/>
  <c r="W11" i="25"/>
  <c r="V11" i="25"/>
  <c r="U11" i="25"/>
  <c r="U10" i="25"/>
  <c r="W8" i="25"/>
  <c r="V8" i="25"/>
  <c r="U8" i="25"/>
  <c r="M8" i="25"/>
  <c r="L8" i="25"/>
  <c r="K8" i="25"/>
  <c r="W7" i="25"/>
  <c r="V7" i="25"/>
  <c r="U7" i="25"/>
  <c r="X6" i="25"/>
  <c r="M37" i="25" s="1"/>
  <c r="W6" i="25"/>
  <c r="L37" i="25" s="1"/>
  <c r="V6" i="25"/>
  <c r="U6" i="25"/>
  <c r="M6" i="25"/>
  <c r="L6" i="25"/>
  <c r="K6" i="25"/>
  <c r="X5" i="25"/>
  <c r="W5" i="25"/>
  <c r="V5" i="25"/>
  <c r="U5" i="25"/>
  <c r="G5" i="25"/>
  <c r="F5" i="25"/>
  <c r="M5" i="25"/>
  <c r="L5" i="25"/>
  <c r="L7" i="25" s="1"/>
  <c r="K5" i="25"/>
  <c r="U4" i="25"/>
  <c r="U43" i="25" s="1"/>
  <c r="M4" i="25"/>
  <c r="X43" i="25" s="1"/>
  <c r="L4" i="25"/>
  <c r="W4" i="25" s="1"/>
  <c r="V25" i="25" s="1"/>
  <c r="K4" i="25"/>
  <c r="V43" i="25" s="1"/>
  <c r="V80" i="25"/>
  <c r="V68" i="25"/>
  <c r="AC42" i="25"/>
  <c r="H19" i="25"/>
  <c r="E5" i="25"/>
  <c r="D5" i="25"/>
  <c r="C5" i="25"/>
  <c r="AC3" i="25"/>
  <c r="R3" i="25"/>
  <c r="AJ3" i="25" s="1"/>
  <c r="L40" i="25" l="1"/>
  <c r="U15" i="25"/>
  <c r="U27" i="25"/>
  <c r="N23" i="25"/>
  <c r="O23" i="25" s="1"/>
  <c r="P23" i="25" s="1"/>
  <c r="W30" i="25"/>
  <c r="K17" i="25"/>
  <c r="V30" i="25"/>
  <c r="V39" i="25" s="1"/>
  <c r="N28" i="25"/>
  <c r="O28" i="25" s="1"/>
  <c r="P28" i="25" s="1"/>
  <c r="Q28" i="25" s="1"/>
  <c r="R28" i="25" s="1"/>
  <c r="V29" i="25"/>
  <c r="K37" i="25"/>
  <c r="L52" i="25"/>
  <c r="L59" i="25" s="1"/>
  <c r="U46" i="25"/>
  <c r="X46" i="25"/>
  <c r="L11" i="25"/>
  <c r="N24" i="25"/>
  <c r="O24" i="25" s="1"/>
  <c r="P24" i="25" s="1"/>
  <c r="Q24" i="25" s="1"/>
  <c r="R24" i="25" s="1"/>
  <c r="N26" i="25"/>
  <c r="O26" i="25" s="1"/>
  <c r="P26" i="25" s="1"/>
  <c r="Q26" i="25" s="1"/>
  <c r="R26" i="25" s="1"/>
  <c r="K56" i="25"/>
  <c r="W46" i="25"/>
  <c r="W49" i="25" s="1"/>
  <c r="M7" i="25"/>
  <c r="M40" i="25" s="1"/>
  <c r="L56" i="25"/>
  <c r="L63" i="25" s="1"/>
  <c r="N29" i="25"/>
  <c r="O29" i="25" s="1"/>
  <c r="P29" i="25" s="1"/>
  <c r="Q29" i="25" s="1"/>
  <c r="R29" i="25" s="1"/>
  <c r="L38" i="25"/>
  <c r="N31" i="25"/>
  <c r="O31" i="25" s="1"/>
  <c r="P31" i="25" s="1"/>
  <c r="Q31" i="25" s="1"/>
  <c r="R31" i="25" s="1"/>
  <c r="N34" i="25"/>
  <c r="O34" i="25" s="1"/>
  <c r="P34" i="25" s="1"/>
  <c r="Q34" i="25" s="1"/>
  <c r="R34" i="25" s="1"/>
  <c r="K7" i="25"/>
  <c r="K40" i="25" s="1"/>
  <c r="W29" i="25"/>
  <c r="N32" i="25"/>
  <c r="O32" i="25" s="1"/>
  <c r="P32" i="25" s="1"/>
  <c r="Q32" i="25" s="1"/>
  <c r="R32" i="25" s="1"/>
  <c r="N33" i="25"/>
  <c r="O33" i="25" s="1"/>
  <c r="P33" i="25" s="1"/>
  <c r="Q33" i="25" s="1"/>
  <c r="R33" i="25" s="1"/>
  <c r="M52" i="25"/>
  <c r="M54" i="25"/>
  <c r="W43" i="25"/>
  <c r="K36" i="25"/>
  <c r="N30" i="25"/>
  <c r="O30" i="25" s="1"/>
  <c r="P30" i="25" s="1"/>
  <c r="Q30" i="25" s="1"/>
  <c r="R30" i="25" s="1"/>
  <c r="N25" i="25"/>
  <c r="O25" i="25" s="1"/>
  <c r="P25" i="25" s="1"/>
  <c r="Q25" i="25" s="1"/>
  <c r="R25" i="25" s="1"/>
  <c r="K52" i="25"/>
  <c r="M51" i="25"/>
  <c r="N27" i="25"/>
  <c r="O27" i="25" s="1"/>
  <c r="P27" i="25" s="1"/>
  <c r="Q27" i="25" s="1"/>
  <c r="R27" i="25" s="1"/>
  <c r="L36" i="25"/>
  <c r="M56" i="25"/>
  <c r="N35" i="25"/>
  <c r="O35" i="25" s="1"/>
  <c r="P35" i="25" s="1"/>
  <c r="Q35" i="25" s="1"/>
  <c r="R35" i="25" s="1"/>
  <c r="V59" i="25"/>
  <c r="V46" i="25"/>
  <c r="V49" i="25" s="1"/>
  <c r="U49" i="25"/>
  <c r="U60" i="25"/>
  <c r="X48" i="25"/>
  <c r="X49" i="25" s="1"/>
  <c r="W58" i="25"/>
  <c r="V58" i="25"/>
  <c r="M21" i="25"/>
  <c r="M36" i="25"/>
  <c r="V4" i="25"/>
  <c r="U57" i="25" s="1"/>
  <c r="V27" i="25"/>
  <c r="K21" i="25"/>
  <c r="L21" i="25"/>
  <c r="W27" i="25"/>
  <c r="V60" i="25"/>
  <c r="V65" i="25" s="1"/>
  <c r="U58" i="25"/>
  <c r="X4" i="25"/>
  <c r="K54" i="25"/>
  <c r="L54" i="25"/>
  <c r="L61" i="25" s="1"/>
  <c r="V57" i="25"/>
  <c r="K51" i="25"/>
  <c r="L51" i="25"/>
  <c r="U30" i="25"/>
  <c r="W59" i="25"/>
  <c r="K63" i="25" l="1"/>
  <c r="K49" i="25" s="1"/>
  <c r="Q39" i="25" s="1"/>
  <c r="F15" i="25" s="1"/>
  <c r="X39" i="25"/>
  <c r="V38" i="25"/>
  <c r="N59" i="25"/>
  <c r="X38" i="25"/>
  <c r="M59" i="25"/>
  <c r="K59" i="25"/>
  <c r="K45" i="25" s="1"/>
  <c r="X64" i="25"/>
  <c r="N63" i="25"/>
  <c r="X36" i="25"/>
  <c r="M63" i="25"/>
  <c r="X50" i="25"/>
  <c r="W50" i="25"/>
  <c r="V50" i="25"/>
  <c r="X63" i="25"/>
  <c r="V63" i="25"/>
  <c r="N36" i="25"/>
  <c r="C12" i="25" s="1"/>
  <c r="O36" i="25"/>
  <c r="D12" i="25" s="1"/>
  <c r="N61" i="25"/>
  <c r="U64" i="25"/>
  <c r="U54" i="25" s="1"/>
  <c r="U25" i="25"/>
  <c r="U63" i="25"/>
  <c r="U53" i="25" s="1"/>
  <c r="W63" i="25"/>
  <c r="O39" i="25"/>
  <c r="D15" i="25" s="1"/>
  <c r="W64" i="25"/>
  <c r="V36" i="25"/>
  <c r="W25" i="25"/>
  <c r="W57" i="25"/>
  <c r="W39" i="25"/>
  <c r="U39" i="25"/>
  <c r="U22" i="25" s="1"/>
  <c r="X65" i="25"/>
  <c r="V64" i="25"/>
  <c r="W65" i="25"/>
  <c r="M61" i="25"/>
  <c r="K61" i="25"/>
  <c r="K47" i="25" s="1"/>
  <c r="P39" i="25"/>
  <c r="E15" i="25" s="1"/>
  <c r="Q23" i="25"/>
  <c r="P36" i="25"/>
  <c r="E12" i="25" s="1"/>
  <c r="U36" i="25"/>
  <c r="U19" i="25" s="1"/>
  <c r="U65" i="25"/>
  <c r="U55" i="25" s="1"/>
  <c r="W36" i="25"/>
  <c r="N39" i="25" l="1"/>
  <c r="C15" i="25" s="1"/>
  <c r="R39" i="25"/>
  <c r="G15" i="25" s="1"/>
  <c r="AC44" i="25"/>
  <c r="AB44" i="25"/>
  <c r="AA44" i="25"/>
  <c r="Z44" i="25"/>
  <c r="Y44" i="25"/>
  <c r="R23" i="25"/>
  <c r="R36" i="25" s="1"/>
  <c r="G12" i="25" s="1"/>
  <c r="Q36" i="25"/>
  <c r="F12" i="25" s="1"/>
  <c r="H23" i="25" l="1"/>
  <c r="AA5" i="17" l="1"/>
  <c r="U8" i="17" l="1"/>
  <c r="X7" i="17"/>
  <c r="AI7" i="17"/>
  <c r="AJ7" i="17"/>
  <c r="AK7" i="17"/>
  <c r="AL7" i="17"/>
  <c r="AM7" i="17"/>
  <c r="AA7" i="17"/>
  <c r="AB7" i="17"/>
  <c r="AC7" i="17"/>
  <c r="AD7" i="17"/>
  <c r="AE7" i="17"/>
  <c r="AF7" i="17"/>
  <c r="AG7" i="17"/>
  <c r="AH7" i="17"/>
  <c r="W7" i="17"/>
  <c r="V7" i="17"/>
  <c r="Z7" i="17"/>
  <c r="Y7" i="17"/>
  <c r="E54" i="23"/>
  <c r="V8" i="17"/>
  <c r="I59" i="22" l="1"/>
  <c r="H59" i="22"/>
  <c r="G59" i="22"/>
  <c r="F59" i="22"/>
  <c r="E59" i="22"/>
  <c r="E63" i="23"/>
  <c r="E70" i="23"/>
  <c r="E69" i="23"/>
  <c r="E68" i="23"/>
  <c r="E66" i="23"/>
  <c r="E59" i="23"/>
  <c r="E58" i="23"/>
  <c r="E57" i="23"/>
  <c r="E53" i="23"/>
  <c r="S4" i="17"/>
  <c r="AL12" i="18"/>
  <c r="F8" i="17"/>
  <c r="AC8" i="17"/>
  <c r="AF8" i="17"/>
  <c r="AL8" i="17"/>
  <c r="Z8" i="17"/>
  <c r="I8" i="17"/>
  <c r="W8" i="17"/>
  <c r="M8" i="17"/>
  <c r="C8" i="17"/>
  <c r="AK8" i="17"/>
  <c r="AG8" i="17"/>
  <c r="AM8" i="17"/>
  <c r="K8" i="17"/>
  <c r="S8" i="17"/>
  <c r="AH8" i="17"/>
  <c r="X8" i="17"/>
  <c r="L8" i="17"/>
  <c r="G8" i="17"/>
  <c r="AI8" i="17"/>
  <c r="T8" i="17"/>
  <c r="H8" i="17"/>
  <c r="AB8" i="17"/>
  <c r="D8" i="17"/>
  <c r="J8" i="17"/>
  <c r="AJ8" i="17"/>
  <c r="Y8" i="17"/>
  <c r="AA8" i="17"/>
  <c r="AE8" i="17"/>
  <c r="E8" i="17"/>
  <c r="AD8" i="17"/>
  <c r="K19" i="14" l="1"/>
  <c r="K17" i="14"/>
  <c r="K16" i="14"/>
  <c r="E28" i="23" l="1"/>
  <c r="AR22" i="18"/>
  <c r="AR10" i="18"/>
  <c r="AR15" i="18"/>
  <c r="AR21" i="18"/>
  <c r="AR7" i="18"/>
  <c r="AR24" i="18"/>
  <c r="AR16" i="18"/>
  <c r="AR9" i="18"/>
  <c r="AR19" i="18"/>
  <c r="AR5" i="18"/>
  <c r="AR17" i="18"/>
  <c r="AR12" i="18"/>
  <c r="AR18" i="18"/>
  <c r="AR4" i="18"/>
  <c r="AR13" i="18"/>
  <c r="AR6" i="18"/>
  <c r="AR14" i="18"/>
  <c r="AR11" i="18"/>
  <c r="AR23" i="18"/>
  <c r="AR20" i="18"/>
  <c r="AR8" i="18"/>
  <c r="E52" i="23" l="1"/>
  <c r="B2" i="22"/>
  <c r="F86" i="22"/>
  <c r="E46" i="24" l="1"/>
  <c r="D46" i="24"/>
  <c r="C46" i="24"/>
  <c r="M59" i="4"/>
  <c r="K73" i="4"/>
  <c r="J73" i="4"/>
  <c r="K72" i="4"/>
  <c r="J72" i="4"/>
  <c r="K71" i="4"/>
  <c r="J71" i="4"/>
  <c r="K70" i="4"/>
  <c r="J70" i="4"/>
  <c r="K69" i="4"/>
  <c r="J69" i="4"/>
  <c r="K68" i="4"/>
  <c r="J68" i="4"/>
  <c r="K67" i="4"/>
  <c r="J67" i="4"/>
  <c r="K66" i="4"/>
  <c r="J66" i="4"/>
  <c r="K65" i="4"/>
  <c r="J65" i="4"/>
  <c r="K64" i="4"/>
  <c r="J64" i="4"/>
  <c r="K63" i="4"/>
  <c r="J63" i="4"/>
  <c r="K62" i="4"/>
  <c r="J62" i="4"/>
  <c r="K61" i="4"/>
  <c r="J61" i="4"/>
  <c r="K60" i="4"/>
  <c r="J60" i="4"/>
  <c r="S14" i="14" l="1"/>
  <c r="R14" i="14"/>
  <c r="Q14" i="14"/>
  <c r="P14" i="14"/>
  <c r="S13" i="14"/>
  <c r="R13" i="14"/>
  <c r="Q13" i="14"/>
  <c r="P13" i="14"/>
  <c r="S12" i="14"/>
  <c r="R12" i="14"/>
  <c r="Q12" i="14"/>
  <c r="P12" i="14"/>
  <c r="S11" i="14"/>
  <c r="R11" i="14"/>
  <c r="Q11" i="14"/>
  <c r="P11" i="14"/>
  <c r="S10" i="14"/>
  <c r="R10" i="14"/>
  <c r="Q10" i="14"/>
  <c r="P10" i="14"/>
  <c r="U36" i="8"/>
  <c r="T36" i="8"/>
  <c r="S36" i="8"/>
  <c r="U35" i="8"/>
  <c r="T35" i="8"/>
  <c r="S35" i="8"/>
  <c r="U34" i="8"/>
  <c r="T34" i="8"/>
  <c r="S34" i="8"/>
  <c r="U33" i="8"/>
  <c r="T33" i="8"/>
  <c r="S33" i="8"/>
  <c r="U32" i="8"/>
  <c r="T32" i="8"/>
  <c r="S32" i="8"/>
  <c r="R36" i="8"/>
  <c r="R35" i="8"/>
  <c r="R34" i="8"/>
  <c r="R32" i="8"/>
  <c r="R33" i="8"/>
  <c r="B11" i="24" l="1"/>
  <c r="F2" i="24" l="1"/>
  <c r="AA43" i="18" s="1"/>
  <c r="F3" i="24"/>
  <c r="AA44" i="18" s="1"/>
  <c r="F4" i="24"/>
  <c r="AA45" i="18" s="1"/>
  <c r="M4" i="14"/>
  <c r="E19" i="24"/>
  <c r="C19" i="24" l="1"/>
  <c r="D19" i="24"/>
  <c r="K18" i="14" l="1"/>
  <c r="A52" i="14"/>
  <c r="A28" i="14"/>
  <c r="A1" i="14"/>
  <c r="B73" i="24" s="1"/>
  <c r="A41" i="9"/>
  <c r="A1" i="9"/>
  <c r="A45" i="10"/>
  <c r="A1" i="10"/>
  <c r="A46" i="8"/>
  <c r="A1" i="8"/>
  <c r="A73" i="5"/>
  <c r="A1" i="5"/>
  <c r="A31" i="6"/>
  <c r="A21" i="6"/>
  <c r="A1" i="6"/>
  <c r="E2" i="23"/>
  <c r="E7" i="23"/>
  <c r="E17" i="23"/>
  <c r="E4" i="23"/>
  <c r="E10" i="23"/>
  <c r="E25" i="23"/>
  <c r="E14" i="23"/>
  <c r="E13" i="23"/>
  <c r="E11" i="23"/>
  <c r="E5" i="23"/>
  <c r="E12" i="23"/>
  <c r="E6" i="23"/>
  <c r="E16" i="23"/>
  <c r="E15" i="23"/>
  <c r="E8" i="23"/>
  <c r="E9" i="23"/>
  <c r="E3" i="23"/>
  <c r="B15" i="24" l="1"/>
  <c r="AF5" i="17"/>
  <c r="E27" i="18" l="1"/>
  <c r="K4" i="17" l="1"/>
  <c r="T92" i="25" s="1"/>
  <c r="AL11" i="18" l="1"/>
  <c r="AL10" i="18"/>
  <c r="AL5" i="18"/>
  <c r="AL9" i="18" l="1"/>
  <c r="E46" i="18" l="1"/>
  <c r="D46" i="18"/>
  <c r="C46" i="18"/>
  <c r="E45" i="18"/>
  <c r="D45" i="18"/>
  <c r="C45" i="18"/>
  <c r="E44" i="18"/>
  <c r="D44" i="18"/>
  <c r="C44" i="18"/>
  <c r="E43" i="18"/>
  <c r="D43" i="18"/>
  <c r="C43" i="18"/>
  <c r="E42" i="18"/>
  <c r="D42" i="18"/>
  <c r="C42" i="18"/>
  <c r="E41" i="18"/>
  <c r="D41" i="18"/>
  <c r="C41" i="18"/>
  <c r="E39" i="18"/>
  <c r="D39" i="18"/>
  <c r="C39" i="18"/>
  <c r="E38" i="18"/>
  <c r="D38" i="18"/>
  <c r="C38" i="18"/>
  <c r="E37" i="18"/>
  <c r="D37" i="18"/>
  <c r="C37" i="18"/>
  <c r="E36" i="18"/>
  <c r="D36" i="18"/>
  <c r="C36" i="18"/>
  <c r="E35" i="18"/>
  <c r="D35" i="18"/>
  <c r="C35" i="18"/>
  <c r="E34" i="18"/>
  <c r="D34" i="18"/>
  <c r="C34" i="18"/>
  <c r="E33" i="18"/>
  <c r="D33" i="18"/>
  <c r="C33" i="18"/>
  <c r="E32" i="18"/>
  <c r="D32" i="18"/>
  <c r="C32" i="18"/>
  <c r="C30" i="18"/>
  <c r="C29" i="18"/>
  <c r="C27" i="18"/>
  <c r="E26" i="18"/>
  <c r="C26" i="18"/>
  <c r="E25" i="18"/>
  <c r="C25" i="18"/>
  <c r="E5" i="18"/>
  <c r="C4" i="18"/>
  <c r="B13" i="18"/>
  <c r="B12" i="18"/>
  <c r="B11" i="18"/>
  <c r="B10" i="18"/>
  <c r="B9" i="18"/>
  <c r="G48" i="10" l="1"/>
  <c r="F48" i="10"/>
  <c r="F8" i="22" l="1"/>
  <c r="G8" i="22"/>
  <c r="H8" i="22"/>
  <c r="I8" i="22"/>
  <c r="E8" i="22"/>
  <c r="L60" i="18"/>
  <c r="L4" i="17" l="1"/>
  <c r="AO4" i="18" l="1" a="1"/>
  <c r="AO4" i="18" s="1"/>
  <c r="AO11" i="18" l="1"/>
  <c r="U12" i="18" s="1"/>
  <c r="AO10" i="18"/>
  <c r="U11" i="18" s="1"/>
  <c r="AO17" i="18"/>
  <c r="U18" i="18" s="1"/>
  <c r="AO8" i="18"/>
  <c r="U9" i="18" s="1"/>
  <c r="AO15" i="18"/>
  <c r="U16" i="18" s="1"/>
  <c r="AO6" i="18"/>
  <c r="U7" i="18" s="1"/>
  <c r="AO13" i="18"/>
  <c r="U14" i="18" s="1"/>
  <c r="AO5" i="18"/>
  <c r="U6" i="18" s="1"/>
  <c r="AO18" i="18"/>
  <c r="U19" i="18" s="1"/>
  <c r="AO9" i="18"/>
  <c r="U10" i="18" s="1"/>
  <c r="AO16" i="18"/>
  <c r="U17" i="18" s="1"/>
  <c r="AO7" i="18"/>
  <c r="U8" i="18" s="1"/>
  <c r="AO14" i="18"/>
  <c r="U15" i="18" s="1"/>
  <c r="AO12" i="18"/>
  <c r="U13" i="18" s="1"/>
  <c r="U5" i="18"/>
  <c r="T94" i="25" l="1"/>
  <c r="T104" i="25"/>
  <c r="T99" i="25"/>
  <c r="T106" i="25"/>
  <c r="T95" i="25"/>
  <c r="T103" i="25"/>
  <c r="T96" i="25"/>
  <c r="T105" i="25"/>
  <c r="T98" i="25"/>
  <c r="T97" i="25"/>
  <c r="T107" i="25"/>
  <c r="T102" i="25"/>
  <c r="T100" i="25"/>
  <c r="T108" i="25"/>
  <c r="T101" i="25"/>
  <c r="V9" i="18"/>
  <c r="V13" i="18"/>
  <c r="X15" i="18"/>
  <c r="V17" i="18"/>
  <c r="W19" i="18"/>
  <c r="V6" i="18"/>
  <c r="V8" i="18"/>
  <c r="V14" i="18"/>
  <c r="V16" i="18"/>
  <c r="Y18" i="18"/>
  <c r="W11" i="18"/>
  <c r="W12" i="18"/>
  <c r="V12" i="18"/>
  <c r="W9" i="18"/>
  <c r="V11" i="18"/>
  <c r="X12" i="18"/>
  <c r="W18" i="18"/>
  <c r="X17" i="18"/>
  <c r="X11" i="18"/>
  <c r="X6" i="18"/>
  <c r="X18" i="18"/>
  <c r="Y19" i="18"/>
  <c r="W15" i="18"/>
  <c r="V19" i="18"/>
  <c r="X19" i="18"/>
  <c r="X10" i="18"/>
  <c r="W13" i="18"/>
  <c r="W8" i="18"/>
  <c r="W17" i="18"/>
  <c r="X14" i="18"/>
  <c r="X8" i="18"/>
  <c r="X7" i="18"/>
  <c r="X13" i="18"/>
  <c r="W6" i="18"/>
  <c r="Y17" i="18"/>
  <c r="V7" i="18"/>
  <c r="V10" i="18"/>
  <c r="X9" i="18"/>
  <c r="W16" i="18"/>
  <c r="V18" i="18"/>
  <c r="W10" i="18"/>
  <c r="V15" i="18"/>
  <c r="X16" i="18"/>
  <c r="W14" i="18"/>
  <c r="W7" i="18"/>
  <c r="X106" i="25" l="1"/>
  <c r="V98" i="25"/>
  <c r="W96" i="25"/>
  <c r="W107" i="25"/>
  <c r="X103" i="25"/>
  <c r="X97" i="25"/>
  <c r="W95" i="25"/>
  <c r="W99" i="25"/>
  <c r="V102" i="25"/>
  <c r="X96" i="25"/>
  <c r="W101" i="25"/>
  <c r="X102" i="25"/>
  <c r="X101" i="25"/>
  <c r="W98" i="25"/>
  <c r="W97" i="25"/>
  <c r="V104" i="25"/>
  <c r="V108" i="25"/>
  <c r="V97" i="25"/>
  <c r="W102" i="25"/>
  <c r="X108" i="25"/>
  <c r="X98" i="25"/>
  <c r="V95" i="25"/>
  <c r="V100" i="25"/>
  <c r="V101" i="25"/>
  <c r="W100" i="25"/>
  <c r="V105" i="25"/>
  <c r="W105" i="25"/>
  <c r="Y108" i="25"/>
  <c r="V99" i="25"/>
  <c r="X107" i="25"/>
  <c r="W108" i="25"/>
  <c r="W103" i="25"/>
  <c r="Y107" i="25"/>
  <c r="V103" i="25"/>
  <c r="X95" i="25"/>
  <c r="W106" i="25"/>
  <c r="X105" i="25"/>
  <c r="X99" i="25"/>
  <c r="V107" i="25"/>
  <c r="W104" i="25"/>
  <c r="V96" i="25"/>
  <c r="V106" i="25"/>
  <c r="Y106" i="25"/>
  <c r="X100" i="25"/>
  <c r="X104" i="25"/>
  <c r="N28" i="12"/>
  <c r="I32" i="6" l="1"/>
  <c r="O31" i="6"/>
  <c r="N31" i="6"/>
  <c r="M31" i="6"/>
  <c r="L31" i="6"/>
  <c r="K31" i="6"/>
  <c r="J31" i="6"/>
  <c r="I31" i="6"/>
  <c r="D45" i="22" l="1"/>
  <c r="E6" i="22"/>
  <c r="F6" i="22"/>
  <c r="G6" i="22"/>
  <c r="H6" i="22"/>
  <c r="I6" i="22"/>
  <c r="E15" i="22"/>
  <c r="E16" i="22"/>
  <c r="E17" i="22"/>
  <c r="E12" i="22"/>
  <c r="E13" i="22"/>
  <c r="E14" i="22"/>
  <c r="E86" i="22" l="1"/>
  <c r="E88" i="22"/>
  <c r="E90" i="22"/>
  <c r="E91" i="22"/>
  <c r="E93" i="22"/>
  <c r="E94" i="22"/>
  <c r="E75" i="22"/>
  <c r="F75" i="22"/>
  <c r="G75" i="22"/>
  <c r="H75" i="22"/>
  <c r="I75" i="22"/>
  <c r="E79" i="22"/>
  <c r="F79" i="22"/>
  <c r="G79" i="22"/>
  <c r="H79" i="22"/>
  <c r="I79" i="22"/>
  <c r="E80" i="22"/>
  <c r="F80" i="22"/>
  <c r="G80" i="22"/>
  <c r="H80" i="22"/>
  <c r="I80" i="22"/>
  <c r="E81" i="22"/>
  <c r="F81" i="22"/>
  <c r="G81" i="22"/>
  <c r="H81" i="22"/>
  <c r="I81" i="22"/>
  <c r="E48" i="10" l="1"/>
  <c r="H48" i="10"/>
  <c r="J32" i="12" l="1"/>
  <c r="J33" i="12"/>
  <c r="X29" i="18" l="1"/>
  <c r="X26" i="18"/>
  <c r="E52" i="22" s="1"/>
  <c r="O13" i="8"/>
  <c r="N13" i="8"/>
  <c r="R4" i="25" s="1"/>
  <c r="M13" i="8"/>
  <c r="Q4" i="25" s="1"/>
  <c r="L13" i="8"/>
  <c r="P4" i="25" s="1"/>
  <c r="K13" i="8"/>
  <c r="O4" i="25" s="1"/>
  <c r="J13" i="8"/>
  <c r="N4" i="25" s="1"/>
  <c r="O14" i="9"/>
  <c r="N14" i="9"/>
  <c r="M14" i="9"/>
  <c r="L14" i="9"/>
  <c r="K14" i="9"/>
  <c r="J14" i="9"/>
  <c r="O12" i="10"/>
  <c r="N12" i="10"/>
  <c r="M12" i="10"/>
  <c r="L12" i="10"/>
  <c r="K12" i="10"/>
  <c r="J12" i="10"/>
  <c r="H53" i="8"/>
  <c r="G53" i="8"/>
  <c r="F53" i="8"/>
  <c r="E53" i="8"/>
  <c r="H52" i="8"/>
  <c r="G52" i="8"/>
  <c r="F52" i="8"/>
  <c r="E52" i="8"/>
  <c r="AA1" i="18"/>
  <c r="AC1" i="18"/>
  <c r="AD1" i="18"/>
  <c r="AE1" i="18"/>
  <c r="AF1" i="18"/>
  <c r="AG1" i="18"/>
  <c r="N54" i="18"/>
  <c r="M54" i="18"/>
  <c r="L54" i="18"/>
  <c r="K54" i="18"/>
  <c r="J54" i="18"/>
  <c r="N47" i="18"/>
  <c r="M47" i="18"/>
  <c r="L47" i="18"/>
  <c r="K47" i="18"/>
  <c r="J47" i="18"/>
  <c r="N42" i="18"/>
  <c r="M42" i="18"/>
  <c r="L42" i="18"/>
  <c r="K42" i="18"/>
  <c r="J42" i="18"/>
  <c r="N25" i="18"/>
  <c r="M25" i="18"/>
  <c r="L25" i="18"/>
  <c r="K25" i="18"/>
  <c r="J25" i="18"/>
  <c r="N14" i="18"/>
  <c r="M14" i="18"/>
  <c r="L14" i="18"/>
  <c r="K14" i="18"/>
  <c r="J14" i="18"/>
  <c r="N9" i="18"/>
  <c r="M9" i="18"/>
  <c r="L9" i="18"/>
  <c r="K9" i="18"/>
  <c r="J9" i="18"/>
  <c r="N4" i="18"/>
  <c r="M4" i="18"/>
  <c r="L4" i="18"/>
  <c r="K4" i="18"/>
  <c r="J4" i="18"/>
  <c r="AJ4" i="25" l="1"/>
  <c r="AC4" i="25"/>
  <c r="AC43" i="25"/>
  <c r="G4" i="25"/>
  <c r="AI4" i="25"/>
  <c r="AB43" i="25"/>
  <c r="F4" i="25"/>
  <c r="AB4" i="25"/>
  <c r="AA4" i="25"/>
  <c r="AA43" i="25"/>
  <c r="E4" i="25"/>
  <c r="AH4" i="25"/>
  <c r="AG4" i="25"/>
  <c r="Z43" i="25"/>
  <c r="Z4" i="25"/>
  <c r="D4" i="25"/>
  <c r="AF4" i="25"/>
  <c r="Y43" i="25"/>
  <c r="Y4" i="25"/>
  <c r="C4" i="25"/>
  <c r="E55" i="22"/>
  <c r="AC2" i="18"/>
  <c r="J52" i="18" s="1"/>
  <c r="D30" i="22"/>
  <c r="AD2" i="18"/>
  <c r="K18" i="18" s="1"/>
  <c r="K35" i="18" s="1"/>
  <c r="AD12" i="18" s="1"/>
  <c r="F67" i="22" s="1"/>
  <c r="AE2" i="18"/>
  <c r="L52" i="18" s="1"/>
  <c r="AF2" i="18"/>
  <c r="M52" i="18" s="1"/>
  <c r="AG2" i="18"/>
  <c r="N52" i="18" s="1"/>
  <c r="F44" i="22"/>
  <c r="D44" i="22"/>
  <c r="D37" i="22"/>
  <c r="E38" i="22"/>
  <c r="D38" i="22"/>
  <c r="E31" i="22"/>
  <c r="D31" i="22"/>
  <c r="D39" i="22"/>
  <c r="D36" i="22"/>
  <c r="D32" i="22"/>
  <c r="F40" i="22"/>
  <c r="D40" i="22"/>
  <c r="G33" i="22"/>
  <c r="D33" i="22"/>
  <c r="E41" i="22"/>
  <c r="D41" i="22"/>
  <c r="F34" i="22"/>
  <c r="D34" i="22"/>
  <c r="H42" i="22"/>
  <c r="D42" i="22"/>
  <c r="E35" i="22"/>
  <c r="D35" i="22"/>
  <c r="H43" i="22"/>
  <c r="D43" i="22"/>
  <c r="F41" i="22"/>
  <c r="G41" i="22"/>
  <c r="G35" i="22"/>
  <c r="F35" i="22"/>
  <c r="F38" i="22"/>
  <c r="E42" i="22"/>
  <c r="G34" i="22"/>
  <c r="E43" i="22"/>
  <c r="F33" i="22"/>
  <c r="E39" i="22"/>
  <c r="F43" i="22"/>
  <c r="G38" i="22"/>
  <c r="G31" i="22"/>
  <c r="G40" i="22"/>
  <c r="F31" i="22"/>
  <c r="E32" i="22"/>
  <c r="E37" i="22"/>
  <c r="F39" i="22"/>
  <c r="G42" i="22"/>
  <c r="G44" i="22"/>
  <c r="F32" i="22"/>
  <c r="G37" i="22"/>
  <c r="H44" i="22"/>
  <c r="E33" i="22"/>
  <c r="F37" i="22"/>
  <c r="F42" i="22"/>
  <c r="E36" i="22"/>
  <c r="G32" i="22"/>
  <c r="E34" i="22"/>
  <c r="F36" i="22"/>
  <c r="G39" i="22"/>
  <c r="E40" i="22"/>
  <c r="G43" i="22"/>
  <c r="E44" i="22"/>
  <c r="G36" i="22"/>
  <c r="E65" i="23" l="1"/>
  <c r="AC21" i="18"/>
  <c r="E76" i="22" s="1"/>
  <c r="J20" i="18"/>
  <c r="J37" i="18" s="1"/>
  <c r="AC14" i="18" s="1"/>
  <c r="E69" i="22" s="1"/>
  <c r="J18" i="18"/>
  <c r="J35" i="18" s="1"/>
  <c r="AC12" i="18" s="1"/>
  <c r="E67" i="22" s="1"/>
  <c r="J15" i="18"/>
  <c r="J32" i="18" s="1"/>
  <c r="AC9" i="18" s="1"/>
  <c r="E64" i="22" s="1"/>
  <c r="J50" i="18"/>
  <c r="J19" i="18"/>
  <c r="J36" i="18" s="1"/>
  <c r="AC13" i="18" s="1"/>
  <c r="E68" i="22" s="1"/>
  <c r="J51" i="18"/>
  <c r="J17" i="18"/>
  <c r="J34" i="18" s="1"/>
  <c r="AC11" i="18" s="1"/>
  <c r="E66" i="22" s="1"/>
  <c r="J16" i="18"/>
  <c r="J33" i="18" s="1"/>
  <c r="AC10" i="18" s="1"/>
  <c r="E65" i="22" s="1"/>
  <c r="J49" i="18"/>
  <c r="J5" i="18"/>
  <c r="J21" i="18"/>
  <c r="J38" i="18" s="1"/>
  <c r="J10" i="18"/>
  <c r="J11" i="18" s="1"/>
  <c r="J48" i="18"/>
  <c r="K48" i="18"/>
  <c r="K15" i="18"/>
  <c r="K32" i="18" s="1"/>
  <c r="AD9" i="18" s="1"/>
  <c r="F64" i="22" s="1"/>
  <c r="AC19" i="18"/>
  <c r="K49" i="18"/>
  <c r="K51" i="18"/>
  <c r="K19" i="18"/>
  <c r="K36" i="18" s="1"/>
  <c r="AD13" i="18" s="1"/>
  <c r="F68" i="22" s="1"/>
  <c r="K52" i="18"/>
  <c r="K20" i="18"/>
  <c r="K37" i="18" s="1"/>
  <c r="AD14" i="18" s="1"/>
  <c r="F69" i="22" s="1"/>
  <c r="K50" i="18"/>
  <c r="K17" i="18"/>
  <c r="K34" i="18" s="1"/>
  <c r="AD11" i="18" s="1"/>
  <c r="F66" i="22" s="1"/>
  <c r="K16" i="18"/>
  <c r="K33" i="18" s="1"/>
  <c r="AD10" i="18" s="1"/>
  <c r="F65" i="22" s="1"/>
  <c r="K5" i="18"/>
  <c r="K6" i="18" s="1"/>
  <c r="K10" i="18"/>
  <c r="K11" i="18" s="1"/>
  <c r="L50" i="18"/>
  <c r="AE19" i="18"/>
  <c r="K21" i="18"/>
  <c r="K38" i="18" s="1"/>
  <c r="AD19" i="18"/>
  <c r="AG19" i="18"/>
  <c r="AF19" i="18"/>
  <c r="N15" i="18"/>
  <c r="N22" i="18" s="1"/>
  <c r="M10" i="18"/>
  <c r="M11" i="18" s="1"/>
  <c r="N10" i="18"/>
  <c r="N28" i="18" s="1"/>
  <c r="L21" i="18"/>
  <c r="L38" i="18" s="1"/>
  <c r="L19" i="18"/>
  <c r="L36" i="18" s="1"/>
  <c r="AE13" i="18" s="1"/>
  <c r="G68" i="22" s="1"/>
  <c r="L17" i="18"/>
  <c r="L34" i="18" s="1"/>
  <c r="AE11" i="18" s="1"/>
  <c r="G66" i="22" s="1"/>
  <c r="M21" i="18"/>
  <c r="M38" i="18" s="1"/>
  <c r="L48" i="18"/>
  <c r="L20" i="18"/>
  <c r="L37" i="18" s="1"/>
  <c r="AE14" i="18" s="1"/>
  <c r="G69" i="22" s="1"/>
  <c r="L51" i="18"/>
  <c r="L15" i="18"/>
  <c r="L22" i="18" s="1"/>
  <c r="L5" i="18"/>
  <c r="L26" i="18" s="1"/>
  <c r="L16" i="18"/>
  <c r="L33" i="18" s="1"/>
  <c r="AE10" i="18" s="1"/>
  <c r="G65" i="22" s="1"/>
  <c r="L18" i="18"/>
  <c r="L35" i="18" s="1"/>
  <c r="AE12" i="18" s="1"/>
  <c r="G67" i="22" s="1"/>
  <c r="L10" i="18"/>
  <c r="L28" i="18" s="1"/>
  <c r="L49" i="18"/>
  <c r="AE21" i="18"/>
  <c r="G76" i="22" s="1"/>
  <c r="N19" i="18"/>
  <c r="N36" i="18" s="1"/>
  <c r="AG13" i="18" s="1"/>
  <c r="I68" i="22" s="1"/>
  <c r="N51" i="18"/>
  <c r="AG21" i="18"/>
  <c r="I76" i="22" s="1"/>
  <c r="N16" i="18"/>
  <c r="N33" i="18" s="1"/>
  <c r="AG10" i="18" s="1"/>
  <c r="I65" i="22" s="1"/>
  <c r="N5" i="18"/>
  <c r="N26" i="18" s="1"/>
  <c r="N48" i="18"/>
  <c r="N49" i="18"/>
  <c r="N21" i="18"/>
  <c r="N38" i="18" s="1"/>
  <c r="N18" i="18"/>
  <c r="N35" i="18" s="1"/>
  <c r="AG12" i="18" s="1"/>
  <c r="I67" i="22" s="1"/>
  <c r="N17" i="18"/>
  <c r="N34" i="18" s="1"/>
  <c r="AG11" i="18" s="1"/>
  <c r="I66" i="22" s="1"/>
  <c r="N20" i="18"/>
  <c r="N37" i="18" s="1"/>
  <c r="AG14" i="18" s="1"/>
  <c r="I69" i="22" s="1"/>
  <c r="N50" i="18"/>
  <c r="M51" i="18"/>
  <c r="M20" i="18"/>
  <c r="M37" i="18" s="1"/>
  <c r="AF14" i="18" s="1"/>
  <c r="H69" i="22" s="1"/>
  <c r="M18" i="18"/>
  <c r="M35" i="18" s="1"/>
  <c r="AF12" i="18" s="1"/>
  <c r="H67" i="22" s="1"/>
  <c r="M17" i="18"/>
  <c r="M34" i="18" s="1"/>
  <c r="AF11" i="18" s="1"/>
  <c r="H66" i="22" s="1"/>
  <c r="M48" i="18"/>
  <c r="AF21" i="18"/>
  <c r="H76" i="22" s="1"/>
  <c r="M19" i="18"/>
  <c r="M36" i="18" s="1"/>
  <c r="AF13" i="18" s="1"/>
  <c r="H68" i="22" s="1"/>
  <c r="M50" i="18"/>
  <c r="M5" i="18"/>
  <c r="AF5" i="18" s="1"/>
  <c r="M49" i="18"/>
  <c r="M15" i="18"/>
  <c r="M22" i="18" s="1"/>
  <c r="M16" i="18"/>
  <c r="M33" i="18" s="1"/>
  <c r="AF10" i="18" s="1"/>
  <c r="H65" i="22" s="1"/>
  <c r="E64" i="23" l="1"/>
  <c r="J26" i="18"/>
  <c r="E60" i="23"/>
  <c r="AD21" i="18"/>
  <c r="F76" i="22" s="1"/>
  <c r="I74" i="22"/>
  <c r="F74" i="22"/>
  <c r="H60" i="22"/>
  <c r="G74" i="22"/>
  <c r="H74" i="22"/>
  <c r="E74" i="22"/>
  <c r="J22" i="18"/>
  <c r="J31" i="18" s="1"/>
  <c r="AC8" i="18" s="1"/>
  <c r="E63" i="22" s="1"/>
  <c r="AC6" i="18"/>
  <c r="J28" i="18"/>
  <c r="J6" i="18"/>
  <c r="AC5" i="18"/>
  <c r="K22" i="18"/>
  <c r="K23" i="18" s="1"/>
  <c r="AC18" i="18"/>
  <c r="E73" i="22" s="1"/>
  <c r="K26" i="18"/>
  <c r="K28" i="18"/>
  <c r="AD6" i="18"/>
  <c r="AD5" i="18"/>
  <c r="M28" i="18"/>
  <c r="AF6" i="18"/>
  <c r="N11" i="18"/>
  <c r="N32" i="18"/>
  <c r="AG9" i="18" s="1"/>
  <c r="I64" i="22" s="1"/>
  <c r="L32" i="18"/>
  <c r="AE9" i="18" s="1"/>
  <c r="G64" i="22" s="1"/>
  <c r="L6" i="18"/>
  <c r="L23" i="18" s="1"/>
  <c r="AE5" i="18"/>
  <c r="AG6" i="18"/>
  <c r="M26" i="18"/>
  <c r="N6" i="18"/>
  <c r="AE18" i="18"/>
  <c r="G73" i="22" s="1"/>
  <c r="AE6" i="18"/>
  <c r="AG18" i="18"/>
  <c r="I73" i="22" s="1"/>
  <c r="AG5" i="18"/>
  <c r="L11" i="18"/>
  <c r="M32" i="18"/>
  <c r="AF9" i="18" s="1"/>
  <c r="H64" i="22" s="1"/>
  <c r="M6" i="18"/>
  <c r="M12" i="18" s="1"/>
  <c r="M29" i="18" s="1"/>
  <c r="AF18" i="18"/>
  <c r="H73" i="22" s="1"/>
  <c r="L31" i="18"/>
  <c r="AE8" i="18" s="1"/>
  <c r="G63" i="22" s="1"/>
  <c r="M31" i="18"/>
  <c r="AF8" i="18" s="1"/>
  <c r="H63" i="22" s="1"/>
  <c r="J7" i="18"/>
  <c r="N31" i="18"/>
  <c r="AG8" i="18" s="1"/>
  <c r="I63" i="22" s="1"/>
  <c r="L30" i="18"/>
  <c r="N30" i="18"/>
  <c r="K12" i="18"/>
  <c r="K29" i="18" s="1"/>
  <c r="J30" i="18" l="1"/>
  <c r="J39" i="18" s="1"/>
  <c r="E61" i="23"/>
  <c r="AD18" i="18"/>
  <c r="F73" i="22" s="1"/>
  <c r="E61" i="22"/>
  <c r="F61" i="22"/>
  <c r="F60" i="22"/>
  <c r="G60" i="22"/>
  <c r="I60" i="22"/>
  <c r="H61" i="22"/>
  <c r="E60" i="22"/>
  <c r="G61" i="22"/>
  <c r="I61" i="22"/>
  <c r="J23" i="18"/>
  <c r="J12" i="18"/>
  <c r="J29" i="18" s="1"/>
  <c r="AC7" i="18"/>
  <c r="E62" i="22" s="1"/>
  <c r="K7" i="18"/>
  <c r="K27" i="18" s="1"/>
  <c r="K31" i="18"/>
  <c r="AD8" i="18" s="1"/>
  <c r="F63" i="22" s="1"/>
  <c r="K30" i="18"/>
  <c r="AD7" i="18"/>
  <c r="F62" i="22" s="1"/>
  <c r="AF7" i="18"/>
  <c r="H62" i="22" s="1"/>
  <c r="M30" i="18"/>
  <c r="M39" i="18" s="1"/>
  <c r="M43" i="18" s="1"/>
  <c r="M44" i="18" s="1"/>
  <c r="AF16" i="18" s="1"/>
  <c r="H71" i="22" s="1"/>
  <c r="N12" i="18"/>
  <c r="N29" i="18" s="1"/>
  <c r="L7" i="18"/>
  <c r="L27" i="18" s="1"/>
  <c r="N23" i="18"/>
  <c r="L12" i="18"/>
  <c r="L29" i="18" s="1"/>
  <c r="AE7" i="18"/>
  <c r="G62" i="22" s="1"/>
  <c r="AG7" i="18"/>
  <c r="I62" i="22" s="1"/>
  <c r="M7" i="18"/>
  <c r="M27" i="18" s="1"/>
  <c r="N7" i="18"/>
  <c r="N27" i="18" s="1"/>
  <c r="M23" i="18"/>
  <c r="N39" i="18"/>
  <c r="AG15" i="18" s="1"/>
  <c r="L39" i="18"/>
  <c r="L43" i="18" s="1"/>
  <c r="L44" i="18" s="1"/>
  <c r="AE16" i="18" s="1"/>
  <c r="G71" i="22" s="1"/>
  <c r="K39" i="18" l="1"/>
  <c r="K40" i="18" s="1"/>
  <c r="AF15" i="18"/>
  <c r="AF17" i="18" s="1"/>
  <c r="M40" i="18"/>
  <c r="I70" i="22"/>
  <c r="N40" i="18"/>
  <c r="N43" i="18"/>
  <c r="N44" i="18" s="1"/>
  <c r="AG16" i="18" s="1"/>
  <c r="I71" i="22" s="1"/>
  <c r="AE15" i="18"/>
  <c r="L40" i="18"/>
  <c r="AC15" i="18"/>
  <c r="J43" i="18"/>
  <c r="J44" i="18" s="1"/>
  <c r="J40" i="18"/>
  <c r="AC16" i="18" l="1"/>
  <c r="E71" i="22" s="1"/>
  <c r="E62" i="23"/>
  <c r="K43" i="18"/>
  <c r="K44" i="18" s="1"/>
  <c r="AD16" i="18" s="1"/>
  <c r="F71" i="22" s="1"/>
  <c r="AD15" i="18"/>
  <c r="F70" i="22" s="1"/>
  <c r="AG17" i="18"/>
  <c r="AG22" i="18" s="1"/>
  <c r="H70" i="22"/>
  <c r="AE17" i="18"/>
  <c r="G70" i="22"/>
  <c r="E70" i="22"/>
  <c r="AF22" i="18"/>
  <c r="H72" i="22"/>
  <c r="AC17" i="18" l="1"/>
  <c r="AC22" i="18" s="1"/>
  <c r="AD17" i="18"/>
  <c r="F72" i="22" s="1"/>
  <c r="I72" i="22"/>
  <c r="AG28" i="18"/>
  <c r="I82" i="22" s="1"/>
  <c r="I77" i="22"/>
  <c r="AF28" i="18"/>
  <c r="H82" i="22" s="1"/>
  <c r="H77" i="22"/>
  <c r="AE22" i="18"/>
  <c r="G72" i="22"/>
  <c r="E72" i="22" l="1"/>
  <c r="AD22" i="18"/>
  <c r="AD28" i="18" s="1"/>
  <c r="F82" i="22" s="1"/>
  <c r="AC28" i="18"/>
  <c r="E82" i="22" s="1"/>
  <c r="E77" i="22"/>
  <c r="AE28" i="18"/>
  <c r="G82" i="22" s="1"/>
  <c r="G77" i="22"/>
  <c r="F77" i="22" l="1"/>
  <c r="AC30" i="18"/>
  <c r="AC32" i="18" l="1"/>
  <c r="E85" i="22"/>
  <c r="N6" i="4"/>
  <c r="O6" i="4"/>
  <c r="P6" i="4"/>
  <c r="Q6" i="4"/>
  <c r="R6" i="4"/>
  <c r="S6" i="4"/>
  <c r="M6" i="4"/>
  <c r="AC34" i="18" l="1"/>
  <c r="E87" i="22"/>
  <c r="V5" i="18" l="1"/>
  <c r="W5" i="18"/>
  <c r="AC37" i="18"/>
  <c r="E92" i="22" s="1"/>
  <c r="E89" i="22"/>
  <c r="W94" i="25" l="1"/>
  <c r="W109" i="25" s="1"/>
  <c r="V94" i="25"/>
  <c r="V109" i="25" s="1"/>
  <c r="K6" i="17"/>
  <c r="E24" i="4" s="1"/>
  <c r="L6" i="17"/>
  <c r="Y10" i="18" l="1"/>
  <c r="Y12" i="18"/>
  <c r="Y14" i="18"/>
  <c r="Y13" i="18"/>
  <c r="Y16" i="18"/>
  <c r="Y15" i="18"/>
  <c r="Y11" i="18"/>
  <c r="E26" i="4"/>
  <c r="Y6" i="18"/>
  <c r="Y7" i="18"/>
  <c r="Y9" i="18"/>
  <c r="Y8" i="18"/>
  <c r="V20" i="18"/>
  <c r="E45" i="22" s="1"/>
  <c r="E30" i="22"/>
  <c r="W20" i="18"/>
  <c r="F45" i="22" s="1"/>
  <c r="F30" i="22"/>
  <c r="F21" i="10"/>
  <c r="G21" i="10"/>
  <c r="H21" i="10"/>
  <c r="E21" i="10"/>
  <c r="F17" i="10"/>
  <c r="G17" i="10"/>
  <c r="H17" i="10"/>
  <c r="E17" i="10"/>
  <c r="E55" i="10"/>
  <c r="F55" i="10"/>
  <c r="G55" i="10"/>
  <c r="Y97" i="25" l="1"/>
  <c r="Y95" i="25"/>
  <c r="Y103" i="25"/>
  <c r="Y96" i="25"/>
  <c r="Y104" i="25"/>
  <c r="Y101" i="25"/>
  <c r="Y98" i="25"/>
  <c r="Y100" i="25"/>
  <c r="Y105" i="25"/>
  <c r="Y102" i="25"/>
  <c r="Y99" i="25"/>
  <c r="H34" i="22"/>
  <c r="H36" i="22"/>
  <c r="H39" i="22"/>
  <c r="H33" i="22"/>
  <c r="H31" i="22"/>
  <c r="H40" i="22"/>
  <c r="H37" i="22"/>
  <c r="H32" i="22"/>
  <c r="H41" i="22"/>
  <c r="H38" i="22"/>
  <c r="H35" i="22"/>
  <c r="E23" i="4"/>
  <c r="E22" i="4"/>
  <c r="E36" i="4"/>
  <c r="E18" i="4"/>
  <c r="E14" i="4"/>
  <c r="E12" i="4"/>
  <c r="E5" i="4"/>
  <c r="E37" i="4" l="1"/>
  <c r="W59" i="4"/>
  <c r="X24" i="18"/>
  <c r="E50" i="22" s="1"/>
  <c r="X25" i="18"/>
  <c r="E51" i="22" s="1"/>
  <c r="E15" i="4"/>
  <c r="E21" i="4" s="1"/>
  <c r="E38" i="4"/>
  <c r="E19" i="4" l="1"/>
  <c r="AA36" i="5"/>
  <c r="Z36" i="5"/>
  <c r="O70" i="25" s="1"/>
  <c r="Y36" i="5"/>
  <c r="N70" i="25" s="1"/>
  <c r="X36" i="5"/>
  <c r="M70" i="25" s="1"/>
  <c r="W36" i="5"/>
  <c r="V36" i="5"/>
  <c r="AA35" i="5"/>
  <c r="AA31" i="5" s="1"/>
  <c r="Z35" i="5"/>
  <c r="Z31" i="5" s="1"/>
  <c r="O68" i="25" s="1"/>
  <c r="Y35" i="5"/>
  <c r="Y31" i="5" s="1"/>
  <c r="N68" i="25" s="1"/>
  <c r="X35" i="5"/>
  <c r="X31" i="5" s="1"/>
  <c r="M68" i="25" s="1"/>
  <c r="W35" i="5"/>
  <c r="W31" i="5" s="1"/>
  <c r="L68" i="25" s="1"/>
  <c r="V35" i="5"/>
  <c r="V31" i="5" s="1"/>
  <c r="K68" i="25" s="1"/>
  <c r="L70" i="25" l="1"/>
  <c r="V32" i="5"/>
  <c r="W32" i="5" s="1"/>
  <c r="X32" i="5" s="1"/>
  <c r="Y32" i="5" s="1"/>
  <c r="Z32" i="5" s="1"/>
  <c r="AA32" i="5" s="1"/>
  <c r="K70" i="25"/>
  <c r="K69" i="25" s="1"/>
  <c r="M32" i="5"/>
  <c r="L32" i="5"/>
  <c r="J32" i="5"/>
  <c r="O32" i="5"/>
  <c r="K32" i="5"/>
  <c r="N32" i="5"/>
  <c r="O25" i="12"/>
  <c r="O23" i="12"/>
  <c r="N23" i="12"/>
  <c r="M23" i="12"/>
  <c r="L23" i="12"/>
  <c r="K23" i="12"/>
  <c r="O22" i="12"/>
  <c r="N22" i="12"/>
  <c r="M22" i="12"/>
  <c r="L22" i="12"/>
  <c r="K22" i="12"/>
  <c r="J22" i="14"/>
  <c r="I22" i="14"/>
  <c r="F27" i="24" s="1"/>
  <c r="H22" i="14"/>
  <c r="E27" i="24" s="1"/>
  <c r="F28" i="24" s="1"/>
  <c r="G22" i="14"/>
  <c r="D27" i="24" s="1"/>
  <c r="E28" i="24" s="1"/>
  <c r="F22" i="14"/>
  <c r="C27" i="24" s="1"/>
  <c r="H58" i="10"/>
  <c r="G58" i="10"/>
  <c r="F58" i="10"/>
  <c r="E58" i="10"/>
  <c r="H57" i="10"/>
  <c r="G57" i="10"/>
  <c r="F57" i="10"/>
  <c r="E57" i="10"/>
  <c r="H56" i="10"/>
  <c r="G56" i="10"/>
  <c r="F56" i="10"/>
  <c r="E56" i="10"/>
  <c r="H55" i="10"/>
  <c r="T9" i="6"/>
  <c r="S9" i="6"/>
  <c r="R9" i="6"/>
  <c r="I65" i="6"/>
  <c r="H65" i="6"/>
  <c r="G65" i="6"/>
  <c r="F65" i="6"/>
  <c r="E65" i="6"/>
  <c r="J64" i="6"/>
  <c r="J63" i="6"/>
  <c r="J62" i="6"/>
  <c r="F59" i="6"/>
  <c r="F58" i="6"/>
  <c r="F57" i="6"/>
  <c r="I53" i="6"/>
  <c r="H53" i="6"/>
  <c r="G53" i="6"/>
  <c r="F53" i="6"/>
  <c r="E53" i="6"/>
  <c r="J52" i="6"/>
  <c r="J51" i="6"/>
  <c r="J50" i="6"/>
  <c r="J49" i="6"/>
  <c r="J48" i="6"/>
  <c r="J47" i="6"/>
  <c r="J46" i="6"/>
  <c r="F43" i="6"/>
  <c r="F42" i="6"/>
  <c r="F41" i="6"/>
  <c r="F40" i="6"/>
  <c r="F39" i="6"/>
  <c r="F38" i="6"/>
  <c r="G2" i="1"/>
  <c r="C2" i="25" s="1"/>
  <c r="E41" i="4"/>
  <c r="E71" i="23" a="1"/>
  <c r="E71" i="23" l="1"/>
  <c r="E72" i="23" s="1"/>
  <c r="AL7" i="18" s="1"/>
  <c r="J2" i="14"/>
  <c r="G27" i="24"/>
  <c r="G28" i="24"/>
  <c r="D28" i="24"/>
  <c r="N12" i="25"/>
  <c r="L69" i="25"/>
  <c r="O12" i="25"/>
  <c r="M69" i="25"/>
  <c r="E29" i="23"/>
  <c r="G14" i="1"/>
  <c r="E27" i="23"/>
  <c r="O59" i="4"/>
  <c r="F2" i="14"/>
  <c r="G23" i="14"/>
  <c r="G2" i="14"/>
  <c r="H23" i="14"/>
  <c r="H2" i="14"/>
  <c r="I23" i="14"/>
  <c r="I2" i="14"/>
  <c r="J23" i="14"/>
  <c r="B6" i="24"/>
  <c r="C28" i="24" s="1"/>
  <c r="C5" i="18"/>
  <c r="AL4" i="18"/>
  <c r="D59" i="4"/>
  <c r="J65" i="6"/>
  <c r="K62" i="6" s="1"/>
  <c r="J53" i="6"/>
  <c r="L8" i="12"/>
  <c r="O24" i="12"/>
  <c r="I2" i="2"/>
  <c r="E22" i="14"/>
  <c r="F23" i="14" s="1"/>
  <c r="J54" i="6"/>
  <c r="K51" i="6" s="1"/>
  <c r="N69" i="25" l="1"/>
  <c r="P12" i="25"/>
  <c r="O67" i="25"/>
  <c r="AL6" i="18"/>
  <c r="AL8" i="18" s="1"/>
  <c r="K50" i="6"/>
  <c r="L50" i="6" s="1"/>
  <c r="K49" i="6"/>
  <c r="L49" i="6" s="1"/>
  <c r="K63" i="6"/>
  <c r="L63" i="6" s="1"/>
  <c r="K48" i="6"/>
  <c r="M48" i="6" s="1"/>
  <c r="K64" i="6"/>
  <c r="L64" i="6" s="1"/>
  <c r="G24" i="14"/>
  <c r="D29" i="24" s="1"/>
  <c r="F24" i="14"/>
  <c r="C29" i="24" s="1"/>
  <c r="L51" i="6"/>
  <c r="M51" i="6"/>
  <c r="M62" i="6"/>
  <c r="L62" i="6"/>
  <c r="L65" i="6" s="1"/>
  <c r="K46" i="6"/>
  <c r="K47" i="6"/>
  <c r="M49" i="6"/>
  <c r="M50" i="6"/>
  <c r="O69" i="25" l="1"/>
  <c r="R12" i="25" s="1"/>
  <c r="Q12" i="25"/>
  <c r="K65" i="6"/>
  <c r="M63" i="6"/>
  <c r="M64" i="6"/>
  <c r="L48" i="6"/>
  <c r="H24" i="14"/>
  <c r="E29" i="24" s="1"/>
  <c r="L47" i="6"/>
  <c r="M47" i="6"/>
  <c r="K53" i="6"/>
  <c r="L46" i="6"/>
  <c r="L53" i="6" s="1"/>
  <c r="M46" i="6"/>
  <c r="M65" i="6" l="1"/>
  <c r="M53" i="6"/>
  <c r="I24" i="14"/>
  <c r="F29" i="24" s="1"/>
  <c r="J24" i="14" l="1"/>
  <c r="G29" i="24" s="1"/>
  <c r="L51" i="8"/>
  <c r="L79" i="5"/>
  <c r="G28" i="6"/>
  <c r="H28" i="6"/>
  <c r="I28" i="6"/>
  <c r="F28" i="6"/>
  <c r="F6" i="12" l="1"/>
  <c r="G6" i="12"/>
  <c r="H6" i="12"/>
  <c r="I6" i="12"/>
  <c r="J6" i="12"/>
  <c r="E6" i="12"/>
  <c r="E17" i="12" l="1"/>
  <c r="E16" i="12"/>
  <c r="F16" i="12"/>
  <c r="G16" i="12"/>
  <c r="H16" i="12"/>
  <c r="I16" i="12"/>
  <c r="I27" i="12" l="1"/>
  <c r="J16" i="12"/>
  <c r="J18" i="6"/>
  <c r="AA26" i="25" s="1"/>
  <c r="J27" i="12" l="1"/>
  <c r="K16" i="12"/>
  <c r="J21" i="12"/>
  <c r="L16" i="12" l="1"/>
  <c r="K21" i="12"/>
  <c r="M16" i="12" l="1"/>
  <c r="L21" i="12"/>
  <c r="H47" i="10"/>
  <c r="H46" i="10"/>
  <c r="J19" i="6"/>
  <c r="AA27" i="25" l="1"/>
  <c r="U23" i="25" s="1"/>
  <c r="N16" i="12"/>
  <c r="M21" i="12"/>
  <c r="G47" i="14"/>
  <c r="G46" i="14"/>
  <c r="G44" i="14"/>
  <c r="G43" i="14"/>
  <c r="G42" i="14"/>
  <c r="G41" i="14"/>
  <c r="G40" i="14"/>
  <c r="G39" i="14"/>
  <c r="G38" i="14"/>
  <c r="G36" i="14"/>
  <c r="G35" i="14"/>
  <c r="G34" i="14"/>
  <c r="G33" i="14"/>
  <c r="G32" i="14"/>
  <c r="G31" i="14"/>
  <c r="G30" i="14"/>
  <c r="G29" i="14"/>
  <c r="J39" i="4"/>
  <c r="O7" i="12" s="1"/>
  <c r="J32" i="4"/>
  <c r="J27" i="4"/>
  <c r="U20" i="25" l="1"/>
  <c r="O16" i="12"/>
  <c r="O21" i="12" s="1"/>
  <c r="O20" i="12" s="1"/>
  <c r="N21" i="12"/>
  <c r="E40" i="9"/>
  <c r="G46" i="10"/>
  <c r="G47" i="10"/>
  <c r="F47" i="10"/>
  <c r="F46" i="10"/>
  <c r="D64" i="9"/>
  <c r="D63" i="9"/>
  <c r="D62" i="9"/>
  <c r="D61" i="9"/>
  <c r="D60" i="9"/>
  <c r="F64" i="9"/>
  <c r="F63" i="9"/>
  <c r="F62" i="9"/>
  <c r="F61" i="9"/>
  <c r="F60" i="9"/>
  <c r="D52" i="9"/>
  <c r="D51" i="9"/>
  <c r="D50" i="9"/>
  <c r="D49" i="9"/>
  <c r="D48" i="9"/>
  <c r="F52" i="9"/>
  <c r="F51" i="9"/>
  <c r="F50" i="9"/>
  <c r="F49" i="9"/>
  <c r="E60" i="9"/>
  <c r="G60" i="9"/>
  <c r="H60" i="9"/>
  <c r="I60" i="9"/>
  <c r="E61" i="9"/>
  <c r="G61" i="9"/>
  <c r="H61" i="9"/>
  <c r="I61" i="9"/>
  <c r="E62" i="9"/>
  <c r="G62" i="9"/>
  <c r="H62" i="9"/>
  <c r="I62" i="9"/>
  <c r="E63" i="9"/>
  <c r="G63" i="9"/>
  <c r="H63" i="9"/>
  <c r="I63" i="9"/>
  <c r="E64" i="9"/>
  <c r="G64" i="9"/>
  <c r="H64" i="9"/>
  <c r="I64" i="9"/>
  <c r="E49" i="9"/>
  <c r="G49" i="9"/>
  <c r="H49" i="9"/>
  <c r="E50" i="9"/>
  <c r="G50" i="9"/>
  <c r="H50" i="9"/>
  <c r="I50" i="9"/>
  <c r="E51" i="9"/>
  <c r="G51" i="9"/>
  <c r="H51" i="9"/>
  <c r="I51" i="9"/>
  <c r="E52" i="9"/>
  <c r="G52" i="9"/>
  <c r="H52" i="9"/>
  <c r="I52" i="9"/>
  <c r="F38" i="9"/>
  <c r="G38" i="9"/>
  <c r="H38" i="9"/>
  <c r="I38" i="9"/>
  <c r="F39" i="9"/>
  <c r="G39" i="9"/>
  <c r="H39" i="9"/>
  <c r="I39" i="9"/>
  <c r="F40" i="9"/>
  <c r="G40" i="9"/>
  <c r="H40" i="9"/>
  <c r="G40" i="4" s="1"/>
  <c r="I40" i="9"/>
  <c r="E39" i="9"/>
  <c r="E38" i="9"/>
  <c r="F81" i="5"/>
  <c r="G81" i="5"/>
  <c r="H81" i="5"/>
  <c r="I81" i="5"/>
  <c r="J81" i="5"/>
  <c r="K81" i="5"/>
  <c r="L81" i="5"/>
  <c r="M81" i="5"/>
  <c r="N81" i="5"/>
  <c r="O81" i="5"/>
  <c r="E81" i="5"/>
  <c r="J9" i="12" l="1"/>
  <c r="AA37" i="5" s="1"/>
  <c r="S46" i="10"/>
  <c r="J46" i="10" s="1"/>
  <c r="J61" i="18" s="1"/>
  <c r="S47" i="10"/>
  <c r="J47" i="10" s="1"/>
  <c r="J62" i="18" s="1"/>
  <c r="S48" i="10"/>
  <c r="J48" i="10" s="1"/>
  <c r="J63" i="18" s="1"/>
  <c r="O18" i="12"/>
  <c r="J36" i="4"/>
  <c r="I17" i="4"/>
  <c r="J18" i="4"/>
  <c r="J37" i="4" s="1"/>
  <c r="G37" i="4" s="1"/>
  <c r="I16" i="4"/>
  <c r="J14" i="4"/>
  <c r="J12" i="4"/>
  <c r="J5" i="4"/>
  <c r="J28" i="4" s="1"/>
  <c r="J34" i="4" s="1"/>
  <c r="F84" i="5"/>
  <c r="G84" i="5"/>
  <c r="E84" i="5"/>
  <c r="I3" i="8" l="1"/>
  <c r="O3" i="8"/>
  <c r="J33" i="4"/>
  <c r="J38" i="4"/>
  <c r="J15" i="4"/>
  <c r="J20" i="4" s="1"/>
  <c r="I17" i="12"/>
  <c r="G90" i="5"/>
  <c r="H90" i="5"/>
  <c r="F90" i="5"/>
  <c r="G89" i="5"/>
  <c r="H89" i="5"/>
  <c r="F89" i="5"/>
  <c r="F88" i="5"/>
  <c r="G88" i="5"/>
  <c r="H88" i="5"/>
  <c r="E88" i="5"/>
  <c r="F87" i="5"/>
  <c r="G87" i="5"/>
  <c r="H87" i="5"/>
  <c r="E87" i="5"/>
  <c r="F86" i="5"/>
  <c r="G86" i="5"/>
  <c r="H86" i="5"/>
  <c r="E86" i="5"/>
  <c r="F85" i="5"/>
  <c r="G85" i="5"/>
  <c r="E85" i="5"/>
  <c r="F83" i="5"/>
  <c r="G83" i="5"/>
  <c r="E83" i="5"/>
  <c r="F17" i="12"/>
  <c r="G17" i="12"/>
  <c r="H17" i="12"/>
  <c r="I18" i="12" l="1"/>
  <c r="E21" i="12"/>
  <c r="J19" i="4"/>
  <c r="J21" i="4"/>
  <c r="G18" i="12"/>
  <c r="H18" i="12"/>
  <c r="F18" i="12"/>
  <c r="G21" i="12" l="1"/>
  <c r="J35" i="4"/>
  <c r="F21" i="12"/>
  <c r="I30" i="12"/>
  <c r="P30" i="12" s="1"/>
  <c r="I28" i="12"/>
  <c r="P28" i="12" s="1"/>
  <c r="H48" i="14"/>
  <c r="H57" i="14" s="1"/>
  <c r="H45" i="14"/>
  <c r="H56" i="14" s="1"/>
  <c r="H37" i="14"/>
  <c r="H54" i="14" s="1"/>
  <c r="I31" i="4"/>
  <c r="I29" i="4"/>
  <c r="I13" i="4"/>
  <c r="I11" i="4"/>
  <c r="I10" i="4"/>
  <c r="I9" i="4"/>
  <c r="I8" i="4"/>
  <c r="I7" i="4"/>
  <c r="I6" i="4"/>
  <c r="I4" i="4"/>
  <c r="I3" i="4"/>
  <c r="I2" i="4"/>
  <c r="J28" i="12" l="1"/>
  <c r="J30" i="12"/>
  <c r="H55" i="14"/>
  <c r="O5" i="10"/>
  <c r="O6" i="10"/>
  <c r="O7" i="10"/>
  <c r="O10" i="10"/>
  <c r="O11" i="10"/>
  <c r="O7" i="8"/>
  <c r="O9" i="8"/>
  <c r="O30" i="5"/>
  <c r="O48" i="5"/>
  <c r="O49" i="5"/>
  <c r="H17" i="11"/>
  <c r="G17" i="11"/>
  <c r="F17" i="11"/>
  <c r="E17" i="11"/>
  <c r="K28" i="12" l="1"/>
  <c r="J24" i="12"/>
  <c r="J20" i="12" s="1"/>
  <c r="J25" i="12"/>
  <c r="K30" i="12"/>
  <c r="H58" i="14"/>
  <c r="P46" i="10"/>
  <c r="P47" i="10"/>
  <c r="P48" i="10"/>
  <c r="O47" i="10"/>
  <c r="O46" i="10"/>
  <c r="I68" i="11"/>
  <c r="I85" i="11" s="1"/>
  <c r="I84" i="11"/>
  <c r="I83" i="11"/>
  <c r="I76" i="11"/>
  <c r="I73" i="11"/>
  <c r="K24" i="6"/>
  <c r="K27" i="6"/>
  <c r="E48" i="14"/>
  <c r="E45" i="14"/>
  <c r="E37" i="14"/>
  <c r="J18" i="12" l="1"/>
  <c r="J17" i="12" s="1"/>
  <c r="E9" i="12"/>
  <c r="I77" i="11"/>
  <c r="L30" i="12"/>
  <c r="K25" i="12"/>
  <c r="L28" i="12"/>
  <c r="K24" i="12"/>
  <c r="K20" i="12" s="1"/>
  <c r="I87" i="11"/>
  <c r="E54" i="14"/>
  <c r="G37" i="14"/>
  <c r="E56" i="14"/>
  <c r="G45" i="14"/>
  <c r="E57" i="14"/>
  <c r="G48" i="14"/>
  <c r="I86" i="11"/>
  <c r="J2" i="3"/>
  <c r="O48" i="10"/>
  <c r="T48" i="10"/>
  <c r="T46" i="10"/>
  <c r="T47" i="10"/>
  <c r="H60" i="14"/>
  <c r="K18" i="12" l="1"/>
  <c r="F9" i="12"/>
  <c r="J3" i="8"/>
  <c r="V37" i="5"/>
  <c r="V33" i="5" s="1"/>
  <c r="K17" i="12"/>
  <c r="J27" i="18"/>
  <c r="G57" i="14"/>
  <c r="B43" i="24"/>
  <c r="G56" i="14"/>
  <c r="B42" i="24"/>
  <c r="G54" i="14"/>
  <c r="B41" i="24"/>
  <c r="M28" i="12"/>
  <c r="L24" i="12"/>
  <c r="L20" i="12" s="1"/>
  <c r="M30" i="12"/>
  <c r="L25" i="12"/>
  <c r="E74" i="5"/>
  <c r="E78" i="5"/>
  <c r="E68" i="5"/>
  <c r="E65" i="5"/>
  <c r="E64" i="5"/>
  <c r="E63" i="5"/>
  <c r="E49" i="5"/>
  <c r="E48" i="5"/>
  <c r="E47" i="5"/>
  <c r="E40" i="5"/>
  <c r="F40" i="5"/>
  <c r="E37" i="5"/>
  <c r="E31" i="5" s="1"/>
  <c r="E30" i="5"/>
  <c r="E29" i="5"/>
  <c r="E75" i="5" s="1"/>
  <c r="E4" i="5"/>
  <c r="F9" i="11"/>
  <c r="G9" i="11"/>
  <c r="H9" i="11"/>
  <c r="E9" i="11"/>
  <c r="E84" i="11"/>
  <c r="H85" i="11"/>
  <c r="F84" i="11"/>
  <c r="G84" i="11"/>
  <c r="H84" i="11"/>
  <c r="L18" i="12" l="1"/>
  <c r="G9" i="12"/>
  <c r="L17" i="12"/>
  <c r="W37" i="5"/>
  <c r="W33" i="5" s="1"/>
  <c r="K3" i="8"/>
  <c r="N25" i="12"/>
  <c r="M25" i="12"/>
  <c r="N24" i="12"/>
  <c r="N20" i="12" s="1"/>
  <c r="M24" i="12"/>
  <c r="M20" i="12" s="1"/>
  <c r="E76" i="5"/>
  <c r="E79" i="5"/>
  <c r="E5" i="8"/>
  <c r="E6" i="8"/>
  <c r="E4" i="8"/>
  <c r="E41" i="5"/>
  <c r="E77" i="5" s="1"/>
  <c r="H73" i="11"/>
  <c r="H77" i="11" s="1"/>
  <c r="E76" i="11"/>
  <c r="F73" i="11"/>
  <c r="G73" i="11"/>
  <c r="G77" i="11" s="1"/>
  <c r="E73" i="11"/>
  <c r="F85" i="11"/>
  <c r="G85" i="11"/>
  <c r="E85" i="11"/>
  <c r="E55" i="8"/>
  <c r="E37" i="8" s="1"/>
  <c r="E125" i="8"/>
  <c r="E49" i="8" s="1"/>
  <c r="E124" i="8"/>
  <c r="E38" i="8" s="1"/>
  <c r="E56" i="8"/>
  <c r="E47" i="8" s="1"/>
  <c r="H68" i="5"/>
  <c r="G68" i="5"/>
  <c r="F68" i="5"/>
  <c r="I11" i="6"/>
  <c r="X8" i="25" s="1"/>
  <c r="I25" i="4"/>
  <c r="I24" i="4"/>
  <c r="M18" i="12" l="1"/>
  <c r="H9" i="12"/>
  <c r="M17" i="12"/>
  <c r="N18" i="12"/>
  <c r="I9" i="12"/>
  <c r="X37" i="5"/>
  <c r="X33" i="5" s="1"/>
  <c r="L3" i="8"/>
  <c r="L9" i="12"/>
  <c r="E7" i="8"/>
  <c r="H87" i="11"/>
  <c r="E9" i="8"/>
  <c r="E51" i="8"/>
  <c r="G87" i="11"/>
  <c r="F86" i="11"/>
  <c r="I26" i="4"/>
  <c r="F21" i="4"/>
  <c r="F19" i="4" s="1"/>
  <c r="E67" i="5"/>
  <c r="E69" i="5" s="1"/>
  <c r="G86" i="11"/>
  <c r="E86" i="11"/>
  <c r="F77" i="11"/>
  <c r="F87" i="11" s="1"/>
  <c r="E87" i="11"/>
  <c r="H86" i="11"/>
  <c r="F8" i="9"/>
  <c r="G8" i="9"/>
  <c r="H8" i="9"/>
  <c r="I8" i="9"/>
  <c r="E8" i="9"/>
  <c r="F5" i="9"/>
  <c r="G5" i="9"/>
  <c r="H5" i="9"/>
  <c r="I5" i="9"/>
  <c r="E5" i="9"/>
  <c r="N3" i="8" l="1"/>
  <c r="Z37" i="5"/>
  <c r="N17" i="12"/>
  <c r="O17" i="12" s="1"/>
  <c r="Y37" i="5"/>
  <c r="Y33" i="5" s="1"/>
  <c r="Z33" i="5" s="1"/>
  <c r="AA33" i="5" s="1"/>
  <c r="M3" i="8"/>
  <c r="H45" i="9"/>
  <c r="G45" i="9"/>
  <c r="F45" i="9"/>
  <c r="O45" i="9" s="1"/>
  <c r="E45" i="9"/>
  <c r="E47" i="10"/>
  <c r="E46" i="10"/>
  <c r="H78" i="5"/>
  <c r="G78" i="5"/>
  <c r="F78" i="5"/>
  <c r="E4" i="10"/>
  <c r="E2" i="10"/>
  <c r="I16" i="8"/>
  <c r="I5" i="4"/>
  <c r="I14" i="4"/>
  <c r="I22" i="4"/>
  <c r="I23" i="4"/>
  <c r="I36" i="4"/>
  <c r="S78" i="5" l="1"/>
  <c r="J78" i="5" s="1"/>
  <c r="O6" i="8" s="1"/>
  <c r="Q45" i="9"/>
  <c r="N45" i="9"/>
  <c r="K45" i="9"/>
  <c r="P45" i="9"/>
  <c r="I12" i="4"/>
  <c r="F12" i="4"/>
  <c r="Q5" i="17" s="1"/>
  <c r="S45" i="9"/>
  <c r="R45" i="9"/>
  <c r="I37" i="4"/>
  <c r="H82" i="5"/>
  <c r="K82" i="5"/>
  <c r="O82" i="5"/>
  <c r="N82" i="5"/>
  <c r="M82" i="5"/>
  <c r="J82" i="5"/>
  <c r="I18" i="4"/>
  <c r="L82" i="5"/>
  <c r="I82" i="5"/>
  <c r="P78" i="5"/>
  <c r="O78" i="5"/>
  <c r="K78" i="5"/>
  <c r="Q78" i="5"/>
  <c r="N78" i="5"/>
  <c r="R78" i="5"/>
  <c r="T78" i="5"/>
  <c r="K46" i="10"/>
  <c r="N46" i="10"/>
  <c r="Q46" i="10"/>
  <c r="R46" i="10"/>
  <c r="K48" i="10"/>
  <c r="N48" i="10"/>
  <c r="Q48" i="10"/>
  <c r="R48" i="10"/>
  <c r="K47" i="10"/>
  <c r="N47" i="10"/>
  <c r="Q47" i="10"/>
  <c r="R47" i="10"/>
  <c r="E59" i="14"/>
  <c r="B44" i="24" s="1"/>
  <c r="H59" i="4"/>
  <c r="H57" i="4" s="1"/>
  <c r="G59" i="14" l="1"/>
  <c r="I38" i="4"/>
  <c r="I84" i="5"/>
  <c r="I85" i="5"/>
  <c r="H84" i="5"/>
  <c r="H85" i="5"/>
  <c r="H83" i="5"/>
  <c r="I59" i="4" s="1"/>
  <c r="I57" i="4" s="1"/>
  <c r="I19" i="4"/>
  <c r="I15" i="4"/>
  <c r="E61" i="14"/>
  <c r="F61" i="14" s="1"/>
  <c r="I21" i="4"/>
  <c r="I20" i="4"/>
  <c r="G61" i="14" l="1"/>
  <c r="G23" i="6" l="1"/>
  <c r="E11" i="9"/>
  <c r="E3" i="10" l="1"/>
  <c r="E5" i="10"/>
  <c r="E6" i="10"/>
  <c r="F41" i="10"/>
  <c r="G41" i="10"/>
  <c r="H41" i="10"/>
  <c r="H43" i="10" s="1"/>
  <c r="I41" i="10"/>
  <c r="I43" i="10" s="1"/>
  <c r="E41" i="10"/>
  <c r="E43" i="10" s="1"/>
  <c r="F33" i="10"/>
  <c r="G33" i="10"/>
  <c r="H33" i="10"/>
  <c r="I33" i="10"/>
  <c r="I42" i="10" s="1"/>
  <c r="E33" i="10"/>
  <c r="E42" i="10" s="1"/>
  <c r="F50" i="10" l="1"/>
  <c r="F43" i="10"/>
  <c r="F49" i="10"/>
  <c r="F42" i="10"/>
  <c r="G50" i="10"/>
  <c r="G43" i="10"/>
  <c r="G49" i="10"/>
  <c r="G42" i="10"/>
  <c r="H50" i="10"/>
  <c r="H49" i="10"/>
  <c r="H42" i="10"/>
  <c r="E49" i="10"/>
  <c r="E8" i="10" s="1"/>
  <c r="E50" i="10"/>
  <c r="E9" i="10" s="1"/>
  <c r="E7" i="10"/>
  <c r="E10" i="10"/>
  <c r="E11" i="10"/>
  <c r="O50" i="10" l="1"/>
  <c r="S49" i="10"/>
  <c r="J49" i="10" s="1"/>
  <c r="O8" i="10" s="1"/>
  <c r="P49" i="10"/>
  <c r="S50" i="10"/>
  <c r="J50" i="10" s="1"/>
  <c r="O9" i="10" s="1"/>
  <c r="O49" i="10"/>
  <c r="R49" i="10"/>
  <c r="P50" i="10"/>
  <c r="T50" i="10"/>
  <c r="T49" i="10"/>
  <c r="Q49" i="10"/>
  <c r="N49" i="10"/>
  <c r="K49" i="10"/>
  <c r="Q50" i="10"/>
  <c r="N50" i="10"/>
  <c r="K50" i="10"/>
  <c r="R50" i="10"/>
  <c r="F29" i="5"/>
  <c r="K9" i="25" s="1"/>
  <c r="K53" i="25" s="1"/>
  <c r="G29" i="5"/>
  <c r="L9" i="25" s="1"/>
  <c r="L53" i="25" s="1"/>
  <c r="H29" i="5"/>
  <c r="M9" i="25" s="1"/>
  <c r="M53" i="25" s="1"/>
  <c r="I29" i="5"/>
  <c r="I22" i="9"/>
  <c r="I24" i="9"/>
  <c r="I3" i="9"/>
  <c r="I7" i="9"/>
  <c r="I3" i="10"/>
  <c r="I2" i="10"/>
  <c r="H2" i="10"/>
  <c r="F9" i="9"/>
  <c r="G9" i="9"/>
  <c r="H9" i="9"/>
  <c r="E9" i="9"/>
  <c r="H25" i="6"/>
  <c r="H23" i="6"/>
  <c r="N3" i="12"/>
  <c r="M3" i="12"/>
  <c r="L3" i="12"/>
  <c r="K3" i="12" s="1"/>
  <c r="K2" i="12"/>
  <c r="I24" i="8"/>
  <c r="L60" i="25" l="1"/>
  <c r="N60" i="25"/>
  <c r="M60" i="25"/>
  <c r="K60" i="25"/>
  <c r="K46" i="25" s="1"/>
  <c r="I15" i="10"/>
  <c r="I4" i="9" s="1"/>
  <c r="I18" i="10"/>
  <c r="I13" i="10"/>
  <c r="Q23" i="6"/>
  <c r="O23" i="6"/>
  <c r="G24" i="8"/>
  <c r="H24" i="8"/>
  <c r="F24" i="8"/>
  <c r="I124" i="8"/>
  <c r="G125" i="8"/>
  <c r="H125" i="8"/>
  <c r="I125" i="8"/>
  <c r="I30" i="8" s="1"/>
  <c r="I44" i="8" s="1"/>
  <c r="F125" i="8"/>
  <c r="I55" i="8"/>
  <c r="G56" i="8"/>
  <c r="H56" i="8"/>
  <c r="I56" i="8"/>
  <c r="I27" i="8" s="1"/>
  <c r="I43" i="8" s="1"/>
  <c r="F56" i="8"/>
  <c r="J32" i="9"/>
  <c r="K32" i="9" s="1"/>
  <c r="J31" i="9"/>
  <c r="K31" i="9" s="1"/>
  <c r="L31" i="9" s="1"/>
  <c r="M31" i="9" s="1"/>
  <c r="N31" i="9" s="1"/>
  <c r="O31" i="9" s="1"/>
  <c r="J33" i="9"/>
  <c r="K33" i="9" s="1"/>
  <c r="L33" i="9" s="1"/>
  <c r="M33" i="9" s="1"/>
  <c r="N33" i="9" s="1"/>
  <c r="O33" i="9" s="1"/>
  <c r="J34" i="9"/>
  <c r="K34" i="9" s="1"/>
  <c r="L34" i="9" s="1"/>
  <c r="M34" i="9" s="1"/>
  <c r="N34" i="9" s="1"/>
  <c r="O34" i="9" s="1"/>
  <c r="J20" i="9"/>
  <c r="K20" i="9" s="1"/>
  <c r="L20" i="9" s="1"/>
  <c r="M20" i="9" s="1"/>
  <c r="N20" i="9" s="1"/>
  <c r="O20" i="9" s="1"/>
  <c r="F24" i="9"/>
  <c r="G24" i="9"/>
  <c r="H24" i="9"/>
  <c r="E24" i="9"/>
  <c r="F23" i="9"/>
  <c r="F48" i="9" s="1"/>
  <c r="G23" i="9"/>
  <c r="G48" i="9" s="1"/>
  <c r="H23" i="9"/>
  <c r="H48" i="9" s="1"/>
  <c r="E23" i="9"/>
  <c r="E48" i="9" s="1"/>
  <c r="F21" i="9"/>
  <c r="G21" i="9"/>
  <c r="H21" i="9"/>
  <c r="E21" i="9"/>
  <c r="F22" i="9"/>
  <c r="G22" i="9"/>
  <c r="H22" i="9"/>
  <c r="E22" i="9"/>
  <c r="H11" i="9"/>
  <c r="I11" i="9" s="1"/>
  <c r="F11" i="9"/>
  <c r="E7" i="9"/>
  <c r="F7" i="9"/>
  <c r="G7" i="9"/>
  <c r="H7" i="9"/>
  <c r="F6" i="9"/>
  <c r="G6" i="9"/>
  <c r="H6" i="9"/>
  <c r="E6" i="9"/>
  <c r="F4" i="9"/>
  <c r="G4" i="9"/>
  <c r="H4" i="9"/>
  <c r="E4" i="9"/>
  <c r="F3" i="9"/>
  <c r="G3" i="9"/>
  <c r="H3" i="9"/>
  <c r="E3" i="9"/>
  <c r="F2" i="9"/>
  <c r="G2" i="9"/>
  <c r="H2" i="9"/>
  <c r="E2" i="9"/>
  <c r="G4" i="10"/>
  <c r="H4" i="10"/>
  <c r="I4" i="10" s="1"/>
  <c r="F4" i="10"/>
  <c r="G3" i="10"/>
  <c r="H3" i="10"/>
  <c r="H6" i="10" s="1"/>
  <c r="I6" i="10" s="1"/>
  <c r="F3" i="10"/>
  <c r="G2" i="10"/>
  <c r="F2" i="10"/>
  <c r="F12" i="8"/>
  <c r="G9" i="10"/>
  <c r="H12" i="8"/>
  <c r="I12" i="8"/>
  <c r="E12" i="8"/>
  <c r="F11" i="8"/>
  <c r="G8" i="10"/>
  <c r="H11" i="8"/>
  <c r="E11" i="8"/>
  <c r="F27" i="8" l="1"/>
  <c r="F43" i="8" s="1"/>
  <c r="F47" i="8"/>
  <c r="H27" i="8"/>
  <c r="H43" i="8" s="1"/>
  <c r="H47" i="8"/>
  <c r="G27" i="8"/>
  <c r="G43" i="8" s="1"/>
  <c r="G47" i="8"/>
  <c r="O9" i="25"/>
  <c r="D9" i="25" s="1"/>
  <c r="P9" i="25"/>
  <c r="E9" i="25" s="1"/>
  <c r="R9" i="25"/>
  <c r="G9" i="25" s="1"/>
  <c r="N9" i="25"/>
  <c r="C9" i="25" s="1"/>
  <c r="Q9" i="25"/>
  <c r="F9" i="25" s="1"/>
  <c r="I21" i="10"/>
  <c r="I6" i="9"/>
  <c r="I17" i="10"/>
  <c r="I2" i="9"/>
  <c r="F30" i="8"/>
  <c r="F44" i="8" s="1"/>
  <c r="F49" i="8"/>
  <c r="G42" i="9"/>
  <c r="G10" i="9" s="1"/>
  <c r="H30" i="8"/>
  <c r="H44" i="8" s="1"/>
  <c r="H49" i="8"/>
  <c r="H9" i="8" s="1"/>
  <c r="I9" i="8" s="1"/>
  <c r="F42" i="9"/>
  <c r="F10" i="9" s="1"/>
  <c r="G30" i="8"/>
  <c r="G44" i="8" s="1"/>
  <c r="G49" i="8"/>
  <c r="G9" i="8" s="1"/>
  <c r="J20" i="6"/>
  <c r="L4" i="10"/>
  <c r="M4" i="10"/>
  <c r="K4" i="10"/>
  <c r="N4" i="10"/>
  <c r="J4" i="10"/>
  <c r="O4" i="10"/>
  <c r="H42" i="9"/>
  <c r="F48" i="8"/>
  <c r="E48" i="8"/>
  <c r="E42" i="9"/>
  <c r="E43" i="9"/>
  <c r="E12" i="9" s="1"/>
  <c r="E44" i="9"/>
  <c r="E13" i="9" s="1"/>
  <c r="E50" i="8"/>
  <c r="F50" i="8"/>
  <c r="F43" i="9"/>
  <c r="F44" i="9"/>
  <c r="G43" i="9"/>
  <c r="G44" i="9"/>
  <c r="H43" i="9"/>
  <c r="H12" i="9" s="1"/>
  <c r="I12" i="9" s="1"/>
  <c r="H44" i="9"/>
  <c r="G11" i="9"/>
  <c r="I45" i="9"/>
  <c r="J45" i="9" s="1"/>
  <c r="O11" i="9" s="1"/>
  <c r="G11" i="10"/>
  <c r="G10" i="10"/>
  <c r="G7" i="10"/>
  <c r="G5" i="10"/>
  <c r="I48" i="10"/>
  <c r="G6" i="10"/>
  <c r="I11" i="8"/>
  <c r="L32" i="9"/>
  <c r="M32" i="9" s="1"/>
  <c r="N32" i="9" s="1"/>
  <c r="O32" i="9" s="1"/>
  <c r="H11" i="10"/>
  <c r="I11" i="10" s="1"/>
  <c r="G12" i="8"/>
  <c r="H50" i="8" s="1"/>
  <c r="M37" i="4" s="1"/>
  <c r="G11" i="8"/>
  <c r="H48" i="8" s="1"/>
  <c r="G22" i="10"/>
  <c r="G44" i="10" s="1"/>
  <c r="H9" i="10"/>
  <c r="I9" i="10" s="1"/>
  <c r="H8" i="10"/>
  <c r="I8" i="10" s="1"/>
  <c r="E22" i="10"/>
  <c r="H22" i="10"/>
  <c r="F22" i="10"/>
  <c r="F44" i="10" s="1"/>
  <c r="F6" i="10"/>
  <c r="F10" i="10"/>
  <c r="H10" i="10"/>
  <c r="I10" i="10" s="1"/>
  <c r="G7" i="8"/>
  <c r="F7" i="8"/>
  <c r="G124" i="8"/>
  <c r="G38" i="8" s="1"/>
  <c r="H124" i="8"/>
  <c r="H38" i="8" s="1"/>
  <c r="F124" i="8"/>
  <c r="F38" i="8" s="1"/>
  <c r="G55" i="8"/>
  <c r="G37" i="8" s="1"/>
  <c r="H55" i="8"/>
  <c r="H37" i="8" s="1"/>
  <c r="F55" i="8"/>
  <c r="F37" i="8" s="1"/>
  <c r="P47" i="8" l="1"/>
  <c r="R47" i="8"/>
  <c r="S47" i="8"/>
  <c r="O47" i="8"/>
  <c r="N47" i="8"/>
  <c r="K47" i="8"/>
  <c r="Q47" i="8"/>
  <c r="AA28" i="25"/>
  <c r="I22" i="10"/>
  <c r="I23" i="10" s="1"/>
  <c r="H44" i="10"/>
  <c r="H53" i="10"/>
  <c r="E44" i="10"/>
  <c r="E53" i="10"/>
  <c r="G53" i="10"/>
  <c r="F53" i="10"/>
  <c r="J14" i="8"/>
  <c r="J39" i="8" s="1"/>
  <c r="O42" i="9"/>
  <c r="R49" i="8"/>
  <c r="S49" i="8"/>
  <c r="S51" i="8" s="1"/>
  <c r="H51" i="8"/>
  <c r="P49" i="8"/>
  <c r="G51" i="8"/>
  <c r="O49" i="8"/>
  <c r="F51" i="8"/>
  <c r="Q49" i="8"/>
  <c r="Q51" i="8" s="1"/>
  <c r="N49" i="8"/>
  <c r="K49" i="8"/>
  <c r="P42" i="9"/>
  <c r="H10" i="9"/>
  <c r="I10" i="9" s="1"/>
  <c r="R42" i="9"/>
  <c r="S42" i="9"/>
  <c r="G23" i="10"/>
  <c r="J16" i="10"/>
  <c r="K16" i="10" s="1"/>
  <c r="L16" i="10" s="1"/>
  <c r="M16" i="10" s="1"/>
  <c r="N16" i="10" s="1"/>
  <c r="O16" i="10" s="1"/>
  <c r="J19" i="10"/>
  <c r="J20" i="10"/>
  <c r="K20" i="10" s="1"/>
  <c r="L20" i="10" s="1"/>
  <c r="M20" i="10" s="1"/>
  <c r="N20" i="10" s="1"/>
  <c r="O20" i="10" s="1"/>
  <c r="J14" i="10"/>
  <c r="H13" i="9"/>
  <c r="I13" i="9" s="1"/>
  <c r="S44" i="9"/>
  <c r="R44" i="9"/>
  <c r="G13" i="9"/>
  <c r="P44" i="9"/>
  <c r="Q44" i="9"/>
  <c r="N44" i="9"/>
  <c r="K42" i="9"/>
  <c r="Q42" i="9"/>
  <c r="N42" i="9"/>
  <c r="O44" i="9"/>
  <c r="S43" i="9"/>
  <c r="R43" i="9"/>
  <c r="G12" i="9"/>
  <c r="P43" i="9"/>
  <c r="Q43" i="9"/>
  <c r="N43" i="9"/>
  <c r="O43" i="9"/>
  <c r="F10" i="8"/>
  <c r="F8" i="8"/>
  <c r="G50" i="8"/>
  <c r="O50" i="8" s="1"/>
  <c r="K43" i="9"/>
  <c r="E8" i="8"/>
  <c r="G48" i="8"/>
  <c r="N48" i="8" s="1"/>
  <c r="K44" i="9"/>
  <c r="E10" i="9"/>
  <c r="E10" i="8"/>
  <c r="F9" i="10"/>
  <c r="I50" i="10"/>
  <c r="I47" i="10"/>
  <c r="I46" i="10"/>
  <c r="I42" i="9"/>
  <c r="J42" i="9" s="1"/>
  <c r="O10" i="9" s="1"/>
  <c r="F8" i="10"/>
  <c r="I49" i="10"/>
  <c r="F12" i="9"/>
  <c r="I43" i="9"/>
  <c r="J43" i="9" s="1"/>
  <c r="O12" i="9" s="1"/>
  <c r="I44" i="9"/>
  <c r="J44" i="9" s="1"/>
  <c r="O13" i="9" s="1"/>
  <c r="H8" i="8"/>
  <c r="I8" i="8" s="1"/>
  <c r="H10" i="8"/>
  <c r="I10" i="8" s="1"/>
  <c r="H7" i="10"/>
  <c r="I7" i="10" s="1"/>
  <c r="H5" i="10"/>
  <c r="I5" i="10" s="1"/>
  <c r="F23" i="10"/>
  <c r="N11" i="9"/>
  <c r="H23" i="10"/>
  <c r="H7" i="8"/>
  <c r="I7" i="8" s="1"/>
  <c r="I47" i="8"/>
  <c r="F9" i="8"/>
  <c r="I49" i="8"/>
  <c r="F11" i="10"/>
  <c r="F5" i="10"/>
  <c r="K6" i="10"/>
  <c r="M6" i="10"/>
  <c r="L6" i="10"/>
  <c r="N6" i="10"/>
  <c r="J6" i="10"/>
  <c r="F13" i="9"/>
  <c r="F7" i="10"/>
  <c r="G65" i="5"/>
  <c r="G23" i="8" s="1"/>
  <c r="H65" i="5"/>
  <c r="H23" i="8" s="1"/>
  <c r="F65" i="5"/>
  <c r="F23" i="8" s="1"/>
  <c r="G64" i="5"/>
  <c r="G22" i="8" s="1"/>
  <c r="H64" i="5"/>
  <c r="H22" i="8" s="1"/>
  <c r="F64" i="5"/>
  <c r="F22" i="8" s="1"/>
  <c r="G63" i="5"/>
  <c r="H63" i="5"/>
  <c r="I63" i="5"/>
  <c r="F63" i="5"/>
  <c r="G6" i="8"/>
  <c r="H6" i="8"/>
  <c r="I6" i="8" s="1"/>
  <c r="F6" i="8"/>
  <c r="G74" i="5"/>
  <c r="H74" i="5"/>
  <c r="F74" i="5"/>
  <c r="G49" i="5"/>
  <c r="H49" i="5"/>
  <c r="I49" i="5"/>
  <c r="J49" i="5"/>
  <c r="J50" i="5" s="1"/>
  <c r="K49" i="5"/>
  <c r="L49" i="5"/>
  <c r="M49" i="5"/>
  <c r="N49" i="5"/>
  <c r="F49" i="5"/>
  <c r="G48" i="5"/>
  <c r="H48" i="5"/>
  <c r="I48" i="5"/>
  <c r="J48" i="5"/>
  <c r="J53" i="5" s="1"/>
  <c r="K48" i="5"/>
  <c r="L48" i="5"/>
  <c r="M48" i="5"/>
  <c r="N48" i="5"/>
  <c r="F48" i="5"/>
  <c r="G30" i="5"/>
  <c r="H30" i="5"/>
  <c r="I30" i="5"/>
  <c r="J30" i="5"/>
  <c r="K30" i="5"/>
  <c r="L30" i="5"/>
  <c r="M30" i="5"/>
  <c r="N30" i="5"/>
  <c r="F30" i="5"/>
  <c r="G47" i="5"/>
  <c r="H47" i="5"/>
  <c r="I47" i="5"/>
  <c r="I20" i="8" s="1"/>
  <c r="F47" i="5"/>
  <c r="G40" i="5"/>
  <c r="H40" i="5"/>
  <c r="I40" i="5"/>
  <c r="G37" i="5"/>
  <c r="H37" i="5"/>
  <c r="I37" i="5"/>
  <c r="F37" i="5"/>
  <c r="G18" i="8"/>
  <c r="H18" i="8"/>
  <c r="I18" i="8"/>
  <c r="G4" i="5"/>
  <c r="H4" i="5"/>
  <c r="I4" i="5"/>
  <c r="F4" i="5"/>
  <c r="G26" i="6"/>
  <c r="H26" i="6"/>
  <c r="F26" i="6"/>
  <c r="G25" i="6"/>
  <c r="H5" i="6"/>
  <c r="I5" i="6" s="1"/>
  <c r="F25" i="6"/>
  <c r="U29" i="25" s="1"/>
  <c r="G3" i="6"/>
  <c r="H3" i="6"/>
  <c r="I3" i="6" s="1"/>
  <c r="F23" i="6"/>
  <c r="R23" i="6" s="1"/>
  <c r="J23" i="6" s="1"/>
  <c r="G17" i="6"/>
  <c r="H17" i="6"/>
  <c r="F17" i="6"/>
  <c r="G13" i="6"/>
  <c r="W10" i="25" s="1"/>
  <c r="H13" i="6"/>
  <c r="F13" i="6"/>
  <c r="V10" i="25" s="1"/>
  <c r="F12" i="6"/>
  <c r="G12" i="6"/>
  <c r="W9" i="25" s="1"/>
  <c r="W26" i="25" s="1"/>
  <c r="H12" i="6"/>
  <c r="E12" i="6"/>
  <c r="I65" i="5"/>
  <c r="I23" i="8" s="1"/>
  <c r="I64" i="5"/>
  <c r="I22" i="8" s="1"/>
  <c r="P51" i="8" l="1"/>
  <c r="R51" i="8"/>
  <c r="H20" i="8"/>
  <c r="M22" i="25"/>
  <c r="M55" i="25" s="1"/>
  <c r="G20" i="8"/>
  <c r="L22" i="25"/>
  <c r="L55" i="25" s="1"/>
  <c r="F20" i="8"/>
  <c r="K22" i="25"/>
  <c r="K55" i="25" s="1"/>
  <c r="Q74" i="5"/>
  <c r="N74" i="5"/>
  <c r="G27" i="6"/>
  <c r="W14" i="25"/>
  <c r="V31" i="25" s="1"/>
  <c r="G22" i="6"/>
  <c r="V9" i="25"/>
  <c r="V26" i="25" s="1"/>
  <c r="W15" i="25"/>
  <c r="V28" i="25"/>
  <c r="F27" i="6"/>
  <c r="V14" i="25"/>
  <c r="U31" i="25" s="1"/>
  <c r="U38" i="25"/>
  <c r="U21" i="25" s="1"/>
  <c r="W38" i="25"/>
  <c r="F22" i="6"/>
  <c r="U26" i="25" s="1"/>
  <c r="U9" i="25"/>
  <c r="V15" i="25"/>
  <c r="U28" i="25"/>
  <c r="I53" i="10"/>
  <c r="I44" i="10"/>
  <c r="O51" i="8"/>
  <c r="K51" i="8"/>
  <c r="N51" i="8"/>
  <c r="F33" i="6"/>
  <c r="H33" i="6"/>
  <c r="G33" i="6"/>
  <c r="F24" i="6"/>
  <c r="F4" i="6" s="1"/>
  <c r="G24" i="6"/>
  <c r="G4" i="6" s="1"/>
  <c r="K14" i="10"/>
  <c r="K3" i="9" s="1"/>
  <c r="K19" i="10"/>
  <c r="K14" i="8"/>
  <c r="K39" i="8" s="1"/>
  <c r="R26" i="6"/>
  <c r="J26" i="6" s="1"/>
  <c r="O6" i="6" s="1"/>
  <c r="S74" i="5"/>
  <c r="O3" i="6"/>
  <c r="N3" i="6"/>
  <c r="R25" i="6"/>
  <c r="J25" i="6" s="1"/>
  <c r="O5" i="6" s="1"/>
  <c r="I51" i="8"/>
  <c r="J84" i="5"/>
  <c r="J2" i="5"/>
  <c r="J2" i="10"/>
  <c r="G10" i="8"/>
  <c r="G8" i="8"/>
  <c r="J5" i="9"/>
  <c r="J8" i="9"/>
  <c r="F21" i="8"/>
  <c r="G21" i="8"/>
  <c r="H21" i="8"/>
  <c r="I21" i="8"/>
  <c r="G4" i="8"/>
  <c r="P74" i="5"/>
  <c r="H4" i="8"/>
  <c r="I4" i="8" s="1"/>
  <c r="R74" i="5"/>
  <c r="T74" i="5"/>
  <c r="F4" i="8"/>
  <c r="O74" i="5"/>
  <c r="K74" i="5"/>
  <c r="F3" i="6"/>
  <c r="P23" i="6"/>
  <c r="N23" i="6"/>
  <c r="G6" i="6"/>
  <c r="O26" i="6"/>
  <c r="G7" i="6"/>
  <c r="F5" i="6"/>
  <c r="P25" i="6"/>
  <c r="N25" i="6"/>
  <c r="H6" i="6"/>
  <c r="I6" i="6" s="1"/>
  <c r="Q26" i="6"/>
  <c r="F6" i="6"/>
  <c r="P26" i="6"/>
  <c r="N26" i="6"/>
  <c r="I26" i="6"/>
  <c r="G2" i="6"/>
  <c r="F7" i="6"/>
  <c r="P27" i="6"/>
  <c r="G5" i="6"/>
  <c r="O25" i="6"/>
  <c r="Q25" i="6"/>
  <c r="K5" i="9"/>
  <c r="K50" i="8"/>
  <c r="P50" i="8"/>
  <c r="R48" i="8"/>
  <c r="N50" i="8"/>
  <c r="R50" i="8"/>
  <c r="K48" i="8"/>
  <c r="P48" i="8"/>
  <c r="O48" i="8"/>
  <c r="S48" i="8"/>
  <c r="Q48" i="8"/>
  <c r="Q50" i="8"/>
  <c r="S50" i="8"/>
  <c r="J3" i="9"/>
  <c r="K8" i="9"/>
  <c r="J7" i="9"/>
  <c r="L5" i="9"/>
  <c r="K9" i="10"/>
  <c r="M9" i="10"/>
  <c r="J9" i="10"/>
  <c r="L9" i="10"/>
  <c r="N9" i="10"/>
  <c r="K8" i="10"/>
  <c r="M8" i="10"/>
  <c r="L8" i="10"/>
  <c r="N8" i="10"/>
  <c r="J8" i="10"/>
  <c r="I48" i="8"/>
  <c r="O8" i="8" s="1"/>
  <c r="H22" i="6"/>
  <c r="I22" i="6" s="1"/>
  <c r="M5" i="10"/>
  <c r="M12" i="9"/>
  <c r="L12" i="9"/>
  <c r="M11" i="9"/>
  <c r="I41" i="5"/>
  <c r="I19" i="8" s="1"/>
  <c r="I31" i="5"/>
  <c r="H76" i="5"/>
  <c r="H31" i="5"/>
  <c r="G76" i="5"/>
  <c r="P76" i="5" s="1"/>
  <c r="G31" i="5"/>
  <c r="F76" i="5"/>
  <c r="F31" i="5"/>
  <c r="F75" i="5"/>
  <c r="F18" i="8"/>
  <c r="H75" i="5"/>
  <c r="H79" i="5" s="1"/>
  <c r="L11" i="9"/>
  <c r="J11" i="9"/>
  <c r="K11" i="9"/>
  <c r="I50" i="8"/>
  <c r="O10" i="8" s="1"/>
  <c r="I78" i="5"/>
  <c r="H27" i="6"/>
  <c r="O27" i="6" s="1"/>
  <c r="H24" i="6"/>
  <c r="I25" i="6"/>
  <c r="K7" i="8"/>
  <c r="M7" i="8"/>
  <c r="J7" i="8"/>
  <c r="L7" i="8"/>
  <c r="N7" i="8"/>
  <c r="L9" i="8"/>
  <c r="N9" i="8"/>
  <c r="K9" i="8"/>
  <c r="M9" i="8"/>
  <c r="J9" i="8"/>
  <c r="J30" i="8" s="1"/>
  <c r="J29" i="8" s="1"/>
  <c r="F41" i="5"/>
  <c r="F67" i="5" s="1"/>
  <c r="F69" i="5" s="1"/>
  <c r="H41" i="5"/>
  <c r="H19" i="8" s="1"/>
  <c r="G41" i="5"/>
  <c r="G75" i="5"/>
  <c r="L6" i="8"/>
  <c r="I74" i="5"/>
  <c r="F2" i="6"/>
  <c r="I23" i="6"/>
  <c r="K53" i="5"/>
  <c r="L53" i="5" s="1"/>
  <c r="M53" i="5" s="1"/>
  <c r="N53" i="5" s="1"/>
  <c r="O53" i="5" s="1"/>
  <c r="K7" i="10"/>
  <c r="M7" i="10"/>
  <c r="J7" i="10"/>
  <c r="L7" i="10"/>
  <c r="N7" i="10"/>
  <c r="K10" i="9"/>
  <c r="M10" i="9"/>
  <c r="J10" i="9"/>
  <c r="L10" i="9"/>
  <c r="N10" i="9"/>
  <c r="K5" i="10"/>
  <c r="J5" i="10"/>
  <c r="N5" i="10"/>
  <c r="K13" i="9"/>
  <c r="M13" i="9"/>
  <c r="J13" i="9"/>
  <c r="L13" i="9"/>
  <c r="N13" i="9"/>
  <c r="K10" i="10"/>
  <c r="M10" i="10"/>
  <c r="L10" i="10"/>
  <c r="N10" i="10"/>
  <c r="J10" i="10"/>
  <c r="K11" i="10"/>
  <c r="M11" i="10"/>
  <c r="J11" i="10"/>
  <c r="L11" i="10"/>
  <c r="N11" i="10"/>
  <c r="K50" i="5"/>
  <c r="L50" i="5" s="1"/>
  <c r="M50" i="5" s="1"/>
  <c r="J51" i="5"/>
  <c r="K51" i="5" s="1"/>
  <c r="L51" i="5" s="1"/>
  <c r="M51" i="5" s="1"/>
  <c r="N51" i="5" s="1"/>
  <c r="O51" i="5" s="1"/>
  <c r="J62" i="5"/>
  <c r="K62" i="5" s="1"/>
  <c r="L62" i="5" s="1"/>
  <c r="M62" i="5" s="1"/>
  <c r="N62" i="5" s="1"/>
  <c r="O62" i="5" s="1"/>
  <c r="J60" i="5"/>
  <c r="K60" i="5" s="1"/>
  <c r="L60" i="5" s="1"/>
  <c r="M60" i="5" s="1"/>
  <c r="N60" i="5" s="1"/>
  <c r="O60" i="5" s="1"/>
  <c r="J58" i="5"/>
  <c r="K58" i="5" s="1"/>
  <c r="L58" i="5" s="1"/>
  <c r="M58" i="5" s="1"/>
  <c r="N58" i="5" s="1"/>
  <c r="O58" i="5" s="1"/>
  <c r="J56" i="5"/>
  <c r="K56" i="5" s="1"/>
  <c r="L56" i="5" s="1"/>
  <c r="M56" i="5" s="1"/>
  <c r="N56" i="5" s="1"/>
  <c r="O56" i="5" s="1"/>
  <c r="J54" i="5"/>
  <c r="K54" i="5" s="1"/>
  <c r="L54" i="5" s="1"/>
  <c r="M54" i="5" s="1"/>
  <c r="N54" i="5" s="1"/>
  <c r="O54" i="5" s="1"/>
  <c r="J52" i="5"/>
  <c r="J61" i="5"/>
  <c r="K61" i="5" s="1"/>
  <c r="L61" i="5" s="1"/>
  <c r="M61" i="5" s="1"/>
  <c r="N61" i="5" s="1"/>
  <c r="O61" i="5" s="1"/>
  <c r="J59" i="5"/>
  <c r="K59" i="5" s="1"/>
  <c r="L59" i="5" s="1"/>
  <c r="M59" i="5" s="1"/>
  <c r="N59" i="5" s="1"/>
  <c r="O59" i="5" s="1"/>
  <c r="J57" i="5"/>
  <c r="K57" i="5" s="1"/>
  <c r="L57" i="5" s="1"/>
  <c r="M57" i="5" s="1"/>
  <c r="N57" i="5" s="1"/>
  <c r="O57" i="5" s="1"/>
  <c r="J55" i="5"/>
  <c r="P75" i="5" l="1"/>
  <c r="L62" i="25"/>
  <c r="N62" i="25"/>
  <c r="M62" i="25"/>
  <c r="K62" i="25"/>
  <c r="K48" i="25" s="1"/>
  <c r="N76" i="5"/>
  <c r="Q76" i="5"/>
  <c r="N75" i="5"/>
  <c r="Q75" i="5"/>
  <c r="N79" i="5"/>
  <c r="Q79" i="5"/>
  <c r="V35" i="25"/>
  <c r="X35" i="25"/>
  <c r="P22" i="6"/>
  <c r="U35" i="25"/>
  <c r="U18" i="25" s="1"/>
  <c r="W35" i="25"/>
  <c r="O24" i="6"/>
  <c r="M8" i="8"/>
  <c r="K8" i="8"/>
  <c r="L8" i="8"/>
  <c r="N8" i="8"/>
  <c r="J8" i="8"/>
  <c r="P24" i="6"/>
  <c r="N6" i="6"/>
  <c r="N5" i="6"/>
  <c r="J6" i="6"/>
  <c r="M6" i="6"/>
  <c r="L6" i="6"/>
  <c r="L5" i="6"/>
  <c r="K2" i="10"/>
  <c r="K13" i="10" s="1"/>
  <c r="K84" i="5"/>
  <c r="K27" i="8"/>
  <c r="K26" i="8" s="1"/>
  <c r="L14" i="8"/>
  <c r="L39" i="8" s="1"/>
  <c r="L19" i="10"/>
  <c r="K7" i="9"/>
  <c r="K2" i="5"/>
  <c r="L14" i="10"/>
  <c r="L3" i="9" s="1"/>
  <c r="J13" i="10"/>
  <c r="J2" i="9" s="1"/>
  <c r="J15" i="9" s="1"/>
  <c r="R22" i="6"/>
  <c r="J22" i="6" s="1"/>
  <c r="M2" i="6" s="1"/>
  <c r="S75" i="5"/>
  <c r="J75" i="5" s="1"/>
  <c r="O5" i="8" s="1"/>
  <c r="N22" i="6"/>
  <c r="M5" i="6"/>
  <c r="R27" i="6"/>
  <c r="J27" i="6" s="1"/>
  <c r="M7" i="6" s="1"/>
  <c r="S76" i="5"/>
  <c r="J76" i="5" s="1"/>
  <c r="G79" i="5"/>
  <c r="R24" i="6"/>
  <c r="J24" i="6" s="1"/>
  <c r="O4" i="6" s="1"/>
  <c r="F79" i="5"/>
  <c r="S79" i="5"/>
  <c r="J74" i="5"/>
  <c r="N4" i="8" s="1"/>
  <c r="J31" i="5"/>
  <c r="I27" i="6"/>
  <c r="K30" i="8"/>
  <c r="K29" i="8" s="1"/>
  <c r="J27" i="8"/>
  <c r="J26" i="8" s="1"/>
  <c r="I17" i="8"/>
  <c r="I25" i="8" s="1"/>
  <c r="L8" i="9"/>
  <c r="K55" i="5"/>
  <c r="K52" i="5"/>
  <c r="L52" i="5" s="1"/>
  <c r="F5" i="8"/>
  <c r="O75" i="5"/>
  <c r="O79" i="5" s="1"/>
  <c r="K75" i="5"/>
  <c r="K79" i="5" s="1"/>
  <c r="O76" i="5"/>
  <c r="K76" i="5"/>
  <c r="R76" i="5"/>
  <c r="T76" i="5"/>
  <c r="G5" i="8"/>
  <c r="P79" i="5"/>
  <c r="N24" i="6"/>
  <c r="H7" i="6"/>
  <c r="I7" i="6" s="1"/>
  <c r="Q27" i="6"/>
  <c r="N27" i="6"/>
  <c r="H4" i="6"/>
  <c r="I4" i="6" s="1"/>
  <c r="Q24" i="6"/>
  <c r="H2" i="6"/>
  <c r="I2" i="6" s="1"/>
  <c r="Q22" i="6"/>
  <c r="O22" i="6"/>
  <c r="H5" i="8"/>
  <c r="I5" i="8" s="1"/>
  <c r="T75" i="5"/>
  <c r="T79" i="5" s="1"/>
  <c r="R75" i="5"/>
  <c r="R79" i="5" s="1"/>
  <c r="I76" i="5"/>
  <c r="L5" i="10"/>
  <c r="M8" i="9"/>
  <c r="M5" i="9"/>
  <c r="H67" i="5"/>
  <c r="H69" i="5" s="1"/>
  <c r="N6" i="8"/>
  <c r="N12" i="9"/>
  <c r="J12" i="9"/>
  <c r="K12" i="9"/>
  <c r="I67" i="5"/>
  <c r="J6" i="8"/>
  <c r="J24" i="8" s="1"/>
  <c r="J66" i="5" s="1"/>
  <c r="M6" i="8"/>
  <c r="K6" i="6"/>
  <c r="I75" i="5"/>
  <c r="I79" i="5" s="1"/>
  <c r="G77" i="5"/>
  <c r="G19" i="8"/>
  <c r="F77" i="5"/>
  <c r="F19" i="8"/>
  <c r="H77" i="5"/>
  <c r="K10" i="8"/>
  <c r="N10" i="8"/>
  <c r="M10" i="8"/>
  <c r="L10" i="8"/>
  <c r="J10" i="8"/>
  <c r="K6" i="8"/>
  <c r="K24" i="8" s="1"/>
  <c r="K66" i="5" s="1"/>
  <c r="I24" i="6"/>
  <c r="K5" i="6"/>
  <c r="J5" i="6"/>
  <c r="G67" i="5"/>
  <c r="G69" i="5" s="1"/>
  <c r="K3" i="6"/>
  <c r="M3" i="6"/>
  <c r="L3" i="6"/>
  <c r="J3" i="6"/>
  <c r="J63" i="5"/>
  <c r="N50" i="5"/>
  <c r="P77" i="5" l="1"/>
  <c r="Q77" i="5"/>
  <c r="N77" i="5"/>
  <c r="J4" i="8"/>
  <c r="J15" i="8" s="1"/>
  <c r="J40" i="8" s="1"/>
  <c r="M4" i="8"/>
  <c r="K31" i="5"/>
  <c r="L31" i="5" s="1"/>
  <c r="M31" i="5" s="1"/>
  <c r="N31" i="5" s="1"/>
  <c r="O31" i="5" s="1"/>
  <c r="N11" i="25"/>
  <c r="K4" i="8"/>
  <c r="K15" i="8" s="1"/>
  <c r="J7" i="6"/>
  <c r="I16" i="6" s="1"/>
  <c r="K7" i="6"/>
  <c r="K2" i="6"/>
  <c r="J2" i="6"/>
  <c r="L2" i="6"/>
  <c r="L7" i="6"/>
  <c r="M14" i="8"/>
  <c r="M39" i="8" s="1"/>
  <c r="L84" i="5"/>
  <c r="L2" i="5"/>
  <c r="L27" i="8"/>
  <c r="L26" i="8" s="1"/>
  <c r="L2" i="10"/>
  <c r="L13" i="10" s="1"/>
  <c r="L30" i="8"/>
  <c r="L29" i="8" s="1"/>
  <c r="I32" i="8"/>
  <c r="I33" i="8" s="1"/>
  <c r="I34" i="8" s="1"/>
  <c r="I52" i="8"/>
  <c r="J33" i="10"/>
  <c r="J25" i="10" s="1"/>
  <c r="M19" i="10"/>
  <c r="L7" i="9"/>
  <c r="J3" i="5"/>
  <c r="J4" i="5" s="1"/>
  <c r="L24" i="8"/>
  <c r="L66" i="5" s="1"/>
  <c r="M14" i="10"/>
  <c r="M3" i="9" s="1"/>
  <c r="J79" i="5"/>
  <c r="O4" i="8"/>
  <c r="O7" i="6"/>
  <c r="N7" i="6"/>
  <c r="L4" i="8"/>
  <c r="L15" i="8" s="1"/>
  <c r="S77" i="5"/>
  <c r="J77" i="5" s="1"/>
  <c r="N2" i="6"/>
  <c r="O2" i="6"/>
  <c r="K33" i="10"/>
  <c r="K37" i="5"/>
  <c r="K40" i="5" s="1"/>
  <c r="K41" i="5" s="1"/>
  <c r="K19" i="8" s="1"/>
  <c r="J37" i="5"/>
  <c r="J40" i="5" s="1"/>
  <c r="J41" i="5" s="1"/>
  <c r="J19" i="8" s="1"/>
  <c r="I86" i="5"/>
  <c r="K63" i="5"/>
  <c r="K21" i="8" s="1"/>
  <c r="I87" i="5"/>
  <c r="L55" i="5"/>
  <c r="M52" i="5"/>
  <c r="J21" i="8"/>
  <c r="O77" i="5"/>
  <c r="K77" i="5"/>
  <c r="R77" i="5"/>
  <c r="T77" i="5"/>
  <c r="J14" i="6"/>
  <c r="O50" i="5"/>
  <c r="L5" i="8"/>
  <c r="L18" i="8" s="1"/>
  <c r="L29" i="5" s="1"/>
  <c r="L37" i="5"/>
  <c r="K2" i="9"/>
  <c r="K15" i="9" s="1"/>
  <c r="M5" i="8"/>
  <c r="N5" i="8"/>
  <c r="J5" i="8"/>
  <c r="J18" i="8" s="1"/>
  <c r="J29" i="5" s="1"/>
  <c r="K5" i="8"/>
  <c r="K18" i="8" s="1"/>
  <c r="K29" i="5" s="1"/>
  <c r="I77" i="5"/>
  <c r="L4" i="6"/>
  <c r="K4" i="6"/>
  <c r="J4" i="6"/>
  <c r="I10" i="6" s="1"/>
  <c r="X7" i="25" s="1"/>
  <c r="M4" i="6"/>
  <c r="N4" i="6"/>
  <c r="J3" i="10"/>
  <c r="J18" i="10" s="1"/>
  <c r="J6" i="9" s="1"/>
  <c r="J28" i="9" s="1"/>
  <c r="J16" i="8"/>
  <c r="N6" i="25" l="1"/>
  <c r="I23" i="9"/>
  <c r="X13" i="25"/>
  <c r="K40" i="8"/>
  <c r="O6" i="25"/>
  <c r="N14" i="25"/>
  <c r="N17" i="25" s="1"/>
  <c r="N20" i="25" s="1"/>
  <c r="N21" i="25" s="1"/>
  <c r="O11" i="25"/>
  <c r="L40" i="8"/>
  <c r="P6" i="25"/>
  <c r="N7" i="25"/>
  <c r="C6" i="25"/>
  <c r="C7" i="25" s="1"/>
  <c r="Y45" i="25"/>
  <c r="Y46" i="25" s="1"/>
  <c r="Y47" i="25"/>
  <c r="Y48" i="25" s="1"/>
  <c r="J21" i="10"/>
  <c r="J41" i="10"/>
  <c r="J34" i="10" s="1"/>
  <c r="K3" i="10"/>
  <c r="K3" i="5"/>
  <c r="K4" i="5" s="1"/>
  <c r="K16" i="8"/>
  <c r="I17" i="6"/>
  <c r="X14" i="25" s="1"/>
  <c r="W31" i="25" s="1"/>
  <c r="I35" i="8"/>
  <c r="I36" i="8" s="1"/>
  <c r="M30" i="8"/>
  <c r="M29" i="8" s="1"/>
  <c r="M27" i="8"/>
  <c r="M26" i="8" s="1"/>
  <c r="M18" i="8"/>
  <c r="M29" i="5" s="1"/>
  <c r="M2" i="10"/>
  <c r="M84" i="5"/>
  <c r="N14" i="8"/>
  <c r="N39" i="8" s="1"/>
  <c r="M15" i="8"/>
  <c r="M24" i="8"/>
  <c r="M66" i="5" s="1"/>
  <c r="M2" i="5"/>
  <c r="J15" i="6"/>
  <c r="J65" i="5" s="1"/>
  <c r="J23" i="8" s="1"/>
  <c r="J30" i="9"/>
  <c r="J29" i="9" s="1"/>
  <c r="J29" i="10"/>
  <c r="J11" i="8"/>
  <c r="J28" i="8" s="1"/>
  <c r="J43" i="8" s="1"/>
  <c r="J28" i="10"/>
  <c r="J31" i="10"/>
  <c r="J30" i="10"/>
  <c r="J27" i="10"/>
  <c r="J32" i="10"/>
  <c r="J26" i="10"/>
  <c r="L3" i="5"/>
  <c r="L4" i="5" s="1"/>
  <c r="N19" i="10"/>
  <c r="M7" i="9"/>
  <c r="N14" i="10"/>
  <c r="N3" i="9" s="1"/>
  <c r="I48" i="9"/>
  <c r="L3" i="10"/>
  <c r="L16" i="8"/>
  <c r="L33" i="10"/>
  <c r="L29" i="10" s="1"/>
  <c r="L2" i="9"/>
  <c r="L15" i="9" s="1"/>
  <c r="J16" i="6"/>
  <c r="K14" i="6" s="1"/>
  <c r="J24" i="9"/>
  <c r="J15" i="10"/>
  <c r="K26" i="10"/>
  <c r="K28" i="10"/>
  <c r="K30" i="10"/>
  <c r="K32" i="10"/>
  <c r="K25" i="10"/>
  <c r="K27" i="10"/>
  <c r="K29" i="10"/>
  <c r="K31" i="10"/>
  <c r="N52" i="5"/>
  <c r="M55" i="5"/>
  <c r="M63" i="5" s="1"/>
  <c r="L63" i="5"/>
  <c r="I13" i="6"/>
  <c r="I12" i="6"/>
  <c r="I21" i="9"/>
  <c r="I19" i="9" s="1"/>
  <c r="N5" i="9"/>
  <c r="O5" i="9"/>
  <c r="N8" i="9"/>
  <c r="O8" i="9"/>
  <c r="K11" i="8"/>
  <c r="K28" i="8" s="1"/>
  <c r="K47" i="5"/>
  <c r="K20" i="8" s="1"/>
  <c r="M37" i="5"/>
  <c r="L40" i="5"/>
  <c r="L41" i="5" s="1"/>
  <c r="U40" i="25" l="1"/>
  <c r="V40" i="25"/>
  <c r="X40" i="25"/>
  <c r="W40" i="25"/>
  <c r="I33" i="6"/>
  <c r="X10" i="25"/>
  <c r="Y11" i="25"/>
  <c r="Y12" i="25" s="1"/>
  <c r="N38" i="25" s="1"/>
  <c r="C14" i="25" s="1"/>
  <c r="J8" i="6"/>
  <c r="J32" i="6" s="1"/>
  <c r="X9" i="25"/>
  <c r="Y5" i="25" s="1"/>
  <c r="Y49" i="25"/>
  <c r="Y50" i="25" s="1"/>
  <c r="C21" i="25" s="1"/>
  <c r="E6" i="25"/>
  <c r="E7" i="25" s="1"/>
  <c r="P7" i="25"/>
  <c r="AA45" i="25"/>
  <c r="AA46" i="25" s="1"/>
  <c r="AA47" i="25"/>
  <c r="AA48" i="25" s="1"/>
  <c r="P11" i="25"/>
  <c r="O14" i="25"/>
  <c r="O17" i="25" s="1"/>
  <c r="O20" i="25" s="1"/>
  <c r="O21" i="25" s="1"/>
  <c r="C10" i="25"/>
  <c r="N22" i="25"/>
  <c r="C11" i="25" s="1"/>
  <c r="D6" i="25"/>
  <c r="D7" i="25" s="1"/>
  <c r="O7" i="25"/>
  <c r="Z47" i="25"/>
  <c r="Z48" i="25" s="1"/>
  <c r="Z45" i="25"/>
  <c r="Z46" i="25" s="1"/>
  <c r="M40" i="8"/>
  <c r="Q6" i="25"/>
  <c r="E17" i="14"/>
  <c r="J12" i="8"/>
  <c r="J31" i="8" s="1"/>
  <c r="J43" i="10" s="1"/>
  <c r="J40" i="10"/>
  <c r="J35" i="10"/>
  <c r="J37" i="10"/>
  <c r="J36" i="10"/>
  <c r="J38" i="10"/>
  <c r="L15" i="10"/>
  <c r="L4" i="9" s="1"/>
  <c r="L16" i="9" s="1"/>
  <c r="L17" i="9" s="1"/>
  <c r="L18" i="10"/>
  <c r="K15" i="10"/>
  <c r="K17" i="10" s="1"/>
  <c r="K18" i="10"/>
  <c r="J39" i="10"/>
  <c r="M3" i="10"/>
  <c r="J17" i="6"/>
  <c r="J23" i="9"/>
  <c r="E13" i="14" s="1"/>
  <c r="M16" i="8"/>
  <c r="M3" i="5"/>
  <c r="M4" i="5" s="1"/>
  <c r="M13" i="10"/>
  <c r="M33" i="10" s="1"/>
  <c r="O14" i="8"/>
  <c r="N2" i="10"/>
  <c r="N13" i="10" s="1"/>
  <c r="N24" i="8"/>
  <c r="N66" i="5" s="1"/>
  <c r="N2" i="5"/>
  <c r="N15" i="8"/>
  <c r="N84" i="5"/>
  <c r="N18" i="8"/>
  <c r="N29" i="5" s="1"/>
  <c r="N27" i="8"/>
  <c r="N26" i="8" s="1"/>
  <c r="N30" i="8"/>
  <c r="N29" i="8" s="1"/>
  <c r="K15" i="6"/>
  <c r="K65" i="5" s="1"/>
  <c r="K23" i="8" s="1"/>
  <c r="J42" i="10"/>
  <c r="J17" i="10"/>
  <c r="I88" i="5"/>
  <c r="I53" i="8"/>
  <c r="O19" i="10"/>
  <c r="O7" i="9" s="1"/>
  <c r="N7" i="9"/>
  <c r="I49" i="9"/>
  <c r="O14" i="10"/>
  <c r="O3" i="9" s="1"/>
  <c r="L25" i="10"/>
  <c r="L11" i="8"/>
  <c r="L28" i="8" s="1"/>
  <c r="L43" i="8" s="1"/>
  <c r="L27" i="10"/>
  <c r="L32" i="10"/>
  <c r="L30" i="10"/>
  <c r="L28" i="10"/>
  <c r="L26" i="10"/>
  <c r="L31" i="10"/>
  <c r="I89" i="5"/>
  <c r="I90" i="5"/>
  <c r="I9" i="9"/>
  <c r="I83" i="5"/>
  <c r="J10" i="6"/>
  <c r="J28" i="6"/>
  <c r="J4" i="9"/>
  <c r="J16" i="9" s="1"/>
  <c r="J17" i="9" s="1"/>
  <c r="J39" i="9" s="1"/>
  <c r="K24" i="9"/>
  <c r="K16" i="6"/>
  <c r="L14" i="6" s="1"/>
  <c r="K43" i="8"/>
  <c r="K42" i="10"/>
  <c r="M21" i="8"/>
  <c r="O52" i="5"/>
  <c r="L21" i="8"/>
  <c r="N55" i="5"/>
  <c r="N63" i="5" s="1"/>
  <c r="N37" i="5"/>
  <c r="N40" i="5" s="1"/>
  <c r="N41" i="5" s="1"/>
  <c r="O37" i="5"/>
  <c r="O40" i="5" s="1"/>
  <c r="O41" i="5" s="1"/>
  <c r="J47" i="5"/>
  <c r="L19" i="8"/>
  <c r="L47" i="5"/>
  <c r="L20" i="8" s="1"/>
  <c r="M40" i="5"/>
  <c r="M41" i="5" s="1"/>
  <c r="W28" i="25" l="1"/>
  <c r="X15" i="25"/>
  <c r="Y8" i="25"/>
  <c r="Y6" i="25"/>
  <c r="N37" i="25" s="1"/>
  <c r="C13" i="25" s="1"/>
  <c r="C8" i="25" s="1"/>
  <c r="C16" i="25" s="1"/>
  <c r="C20" i="25"/>
  <c r="Y7" i="25"/>
  <c r="Y13" i="25"/>
  <c r="J11" i="6"/>
  <c r="J12" i="6" s="1"/>
  <c r="K8" i="6" s="1"/>
  <c r="J9" i="6"/>
  <c r="J64" i="5" s="1"/>
  <c r="J22" i="8" s="1"/>
  <c r="J22" i="9"/>
  <c r="Z49" i="25"/>
  <c r="Z50" i="25" s="1"/>
  <c r="D21" i="25" s="1"/>
  <c r="N8" i="25"/>
  <c r="N40" i="25" s="1"/>
  <c r="F6" i="25"/>
  <c r="F7" i="25" s="1"/>
  <c r="Q7" i="25"/>
  <c r="AB45" i="25"/>
  <c r="AB46" i="25" s="1"/>
  <c r="AB47" i="25"/>
  <c r="AB48" i="25" s="1"/>
  <c r="O22" i="25"/>
  <c r="D11" i="25" s="1"/>
  <c r="D10" i="25"/>
  <c r="P14" i="25"/>
  <c r="P17" i="25" s="1"/>
  <c r="P20" i="25" s="1"/>
  <c r="P21" i="25" s="1"/>
  <c r="Q11" i="25"/>
  <c r="AA49" i="25"/>
  <c r="AA50" i="25" s="1"/>
  <c r="E21" i="25" s="1"/>
  <c r="N40" i="8"/>
  <c r="R6" i="25"/>
  <c r="J44" i="8"/>
  <c r="K4" i="9"/>
  <c r="K16" i="9" s="1"/>
  <c r="K17" i="9" s="1"/>
  <c r="L17" i="10"/>
  <c r="K41" i="10"/>
  <c r="K6" i="9"/>
  <c r="K21" i="10"/>
  <c r="L6" i="9"/>
  <c r="L41" i="10"/>
  <c r="L21" i="10"/>
  <c r="F16" i="14"/>
  <c r="M15" i="10"/>
  <c r="M4" i="9" s="1"/>
  <c r="M16" i="9" s="1"/>
  <c r="M18" i="10"/>
  <c r="J22" i="10"/>
  <c r="J44" i="10" s="1"/>
  <c r="N3" i="10"/>
  <c r="N18" i="10" s="1"/>
  <c r="N21" i="10" s="1"/>
  <c r="O30" i="8"/>
  <c r="O29" i="8" s="1"/>
  <c r="O39" i="8"/>
  <c r="M2" i="9"/>
  <c r="M15" i="9" s="1"/>
  <c r="O24" i="8"/>
  <c r="O66" i="5" s="1"/>
  <c r="O15" i="8"/>
  <c r="O40" i="8" s="1"/>
  <c r="O2" i="10"/>
  <c r="O13" i="10" s="1"/>
  <c r="O84" i="5"/>
  <c r="O2" i="5"/>
  <c r="O27" i="8"/>
  <c r="O26" i="8" s="1"/>
  <c r="O18" i="8"/>
  <c r="O17" i="8" s="1"/>
  <c r="O41" i="8" s="1"/>
  <c r="N16" i="8"/>
  <c r="N3" i="5"/>
  <c r="N4" i="5" s="1"/>
  <c r="E16" i="14"/>
  <c r="E18" i="14" s="1"/>
  <c r="J13" i="6"/>
  <c r="J33" i="6" s="1"/>
  <c r="L16" i="6"/>
  <c r="L17" i="6" s="1"/>
  <c r="L42" i="10"/>
  <c r="K17" i="6"/>
  <c r="L24" i="9"/>
  <c r="L15" i="6"/>
  <c r="L65" i="5" s="1"/>
  <c r="L23" i="8" s="1"/>
  <c r="K23" i="9"/>
  <c r="J21" i="9"/>
  <c r="J19" i="9" s="1"/>
  <c r="N33" i="10"/>
  <c r="N11" i="8" s="1"/>
  <c r="N28" i="8" s="1"/>
  <c r="M26" i="10"/>
  <c r="M28" i="10"/>
  <c r="M30" i="10"/>
  <c r="M32" i="10"/>
  <c r="M25" i="10"/>
  <c r="M27" i="10"/>
  <c r="M29" i="10"/>
  <c r="M31" i="10"/>
  <c r="N21" i="8"/>
  <c r="O55" i="5"/>
  <c r="J20" i="8"/>
  <c r="J17" i="8" s="1"/>
  <c r="J67" i="5"/>
  <c r="O47" i="5"/>
  <c r="O20" i="8" s="1"/>
  <c r="O19" i="8"/>
  <c r="M11" i="8"/>
  <c r="M28" i="8" s="1"/>
  <c r="N2" i="9"/>
  <c r="N19" i="8"/>
  <c r="N47" i="5"/>
  <c r="N20" i="8" s="1"/>
  <c r="M19" i="8"/>
  <c r="M47" i="5"/>
  <c r="M20" i="8" s="1"/>
  <c r="J41" i="8" l="1"/>
  <c r="J25" i="8"/>
  <c r="J86" i="5"/>
  <c r="V37" i="25"/>
  <c r="U37" i="25"/>
  <c r="Y10" i="25"/>
  <c r="Y9" i="25"/>
  <c r="Z5" i="25" s="1"/>
  <c r="Z8" i="25" s="1"/>
  <c r="Y14" i="25"/>
  <c r="Z11" i="25"/>
  <c r="Z12" i="25" s="1"/>
  <c r="O38" i="25" s="1"/>
  <c r="D14" i="25" s="1"/>
  <c r="X37" i="25"/>
  <c r="W37" i="25"/>
  <c r="P22" i="25"/>
  <c r="E11" i="25" s="1"/>
  <c r="E10" i="25"/>
  <c r="Q14" i="25"/>
  <c r="Q17" i="25" s="1"/>
  <c r="Q20" i="25" s="1"/>
  <c r="Q21" i="25" s="1"/>
  <c r="R11" i="25"/>
  <c r="R14" i="25" s="1"/>
  <c r="R17" i="25" s="1"/>
  <c r="R20" i="25" s="1"/>
  <c r="R21" i="25" s="1"/>
  <c r="G6" i="25"/>
  <c r="G7" i="25" s="1"/>
  <c r="R7" i="25"/>
  <c r="AC45" i="25"/>
  <c r="AC46" i="25" s="1"/>
  <c r="AC47" i="25"/>
  <c r="AC48" i="25" s="1"/>
  <c r="AB49" i="25"/>
  <c r="AB50" i="25" s="1"/>
  <c r="F21" i="25" s="1"/>
  <c r="M17" i="9"/>
  <c r="M17" i="10"/>
  <c r="H16" i="14" s="1"/>
  <c r="G16" i="14"/>
  <c r="G17" i="14"/>
  <c r="L22" i="10"/>
  <c r="L35" i="10"/>
  <c r="L40" i="10"/>
  <c r="L12" i="8"/>
  <c r="L31" i="8" s="1"/>
  <c r="L37" i="10"/>
  <c r="L39" i="10"/>
  <c r="L38" i="10"/>
  <c r="L34" i="10"/>
  <c r="L36" i="10"/>
  <c r="K22" i="10"/>
  <c r="F17" i="14"/>
  <c r="F18" i="14" s="1"/>
  <c r="F19" i="14" s="1"/>
  <c r="L28" i="9"/>
  <c r="L39" i="9" s="1"/>
  <c r="L30" i="9"/>
  <c r="N15" i="10"/>
  <c r="N17" i="10" s="1"/>
  <c r="N22" i="10" s="1"/>
  <c r="N44" i="10" s="1"/>
  <c r="M41" i="10"/>
  <c r="M6" i="9"/>
  <c r="M21" i="10"/>
  <c r="K30" i="9"/>
  <c r="K28" i="9"/>
  <c r="K39" i="9" s="1"/>
  <c r="K39" i="10"/>
  <c r="K38" i="10"/>
  <c r="K12" i="8"/>
  <c r="K31" i="8" s="1"/>
  <c r="K35" i="10"/>
  <c r="K34" i="10"/>
  <c r="K40" i="10"/>
  <c r="K37" i="10"/>
  <c r="K36" i="10"/>
  <c r="J23" i="10"/>
  <c r="N41" i="10"/>
  <c r="N38" i="10" s="1"/>
  <c r="N6" i="9"/>
  <c r="N28" i="9" s="1"/>
  <c r="O3" i="10"/>
  <c r="O16" i="8"/>
  <c r="O25" i="8" s="1"/>
  <c r="O86" i="5"/>
  <c r="O3" i="5"/>
  <c r="O4" i="5" s="1"/>
  <c r="O29" i="5"/>
  <c r="K28" i="6"/>
  <c r="K32" i="6"/>
  <c r="L23" i="9"/>
  <c r="G13" i="14" s="1"/>
  <c r="M14" i="6"/>
  <c r="E12" i="14"/>
  <c r="E14" i="14" s="1"/>
  <c r="F13" i="14"/>
  <c r="K9" i="6"/>
  <c r="K64" i="5" s="1"/>
  <c r="K22" i="8" s="1"/>
  <c r="K17" i="8" s="1"/>
  <c r="K41" i="8" s="1"/>
  <c r="K10" i="6"/>
  <c r="K11" i="6"/>
  <c r="K22" i="9"/>
  <c r="O33" i="10"/>
  <c r="M43" i="8"/>
  <c r="M42" i="10"/>
  <c r="N43" i="8"/>
  <c r="N42" i="10"/>
  <c r="N25" i="10"/>
  <c r="N27" i="10"/>
  <c r="N29" i="10"/>
  <c r="N31" i="10"/>
  <c r="N26" i="10"/>
  <c r="N28" i="10"/>
  <c r="N30" i="10"/>
  <c r="N32" i="10"/>
  <c r="O63" i="5"/>
  <c r="I17" i="14"/>
  <c r="O2" i="9"/>
  <c r="O15" i="9" s="1"/>
  <c r="N15" i="9"/>
  <c r="J52" i="8" l="1"/>
  <c r="J42" i="8" s="1"/>
  <c r="J32" i="8"/>
  <c r="J87" i="5"/>
  <c r="Y15" i="25"/>
  <c r="C22" i="25" s="1"/>
  <c r="C19" i="25" s="1"/>
  <c r="Z13" i="25"/>
  <c r="Z7" i="25"/>
  <c r="Z6" i="25"/>
  <c r="O37" i="25" s="1"/>
  <c r="D20" i="25"/>
  <c r="AC49" i="25"/>
  <c r="AC50" i="25" s="1"/>
  <c r="G21" i="25" s="1"/>
  <c r="G10" i="25"/>
  <c r="R22" i="25"/>
  <c r="G11" i="25" s="1"/>
  <c r="F10" i="25"/>
  <c r="Q22" i="25"/>
  <c r="F11" i="25" s="1"/>
  <c r="M22" i="10"/>
  <c r="M44" i="10" s="1"/>
  <c r="G18" i="14"/>
  <c r="G19" i="14" s="1"/>
  <c r="L43" i="10"/>
  <c r="L44" i="8"/>
  <c r="K43" i="10"/>
  <c r="K44" i="8"/>
  <c r="L29" i="9"/>
  <c r="L44" i="10"/>
  <c r="L23" i="10"/>
  <c r="L34" i="6" s="1"/>
  <c r="M37" i="10"/>
  <c r="M35" i="10"/>
  <c r="M36" i="10"/>
  <c r="M39" i="10"/>
  <c r="M40" i="10"/>
  <c r="M12" i="8"/>
  <c r="M31" i="8" s="1"/>
  <c r="M38" i="10"/>
  <c r="M34" i="10"/>
  <c r="O15" i="10"/>
  <c r="O4" i="9" s="1"/>
  <c r="O16" i="9" s="1"/>
  <c r="O17" i="9" s="1"/>
  <c r="O18" i="10"/>
  <c r="O41" i="10" s="1"/>
  <c r="O38" i="10" s="1"/>
  <c r="K29" i="9"/>
  <c r="N4" i="9"/>
  <c r="N16" i="9" s="1"/>
  <c r="N17" i="9" s="1"/>
  <c r="N39" i="9" s="1"/>
  <c r="H17" i="14"/>
  <c r="H18" i="14" s="1"/>
  <c r="M30" i="9"/>
  <c r="M28" i="9"/>
  <c r="M39" i="9" s="1"/>
  <c r="K44" i="10"/>
  <c r="K23" i="10"/>
  <c r="N30" i="9"/>
  <c r="N29" i="9" s="1"/>
  <c r="N37" i="10"/>
  <c r="N35" i="10"/>
  <c r="N39" i="10"/>
  <c r="K34" i="6"/>
  <c r="J34" i="6"/>
  <c r="J35" i="6" s="1"/>
  <c r="O52" i="8"/>
  <c r="O42" i="8" s="1"/>
  <c r="J7" i="14"/>
  <c r="N34" i="10"/>
  <c r="N12" i="8"/>
  <c r="N31" i="8" s="1"/>
  <c r="N43" i="10" s="1"/>
  <c r="N40" i="10"/>
  <c r="N36" i="10"/>
  <c r="K25" i="8"/>
  <c r="M24" i="9"/>
  <c r="M15" i="6"/>
  <c r="M65" i="5" s="1"/>
  <c r="M23" i="8" s="1"/>
  <c r="M16" i="6"/>
  <c r="I16" i="14"/>
  <c r="I18" i="14" s="1"/>
  <c r="K67" i="5"/>
  <c r="K86" i="5"/>
  <c r="K13" i="6"/>
  <c r="K33" i="6" s="1"/>
  <c r="K21" i="9"/>
  <c r="K19" i="9" s="1"/>
  <c r="K12" i="6"/>
  <c r="L8" i="6" s="1"/>
  <c r="O26" i="10"/>
  <c r="O28" i="10"/>
  <c r="O30" i="10"/>
  <c r="O32" i="10"/>
  <c r="O25" i="10"/>
  <c r="O27" i="10"/>
  <c r="O29" i="10"/>
  <c r="O31" i="10"/>
  <c r="O32" i="8"/>
  <c r="O33" i="8" s="1"/>
  <c r="O34" i="8" s="1"/>
  <c r="O87" i="5"/>
  <c r="O21" i="8"/>
  <c r="O11" i="8"/>
  <c r="O28" i="8" s="1"/>
  <c r="J33" i="8" l="1"/>
  <c r="J34" i="8" s="1"/>
  <c r="N41" i="25" s="1"/>
  <c r="J35" i="8"/>
  <c r="J36" i="8" s="1"/>
  <c r="K11" i="14"/>
  <c r="B16" i="24"/>
  <c r="Z10" i="25"/>
  <c r="AA11" i="25"/>
  <c r="AA12" i="25" s="1"/>
  <c r="P38" i="25" s="1"/>
  <c r="E14" i="25" s="1"/>
  <c r="Z14" i="25"/>
  <c r="D13" i="25"/>
  <c r="D8" i="25" s="1"/>
  <c r="D16" i="25" s="1"/>
  <c r="O8" i="25"/>
  <c r="O40" i="25" s="1"/>
  <c r="Z9" i="25"/>
  <c r="AA5" i="25" s="1"/>
  <c r="AA7" i="25" s="1"/>
  <c r="O17" i="10"/>
  <c r="J16" i="14" s="1"/>
  <c r="I19" i="14"/>
  <c r="J11" i="14"/>
  <c r="N23" i="10"/>
  <c r="N34" i="6" s="1"/>
  <c r="M23" i="10"/>
  <c r="M34" i="6" s="1"/>
  <c r="O37" i="10"/>
  <c r="O21" i="10"/>
  <c r="J17" i="14" s="1"/>
  <c r="H19" i="14"/>
  <c r="O12" i="8"/>
  <c r="O31" i="8" s="1"/>
  <c r="O43" i="10" s="1"/>
  <c r="O36" i="10"/>
  <c r="O39" i="10"/>
  <c r="O40" i="10"/>
  <c r="O6" i="9"/>
  <c r="O28" i="9" s="1"/>
  <c r="O39" i="9" s="1"/>
  <c r="O34" i="10"/>
  <c r="O35" i="10"/>
  <c r="M43" i="10"/>
  <c r="M44" i="8"/>
  <c r="M29" i="9"/>
  <c r="K35" i="6"/>
  <c r="N44" i="8"/>
  <c r="K52" i="8"/>
  <c r="K42" i="8" s="1"/>
  <c r="F7" i="14"/>
  <c r="F11" i="14" s="1"/>
  <c r="K87" i="5"/>
  <c r="K32" i="8"/>
  <c r="K33" i="8" s="1"/>
  <c r="K34" i="8" s="1"/>
  <c r="O41" i="25" s="1"/>
  <c r="L11" i="6"/>
  <c r="L32" i="6"/>
  <c r="J10" i="14"/>
  <c r="K10" i="14" s="1"/>
  <c r="O35" i="8"/>
  <c r="O36" i="8" s="1"/>
  <c r="M23" i="9"/>
  <c r="M17" i="6"/>
  <c r="N14" i="6"/>
  <c r="L9" i="6"/>
  <c r="L64" i="5" s="1"/>
  <c r="L22" i="9"/>
  <c r="L28" i="6"/>
  <c r="L10" i="6"/>
  <c r="F12" i="14"/>
  <c r="F14" i="14" s="1"/>
  <c r="F15" i="14" s="1"/>
  <c r="O43" i="8"/>
  <c r="P43" i="8" s="1"/>
  <c r="O42" i="10"/>
  <c r="J53" i="8" l="1"/>
  <c r="J88" i="5"/>
  <c r="J83" i="5"/>
  <c r="J9" i="9"/>
  <c r="J35" i="9" s="1"/>
  <c r="J36" i="9" s="1"/>
  <c r="C17" i="25"/>
  <c r="C18" i="25" s="1"/>
  <c r="C23" i="25" s="1"/>
  <c r="N42" i="25"/>
  <c r="C21" i="24"/>
  <c r="D21" i="24"/>
  <c r="E21" i="24"/>
  <c r="E20" i="24"/>
  <c r="C20" i="24"/>
  <c r="D20" i="24"/>
  <c r="E24" i="24"/>
  <c r="C24" i="24"/>
  <c r="D24" i="24"/>
  <c r="AA13" i="25"/>
  <c r="AB11" i="25" s="1"/>
  <c r="AB12" i="25" s="1"/>
  <c r="Q38" i="25" s="1"/>
  <c r="F14" i="25" s="1"/>
  <c r="Z15" i="25"/>
  <c r="D22" i="25" s="1"/>
  <c r="D19" i="25" s="1"/>
  <c r="AA10" i="25"/>
  <c r="AA8" i="25"/>
  <c r="E20" i="25"/>
  <c r="AA6" i="25"/>
  <c r="P37" i="25" s="1"/>
  <c r="D17" i="25"/>
  <c r="D18" i="25" s="1"/>
  <c r="O42" i="25"/>
  <c r="J18" i="14"/>
  <c r="O44" i="8"/>
  <c r="P44" i="8" s="1"/>
  <c r="O22" i="10"/>
  <c r="O44" i="10" s="1"/>
  <c r="O30" i="9"/>
  <c r="O29" i="9" s="1"/>
  <c r="K35" i="8"/>
  <c r="K36" i="8" s="1"/>
  <c r="K9" i="9" s="1"/>
  <c r="K35" i="9" s="1"/>
  <c r="K36" i="9" s="1"/>
  <c r="N24" i="9"/>
  <c r="N15" i="6"/>
  <c r="N65" i="5" s="1"/>
  <c r="N23" i="8" s="1"/>
  <c r="N16" i="6"/>
  <c r="H13" i="14"/>
  <c r="O9" i="9"/>
  <c r="O53" i="8"/>
  <c r="L21" i="9"/>
  <c r="L19" i="9" s="1"/>
  <c r="L13" i="6"/>
  <c r="L33" i="6" s="1"/>
  <c r="L35" i="6" s="1"/>
  <c r="L12" i="6"/>
  <c r="M8" i="6" s="1"/>
  <c r="M32" i="6" s="1"/>
  <c r="L67" i="5"/>
  <c r="L22" i="8"/>
  <c r="L17" i="8" s="1"/>
  <c r="L41" i="8" s="1"/>
  <c r="O83" i="5"/>
  <c r="O88" i="5"/>
  <c r="J89" i="5" l="1"/>
  <c r="J37" i="9"/>
  <c r="J40" i="9"/>
  <c r="J38" i="9"/>
  <c r="J85" i="5"/>
  <c r="J19" i="14"/>
  <c r="E22" i="24"/>
  <c r="E23" i="24" s="1"/>
  <c r="C22" i="24"/>
  <c r="C23" i="24" s="1"/>
  <c r="D22" i="24"/>
  <c r="D23" i="24" s="1"/>
  <c r="D23" i="25"/>
  <c r="AA14" i="25"/>
  <c r="AA15" i="25" s="1"/>
  <c r="E22" i="25" s="1"/>
  <c r="E19" i="25" s="1"/>
  <c r="AB13" i="25"/>
  <c r="AC11" i="25" s="1"/>
  <c r="AC12" i="25" s="1"/>
  <c r="R38" i="25" s="1"/>
  <c r="G14" i="25" s="1"/>
  <c r="E13" i="25"/>
  <c r="E8" i="25" s="1"/>
  <c r="E16" i="25" s="1"/>
  <c r="P8" i="25"/>
  <c r="P40" i="25" s="1"/>
  <c r="AA9" i="25"/>
  <c r="AB5" i="25" s="1"/>
  <c r="AB8" i="25" s="1"/>
  <c r="O23" i="10"/>
  <c r="O34" i="6" s="1"/>
  <c r="K83" i="5"/>
  <c r="K89" i="5"/>
  <c r="K88" i="5"/>
  <c r="F10" i="14"/>
  <c r="F20" i="14" s="1"/>
  <c r="C34" i="24" s="1"/>
  <c r="K53" i="8"/>
  <c r="K90" i="5"/>
  <c r="N23" i="9"/>
  <c r="O14" i="6"/>
  <c r="O16" i="6" s="1"/>
  <c r="N17" i="6"/>
  <c r="G12" i="14"/>
  <c r="G14" i="14" s="1"/>
  <c r="G15" i="14" s="1"/>
  <c r="L25" i="8"/>
  <c r="L86" i="5"/>
  <c r="M28" i="6"/>
  <c r="M22" i="9"/>
  <c r="M11" i="6"/>
  <c r="M10" i="6"/>
  <c r="M9" i="6"/>
  <c r="M64" i="5" s="1"/>
  <c r="K40" i="9"/>
  <c r="K38" i="9"/>
  <c r="K85" i="5"/>
  <c r="K37" i="9"/>
  <c r="J90" i="5" l="1"/>
  <c r="J27" i="9"/>
  <c r="J26" i="9" s="1"/>
  <c r="AB14" i="25"/>
  <c r="AC13" i="25"/>
  <c r="AC14" i="25" s="1"/>
  <c r="AB7" i="25"/>
  <c r="F20" i="25"/>
  <c r="AB6" i="25"/>
  <c r="Q37" i="25" s="1"/>
  <c r="L52" i="8"/>
  <c r="L42" i="8" s="1"/>
  <c r="G7" i="14"/>
  <c r="G11" i="14" s="1"/>
  <c r="O17" i="6"/>
  <c r="O23" i="9"/>
  <c r="J13" i="14" s="1"/>
  <c r="O24" i="9"/>
  <c r="O15" i="6"/>
  <c r="O65" i="5" s="1"/>
  <c r="O23" i="8" s="1"/>
  <c r="I13" i="14"/>
  <c r="L87" i="5"/>
  <c r="L32" i="8"/>
  <c r="L33" i="8" s="1"/>
  <c r="L34" i="8" s="1"/>
  <c r="P41" i="25" s="1"/>
  <c r="M22" i="8"/>
  <c r="M17" i="8" s="1"/>
  <c r="M41" i="8" s="1"/>
  <c r="M67" i="5"/>
  <c r="M13" i="6"/>
  <c r="M33" i="6" s="1"/>
  <c r="M35" i="6" s="1"/>
  <c r="M21" i="9"/>
  <c r="M19" i="9" s="1"/>
  <c r="M12" i="6"/>
  <c r="N8" i="6" s="1"/>
  <c r="N32" i="6" s="1"/>
  <c r="J25" i="9"/>
  <c r="J18" i="9" s="1"/>
  <c r="K27" i="9"/>
  <c r="F13" i="25" l="1"/>
  <c r="F8" i="25" s="1"/>
  <c r="F16" i="25" s="1"/>
  <c r="Q8" i="25"/>
  <c r="Q40" i="25" s="1"/>
  <c r="AB10" i="25"/>
  <c r="AB15" i="25" s="1"/>
  <c r="F22" i="25" s="1"/>
  <c r="F19" i="25" s="1"/>
  <c r="AB9" i="25"/>
  <c r="AC5" i="25" s="1"/>
  <c r="E17" i="25"/>
  <c r="E18" i="25" s="1"/>
  <c r="E23" i="25" s="1"/>
  <c r="P42" i="25"/>
  <c r="L35" i="8"/>
  <c r="L36" i="8" s="1"/>
  <c r="M25" i="8"/>
  <c r="M86" i="5"/>
  <c r="N22" i="9"/>
  <c r="N28" i="6"/>
  <c r="N10" i="6"/>
  <c r="N9" i="6"/>
  <c r="N64" i="5" s="1"/>
  <c r="H12" i="14"/>
  <c r="H14" i="14" s="1"/>
  <c r="H15" i="14" s="1"/>
  <c r="N11" i="6"/>
  <c r="K26" i="9"/>
  <c r="AC6" i="25" l="1"/>
  <c r="R37" i="25" s="1"/>
  <c r="G20" i="25"/>
  <c r="AC8" i="25"/>
  <c r="AC7" i="25"/>
  <c r="M52" i="8"/>
  <c r="M42" i="8" s="1"/>
  <c r="H7" i="14"/>
  <c r="H11" i="14" s="1"/>
  <c r="L53" i="8"/>
  <c r="N12" i="6"/>
  <c r="O8" i="6" s="1"/>
  <c r="N13" i="6"/>
  <c r="N33" i="6" s="1"/>
  <c r="N35" i="6" s="1"/>
  <c r="N21" i="9"/>
  <c r="N19" i="9" s="1"/>
  <c r="L88" i="5"/>
  <c r="L9" i="9"/>
  <c r="L35" i="9" s="1"/>
  <c r="L36" i="9" s="1"/>
  <c r="L89" i="5" s="1"/>
  <c r="L83" i="5"/>
  <c r="N22" i="8"/>
  <c r="N17" i="8" s="1"/>
  <c r="N41" i="8" s="1"/>
  <c r="N67" i="5"/>
  <c r="G10" i="14"/>
  <c r="G20" i="14" s="1"/>
  <c r="D34" i="24" s="1"/>
  <c r="M32" i="8"/>
  <c r="M33" i="8" s="1"/>
  <c r="M34" i="8" s="1"/>
  <c r="Q41" i="25" s="1"/>
  <c r="M87" i="5"/>
  <c r="K25" i="9"/>
  <c r="K18" i="9" s="1"/>
  <c r="AC9" i="25" l="1"/>
  <c r="AC10" i="25"/>
  <c r="AC15" i="25" s="1"/>
  <c r="G22" i="25" s="1"/>
  <c r="G19" i="25" s="1"/>
  <c r="G13" i="25"/>
  <c r="G8" i="25" s="1"/>
  <c r="G16" i="25" s="1"/>
  <c r="R8" i="25"/>
  <c r="R40" i="25" s="1"/>
  <c r="F17" i="25"/>
  <c r="F18" i="25" s="1"/>
  <c r="F23" i="25" s="1"/>
  <c r="Q42" i="25"/>
  <c r="O10" i="6"/>
  <c r="O21" i="9" s="1"/>
  <c r="O19" i="9" s="1"/>
  <c r="J12" i="14" s="1"/>
  <c r="J14" i="14" s="1"/>
  <c r="O32" i="6"/>
  <c r="L40" i="9"/>
  <c r="L37" i="9"/>
  <c r="L38" i="9"/>
  <c r="L85" i="5"/>
  <c r="I12" i="14"/>
  <c r="I14" i="14" s="1"/>
  <c r="I15" i="14" s="1"/>
  <c r="O13" i="6"/>
  <c r="O33" i="6" s="1"/>
  <c r="N86" i="5"/>
  <c r="N25" i="8"/>
  <c r="M35" i="8"/>
  <c r="M36" i="8" s="1"/>
  <c r="O28" i="6"/>
  <c r="O22" i="9"/>
  <c r="O9" i="6"/>
  <c r="O64" i="5" s="1"/>
  <c r="O11" i="6"/>
  <c r="L27" i="9" l="1"/>
  <c r="L26" i="9" s="1"/>
  <c r="L25" i="9" s="1"/>
  <c r="L18" i="9" s="1"/>
  <c r="L90" i="5"/>
  <c r="O12" i="6"/>
  <c r="N52" i="8"/>
  <c r="N42" i="8" s="1"/>
  <c r="I7" i="14"/>
  <c r="I11" i="14" s="1"/>
  <c r="O35" i="6"/>
  <c r="M53" i="8"/>
  <c r="M9" i="9"/>
  <c r="M35" i="9" s="1"/>
  <c r="M36" i="9" s="1"/>
  <c r="M89" i="5" s="1"/>
  <c r="M88" i="5"/>
  <c r="M83" i="5"/>
  <c r="N32" i="8"/>
  <c r="N33" i="8" s="1"/>
  <c r="N87" i="5"/>
  <c r="H10" i="14"/>
  <c r="H20" i="14" s="1"/>
  <c r="E34" i="24" s="1"/>
  <c r="O67" i="5"/>
  <c r="O22" i="8"/>
  <c r="J15" i="14"/>
  <c r="N34" i="8" l="1"/>
  <c r="R41" i="25" s="1"/>
  <c r="V117" i="25"/>
  <c r="J20" i="14"/>
  <c r="G34" i="24" s="1"/>
  <c r="N35" i="8"/>
  <c r="N36" i="8" s="1"/>
  <c r="M38" i="9"/>
  <c r="M40" i="9"/>
  <c r="M37" i="9"/>
  <c r="M85" i="5"/>
  <c r="M27" i="9" l="1"/>
  <c r="M26" i="9" s="1"/>
  <c r="M25" i="9" s="1"/>
  <c r="M18" i="9" s="1"/>
  <c r="M90" i="5"/>
  <c r="G17" i="25"/>
  <c r="G18" i="25" s="1"/>
  <c r="G23" i="25" s="1"/>
  <c r="R42" i="25"/>
  <c r="R5" i="17"/>
  <c r="E27" i="4"/>
  <c r="X28" i="18"/>
  <c r="P8" i="17"/>
  <c r="E32" i="4"/>
  <c r="I30" i="4"/>
  <c r="N53" i="8"/>
  <c r="N9" i="9"/>
  <c r="N35" i="9" s="1"/>
  <c r="N83" i="5"/>
  <c r="N88" i="5"/>
  <c r="I10" i="14"/>
  <c r="I20" i="14" s="1"/>
  <c r="F34" i="24" s="1"/>
  <c r="E54" i="22" l="1"/>
  <c r="X30" i="18"/>
  <c r="R8" i="17"/>
  <c r="Y5" i="18" s="1"/>
  <c r="X5" i="18"/>
  <c r="I27" i="4"/>
  <c r="R6" i="17"/>
  <c r="E56" i="23" s="1"/>
  <c r="I32" i="4"/>
  <c r="Q8" i="17"/>
  <c r="P6" i="17"/>
  <c r="E55" i="23" s="1"/>
  <c r="N36" i="9"/>
  <c r="N89" i="5" s="1"/>
  <c r="O35" i="9"/>
  <c r="O36" i="9" s="1"/>
  <c r="X94" i="25" l="1"/>
  <c r="X109" i="25" s="1"/>
  <c r="Y94" i="25"/>
  <c r="Y109" i="25" s="1"/>
  <c r="V112" i="25" s="1"/>
  <c r="F28" i="4"/>
  <c r="E34" i="4" s="1"/>
  <c r="Q6" i="17"/>
  <c r="E28" i="4" s="1"/>
  <c r="I28" i="4" s="1"/>
  <c r="X20" i="18"/>
  <c r="G45" i="22" s="1"/>
  <c r="G30" i="22"/>
  <c r="O38" i="9"/>
  <c r="O40" i="9"/>
  <c r="O37" i="9"/>
  <c r="O27" i="9" s="1"/>
  <c r="O26" i="9" s="1"/>
  <c r="O25" i="9" s="1"/>
  <c r="O18" i="9" s="1"/>
  <c r="O85" i="5"/>
  <c r="N38" i="9"/>
  <c r="N40" i="9"/>
  <c r="N85" i="5"/>
  <c r="N37" i="9"/>
  <c r="N90" i="5" s="1"/>
  <c r="O89" i="5"/>
  <c r="V116" i="25" l="1"/>
  <c r="E35" i="4"/>
  <c r="AE23" i="18" s="1"/>
  <c r="G78" i="22" s="1"/>
  <c r="I34" i="4"/>
  <c r="X27" i="18"/>
  <c r="E53" i="22" s="1"/>
  <c r="G34" i="4"/>
  <c r="Y20" i="18"/>
  <c r="H30" i="22"/>
  <c r="N27" i="9"/>
  <c r="N26" i="9" s="1"/>
  <c r="N25" i="9" s="1"/>
  <c r="N18" i="9" s="1"/>
  <c r="P18" i="9" s="1"/>
  <c r="O90" i="5"/>
  <c r="I33" i="4"/>
  <c r="I3" i="14" l="1"/>
  <c r="I5" i="14" s="1"/>
  <c r="I21" i="14" s="1"/>
  <c r="J3" i="14"/>
  <c r="J5" i="14" s="1"/>
  <c r="AF23" i="18"/>
  <c r="H78" i="22" s="1"/>
  <c r="F3" i="14"/>
  <c r="F5" i="14" s="1"/>
  <c r="F21" i="14" s="1"/>
  <c r="H3" i="14"/>
  <c r="H5" i="14" s="1"/>
  <c r="H21" i="14" s="1"/>
  <c r="G3" i="14"/>
  <c r="G5" i="14" s="1"/>
  <c r="G21" i="14" s="1"/>
  <c r="X31" i="18"/>
  <c r="E56" i="22" s="1"/>
  <c r="AC23" i="18"/>
  <c r="E78" i="22" s="1"/>
  <c r="V119" i="25"/>
  <c r="H24" i="25" s="1"/>
  <c r="AG23" i="18"/>
  <c r="I78" i="22" s="1"/>
  <c r="B40" i="24"/>
  <c r="B32" i="24" s="1"/>
  <c r="B49" i="24" s="1"/>
  <c r="B37" i="24" s="1"/>
  <c r="AD23" i="18"/>
  <c r="F78" i="22" s="1"/>
  <c r="X23" i="18"/>
  <c r="E49" i="22" s="1"/>
  <c r="H45" i="22"/>
  <c r="I35" i="4"/>
  <c r="E24" i="25" l="1"/>
  <c r="E26" i="25" s="1"/>
  <c r="E28" i="25" s="1"/>
  <c r="D24" i="25"/>
  <c r="D26" i="25" s="1"/>
  <c r="D28" i="25" s="1"/>
  <c r="C24" i="25"/>
  <c r="C26" i="25" s="1"/>
  <c r="C28" i="25" s="1"/>
  <c r="F24" i="25"/>
  <c r="F26" i="25" s="1"/>
  <c r="F28" i="25" s="1"/>
  <c r="G24" i="25"/>
  <c r="G26" i="25" s="1"/>
  <c r="H26" i="25" s="1"/>
  <c r="C30" i="25" s="1"/>
  <c r="D32" i="24"/>
  <c r="D36" i="24" s="1"/>
  <c r="B48" i="24"/>
  <c r="B36" i="24" s="1"/>
  <c r="G32" i="24"/>
  <c r="G36" i="24" s="1"/>
  <c r="B21" i="24"/>
  <c r="B33" i="24"/>
  <c r="D33" i="24" s="1"/>
  <c r="D37" i="24" s="1"/>
  <c r="F32" i="24"/>
  <c r="F36" i="24" s="1"/>
  <c r="B47" i="24"/>
  <c r="B35" i="24" s="1"/>
  <c r="C32" i="24"/>
  <c r="C36" i="24" s="1"/>
  <c r="E32" i="24"/>
  <c r="E36" i="24" s="1"/>
  <c r="B31" i="24"/>
  <c r="C31" i="24" s="1"/>
  <c r="C35" i="24" s="1"/>
  <c r="B52" i="24"/>
  <c r="B55" i="24" s="1"/>
  <c r="B58" i="24" s="1"/>
  <c r="I1" i="24" s="1"/>
  <c r="AE42" i="18" s="1"/>
  <c r="G49" i="24"/>
  <c r="K3" i="14"/>
  <c r="K20" i="14" s="1"/>
  <c r="J21" i="14"/>
  <c r="G48" i="24" l="1"/>
  <c r="E48" i="24" s="1"/>
  <c r="B51" i="24"/>
  <c r="B54" i="24" s="1"/>
  <c r="B57" i="24" s="1"/>
  <c r="H1" i="24" s="1"/>
  <c r="AD42" i="18" s="1"/>
  <c r="G28" i="25"/>
  <c r="C29" i="25" s="1"/>
  <c r="C31" i="25" s="1"/>
  <c r="C33" i="25" s="1"/>
  <c r="C36" i="25" s="1"/>
  <c r="C38" i="25" s="1"/>
  <c r="D38" i="25" s="1"/>
  <c r="C33" i="24"/>
  <c r="C37" i="24" s="1"/>
  <c r="G33" i="24"/>
  <c r="G37" i="24" s="1"/>
  <c r="B22" i="24"/>
  <c r="E49" i="24"/>
  <c r="E51" i="24"/>
  <c r="E54" i="24" s="1"/>
  <c r="E57" i="24" s="1"/>
  <c r="B50" i="24"/>
  <c r="B53" i="24" s="1"/>
  <c r="B56" i="24" s="1"/>
  <c r="G1" i="24" s="1"/>
  <c r="AC42" i="18" s="1"/>
  <c r="G31" i="24"/>
  <c r="G35" i="24" s="1"/>
  <c r="G47" i="24"/>
  <c r="C47" i="24" s="1"/>
  <c r="B20" i="24"/>
  <c r="F33" i="24"/>
  <c r="F37" i="24" s="1"/>
  <c r="E33" i="24"/>
  <c r="E37" i="24" s="1"/>
  <c r="F31" i="24"/>
  <c r="F35" i="24" s="1"/>
  <c r="E31" i="24"/>
  <c r="E35" i="24" s="1"/>
  <c r="D31" i="24"/>
  <c r="D35" i="24" s="1"/>
  <c r="C49" i="24"/>
  <c r="D49" i="24"/>
  <c r="K5" i="14"/>
  <c r="K21" i="14" s="1"/>
  <c r="C50" i="24" l="1"/>
  <c r="C53" i="24" s="1"/>
  <c r="C56" i="24" s="1"/>
  <c r="D52" i="24"/>
  <c r="D55" i="24" s="1"/>
  <c r="D58" i="24" s="1"/>
  <c r="D48" i="24"/>
  <c r="D51" i="24" s="1"/>
  <c r="D54" i="24" s="1"/>
  <c r="D57" i="24" s="1"/>
  <c r="C48" i="24"/>
  <c r="C51" i="24" s="1"/>
  <c r="C54" i="24" s="1"/>
  <c r="C57" i="24" s="1"/>
  <c r="C52" i="24"/>
  <c r="C55" i="24" s="1"/>
  <c r="C58" i="24" s="1"/>
  <c r="E52" i="24"/>
  <c r="E55" i="24" s="1"/>
  <c r="E58" i="24" s="1"/>
  <c r="D47" i="24"/>
  <c r="D50" i="24" s="1"/>
  <c r="D53" i="24" s="1"/>
  <c r="D56" i="24" s="1"/>
  <c r="E47" i="24"/>
  <c r="E50" i="24" s="1"/>
  <c r="E53" i="24" s="1"/>
  <c r="E56" i="24" s="1"/>
  <c r="E53" i="14"/>
  <c r="B2" i="24" l="1" a="1"/>
  <c r="B3" i="24" s="1"/>
  <c r="AC44" i="18" s="1"/>
  <c r="E55" i="14"/>
  <c r="G53" i="14"/>
  <c r="G3" i="24" l="1"/>
  <c r="D2" i="24"/>
  <c r="AE43" i="18" s="1"/>
  <c r="B2" i="24"/>
  <c r="G2" i="24" s="1"/>
  <c r="C2" i="24"/>
  <c r="B4" i="24"/>
  <c r="D4" i="24"/>
  <c r="D3" i="24"/>
  <c r="AE44" i="18" s="1"/>
  <c r="C4" i="24"/>
  <c r="C3" i="24"/>
  <c r="AD44" i="18" s="1"/>
  <c r="I3" i="24"/>
  <c r="AC43" i="18"/>
  <c r="E58" i="14"/>
  <c r="G55" i="14"/>
  <c r="I2" i="24" l="1"/>
  <c r="H3" i="24"/>
  <c r="G4" i="24"/>
  <c r="AC45" i="18"/>
  <c r="AD43" i="18"/>
  <c r="H2" i="24"/>
  <c r="AD45" i="18"/>
  <c r="H4" i="24"/>
  <c r="AE45" i="18"/>
  <c r="I4" i="24"/>
  <c r="E60" i="14"/>
  <c r="G58" i="14"/>
  <c r="F60" i="14" l="1"/>
  <c r="B7" i="24"/>
  <c r="G60" i="14"/>
  <c r="E39" i="4" l="1"/>
  <c r="C2" i="18"/>
  <c r="D2" i="18" s="1"/>
  <c r="Q44" i="8"/>
  <c r="E51" i="23"/>
  <c r="M7" i="12"/>
  <c r="Q39" i="9"/>
  <c r="Q43" i="10"/>
  <c r="L72" i="5"/>
  <c r="L20" i="6"/>
  <c r="F39" i="4" l="1"/>
  <c r="I39" i="4"/>
  <c r="P5" i="17"/>
  <c r="E59" i="4"/>
  <c r="G59" i="4" l="1"/>
  <c r="E57" i="4" s="1"/>
  <c r="P59" i="4" l="1"/>
  <c r="G57" i="4"/>
  <c r="F57" i="4"/>
  <c r="K59" i="4"/>
  <c r="J59" i="4"/>
</calcChain>
</file>

<file path=xl/comments1.xml><?xml version="1.0" encoding="utf-8"?>
<comments xmlns="http://schemas.openxmlformats.org/spreadsheetml/2006/main">
  <authors>
    <author>다.이현승</author>
  </authors>
  <commentList>
    <comment ref="E30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법인세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변경</t>
        </r>
        <r>
          <rPr>
            <sz val="9"/>
            <color indexed="81"/>
            <rFont val="돋움"/>
            <family val="3"/>
            <charset val="129"/>
          </rPr>
          <t>세율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必</t>
        </r>
        <r>
          <rPr>
            <sz val="9"/>
            <color indexed="81"/>
            <rFont val="Tahoma"/>
            <family val="2"/>
          </rPr>
          <t>!!</t>
        </r>
      </text>
    </comment>
  </commentList>
</comments>
</file>

<file path=xl/comments2.xml><?xml version="1.0" encoding="utf-8"?>
<comments xmlns="http://schemas.openxmlformats.org/spreadsheetml/2006/main">
  <authors>
    <author>다.이현승</author>
  </authors>
  <commentList>
    <comment ref="A1" authorId="0" shapeId="0">
      <text>
        <r>
          <rPr>
            <b/>
            <sz val="9"/>
            <color indexed="81"/>
            <rFont val="돋움"/>
            <family val="3"/>
            <charset val="129"/>
          </rPr>
          <t>다</t>
        </r>
        <r>
          <rPr>
            <b/>
            <sz val="9"/>
            <color indexed="81"/>
            <rFont val="Tahoma"/>
            <family val="2"/>
          </rPr>
          <t>.</t>
        </r>
        <r>
          <rPr>
            <b/>
            <sz val="9"/>
            <color indexed="81"/>
            <rFont val="돋움"/>
            <family val="3"/>
            <charset val="129"/>
          </rPr>
          <t>이현승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DB </t>
        </r>
        <r>
          <rPr>
            <sz val="9"/>
            <color indexed="81"/>
            <rFont val="돋움"/>
            <family val="3"/>
            <charset val="129"/>
          </rPr>
          <t>저장용도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테이블</t>
        </r>
      </text>
    </comment>
  </commentList>
</comments>
</file>

<file path=xl/comments3.xml><?xml version="1.0" encoding="utf-8"?>
<comments xmlns="http://schemas.openxmlformats.org/spreadsheetml/2006/main">
  <authors>
    <author>다.유재호</author>
  </authors>
  <commentList>
    <comment ref="AE8" authorId="0" shapeId="0">
      <text>
        <r>
          <rPr>
            <b/>
            <sz val="9"/>
            <color indexed="81"/>
            <rFont val="돋움"/>
            <family val="3"/>
            <charset val="129"/>
          </rPr>
          <t>*매출 추정내역 개별적으로 정리 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17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20" authorId="0" shapeId="0">
      <text>
        <r>
          <rPr>
            <b/>
            <sz val="9"/>
            <color indexed="81"/>
            <rFont val="Tahoma"/>
            <family val="2"/>
          </rPr>
          <t>*IMF</t>
        </r>
        <r>
          <rPr>
            <b/>
            <sz val="9"/>
            <color indexed="81"/>
            <rFont val="돋움"/>
            <family val="3"/>
            <charset val="129"/>
          </rPr>
          <t>경제성장률평균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U23" authorId="0" shapeId="0">
      <text>
        <r>
          <rPr>
            <b/>
            <sz val="9"/>
            <color indexed="81"/>
            <rFont val="Tahoma"/>
            <family val="2"/>
          </rPr>
          <t>*IMF</t>
        </r>
        <r>
          <rPr>
            <b/>
            <sz val="9"/>
            <color indexed="81"/>
            <rFont val="돋움"/>
            <family val="3"/>
            <charset val="129"/>
          </rPr>
          <t>경제성장률평균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등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수정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필요
</t>
        </r>
      </text>
    </comment>
    <comment ref="K44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U52" authorId="0" shapeId="0">
      <text>
        <r>
          <rPr>
            <b/>
            <sz val="9"/>
            <color indexed="81"/>
            <rFont val="Tahoma"/>
            <family val="2"/>
          </rPr>
          <t>*</t>
        </r>
        <r>
          <rPr>
            <b/>
            <sz val="9"/>
            <color indexed="81"/>
            <rFont val="돋움"/>
            <family val="3"/>
            <charset val="129"/>
          </rPr>
          <t>개별적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적용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69" authorId="0" shapeId="0">
      <text>
        <r>
          <rPr>
            <b/>
            <sz val="9"/>
            <color indexed="81"/>
            <rFont val="돋움"/>
            <family val="3"/>
            <charset val="129"/>
          </rPr>
          <t>*인원수 개별 추정시 수정필요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<sst xmlns="http://schemas.openxmlformats.org/spreadsheetml/2006/main" count="38199" uniqueCount="17670">
  <si>
    <t>DCF가격</t>
    <phoneticPr fontId="3" type="noConversion"/>
  </si>
  <si>
    <t>1주당가치(DCF)(원)</t>
    <phoneticPr fontId="3" type="noConversion"/>
  </si>
  <si>
    <t>#,##0</t>
    <phoneticPr fontId="3" type="noConversion"/>
  </si>
  <si>
    <t>#0.00</t>
    <phoneticPr fontId="3" type="noConversion"/>
  </si>
  <si>
    <t>B</t>
    <phoneticPr fontId="3" type="noConversion"/>
  </si>
  <si>
    <t>Time</t>
  </si>
  <si>
    <t>WACC(%)</t>
  </si>
  <si>
    <t>Discount Factor</t>
  </si>
  <si>
    <t>잉여현금흐름(Free Cash Flow)</t>
  </si>
  <si>
    <t>잉여현금흐름의현재가치(Present Value of FCF)</t>
  </si>
  <si>
    <t>-</t>
    <phoneticPr fontId="9" type="noConversion"/>
  </si>
  <si>
    <t>#,##0</t>
  </si>
  <si>
    <t xml:space="preserve"> </t>
  </si>
  <si>
    <t>계산</t>
  </si>
  <si>
    <t>1번</t>
    <phoneticPr fontId="9" type="noConversion"/>
  </si>
  <si>
    <t>Diff</t>
    <phoneticPr fontId="3" type="noConversion"/>
  </si>
  <si>
    <t>전기등급</t>
    <phoneticPr fontId="3" type="noConversion"/>
  </si>
  <si>
    <t>자본비용역전</t>
    <phoneticPr fontId="3" type="noConversion"/>
  </si>
  <si>
    <t>주식수변동</t>
    <phoneticPr fontId="3" type="noConversion"/>
  </si>
  <si>
    <t>자본잠식여부</t>
    <phoneticPr fontId="3" type="noConversion"/>
  </si>
  <si>
    <t>BPS</t>
    <phoneticPr fontId="3" type="noConversion"/>
  </si>
  <si>
    <t>PER</t>
    <phoneticPr fontId="3" type="noConversion"/>
  </si>
  <si>
    <t>PBR</t>
    <phoneticPr fontId="3" type="noConversion"/>
  </si>
  <si>
    <t>전기비율</t>
    <phoneticPr fontId="3" type="noConversion"/>
  </si>
  <si>
    <t>Aver 3Y</t>
    <phoneticPr fontId="3" type="noConversion"/>
  </si>
  <si>
    <t>Aver 2Y</t>
    <phoneticPr fontId="3" type="noConversion"/>
  </si>
  <si>
    <t>WA 2Y</t>
    <phoneticPr fontId="3" type="noConversion"/>
  </si>
  <si>
    <t>전기비율</t>
    <phoneticPr fontId="3" type="noConversion"/>
  </si>
  <si>
    <t>Aver 4Y</t>
    <phoneticPr fontId="3" type="noConversion"/>
  </si>
  <si>
    <t>WA 4Y</t>
    <phoneticPr fontId="3" type="noConversion"/>
  </si>
  <si>
    <t>Aver 4Y</t>
    <phoneticPr fontId="3" type="noConversion"/>
  </si>
  <si>
    <t>Aver 3Y</t>
    <phoneticPr fontId="3" type="noConversion"/>
  </si>
  <si>
    <t>Aver 2Y</t>
    <phoneticPr fontId="3" type="noConversion"/>
  </si>
  <si>
    <t>WA 4Y</t>
    <phoneticPr fontId="3" type="noConversion"/>
  </si>
  <si>
    <t>WA 2Y</t>
    <phoneticPr fontId="3" type="noConversion"/>
  </si>
  <si>
    <t>Diff</t>
    <phoneticPr fontId="3" type="noConversion"/>
  </si>
  <si>
    <t>전기자료</t>
    <phoneticPr fontId="3" type="noConversion"/>
  </si>
  <si>
    <t>자본금</t>
  </si>
  <si>
    <t> [수권주식수]</t>
  </si>
  <si>
    <t> [1주의금액](원)</t>
  </si>
  <si>
    <t>  보통주자본금</t>
  </si>
  <si>
    <t>  [보통주발행주식수]</t>
  </si>
  <si>
    <t>  우선주자본금</t>
  </si>
  <si>
    <t>  [우선주발행주식수]</t>
  </si>
  <si>
    <t> 자본잉여금</t>
  </si>
  <si>
    <t>  자본준비금</t>
  </si>
  <si>
    <t>   주식발행초과금</t>
  </si>
  <si>
    <t>CAGR</t>
    <phoneticPr fontId="14" type="noConversion"/>
  </si>
  <si>
    <t>Avg.</t>
    <phoneticPr fontId="14" type="noConversion"/>
  </si>
  <si>
    <t>매출추정내역</t>
    <phoneticPr fontId="9" type="noConversion"/>
  </si>
  <si>
    <t>&lt;단위: 백만원, %&gt;</t>
    <phoneticPr fontId="9" type="noConversion"/>
  </si>
  <si>
    <t>구  분</t>
    <phoneticPr fontId="9" type="noConversion"/>
  </si>
  <si>
    <t>과거 매출액</t>
    <phoneticPr fontId="9" type="noConversion"/>
  </si>
  <si>
    <t>증가율(%)</t>
    <phoneticPr fontId="9" type="noConversion"/>
  </si>
  <si>
    <t>&lt;자산계정의 변화 그래프&gt;</t>
    <phoneticPr fontId="3" type="noConversion"/>
  </si>
  <si>
    <t>EPS</t>
    <phoneticPr fontId="3" type="noConversion"/>
  </si>
  <si>
    <t>BPS</t>
    <phoneticPr fontId="3" type="noConversion"/>
  </si>
  <si>
    <t>판관비율</t>
    <phoneticPr fontId="3" type="noConversion"/>
  </si>
  <si>
    <t>영업이익률</t>
    <phoneticPr fontId="3" type="noConversion"/>
  </si>
  <si>
    <t>당기순이익률</t>
    <phoneticPr fontId="3" type="noConversion"/>
  </si>
  <si>
    <t>ROE</t>
    <phoneticPr fontId="3" type="noConversion"/>
  </si>
  <si>
    <t>ROA</t>
    <phoneticPr fontId="3" type="noConversion"/>
  </si>
  <si>
    <t>SPS</t>
    <phoneticPr fontId="3" type="noConversion"/>
  </si>
  <si>
    <t>보통주 유통주식수</t>
    <phoneticPr fontId="3" type="noConversion"/>
  </si>
  <si>
    <t>DCF</t>
    <phoneticPr fontId="3" type="noConversion"/>
  </si>
  <si>
    <t>최종가</t>
    <phoneticPr fontId="3" type="noConversion"/>
  </si>
  <si>
    <t>전기</t>
    <phoneticPr fontId="3" type="noConversion"/>
  </si>
  <si>
    <t>이자수익/경상영업외수익</t>
    <phoneticPr fontId="3" type="noConversion"/>
  </si>
  <si>
    <t>이자비용/경상영업외비용</t>
    <phoneticPr fontId="3" type="noConversion"/>
  </si>
  <si>
    <t>전기 추정 매출액증가율(%)</t>
    <phoneticPr fontId="9" type="noConversion"/>
  </si>
  <si>
    <t>우선주 자본금</t>
    <phoneticPr fontId="3" type="noConversion"/>
  </si>
  <si>
    <t>이자수익/이자수입성자산(%)</t>
    <phoneticPr fontId="3" type="noConversion"/>
  </si>
  <si>
    <t>이자비용/이자지급성부채(%)</t>
    <phoneticPr fontId="3" type="noConversion"/>
  </si>
  <si>
    <t>&lt;부채 및 계정의 변화 그래프&gt;</t>
    <phoneticPr fontId="3" type="noConversion"/>
  </si>
  <si>
    <t>부채비율(%)</t>
    <phoneticPr fontId="3" type="noConversion"/>
  </si>
  <si>
    <t>유동비율(%)</t>
    <phoneticPr fontId="3" type="noConversion"/>
  </si>
  <si>
    <t>자본잠식 비율(%)</t>
    <phoneticPr fontId="3" type="noConversion"/>
  </si>
  <si>
    <t>&lt;기타비영업용자산 항목&gt;</t>
    <phoneticPr fontId="9" type="noConversion"/>
  </si>
  <si>
    <t>항목</t>
    <phoneticPr fontId="3" type="noConversion"/>
  </si>
  <si>
    <t>금액</t>
    <phoneticPr fontId="3" type="noConversion"/>
  </si>
  <si>
    <t>민감도분석(최종가)
성장률(%) / 할인율(%)</t>
    <phoneticPr fontId="3" type="noConversion"/>
  </si>
  <si>
    <t>매출액 영업이익률</t>
    <phoneticPr fontId="3" type="noConversion"/>
  </si>
  <si>
    <t>W.A.</t>
    <phoneticPr fontId="14" type="noConversion"/>
  </si>
  <si>
    <t>가중치</t>
    <phoneticPr fontId="9" type="noConversion"/>
  </si>
  <si>
    <t>경제성장률</t>
    <phoneticPr fontId="9" type="noConversion"/>
  </si>
  <si>
    <t>매출액 순이익률</t>
    <phoneticPr fontId="3" type="noConversion"/>
  </si>
  <si>
    <t>Multiple</t>
    <phoneticPr fontId="3" type="noConversion"/>
  </si>
  <si>
    <t>생산자물가상승률</t>
    <phoneticPr fontId="3" type="noConversion"/>
  </si>
  <si>
    <t>IMF경제성장률평균</t>
    <phoneticPr fontId="3" type="noConversion"/>
  </si>
  <si>
    <t>추정성장률평균</t>
    <phoneticPr fontId="3" type="noConversion"/>
  </si>
  <si>
    <t>무보증공모채</t>
  </si>
  <si>
    <t>신용등급</t>
  </si>
  <si>
    <t>1년</t>
  </si>
  <si>
    <t>2년</t>
  </si>
  <si>
    <t>3년</t>
  </si>
  <si>
    <t>5년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</si>
  <si>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</si>
  <si>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</si>
  <si>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</si>
  <si>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</si>
  <si>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</si>
  <si>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</si>
  <si>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</si>
  <si>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</si>
  <si>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</si>
  <si>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</si>
  <si>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</si>
  <si>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</si>
  <si>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무보증사모채</t>
  </si>
  <si>
    <t>&lt;세전타인자본비용&gt;</t>
    <phoneticPr fontId="3" type="noConversion"/>
  </si>
  <si>
    <t>증분차입</t>
    <phoneticPr fontId="3" type="noConversion"/>
  </si>
  <si>
    <t>이자/이자부부채</t>
    <phoneticPr fontId="3" type="noConversion"/>
  </si>
  <si>
    <t>회사명</t>
    <phoneticPr fontId="3" type="noConversion"/>
  </si>
  <si>
    <t>구분</t>
    <phoneticPr fontId="3" type="noConversion"/>
  </si>
  <si>
    <t>취득일자</t>
    <phoneticPr fontId="3" type="noConversion"/>
  </si>
  <si>
    <t>취득가격(총액)</t>
    <phoneticPr fontId="3" type="noConversion"/>
  </si>
  <si>
    <t>취득수량</t>
    <phoneticPr fontId="3" type="noConversion"/>
  </si>
  <si>
    <t>주당 취득가격</t>
    <phoneticPr fontId="3" type="noConversion"/>
  </si>
  <si>
    <t>평가기준일</t>
  </si>
  <si>
    <t>공모/사모</t>
  </si>
  <si>
    <t>등급</t>
  </si>
  <si>
    <t>시장</t>
  </si>
  <si>
    <t>업종</t>
  </si>
  <si>
    <t>DCF 규모 및 비상장 프리미엄 판단기준</t>
    <phoneticPr fontId="3" type="noConversion"/>
  </si>
  <si>
    <t>프리미엄(%)</t>
    <phoneticPr fontId="3" type="noConversion"/>
  </si>
  <si>
    <t>1. 코넥스 상장기업 또는 IPO 예정기업(1년 이내)</t>
    <phoneticPr fontId="3" type="noConversion"/>
  </si>
  <si>
    <t>1. 외감기업이며, 매출액 규모가 1000억원 이상인 경우</t>
    <phoneticPr fontId="3" type="noConversion"/>
  </si>
  <si>
    <t>1~2%</t>
    <phoneticPr fontId="3" type="noConversion"/>
  </si>
  <si>
    <t>1. 외감기업이며, 매출액 규모가 1000억원 미만인 경우</t>
    <phoneticPr fontId="3" type="noConversion"/>
  </si>
  <si>
    <t>2~3%</t>
    <phoneticPr fontId="3" type="noConversion"/>
  </si>
  <si>
    <t>1. 비외감기업인 경우</t>
    <phoneticPr fontId="3" type="noConversion"/>
  </si>
  <si>
    <t>3~4%</t>
    <phoneticPr fontId="3" type="noConversion"/>
  </si>
  <si>
    <t>1. 중소벤처기업 등</t>
    <phoneticPr fontId="3" type="noConversion"/>
  </si>
  <si>
    <t>4~5%</t>
    <phoneticPr fontId="3" type="noConversion"/>
  </si>
  <si>
    <t>평가기준일</t>
    <phoneticPr fontId="3" type="noConversion"/>
  </si>
  <si>
    <t xml:space="preserve">8. 영구현금흐름 법인세율 </t>
    <phoneticPr fontId="3" type="noConversion"/>
  </si>
  <si>
    <t>2. RATE 및 BETA 기준일</t>
  </si>
  <si>
    <t>3. 주식수 및 WACC sheet 법인세 수식</t>
  </si>
  <si>
    <t>4. 감가상각비 계산 수식</t>
  </si>
  <si>
    <t>5. IS sheet 법인세율 금액에 맞춰 계산되는지</t>
  </si>
  <si>
    <t>6. BS sheet 유형자산 계산 내역</t>
  </si>
  <si>
    <t>1. 공시 확인</t>
    <phoneticPr fontId="3" type="noConversion"/>
  </si>
  <si>
    <t>9. IMF 성장률 밀림현상 확인</t>
    <phoneticPr fontId="3" type="noConversion"/>
  </si>
  <si>
    <t>평가기준일</t>
    <phoneticPr fontId="3" type="noConversion"/>
  </si>
  <si>
    <t>유형자산 구분</t>
    <phoneticPr fontId="3" type="noConversion"/>
  </si>
  <si>
    <t>감가상각률</t>
    <phoneticPr fontId="3" type="noConversion"/>
  </si>
  <si>
    <t>BV</t>
    <phoneticPr fontId="3" type="noConversion"/>
  </si>
  <si>
    <t>건물</t>
  </si>
  <si>
    <t>구축물</t>
  </si>
  <si>
    <t>기계장치</t>
  </si>
  <si>
    <t>차량운반구</t>
    <phoneticPr fontId="3" type="noConversion"/>
  </si>
  <si>
    <t>비품</t>
    <phoneticPr fontId="3" type="noConversion"/>
  </si>
  <si>
    <t>기타유형자산</t>
  </si>
  <si>
    <t>유형자산 구분</t>
    <phoneticPr fontId="3" type="noConversion"/>
  </si>
  <si>
    <t>기초BV</t>
    <phoneticPr fontId="3" type="noConversion"/>
  </si>
  <si>
    <t>취득</t>
    <phoneticPr fontId="3" type="noConversion"/>
  </si>
  <si>
    <t>처분</t>
    <phoneticPr fontId="3" type="noConversion"/>
  </si>
  <si>
    <t>대체</t>
    <phoneticPr fontId="3" type="noConversion"/>
  </si>
  <si>
    <t>감가상각비</t>
    <phoneticPr fontId="3" type="noConversion"/>
  </si>
  <si>
    <t>기말BV</t>
    <phoneticPr fontId="3" type="noConversion"/>
  </si>
  <si>
    <t>비중</t>
    <phoneticPr fontId="3" type="noConversion"/>
  </si>
  <si>
    <t>상각률 1</t>
    <phoneticPr fontId="3" type="noConversion"/>
  </si>
  <si>
    <t>상각률 2</t>
    <phoneticPr fontId="3" type="noConversion"/>
  </si>
  <si>
    <t>차량운반구</t>
    <phoneticPr fontId="3" type="noConversion"/>
  </si>
  <si>
    <t>비품</t>
    <phoneticPr fontId="3" type="noConversion"/>
  </si>
  <si>
    <t>건설중인자산</t>
    <phoneticPr fontId="3" type="noConversion"/>
  </si>
  <si>
    <t>계</t>
    <phoneticPr fontId="3" type="noConversion"/>
  </si>
  <si>
    <t>무형자산 구분</t>
    <phoneticPr fontId="3" type="noConversion"/>
  </si>
  <si>
    <t>감가상각률</t>
    <phoneticPr fontId="3" type="noConversion"/>
  </si>
  <si>
    <t>영업권</t>
    <phoneticPr fontId="3" type="noConversion"/>
  </si>
  <si>
    <t>산업재산권</t>
  </si>
  <si>
    <t>기타무형자산</t>
    <phoneticPr fontId="3" type="noConversion"/>
  </si>
  <si>
    <t>무형자산 구분</t>
    <phoneticPr fontId="3" type="noConversion"/>
  </si>
  <si>
    <t>기초BV</t>
    <phoneticPr fontId="3" type="noConversion"/>
  </si>
  <si>
    <t>취득</t>
    <phoneticPr fontId="3" type="noConversion"/>
  </si>
  <si>
    <t>무형상각비</t>
    <phoneticPr fontId="3" type="noConversion"/>
  </si>
  <si>
    <t>기말BV</t>
    <phoneticPr fontId="3" type="noConversion"/>
  </si>
  <si>
    <t>비중</t>
    <phoneticPr fontId="3" type="noConversion"/>
  </si>
  <si>
    <t>영업권</t>
    <phoneticPr fontId="3" type="noConversion"/>
  </si>
  <si>
    <t>기타무형자산</t>
    <phoneticPr fontId="3" type="noConversion"/>
  </si>
  <si>
    <t>계</t>
    <phoneticPr fontId="3" type="noConversion"/>
  </si>
  <si>
    <t>영업권</t>
    <phoneticPr fontId="3" type="noConversion"/>
  </si>
  <si>
    <t>회원권</t>
    <phoneticPr fontId="3" type="noConversion"/>
  </si>
  <si>
    <t>내용연수</t>
    <phoneticPr fontId="3" type="noConversion"/>
  </si>
  <si>
    <t>내용연수</t>
    <phoneticPr fontId="3" type="noConversion"/>
  </si>
  <si>
    <t>건설中</t>
    <phoneticPr fontId="3" type="noConversion"/>
  </si>
  <si>
    <t>전기가격</t>
  </si>
  <si>
    <t>수렴비율</t>
    <phoneticPr fontId="9" type="noConversion"/>
  </si>
  <si>
    <t>수렴연도</t>
    <phoneticPr fontId="9" type="noConversion"/>
  </si>
  <si>
    <t>경제수렴</t>
    <phoneticPr fontId="9" type="noConversion"/>
  </si>
  <si>
    <t>산업수렴</t>
    <phoneticPr fontId="9" type="noConversion"/>
  </si>
  <si>
    <t>경제수렴</t>
    <phoneticPr fontId="9" type="noConversion"/>
  </si>
  <si>
    <t>산업수렴</t>
    <phoneticPr fontId="9" type="noConversion"/>
  </si>
  <si>
    <t>과세표준</t>
    <phoneticPr fontId="3" type="noConversion"/>
  </si>
  <si>
    <t>누진공제</t>
    <phoneticPr fontId="3" type="noConversion"/>
  </si>
  <si>
    <t>인원수</t>
    <phoneticPr fontId="3" type="noConversion"/>
  </si>
  <si>
    <t>경제성장률</t>
    <phoneticPr fontId="3" type="noConversion"/>
  </si>
  <si>
    <t>적용성장률</t>
    <phoneticPr fontId="3" type="noConversion"/>
  </si>
  <si>
    <t>비중</t>
    <phoneticPr fontId="3" type="noConversion"/>
  </si>
  <si>
    <t>경제성장 적용</t>
  </si>
  <si>
    <t>경제성장 적용</t>
    <phoneticPr fontId="3" type="noConversion"/>
  </si>
  <si>
    <t>적용성장 적용</t>
    <phoneticPr fontId="3" type="noConversion"/>
  </si>
  <si>
    <t>7. FCF sheet NOPLAT 법인세율 확인</t>
    <phoneticPr fontId="3" type="noConversion"/>
  </si>
  <si>
    <t>Avg 2Y</t>
    <phoneticPr fontId="3" type="noConversion"/>
  </si>
  <si>
    <t>WA 3Y</t>
  </si>
  <si>
    <t>WA 3Y</t>
    <phoneticPr fontId="3" type="noConversion"/>
  </si>
  <si>
    <t>Aver 2Y</t>
    <phoneticPr fontId="3" type="noConversion"/>
  </si>
  <si>
    <t>Avg 3Y</t>
    <phoneticPr fontId="3" type="noConversion"/>
  </si>
  <si>
    <t>WA 3Y</t>
    <phoneticPr fontId="3" type="noConversion"/>
  </si>
  <si>
    <t>Avg 3Y</t>
    <phoneticPr fontId="3" type="noConversion"/>
  </si>
  <si>
    <t># 해당시트는 삭제하거나 숨길 것</t>
    <phoneticPr fontId="3" type="noConversion"/>
  </si>
  <si>
    <t>Ticker</t>
  </si>
  <si>
    <t>Symbol</t>
  </si>
  <si>
    <t>종목명(Eng)</t>
  </si>
  <si>
    <t>종목명</t>
  </si>
  <si>
    <t>10차표준(세분류)</t>
  </si>
  <si>
    <t>매출액</t>
  </si>
  <si>
    <t>영업이익</t>
  </si>
  <si>
    <t>세전이익</t>
  </si>
  <si>
    <t>자본총계</t>
  </si>
  <si>
    <t>베타</t>
  </si>
  <si>
    <t>차입금/시총</t>
  </si>
  <si>
    <t>거래정지</t>
  </si>
  <si>
    <t>관리종목</t>
  </si>
  <si>
    <t>시작일</t>
  </si>
  <si>
    <t>종료일</t>
  </si>
  <si>
    <t>차입금</t>
  </si>
  <si>
    <t>시가총액</t>
  </si>
  <si>
    <t>평가가격</t>
    <phoneticPr fontId="14" type="noConversion"/>
  </si>
  <si>
    <t>차입금비율</t>
    <phoneticPr fontId="14" type="noConversion"/>
  </si>
  <si>
    <t>법인세율</t>
    <phoneticPr fontId="14" type="noConversion"/>
  </si>
  <si>
    <t>종목명</t>
    <phoneticPr fontId="14" type="noConversion"/>
  </si>
  <si>
    <t>Ticker</t>
    <phoneticPr fontId="14" type="noConversion"/>
  </si>
  <si>
    <t>법인번호</t>
    <phoneticPr fontId="14" type="noConversion"/>
  </si>
  <si>
    <t>10차표준(세분류)</t>
    <phoneticPr fontId="14" type="noConversion"/>
  </si>
  <si>
    <t>영업이익</t>
    <phoneticPr fontId="14" type="noConversion"/>
  </si>
  <si>
    <t>세전이익</t>
    <phoneticPr fontId="14" type="noConversion"/>
  </si>
  <si>
    <t>자본총계</t>
    <phoneticPr fontId="14" type="noConversion"/>
  </si>
  <si>
    <t>베타</t>
    <phoneticPr fontId="14" type="noConversion"/>
  </si>
  <si>
    <t>차입금/시총</t>
    <phoneticPr fontId="14" type="noConversion"/>
  </si>
  <si>
    <t>Unlevered</t>
    <phoneticPr fontId="14" type="noConversion"/>
  </si>
  <si>
    <t>Levered</t>
    <phoneticPr fontId="14" type="noConversion"/>
  </si>
  <si>
    <t>산업평균</t>
    <phoneticPr fontId="14" type="noConversion"/>
  </si>
  <si>
    <t>거래정지</t>
    <phoneticPr fontId="9" type="noConversion"/>
  </si>
  <si>
    <t>관리종목</t>
    <phoneticPr fontId="9" type="noConversion"/>
  </si>
  <si>
    <t>롯데지주</t>
    <phoneticPr fontId="9" type="noConversion"/>
  </si>
  <si>
    <t>성장률 확인 必</t>
    <phoneticPr fontId="9" type="noConversion"/>
  </si>
  <si>
    <t>FCF추정!E22</t>
    <phoneticPr fontId="9" type="noConversion"/>
  </si>
  <si>
    <t>연도</t>
  </si>
  <si>
    <t>FCF</t>
  </si>
  <si>
    <t>현가계수</t>
  </si>
  <si>
    <t>현재가치</t>
  </si>
  <si>
    <t>구분</t>
  </si>
  <si>
    <t>금액</t>
  </si>
  <si>
    <t>비고</t>
  </si>
  <si>
    <t>Peer Companies</t>
  </si>
  <si>
    <t>관측베타</t>
  </si>
  <si>
    <t>차입금/시총(%)</t>
    <phoneticPr fontId="9" type="noConversion"/>
  </si>
  <si>
    <t>Unlevered Beta</t>
  </si>
  <si>
    <t>Levered Beta</t>
  </si>
  <si>
    <t>FCF추정!F22</t>
  </si>
  <si>
    <t>FCF추정!G22</t>
  </si>
  <si>
    <t>FCF추정!H22</t>
  </si>
  <si>
    <t>FCF추정!I22</t>
  </si>
  <si>
    <t>FCF추정!J22</t>
  </si>
  <si>
    <t>FCF추정!F20</t>
    <phoneticPr fontId="9" type="noConversion"/>
  </si>
  <si>
    <t>FCF추정!F5</t>
  </si>
  <si>
    <t>FCF추정!F24</t>
  </si>
  <si>
    <t>FCF추정!F21</t>
  </si>
  <si>
    <t>단기금융상품</t>
  </si>
  <si>
    <t>Ⅰ. 매출액</t>
  </si>
  <si>
    <t>FCF추정!G20</t>
  </si>
  <si>
    <t>FCF추정!G5</t>
  </si>
  <si>
    <t>FCF추정!G24</t>
  </si>
  <si>
    <t>FCF추정!G21</t>
  </si>
  <si>
    <t>계</t>
  </si>
  <si>
    <t>단기투자증권</t>
  </si>
  <si>
    <t>Ⅱ. 매출원가</t>
  </si>
  <si>
    <t>FCF추정!H20</t>
  </si>
  <si>
    <t>FCF추정!H5</t>
  </si>
  <si>
    <t>FCF추정!H24</t>
  </si>
  <si>
    <t>FCF추정!H21</t>
  </si>
  <si>
    <t>Growth Rate(%)</t>
    <phoneticPr fontId="9" type="noConversion"/>
  </si>
  <si>
    <t>장기금융상품</t>
  </si>
  <si>
    <t>Ⅲ. 매출총이익</t>
  </si>
  <si>
    <t>FCF추정!I20</t>
  </si>
  <si>
    <t>FCF추정!I5</t>
  </si>
  <si>
    <t>FCF추정!I24</t>
  </si>
  <si>
    <t>FCF추정!I21</t>
  </si>
  <si>
    <t>장기투자증권</t>
  </si>
  <si>
    <t>Ⅳ. 판매 및 일반관리비</t>
  </si>
  <si>
    <t>FCF추정!J20</t>
  </si>
  <si>
    <t>FCF추정!J5</t>
  </si>
  <si>
    <t>FCF추정!J24</t>
  </si>
  <si>
    <t>FCF추정!J21</t>
  </si>
  <si>
    <t>지분법적용주식</t>
  </si>
  <si>
    <t>1. 매출관련경비</t>
  </si>
  <si>
    <t>Terminal Value (＊)</t>
  </si>
  <si>
    <t>FCF추정!K20</t>
  </si>
  <si>
    <t>FCF추정!K5</t>
  </si>
  <si>
    <t>FCF추정!K21</t>
  </si>
  <si>
    <t>매출원가</t>
  </si>
  <si>
    <t>투자부동산</t>
  </si>
  <si>
    <t>2. 인건비</t>
  </si>
  <si>
    <t>회원권</t>
  </si>
  <si>
    <t>3. 인건비성경비</t>
  </si>
  <si>
    <t>% Of Sales</t>
    <phoneticPr fontId="9" type="noConversion"/>
  </si>
  <si>
    <t>기타비영업용자산</t>
  </si>
  <si>
    <t>4. 고정성경비</t>
  </si>
  <si>
    <t>(+) 비영업용자산 (Non-Operating Assets)</t>
    <phoneticPr fontId="9" type="noConversion"/>
  </si>
  <si>
    <t>비영업용자산 계</t>
  </si>
  <si>
    <t>5. 감가상각비(IS)</t>
  </si>
  <si>
    <t>6. 무형자산상각비(IS)</t>
  </si>
  <si>
    <t>매출관련경비</t>
  </si>
  <si>
    <t>Ⅴ. 영업이익</t>
  </si>
  <si>
    <t>인건비</t>
  </si>
  <si>
    <t>단기차입금</t>
  </si>
  <si>
    <t>Ⅵ. 법인세비용</t>
  </si>
  <si>
    <t>인건비성경비</t>
  </si>
  <si>
    <t>유동성장기부채</t>
  </si>
  <si>
    <t>Ⅶ. NOPLAT (a)</t>
  </si>
  <si>
    <t>고정성경비</t>
  </si>
  <si>
    <t>장기사채</t>
  </si>
  <si>
    <r>
      <t>Ⅷ.</t>
    </r>
    <r>
      <rPr>
        <sz val="9"/>
        <color rgb="FF000000"/>
        <rFont val="Arial Unicode MS"/>
        <family val="2"/>
      </rPr>
      <t xml:space="preserve"> 조정사항 (b)</t>
    </r>
  </si>
  <si>
    <t>감가상각비</t>
  </si>
  <si>
    <t>장기차입금</t>
  </si>
  <si>
    <t xml:space="preserve">1. 감가상각비(CF) </t>
  </si>
  <si>
    <t>무형자산상각비</t>
  </si>
  <si>
    <t>금융리스부채</t>
  </si>
  <si>
    <t>Average</t>
  </si>
  <si>
    <t>2. 순운전자본의 증감</t>
  </si>
  <si>
    <t>FCF추정!F19</t>
    <phoneticPr fontId="9" type="noConversion"/>
  </si>
  <si>
    <t>FCF추정!G19</t>
    <phoneticPr fontId="9" type="noConversion"/>
  </si>
  <si>
    <t>FCF추정!H19</t>
    <phoneticPr fontId="9" type="noConversion"/>
  </si>
  <si>
    <t>FCF추정!I19</t>
    <phoneticPr fontId="9" type="noConversion"/>
  </si>
  <si>
    <t>FCF추정!J19</t>
    <phoneticPr fontId="9" type="noConversion"/>
  </si>
  <si>
    <t>기타</t>
    <phoneticPr fontId="9" type="noConversion"/>
  </si>
  <si>
    <t>기타재무부채</t>
  </si>
  <si>
    <t xml:space="preserve">3. 자본적지출(CAPEX) </t>
  </si>
  <si>
    <t>판매관리비 계</t>
  </si>
  <si>
    <t>현금및현금등가물</t>
  </si>
  <si>
    <t>항목</t>
  </si>
  <si>
    <t>산식</t>
  </si>
  <si>
    <t>값</t>
  </si>
  <si>
    <t>Ⅸ. FCFF (c=a-b)</t>
  </si>
  <si>
    <t>% Of Sales</t>
    <phoneticPr fontId="9" type="noConversion"/>
  </si>
  <si>
    <t>순부채 계</t>
  </si>
  <si>
    <t>βL = βU × (1 + (1 - t) × B/S평가대상기업)
(Bloomberg)</t>
    <phoneticPr fontId="9" type="noConversion"/>
  </si>
  <si>
    <t>할인율</t>
  </si>
  <si>
    <t>무위험이자율</t>
  </si>
  <si>
    <t>Risk Free Rate of Korea (1yr)
(Bloomberg)</t>
    <phoneticPr fontId="9" type="noConversion"/>
  </si>
  <si>
    <t>할인기간(기중현금흐름)</t>
  </si>
  <si>
    <t>Market Risk Premium</t>
  </si>
  <si>
    <t>Market Risk premium of Korea (1yr)</t>
  </si>
  <si>
    <t>FCF추정!F5</t>
    <phoneticPr fontId="9" type="noConversion"/>
  </si>
  <si>
    <t>회사명</t>
  </si>
  <si>
    <t>기업형태</t>
  </si>
  <si>
    <t>규모 및 비상장프리미엄</t>
  </si>
  <si>
    <t xml:space="preserve">검토 받지 않은 재무정보 및 매출규모 고려 </t>
  </si>
  <si>
    <t>잔여기간</t>
    <phoneticPr fontId="9" type="noConversion"/>
  </si>
  <si>
    <t>FCF추정!F23</t>
  </si>
  <si>
    <t>FCF추정!G23</t>
  </si>
  <si>
    <t>FCF추정!H23</t>
  </si>
  <si>
    <t>FCF추정!I23</t>
  </si>
  <si>
    <t>FCF추정!J23</t>
  </si>
  <si>
    <t>대표자</t>
  </si>
  <si>
    <t>설립일자</t>
  </si>
  <si>
    <t>Growth Rate(%)</t>
    <phoneticPr fontId="9" type="noConversion"/>
  </si>
  <si>
    <t>자기자본비용(Ke)</t>
  </si>
  <si>
    <r>
      <t>Ke = R</t>
    </r>
    <r>
      <rPr>
        <vertAlign val="subscript"/>
        <sz val="9"/>
        <color rgb="FF000000"/>
        <rFont val="맑은 고딕"/>
        <family val="3"/>
        <charset val="129"/>
        <scheme val="minor"/>
      </rPr>
      <t>f</t>
    </r>
    <r>
      <rPr>
        <sz val="9"/>
        <color rgb="FF000000"/>
        <rFont val="맑은 고딕"/>
        <family val="3"/>
        <charset val="129"/>
        <scheme val="minor"/>
      </rPr>
      <t xml:space="preserve"> + β</t>
    </r>
    <r>
      <rPr>
        <vertAlign val="subscript"/>
        <sz val="9"/>
        <color rgb="FF000000"/>
        <rFont val="맑은 고딕"/>
        <family val="3"/>
        <charset val="129"/>
        <scheme val="minor"/>
      </rPr>
      <t>L</t>
    </r>
    <r>
      <rPr>
        <sz val="9"/>
        <color rgb="FF000000"/>
        <rFont val="맑은 고딕"/>
        <family val="3"/>
        <charset val="129"/>
        <scheme val="minor"/>
      </rPr>
      <t xml:space="preserve"> × MRP + 규모 및 비상장프리미엄</t>
    </r>
  </si>
  <si>
    <t>PV of FCFF</t>
  </si>
  <si>
    <t>계열명</t>
  </si>
  <si>
    <t>결산월</t>
  </si>
  <si>
    <t>구분</t>
    <phoneticPr fontId="9" type="noConversion"/>
  </si>
  <si>
    <t>법인세율(t)</t>
  </si>
  <si>
    <t>영업이익 수준을 고려한 한계세율 적용</t>
  </si>
  <si>
    <t>% of Sales</t>
    <phoneticPr fontId="9" type="noConversion"/>
  </si>
  <si>
    <t>세전타인자본비용(Kd)</t>
  </si>
  <si>
    <t>회사의 현재 신용위험을 반영한 수익률</t>
  </si>
  <si>
    <t>Ⅹ. ΣPV of FCFF(d)</t>
    <phoneticPr fontId="9" type="noConversion"/>
  </si>
  <si>
    <t>표준산업분류(10차)</t>
    <phoneticPr fontId="9" type="noConversion"/>
  </si>
  <si>
    <t>매출총이익</t>
  </si>
  <si>
    <t>가중평균자본비용(WACC)</t>
  </si>
  <si>
    <r>
      <t>WACC = K</t>
    </r>
    <r>
      <rPr>
        <vertAlign val="subscript"/>
        <sz val="9"/>
        <color rgb="FF000000"/>
        <rFont val="맑은 고딕"/>
        <family val="3"/>
        <charset val="129"/>
        <scheme val="minor"/>
      </rPr>
      <t>e</t>
    </r>
    <r>
      <rPr>
        <sz val="9"/>
        <color rgb="FF000000"/>
        <rFont val="맑은 고딕"/>
        <family val="3"/>
        <charset val="129"/>
        <scheme val="minor"/>
      </rPr>
      <t xml:space="preserve"> × [S/(S+B)] + K</t>
    </r>
    <r>
      <rPr>
        <vertAlign val="subscript"/>
        <sz val="9"/>
        <color rgb="FF000000"/>
        <rFont val="맑은 고딕"/>
        <family val="3"/>
        <charset val="129"/>
        <scheme val="minor"/>
      </rPr>
      <t>d</t>
    </r>
    <r>
      <rPr>
        <sz val="9"/>
        <color rgb="FF000000"/>
        <rFont val="맑은 고딕"/>
        <family val="3"/>
        <charset val="129"/>
        <scheme val="minor"/>
      </rPr>
      <t xml:space="preserve"> × [B/(S+B)]</t>
    </r>
  </si>
  <si>
    <r>
      <t>Ⅺ</t>
    </r>
    <r>
      <rPr>
        <sz val="9"/>
        <color theme="1"/>
        <rFont val="맑은 고딕"/>
        <family val="3"/>
        <charset val="129"/>
      </rPr>
      <t>. 영구가치(e)</t>
    </r>
  </si>
  <si>
    <t>FCF추정!K21</t>
    <phoneticPr fontId="9" type="noConversion"/>
  </si>
  <si>
    <t>주요상품</t>
  </si>
  <si>
    <t>판매관리비</t>
  </si>
  <si>
    <r>
      <t>Ⅻ</t>
    </r>
    <r>
      <rPr>
        <sz val="9"/>
        <color theme="1"/>
        <rFont val="맑은 고딕"/>
        <family val="3"/>
        <charset val="129"/>
      </rPr>
      <t>. 영업가치(f=d+e)</t>
    </r>
  </si>
  <si>
    <t>XIII. 비영업용자산(g)</t>
  </si>
  <si>
    <t>XIV. 기업가치(h=f+g)</t>
  </si>
  <si>
    <t>유동자산</t>
  </si>
  <si>
    <t>XV. 순부채(i)</t>
  </si>
  <si>
    <t>비유동자산</t>
  </si>
  <si>
    <t>XVI. 우선주 등(j)</t>
  </si>
  <si>
    <t>자산총계</t>
  </si>
  <si>
    <t>XVII.자기자본가치(k=h-i-j)</t>
  </si>
  <si>
    <t>유동부채</t>
  </si>
  <si>
    <t>비유동부채</t>
  </si>
  <si>
    <t>기타</t>
    <phoneticPr fontId="9" type="noConversion"/>
  </si>
  <si>
    <t>XIX. 주당 평가금액</t>
  </si>
  <si>
    <t>FCF추정!E57</t>
    <phoneticPr fontId="9" type="noConversion"/>
  </si>
  <si>
    <t>부채총계</t>
  </si>
  <si>
    <t>% Of Sales</t>
    <phoneticPr fontId="9" type="noConversion"/>
  </si>
  <si>
    <t>법인세비용</t>
  </si>
  <si>
    <t>← 결손금 공제 평가시, 재확인 필요</t>
    <phoneticPr fontId="9" type="noConversion"/>
  </si>
  <si>
    <t>세후순영업이익</t>
  </si>
  <si>
    <t>판관비 등</t>
  </si>
  <si>
    <t>유형자산(계)</t>
  </si>
  <si>
    <t>평가대상기업</t>
  </si>
  <si>
    <t>평가대상주식</t>
  </si>
  <si>
    <t>보통주</t>
  </si>
  <si>
    <t>액면금액</t>
  </si>
  <si>
    <t>무형자산(계)</t>
  </si>
  <si>
    <t>평가목적</t>
  </si>
  <si>
    <t>재무보고 목적평가</t>
  </si>
  <si>
    <t>평가보고서용도</t>
  </si>
  <si>
    <t>회계반영을 위한 근거</t>
  </si>
  <si>
    <t>자본적지출</t>
  </si>
  <si>
    <t>운전자산</t>
  </si>
  <si>
    <t>FCF추정!F16</t>
  </si>
  <si>
    <t>FCF추정!G16</t>
  </si>
  <si>
    <t>FCF추정!H16</t>
  </si>
  <si>
    <t>FCF추정!I16</t>
  </si>
  <si>
    <t>FCF추정!J16</t>
  </si>
  <si>
    <t>운전부채</t>
  </si>
  <si>
    <t>FCF추정!F17</t>
  </si>
  <si>
    <t>FCF추정!G17</t>
  </si>
  <si>
    <t>FCF추정!H17</t>
  </si>
  <si>
    <t>FCF추정!I17</t>
  </si>
  <si>
    <t>FCF추정!J17</t>
  </si>
  <si>
    <t>순운전자본</t>
  </si>
  <si>
    <t>FCF추정!F18</t>
  </si>
  <si>
    <t>FCF추정!G18</t>
  </si>
  <si>
    <t>FCF추정!H18</t>
  </si>
  <si>
    <t>FCF추정!I18</t>
  </si>
  <si>
    <t>FCF추정!J18</t>
  </si>
  <si>
    <t>순운전자본변동분</t>
  </si>
  <si>
    <t>FCF추정!F19</t>
  </si>
  <si>
    <t>FCF추정!G19</t>
  </si>
  <si>
    <t>FCF추정!H19</t>
  </si>
  <si>
    <t>FCF추정!I19</t>
  </si>
  <si>
    <t>FCF추정!J19</t>
  </si>
  <si>
    <t>적용비율</t>
  </si>
  <si>
    <t>매출채권</t>
  </si>
  <si>
    <t>재고자산</t>
  </si>
  <si>
    <t>매입채무</t>
  </si>
  <si>
    <t>무위험이자율(%)</t>
  </si>
  <si>
    <t>위험프리미엄(%)</t>
  </si>
  <si>
    <t>NWC/매출액 (%)</t>
    <phoneticPr fontId="3" type="noConversion"/>
  </si>
  <si>
    <t>성장률평균</t>
  </si>
  <si>
    <t>직원수 default = 100</t>
    <phoneticPr fontId="3" type="noConversion"/>
  </si>
  <si>
    <t>대용베타 
산정</t>
    <phoneticPr fontId="14" type="noConversion"/>
  </si>
  <si>
    <t>최종선택</t>
    <phoneticPr fontId="14" type="noConversion"/>
  </si>
  <si>
    <t>2차선택</t>
    <phoneticPr fontId="9" type="noConversion"/>
  </si>
  <si>
    <t>회사제시</t>
  </si>
  <si>
    <t>IMF 경제성장률</t>
  </si>
  <si>
    <t>CAGR</t>
  </si>
  <si>
    <t>급여인상율(%)</t>
  </si>
  <si>
    <t>사무실임대료증가율(%)</t>
  </si>
  <si>
    <t>소비자물가상승률(%)</t>
  </si>
  <si>
    <t>생산자물가상승률(%)</t>
  </si>
  <si>
    <t>과세표준</t>
  </si>
  <si>
    <t>세율</t>
  </si>
  <si>
    <t>누진공제</t>
  </si>
  <si>
    <t>차입금/시총(%)</t>
  </si>
  <si>
    <t>βL = βU × (1 + (1 - t) × B/S평가대상기업)
(Bloomberg)</t>
  </si>
  <si>
    <t>Risk Free Rate of Korea (1yr)
(Bloomberg)</t>
  </si>
  <si>
    <t>Ke = Rf + βL × MRP + 규모 및 비상장프리미엄</t>
  </si>
  <si>
    <t>WACC = Ke × [S/(S+B)] + Kd × [B/(S+B)]</t>
  </si>
  <si>
    <t>급여와 퇴직급여로 구분되어 있으며, 회사의 인원계획과 예상급여 인상률 및 과거 급여 대비 퇴직급여의 비율 등을 고려하였습니다.</t>
  </si>
  <si>
    <t>Ⅷ. 조정사항 (b)</t>
  </si>
  <si>
    <t>현금흐름표 상 계상되는 감가상각비입니다. 과거 감가상각률 비율을 사용하여 산정하였습니다.</t>
  </si>
  <si>
    <t>잔여기간</t>
  </si>
  <si>
    <t>Ⅹ. ΣPV of FCFF(d)</t>
  </si>
  <si>
    <t>Ⅺ. 영구가치(e)</t>
  </si>
  <si>
    <t>Ⅻ. 영업가치(f=d+e)</t>
  </si>
  <si>
    <t>1. 기초데이터 검토</t>
    <phoneticPr fontId="14" type="noConversion"/>
  </si>
  <si>
    <t>1) 매출성장률</t>
    <phoneticPr fontId="14" type="noConversion"/>
  </si>
  <si>
    <t>구분</t>
    <phoneticPr fontId="14" type="noConversion"/>
  </si>
  <si>
    <t>2) 판매관리비 관련 가정</t>
    <phoneticPr fontId="14" type="noConversion"/>
  </si>
  <si>
    <t>(Source: 한국은행경제통계시스템)</t>
    <phoneticPr fontId="14" type="noConversion"/>
  </si>
  <si>
    <t>3) 법인세비용</t>
    <phoneticPr fontId="14" type="noConversion"/>
  </si>
  <si>
    <t>법인세비용</t>
    <phoneticPr fontId="14" type="noConversion"/>
  </si>
  <si>
    <t>2억 미만</t>
    <phoneticPr fontId="14" type="noConversion"/>
  </si>
  <si>
    <t>2억 ~ 200억</t>
    <phoneticPr fontId="14" type="noConversion"/>
  </si>
  <si>
    <t>200억 ~ 3000억</t>
    <phoneticPr fontId="14" type="noConversion"/>
  </si>
  <si>
    <t>3000억 초과</t>
    <phoneticPr fontId="14" type="noConversion"/>
  </si>
  <si>
    <t>2. 할인율 산정</t>
    <phoneticPr fontId="14" type="noConversion"/>
  </si>
  <si>
    <t>1) 베타 산정</t>
    <phoneticPr fontId="14" type="noConversion"/>
  </si>
  <si>
    <t>2) 가중평균자본비용 산정</t>
    <phoneticPr fontId="14" type="noConversion"/>
  </si>
  <si>
    <t>3. 평가수행 및 추정내역 요약</t>
    <phoneticPr fontId="14" type="noConversion"/>
  </si>
  <si>
    <t>판매수수료, 접대비, 광고선전비 등 매출과 관련된 비용으로 회사 제시 자료 및 과거 매출액 대비 매출관련경비 비율 등을 고려하여 추정하였습니다.</t>
    <phoneticPr fontId="14" type="noConversion"/>
  </si>
  <si>
    <t>인건비성 경비는 복리후생비, 교육훈련비 등 인건비와 관련된 비용으로 회사의 인원계획 및 과거 인건비 대비 인건비성 경비 비율 등을 고려하여 추정하였습니다.</t>
    <phoneticPr fontId="14" type="noConversion"/>
  </si>
  <si>
    <t>임대료, 세금과 공과, 보험료 등으로 구성되며, 평가 시점 기준 과거 10년 간의 월평균 소비자물가상승률, 임차료 상승률, 생산자물가상승률은 하기와 같이 동일하게 상승한다고 가정하였습니다.</t>
    <phoneticPr fontId="14" type="noConversion"/>
  </si>
  <si>
    <t>판매 및 관리비로 계상되는 감가상각비입니다. 회사의 제시 계획 및 현금흐름표 상 감가상각비와 판관비 상 감가상각비의 과거 비율 등을 사용하여 산정하였습니다.</t>
    <phoneticPr fontId="14" type="noConversion"/>
  </si>
  <si>
    <t>판매 및 관리비로 계상되는 무형자산상각비입니다. 회사의 제시계획 및 현금흐름표 상 상각비와 판관비 상 상각비의 과거 비율을 사용하여 산정하였습니다.</t>
    <phoneticPr fontId="14" type="noConversion"/>
  </si>
  <si>
    <t>T=(평가기준일과 기말사이의 기간)/365, 1/(1+Wacc)^T</t>
    <phoneticPr fontId="14" type="noConversion"/>
  </si>
  <si>
    <t>4. DCF모형 평가결과</t>
    <phoneticPr fontId="14" type="noConversion"/>
  </si>
  <si>
    <t>비영업용자산은 영업에 사용되지 않는 자산으로 초과현금보유분 및 지분법적용투자주식 등의 자산 등을 포함합니다.</t>
    <phoneticPr fontId="14" type="noConversion"/>
  </si>
  <si>
    <t>회사의 최신 감사보고서 및 제공받은 자료를 검토후 평가기준일의 비영업용자산/부채 등을 포함합니다.</t>
    <phoneticPr fontId="14" type="noConversion"/>
  </si>
  <si>
    <t>매입채무, 미지급비용 등은 운전부채로 분류하여 운전부채 회전율을 반영하여 추정하였습니다.</t>
    <phoneticPr fontId="14" type="noConversion"/>
  </si>
  <si>
    <t>영업과 관련된 매출채권 선급비용 등을 운전자산으로 분류, 운전자산회전율을 반영하여 향후 운전자산을 추정였습니다.</t>
    <phoneticPr fontId="14" type="noConversion"/>
  </si>
  <si>
    <t>순운전자본의 구성요소는 매출채권, 재고자산, 매입채무 등 영업관련계정입니다.</t>
    <phoneticPr fontId="14" type="noConversion"/>
  </si>
  <si>
    <t>각각 매출채권회전율, 매입채무회전율, 재고자산회전율 등의 과거 비율을 고려하여 추정하였습니다.</t>
    <phoneticPr fontId="14" type="noConversion"/>
  </si>
  <si>
    <t>← 추가 입력하여 송부할 것</t>
    <phoneticPr fontId="9" type="noConversion"/>
  </si>
  <si>
    <t>← 불필요한 내용은 삭제하고 송부할 것</t>
    <phoneticPr fontId="9" type="noConversion"/>
  </si>
  <si>
    <t>연결기준</t>
  </si>
  <si>
    <t>컨센서스</t>
  </si>
  <si>
    <t>FCF추정!F24</t>
    <phoneticPr fontId="9" type="noConversion"/>
  </si>
  <si>
    <t>FCF추정!G24</t>
    <phoneticPr fontId="9" type="noConversion"/>
  </si>
  <si>
    <t>FCF추정!H24</t>
    <phoneticPr fontId="9" type="noConversion"/>
  </si>
  <si>
    <t>FCF추정!I24</t>
    <phoneticPr fontId="9" type="noConversion"/>
  </si>
  <si>
    <t>FCF추정!J24</t>
    <phoneticPr fontId="9" type="noConversion"/>
  </si>
  <si>
    <t>S</t>
    <phoneticPr fontId="9" type="noConversion"/>
  </si>
  <si>
    <t>D85010</t>
    <phoneticPr fontId="9" type="noConversion"/>
  </si>
  <si>
    <t>D85020</t>
    <phoneticPr fontId="9" type="noConversion"/>
  </si>
  <si>
    <t>D85030</t>
    <phoneticPr fontId="9" type="noConversion"/>
  </si>
  <si>
    <t>D85000</t>
    <phoneticPr fontId="9" type="noConversion"/>
  </si>
  <si>
    <t>D85040</t>
    <phoneticPr fontId="9" type="noConversion"/>
  </si>
  <si>
    <t>D85050</t>
    <phoneticPr fontId="9" type="noConversion"/>
  </si>
  <si>
    <t>END</t>
    <phoneticPr fontId="9" type="noConversion"/>
  </si>
  <si>
    <t>START</t>
    <phoneticPr fontId="9" type="noConversion"/>
  </si>
  <si>
    <t>#001</t>
    <phoneticPr fontId="14" type="noConversion"/>
  </si>
  <si>
    <t>평가기준일2</t>
  </si>
  <si>
    <t>#003</t>
  </si>
  <si>
    <t>Year(기준일)</t>
  </si>
  <si>
    <t>#004</t>
  </si>
  <si>
    <t>Month(기준일)</t>
  </si>
  <si>
    <t>#005</t>
  </si>
  <si>
    <t>기초수치</t>
  </si>
  <si>
    <t>#006</t>
  </si>
  <si>
    <t>평가가격</t>
  </si>
  <si>
    <t>#007</t>
  </si>
  <si>
    <t>재무자료 실적확인</t>
  </si>
  <si>
    <t>FCF추정!E54</t>
    <phoneticPr fontId="9" type="noConversion"/>
  </si>
  <si>
    <t>FCF추정!E56</t>
    <phoneticPr fontId="9" type="noConversion"/>
  </si>
  <si>
    <t>FCF추정!E59</t>
    <phoneticPr fontId="9" type="noConversion"/>
  </si>
  <si>
    <t>FCF추정!E60</t>
    <phoneticPr fontId="9" type="noConversion"/>
  </si>
  <si>
    <t>산업평균 Beta</t>
    <phoneticPr fontId="9" type="noConversion"/>
  </si>
  <si>
    <t>산업평균 Beta</t>
    <phoneticPr fontId="9" type="noConversion"/>
  </si>
  <si>
    <t>FCF추정!E29</t>
    <phoneticPr fontId="9" type="noConversion"/>
  </si>
  <si>
    <t>FCF추정!E30</t>
    <phoneticPr fontId="9" type="noConversion"/>
  </si>
  <si>
    <t>FCF추정!E31</t>
    <phoneticPr fontId="9" type="noConversion"/>
  </si>
  <si>
    <t>FCF추정!E32</t>
    <phoneticPr fontId="9" type="noConversion"/>
  </si>
  <si>
    <t>FCF추정!E33</t>
    <phoneticPr fontId="9" type="noConversion"/>
  </si>
  <si>
    <t>FCF추정!E34</t>
    <phoneticPr fontId="9" type="noConversion"/>
  </si>
  <si>
    <t>FCF추정!E35</t>
    <phoneticPr fontId="9" type="noConversion"/>
  </si>
  <si>
    <t>FCF추정!E36</t>
    <phoneticPr fontId="9" type="noConversion"/>
  </si>
  <si>
    <t>FCF추정!E37</t>
    <phoneticPr fontId="9" type="noConversion"/>
  </si>
  <si>
    <t>FCF추정!E38</t>
    <phoneticPr fontId="9" type="noConversion"/>
  </si>
  <si>
    <t>FCF추정!E39</t>
    <phoneticPr fontId="9" type="noConversion"/>
  </si>
  <si>
    <t>FCF추정!E40</t>
    <phoneticPr fontId="9" type="noConversion"/>
  </si>
  <si>
    <t>FCF추정!E41</t>
    <phoneticPr fontId="9" type="noConversion"/>
  </si>
  <si>
    <t>FCF추정!E42</t>
    <phoneticPr fontId="9" type="noConversion"/>
  </si>
  <si>
    <t>FCF추정!E43</t>
    <phoneticPr fontId="9" type="noConversion"/>
  </si>
  <si>
    <t>FCF추정!E44</t>
    <phoneticPr fontId="9" type="noConversion"/>
  </si>
  <si>
    <t>FCF추정!E45</t>
    <phoneticPr fontId="9" type="noConversion"/>
  </si>
  <si>
    <t>FCF추정!F11</t>
    <phoneticPr fontId="9" type="noConversion"/>
  </si>
  <si>
    <t>FCF추정!G11</t>
    <phoneticPr fontId="9" type="noConversion"/>
  </si>
  <si>
    <t>FCF추정!H11</t>
    <phoneticPr fontId="9" type="noConversion"/>
  </si>
  <si>
    <t>FCF추정!I11</t>
    <phoneticPr fontId="9" type="noConversion"/>
  </si>
  <si>
    <t>FCF추정!J11</t>
    <phoneticPr fontId="9" type="noConversion"/>
  </si>
  <si>
    <t>재무자료
(국내의 경우 백만원 단위 / 개별기준)</t>
    <phoneticPr fontId="14" type="noConversion"/>
  </si>
  <si>
    <t>국내법인</t>
    <phoneticPr fontId="9" type="noConversion"/>
  </si>
  <si>
    <t>적용 Beta</t>
    <phoneticPr fontId="9" type="noConversion"/>
  </si>
  <si>
    <t>산업분류기준</t>
    <phoneticPr fontId="9" type="noConversion"/>
  </si>
  <si>
    <t>#002</t>
    <phoneticPr fontId="14" type="noConversion"/>
  </si>
  <si>
    <t>#008</t>
    <phoneticPr fontId="9" type="noConversion"/>
  </si>
  <si>
    <t>표위치</t>
    <phoneticPr fontId="9" type="noConversion"/>
  </si>
  <si>
    <t>표_1</t>
    <phoneticPr fontId="9" type="noConversion"/>
  </si>
  <si>
    <t>표_2</t>
    <phoneticPr fontId="9" type="noConversion"/>
  </si>
  <si>
    <t>표_3</t>
  </si>
  <si>
    <t>표_4</t>
  </si>
  <si>
    <t>표_5</t>
  </si>
  <si>
    <t>표_6</t>
  </si>
  <si>
    <t>표_7</t>
  </si>
  <si>
    <t>표_8</t>
  </si>
  <si>
    <t>표_9</t>
  </si>
  <si>
    <t>표_10</t>
  </si>
  <si>
    <t>표_11</t>
  </si>
  <si>
    <t>표_12</t>
  </si>
  <si>
    <t>표_13</t>
  </si>
  <si>
    <t>표_14</t>
  </si>
  <si>
    <t>표_15</t>
  </si>
  <si>
    <t>표_16</t>
  </si>
  <si>
    <t>표_17</t>
  </si>
  <si>
    <t>표_18</t>
  </si>
  <si>
    <t>표_19</t>
  </si>
  <si>
    <t>표_20</t>
  </si>
  <si>
    <t>표_21</t>
  </si>
  <si>
    <t>Time</t>
    <phoneticPr fontId="9" type="noConversion"/>
  </si>
  <si>
    <t>-</t>
    <phoneticPr fontId="9" type="noConversion"/>
  </si>
  <si>
    <t xml:space="preserve">영업가치(Operating Value) </t>
    <phoneticPr fontId="9" type="noConversion"/>
  </si>
  <si>
    <t>FCF추정!E53</t>
    <phoneticPr fontId="9" type="noConversion"/>
  </si>
  <si>
    <t>FCF추정!E54</t>
    <phoneticPr fontId="9" type="noConversion"/>
  </si>
  <si>
    <t>기업가치(Enterprise Value)</t>
    <phoneticPr fontId="9" type="noConversion"/>
  </si>
  <si>
    <t>FCF추정!E55</t>
    <phoneticPr fontId="9" type="noConversion"/>
  </si>
  <si>
    <r>
      <t>(-) 순부채가치(Net Debt Value)</t>
    </r>
    <r>
      <rPr>
        <sz val="9"/>
        <color theme="1"/>
        <rFont val="Times New Roman"/>
        <family val="1"/>
      </rPr>
      <t> </t>
    </r>
    <r>
      <rPr>
        <sz val="9"/>
        <color theme="1"/>
        <rFont val="맑은 고딕"/>
        <family val="3"/>
        <charset val="129"/>
      </rPr>
      <t xml:space="preserve"> </t>
    </r>
    <phoneticPr fontId="9" type="noConversion"/>
  </si>
  <si>
    <t>FCF추정!E56</t>
    <phoneticPr fontId="9" type="noConversion"/>
  </si>
  <si>
    <r>
      <t>(-) 우선주가치(Preferred Equity Value)</t>
    </r>
    <r>
      <rPr>
        <sz val="9"/>
        <color theme="1"/>
        <rFont val="Times New Roman"/>
        <family val="1"/>
      </rPr>
      <t> </t>
    </r>
    <phoneticPr fontId="9" type="noConversion"/>
  </si>
  <si>
    <t>자기자본가치(Equity Value)</t>
    <phoneticPr fontId="9" type="noConversion"/>
  </si>
  <si>
    <t>FCF추정!E58</t>
    <phoneticPr fontId="9" type="noConversion"/>
  </si>
  <si>
    <t>유통보통발행주식수</t>
    <phoneticPr fontId="9" type="noConversion"/>
  </si>
  <si>
    <t>주당가치 (원)</t>
    <phoneticPr fontId="9" type="noConversion"/>
  </si>
  <si>
    <t>성장률|할인율</t>
    <phoneticPr fontId="9" type="noConversion"/>
  </si>
  <si>
    <t>세전타인자본비용(Ki)</t>
  </si>
  <si>
    <t># 시트 1번, 영업이익 수식 확인 必</t>
    <phoneticPr fontId="9" type="noConversion"/>
  </si>
  <si>
    <t>평가종류</t>
  </si>
  <si>
    <t>기준일</t>
  </si>
  <si>
    <t>주가</t>
  </si>
  <si>
    <t>배당금</t>
  </si>
  <si>
    <t>전환가정여부</t>
  </si>
  <si>
    <t>주식수</t>
  </si>
  <si>
    <t>시총순위</t>
    <phoneticPr fontId="9" type="noConversion"/>
  </si>
  <si>
    <t>매출액(직전4분기)</t>
  </si>
  <si>
    <t>상장일자</t>
  </si>
  <si>
    <t>005930 KS Equity</t>
  </si>
  <si>
    <t>A005930</t>
  </si>
  <si>
    <t>SamsungElectronics</t>
  </si>
  <si>
    <t>삼성전자</t>
  </si>
  <si>
    <t>통신 및 방송 장비 제조업</t>
  </si>
  <si>
    <t>정상</t>
  </si>
  <si>
    <t>정지·관리</t>
  </si>
  <si>
    <t>파일기준일</t>
  </si>
  <si>
    <t>목록</t>
    <phoneticPr fontId="9" type="noConversion"/>
  </si>
  <si>
    <t>값</t>
    <phoneticPr fontId="9" type="noConversion"/>
  </si>
  <si>
    <t>위치</t>
    <phoneticPr fontId="9" type="noConversion"/>
  </si>
  <si>
    <t>BS_tbl1_rows</t>
  </si>
  <si>
    <t>BS추정!$A$1</t>
    <phoneticPr fontId="9" type="noConversion"/>
  </si>
  <si>
    <t>BS_tbl2_rows</t>
  </si>
  <si>
    <t>BS추정!$A$41</t>
  </si>
  <si>
    <t>Cost_tbl1_rows</t>
  </si>
  <si>
    <t>비용추정!$A$1</t>
  </si>
  <si>
    <t>비용추정!$A$73</t>
  </si>
  <si>
    <t>감가상각추정!$A$1</t>
  </si>
  <si>
    <t>감가상각추정!$A$21</t>
  </si>
  <si>
    <t>Depr_tbl3_rows</t>
  </si>
  <si>
    <t>감가상각추정!$A$31</t>
  </si>
  <si>
    <t>FCF_tbl1_rows</t>
  </si>
  <si>
    <t>FCF추정!$A$1</t>
  </si>
  <si>
    <t>FCF_tbl2_rows</t>
  </si>
  <si>
    <t>FCF추정!$A$28</t>
  </si>
  <si>
    <t>FCF_tbl3_rows</t>
  </si>
  <si>
    <t>FCF추정!$A$52</t>
  </si>
  <si>
    <t>IS_tbl1_rows</t>
  </si>
  <si>
    <t>IS추정!$A$1</t>
  </si>
  <si>
    <t>IS_tbl2_rows</t>
  </si>
  <si>
    <t>IS추정!$A$46</t>
  </si>
  <si>
    <t>NWC_tbl1_rows</t>
  </si>
  <si>
    <t>NWC추정!$A$1</t>
  </si>
  <si>
    <t>NWC_tbl2_rows</t>
  </si>
  <si>
    <t>NWC추정!$A$45</t>
  </si>
  <si>
    <t>WACC_tbl1_rows</t>
  </si>
  <si>
    <t>WACC!$A$1</t>
  </si>
  <si>
    <t>WACC_tbl2_rows</t>
  </si>
  <si>
    <t>WACC!$A$42</t>
  </si>
  <si>
    <t>추정연장여부</t>
    <phoneticPr fontId="9" type="noConversion"/>
  </si>
  <si>
    <t>TV 사용여부</t>
    <phoneticPr fontId="9" type="noConversion"/>
  </si>
  <si>
    <t>영구성장률</t>
    <phoneticPr fontId="9" type="noConversion"/>
  </si>
  <si>
    <t>결손금반영여부</t>
    <phoneticPr fontId="9" type="noConversion"/>
  </si>
  <si>
    <t>연장기간(Columns)</t>
    <phoneticPr fontId="9" type="noConversion"/>
  </si>
  <si>
    <t>평가기준일</t>
    <phoneticPr fontId="9" type="noConversion"/>
  </si>
  <si>
    <t>DCF 평가가격</t>
    <phoneticPr fontId="3" type="noConversion"/>
  </si>
  <si>
    <t>민감도 영구성장</t>
    <phoneticPr fontId="9" type="noConversion"/>
  </si>
  <si>
    <t>Description</t>
    <phoneticPr fontId="9" type="noConversion"/>
  </si>
  <si>
    <t>N+1년도 열위치</t>
    <phoneticPr fontId="9" type="noConversion"/>
  </si>
  <si>
    <t>WACC / g</t>
    <phoneticPr fontId="9" type="noConversion"/>
  </si>
  <si>
    <t>순운전자본변동분(Change in Net Working Capital)</t>
  </si>
  <si>
    <t>Date</t>
    <phoneticPr fontId="9" type="noConversion"/>
  </si>
  <si>
    <t>YEARFRAC</t>
    <phoneticPr fontId="9" type="noConversion"/>
  </si>
  <si>
    <t>금액, 주, %</t>
    <phoneticPr fontId="9" type="noConversion"/>
  </si>
  <si>
    <t>WACC</t>
    <phoneticPr fontId="9" type="noConversion"/>
  </si>
  <si>
    <t>비영업용자산가치</t>
    <phoneticPr fontId="9" type="noConversion"/>
  </si>
  <si>
    <t>순부채</t>
    <phoneticPr fontId="9" type="noConversion"/>
  </si>
  <si>
    <t>우선주가치</t>
    <phoneticPr fontId="9" type="noConversion"/>
  </si>
  <si>
    <t>PV of Continuing Value</t>
    <phoneticPr fontId="9" type="noConversion"/>
  </si>
  <si>
    <t>영업가치</t>
    <phoneticPr fontId="9" type="noConversion"/>
  </si>
  <si>
    <t>보통주가치</t>
    <phoneticPr fontId="9" type="noConversion"/>
  </si>
  <si>
    <t>보통주 주당가치</t>
    <phoneticPr fontId="9" type="noConversion"/>
  </si>
  <si>
    <t>Lookup</t>
    <phoneticPr fontId="9" type="noConversion"/>
  </si>
  <si>
    <t>29991231Z</t>
    <phoneticPr fontId="9" type="noConversion"/>
  </si>
  <si>
    <t>D70040</t>
  </si>
  <si>
    <t>D70150</t>
  </si>
  <si>
    <t>D70160</t>
  </si>
  <si>
    <t>D70170</t>
  </si>
  <si>
    <t>D70180</t>
  </si>
  <si>
    <t>적용주식수</t>
    <phoneticPr fontId="9" type="noConversion"/>
  </si>
  <si>
    <t>Settings</t>
    <phoneticPr fontId="9" type="noConversion"/>
  </si>
  <si>
    <t>민감도 산출수식</t>
    <phoneticPr fontId="9" type="noConversion"/>
  </si>
  <si>
    <t>민감도!$B$9</t>
    <phoneticPr fontId="9" type="noConversion"/>
  </si>
  <si>
    <t>성장률|할인율</t>
  </si>
  <si>
    <t>0</t>
    <phoneticPr fontId="9" type="noConversion"/>
  </si>
  <si>
    <t>0.5</t>
    <phoneticPr fontId="9" type="noConversion"/>
  </si>
  <si>
    <t>1</t>
    <phoneticPr fontId="9" type="noConversion"/>
  </si>
  <si>
    <t>-1</t>
    <phoneticPr fontId="9" type="noConversion"/>
  </si>
  <si>
    <t>0~1%</t>
    <phoneticPr fontId="3" type="noConversion"/>
  </si>
  <si>
    <t>22.01 수정</t>
    <phoneticPr fontId="3" type="noConversion"/>
  </si>
  <si>
    <t>D70230</t>
    <phoneticPr fontId="9" type="noConversion"/>
  </si>
  <si>
    <t>기중할인기간</t>
    <phoneticPr fontId="9" type="noConversion"/>
  </si>
  <si>
    <t>NOPLAT(T)</t>
    <phoneticPr fontId="9" type="noConversion"/>
  </si>
  <si>
    <t>2~200</t>
  </si>
  <si>
    <t>200~3000</t>
  </si>
  <si>
    <t>세율(*)</t>
    <phoneticPr fontId="3" type="noConversion"/>
  </si>
  <si>
    <t>기준</t>
    <phoneticPr fontId="3" type="noConversion"/>
  </si>
  <si>
    <t>2억미만</t>
    <phoneticPr fontId="3" type="noConversion"/>
  </si>
  <si>
    <t>3000억초과</t>
    <phoneticPr fontId="3" type="noConversion"/>
  </si>
  <si>
    <t>D70060</t>
    <phoneticPr fontId="9" type="noConversion"/>
  </si>
  <si>
    <t>영업이익(EBIT)</t>
    <phoneticPr fontId="9" type="noConversion"/>
  </si>
  <si>
    <t>*세율: 주민세 포함 법인세율(법인세 * 110%)</t>
    <phoneticPr fontId="3" type="noConversion"/>
  </si>
  <si>
    <t>Track Record  / 고객사명</t>
    <phoneticPr fontId="3" type="noConversion"/>
  </si>
  <si>
    <t>WACC / g</t>
  </si>
  <si>
    <t>DF of CV</t>
  </si>
  <si>
    <t>** 본회의 의결로 확정된 개정세법 법인세 적용(2023-02-20)</t>
    <phoneticPr fontId="9" type="noConversion"/>
  </si>
  <si>
    <t>파일명</t>
    <phoneticPr fontId="9" type="noConversion"/>
  </si>
  <si>
    <t>평가회사명</t>
    <phoneticPr fontId="9" type="noConversion"/>
  </si>
  <si>
    <t>보고서연도설정</t>
    <phoneticPr fontId="9" type="noConversion"/>
  </si>
  <si>
    <t>XVIII. 유통발행주식수</t>
    <phoneticPr fontId="9" type="noConversion"/>
  </si>
  <si>
    <t>Idx</t>
    <phoneticPr fontId="9" type="noConversion"/>
  </si>
  <si>
    <t>Value</t>
    <phoneticPr fontId="9" type="noConversion"/>
  </si>
  <si>
    <t>Caption</t>
    <phoneticPr fontId="9" type="noConversion"/>
  </si>
  <si>
    <t>BetaCol</t>
    <phoneticPr fontId="9" type="noConversion"/>
  </si>
  <si>
    <t>BetaOrder</t>
    <phoneticPr fontId="9" type="noConversion"/>
  </si>
  <si>
    <t>보고서파일명</t>
    <phoneticPr fontId="9" type="noConversion"/>
  </si>
  <si>
    <t>표위치셀명</t>
    <phoneticPr fontId="9" type="noConversion"/>
  </si>
  <si>
    <t>#009</t>
    <phoneticPr fontId="9" type="noConversion"/>
  </si>
  <si>
    <t>평가값</t>
    <phoneticPr fontId="9" type="noConversion"/>
  </si>
  <si>
    <t>기업명</t>
    <phoneticPr fontId="9" type="noConversion"/>
  </si>
  <si>
    <t>표준산업분류</t>
    <phoneticPr fontId="9" type="noConversion"/>
  </si>
  <si>
    <t>Unlevered Beta(βu)</t>
  </si>
  <si>
    <t>Levered Beta(βL)</t>
  </si>
  <si>
    <t>Size premium</t>
    <phoneticPr fontId="9" type="noConversion"/>
  </si>
  <si>
    <t>Market Risk Premium</t>
    <phoneticPr fontId="9" type="noConversion"/>
  </si>
  <si>
    <t>법인세 시작위치</t>
    <phoneticPr fontId="9" type="noConversion"/>
  </si>
  <si>
    <t>매출액 시작위치</t>
    <phoneticPr fontId="9" type="noConversion"/>
  </si>
  <si>
    <t>감가상각비 시작위치</t>
    <phoneticPr fontId="9" type="noConversion"/>
  </si>
  <si>
    <t>CAPEX 시작위치</t>
    <phoneticPr fontId="9" type="noConversion"/>
  </si>
  <si>
    <t>비영업자산가치</t>
  </si>
  <si>
    <t>TV 값 위치</t>
    <phoneticPr fontId="9" type="noConversion"/>
  </si>
  <si>
    <t>무위험이자율(Rf)</t>
    <phoneticPr fontId="9" type="noConversion"/>
  </si>
  <si>
    <t>CGS&amp;SGA 시작위치</t>
    <phoneticPr fontId="9" type="noConversion"/>
  </si>
  <si>
    <t>유통발행주식수</t>
    <phoneticPr fontId="9" type="noConversion"/>
  </si>
  <si>
    <t>보고서 일치여부</t>
    <phoneticPr fontId="9" type="noConversion"/>
  </si>
  <si>
    <t>순운전자본변동 시작위치</t>
    <phoneticPr fontId="9" type="noConversion"/>
  </si>
  <si>
    <t>10차표준(세세분류)</t>
  </si>
  <si>
    <t>거래소 업종</t>
  </si>
  <si>
    <t>거래소(시장)</t>
  </si>
  <si>
    <t>한계세율</t>
  </si>
  <si>
    <t>홈페이지</t>
  </si>
  <si>
    <t>EV/EBITDA</t>
  </si>
  <si>
    <t>PSR</t>
  </si>
  <si>
    <t>PBR</t>
  </si>
  <si>
    <t>PER</t>
  </si>
  <si>
    <t>코스피 전기,전자</t>
  </si>
  <si>
    <t>유가증권시장</t>
  </si>
  <si>
    <t>통신 및 방송 장비 제조(무선) 제품, 반도체 제조(메모리) 제품, 전자부품 제조(디스플레이) 제품, 영상 및 음향기기 제조(영상기기) 제품 등</t>
  </si>
  <si>
    <t>www.samsung.com</t>
  </si>
  <si>
    <t>매출액(직전4분기)</t>
    <phoneticPr fontId="14" type="noConversion"/>
  </si>
  <si>
    <t>종목명(Eng)</t>
    <phoneticPr fontId="14" type="noConversion"/>
  </si>
  <si>
    <t>상장일자</t>
    <phoneticPr fontId="9" type="noConversion"/>
  </si>
  <si>
    <t>배수기준</t>
  </si>
  <si>
    <t>FCF추정!J22</t>
    <phoneticPr fontId="9" type="noConversion"/>
  </si>
  <si>
    <t>보고서용도추정기간</t>
    <phoneticPr fontId="9" type="noConversion"/>
  </si>
  <si>
    <t>추정기간</t>
    <phoneticPr fontId="9" type="noConversion"/>
  </si>
  <si>
    <t>법인번호</t>
  </si>
  <si>
    <t>000660 KS Equity</t>
  </si>
  <si>
    <t>A000660</t>
  </si>
  <si>
    <t>SK hynix</t>
  </si>
  <si>
    <t>SK하이닉스</t>
  </si>
  <si>
    <t>다이오드, 트랜지스터 및 유사 반도체소자 제조업</t>
  </si>
  <si>
    <t>반도체,컴퓨터,통신기기 제조,도매</t>
  </si>
  <si>
    <t>-</t>
  </si>
  <si>
    <t>www.skhynix.com</t>
  </si>
  <si>
    <t>N/A</t>
  </si>
  <si>
    <t>373220 KS Equity</t>
  </si>
  <si>
    <t>A373220</t>
  </si>
  <si>
    <t>LG Energy Solution</t>
  </si>
  <si>
    <t>LG에너지솔루션</t>
  </si>
  <si>
    <t>2차전지 (소형,ESS,자동차전지)</t>
  </si>
  <si>
    <t>www.lgensol.com</t>
  </si>
  <si>
    <t>207940 KS Equity</t>
  </si>
  <si>
    <t>A207940</t>
  </si>
  <si>
    <t>SAMSUNG BIOLOGICS</t>
  </si>
  <si>
    <t>삼성바이오로직스</t>
  </si>
  <si>
    <t>코스피 의약품</t>
  </si>
  <si>
    <t>바이오의약품</t>
  </si>
  <si>
    <t>www.samsungbiologics.com</t>
  </si>
  <si>
    <t>005380 KS Equity</t>
  </si>
  <si>
    <t>A005380</t>
  </si>
  <si>
    <t>HyundaiMotor</t>
  </si>
  <si>
    <t>현대차</t>
  </si>
  <si>
    <t>자동차 제조업</t>
  </si>
  <si>
    <t>코스피 운수장비</t>
  </si>
  <si>
    <t>자동차(승용차,버스,트럭,특장차),자동차부품,자동차전착도료 제조,차량정비사업</t>
  </si>
  <si>
    <t>www.hyundai.com</t>
  </si>
  <si>
    <t>000270 KS Equity</t>
  </si>
  <si>
    <t>A000270</t>
  </si>
  <si>
    <t>KIA CORPORATION</t>
  </si>
  <si>
    <t>기아</t>
  </si>
  <si>
    <t>승용차,중대형버스,트럭,민수특수차량,군수차량 제조,판매,정비</t>
  </si>
  <si>
    <t>www.kia.com</t>
  </si>
  <si>
    <t>068270 KS Equity</t>
  </si>
  <si>
    <t>A068270</t>
  </si>
  <si>
    <t>Celltrion</t>
  </si>
  <si>
    <t>셀트리온</t>
  </si>
  <si>
    <t>램시마, 트룩시마, 허쥬마</t>
  </si>
  <si>
    <t>www.celltrion.com</t>
  </si>
  <si>
    <t>005490 KS Equity</t>
  </si>
  <si>
    <t>A005490</t>
  </si>
  <si>
    <t>POSCO Holdings Inc.</t>
  </si>
  <si>
    <t>POSCO홀딩스</t>
  </si>
  <si>
    <t>제철, 제강 및 합금철 제조업</t>
  </si>
  <si>
    <t>코스피 철강및금속</t>
  </si>
  <si>
    <t>열연코일,냉연강판,후판,선재,스테인리스 제조</t>
  </si>
  <si>
    <t>035420 KS Equity</t>
  </si>
  <si>
    <t>A035420</t>
  </si>
  <si>
    <t>NAVER</t>
  </si>
  <si>
    <t>코스피 서비스업</t>
  </si>
  <si>
    <t>포털 서비스 및 온라인 광고</t>
  </si>
  <si>
    <t>www.navercorp.com</t>
  </si>
  <si>
    <t>051910 KS Equity</t>
  </si>
  <si>
    <t>A051910</t>
  </si>
  <si>
    <t>LGCHEM,LTD</t>
  </si>
  <si>
    <t>LG화학</t>
  </si>
  <si>
    <t>기초 유기 화학물질 제조업</t>
  </si>
  <si>
    <t>석유화학계 기초 화학물질 제조업</t>
  </si>
  <si>
    <t>코스피 화학</t>
  </si>
  <si>
    <t>유화/기능/합성수지,재생섬유소,산업재,리튬이온전지,평광판,PVC 제조,도매</t>
  </si>
  <si>
    <t>www.lgchem.com</t>
  </si>
  <si>
    <t>006400 KS Equity</t>
  </si>
  <si>
    <t>A006400</t>
  </si>
  <si>
    <t>SAMSUNG SDI CO.,LTD.</t>
  </si>
  <si>
    <t>삼성SDI</t>
  </si>
  <si>
    <t>2차전지, 전자재료 제조 판매</t>
  </si>
  <si>
    <t>www.samsungsdi.co.kr</t>
  </si>
  <si>
    <t>035720 KS Equity</t>
  </si>
  <si>
    <t>A035720</t>
  </si>
  <si>
    <t>Kakao</t>
  </si>
  <si>
    <t>카카오</t>
  </si>
  <si>
    <t>인터넷 서비스(인터넷 광고)</t>
  </si>
  <si>
    <t>www.kakaocorp.com</t>
  </si>
  <si>
    <t>028260 KS Equity</t>
  </si>
  <si>
    <t>A028260</t>
  </si>
  <si>
    <t>SAMSUNG C&amp;T CORPORATION</t>
  </si>
  <si>
    <t>삼성물산</t>
  </si>
  <si>
    <t>기타 전문 도매업</t>
  </si>
  <si>
    <t>코스피 유통업</t>
  </si>
  <si>
    <t>도소매, 건설, 남자용 정장 제조업 등</t>
  </si>
  <si>
    <t>www.samsungcnt.com</t>
  </si>
  <si>
    <t>105560 KS Equity</t>
  </si>
  <si>
    <t>A105560</t>
  </si>
  <si>
    <t>KB Financial Group</t>
  </si>
  <si>
    <t>KB금융</t>
  </si>
  <si>
    <t>그 외 기타 금융업</t>
  </si>
  <si>
    <t>지주회사</t>
  </si>
  <si>
    <t>코스피 금융업</t>
  </si>
  <si>
    <t>www.kbfg.com</t>
  </si>
  <si>
    <t>247540 KS Equity</t>
  </si>
  <si>
    <t>A247540</t>
  </si>
  <si>
    <t>ECOPRO BM CO.,LTD.</t>
  </si>
  <si>
    <t>에코프로비엠</t>
  </si>
  <si>
    <t>코스닥 제조</t>
  </si>
  <si>
    <t>코스닥</t>
  </si>
  <si>
    <t>양극활물질</t>
  </si>
  <si>
    <t>www.ecoprobm.co.kr</t>
  </si>
  <si>
    <t>055550 KS Equity</t>
  </si>
  <si>
    <t>A055550</t>
  </si>
  <si>
    <t>ShinhanFinancialGroup Co.,Ltd.</t>
  </si>
  <si>
    <t>신한지주</t>
  </si>
  <si>
    <t>금융지주회사</t>
  </si>
  <si>
    <t>www.shinhangroup.com</t>
  </si>
  <si>
    <t>003670 KS Equity</t>
  </si>
  <si>
    <t>A003670</t>
  </si>
  <si>
    <t>POSCO FUTURE M</t>
  </si>
  <si>
    <t>포스코퓨처엠</t>
  </si>
  <si>
    <t>내화물, 생석회, 음극재 및 양극재</t>
  </si>
  <si>
    <t>012330 KS Equity</t>
  </si>
  <si>
    <t>A012330</t>
  </si>
  <si>
    <t>HyundaiMobis</t>
  </si>
  <si>
    <t>현대모비스</t>
  </si>
  <si>
    <t>자동차 신품 부품 제조업</t>
  </si>
  <si>
    <t>자동차A/S용 부품,컨테이너,특수중기,산업기계제품 생산,판매,부품모듈화,부품수출사업,환경/플랜트사업,특수중기부문(컨테이너)</t>
  </si>
  <si>
    <t>www.mobis.co.kr</t>
  </si>
  <si>
    <t>066570 KS Equity</t>
  </si>
  <si>
    <t>A066570</t>
  </si>
  <si>
    <t>LGELECTRONICS</t>
  </si>
  <si>
    <t>LG전자</t>
  </si>
  <si>
    <t>이동통신단말기,C-TV,V.C.R.,컴퓨터,완전평면 TV,플라즈마 디스플레이 패널 TV,전자제품(세탁기외),CDMA(코드분할다중접속)이동통신,전자교환기,전송기기</t>
  </si>
  <si>
    <t>www.lge.co.kr</t>
  </si>
  <si>
    <t>086520 KS Equity</t>
  </si>
  <si>
    <t>A086520</t>
  </si>
  <si>
    <t>ECOPRO Co., Ltd.</t>
  </si>
  <si>
    <t>에코프로</t>
  </si>
  <si>
    <t>회사 본부</t>
  </si>
  <si>
    <t>제조업 회사 본부</t>
  </si>
  <si>
    <t>코스닥 금융</t>
  </si>
  <si>
    <t>환경소재,화학필터,이차전지소재등</t>
  </si>
  <si>
    <t>www.ecopro.co.kr</t>
  </si>
  <si>
    <t>086790 KS Equity</t>
  </si>
  <si>
    <t>A086790</t>
  </si>
  <si>
    <t>HanaFinancialGroupInc.</t>
  </si>
  <si>
    <t>하나금융지주</t>
  </si>
  <si>
    <t>기타 금융</t>
  </si>
  <si>
    <t>www.hanafn.com</t>
  </si>
  <si>
    <t>011200 KS Equity</t>
  </si>
  <si>
    <t>A011200</t>
  </si>
  <si>
    <t>HMM</t>
  </si>
  <si>
    <t>외항 운송업</t>
  </si>
  <si>
    <t>외항 화물 운송업</t>
  </si>
  <si>
    <t>코스피 운수창고</t>
  </si>
  <si>
    <t>정기,부정기,전용선,콘테이너선,자동차선,LNG선 해운</t>
  </si>
  <si>
    <t>www.hmm21.com</t>
  </si>
  <si>
    <t>138040 KS Equity</t>
  </si>
  <si>
    <t>A138040</t>
  </si>
  <si>
    <t>Meritz Financial Group</t>
  </si>
  <si>
    <t>메리츠금융지주</t>
  </si>
  <si>
    <t>투자사업</t>
  </si>
  <si>
    <t>www.meritzgroup.com</t>
  </si>
  <si>
    <t>323410 KS Equity</t>
  </si>
  <si>
    <t>A323410</t>
  </si>
  <si>
    <t>KakaoBank Corp.</t>
  </si>
  <si>
    <t>카카오뱅크</t>
  </si>
  <si>
    <t>일반은행</t>
  </si>
  <si>
    <t>국내은행</t>
  </si>
  <si>
    <t>코스피 은행</t>
  </si>
  <si>
    <t>은행 및 금융서비스</t>
  </si>
  <si>
    <t>kakaobank.com</t>
  </si>
  <si>
    <t>추정X</t>
  </si>
  <si>
    <t>032830 KS Equity</t>
  </si>
  <si>
    <t>A032830</t>
  </si>
  <si>
    <t>Samsung Life Insurance</t>
  </si>
  <si>
    <t>삼성생명</t>
  </si>
  <si>
    <t>생명 보험업</t>
  </si>
  <si>
    <t>코스피 보험</t>
  </si>
  <si>
    <t>생명보험,부동산 임대</t>
  </si>
  <si>
    <t>www.samsunglife.com</t>
  </si>
  <si>
    <t>034730 KS Equity</t>
  </si>
  <si>
    <t>A034730</t>
  </si>
  <si>
    <t>SK</t>
  </si>
  <si>
    <t>지주회사, 시스템통합(SI), 정보통신사업 관련 컨설팅,조사용역,정보통신기술 연구개발/정보통신기기,소프트웨어 개발,도매</t>
  </si>
  <si>
    <t>www.sk.co.kr</t>
  </si>
  <si>
    <t>015760 KS Equity</t>
  </si>
  <si>
    <t>A015760</t>
  </si>
  <si>
    <t>KoreaElectricPower</t>
  </si>
  <si>
    <t>한국전력</t>
  </si>
  <si>
    <t>송전 및 배전업</t>
  </si>
  <si>
    <t>코스피 전기가스업</t>
  </si>
  <si>
    <t>전력자원개발,발전,송전,전력용기자재확보</t>
  </si>
  <si>
    <t>www.kepco.co.kr</t>
  </si>
  <si>
    <t>003550 KS Equity</t>
  </si>
  <si>
    <t>A003550</t>
  </si>
  <si>
    <t>LG Corp.</t>
  </si>
  <si>
    <t>LG</t>
  </si>
  <si>
    <t>www.lg.co.kr</t>
  </si>
  <si>
    <t>000810 KS Equity</t>
  </si>
  <si>
    <t>A000810</t>
  </si>
  <si>
    <t>SamsungFire&amp;MarineInsurance</t>
  </si>
  <si>
    <t>삼성화재</t>
  </si>
  <si>
    <t>손해 및 보증 보험업</t>
  </si>
  <si>
    <t>손해 보험업</t>
  </si>
  <si>
    <t>손해보험의 원수,재보험,운용자산의 투자활동</t>
  </si>
  <si>
    <t>www.samsungfire.com</t>
  </si>
  <si>
    <t>033780 KS Equity</t>
  </si>
  <si>
    <t>A033780</t>
  </si>
  <si>
    <t>KT&amp;G Corporation</t>
  </si>
  <si>
    <t>KT&amp;G</t>
  </si>
  <si>
    <t>담배 제조업</t>
  </si>
  <si>
    <t>담배제품 제조업</t>
  </si>
  <si>
    <t>코스피 제조업</t>
  </si>
  <si>
    <t>잎담배,제조담배,홍삼,홍삼제품 제조,판매</t>
  </si>
  <si>
    <t>www.ktng.com</t>
  </si>
  <si>
    <t>018260 KS Equity</t>
  </si>
  <si>
    <t>A018260</t>
  </si>
  <si>
    <t>SAMSUNG SDS CO., LTD.</t>
  </si>
  <si>
    <t>삼성에스디에스</t>
  </si>
  <si>
    <t>컴퓨터시스템 통합 자문, 구축 및 관리업</t>
  </si>
  <si>
    <t>컴퓨터시스템 통합 자문 및 구축 서비스업</t>
  </si>
  <si>
    <t>IT서비스, 물류BPO</t>
  </si>
  <si>
    <t>www.samsungsds.com</t>
  </si>
  <si>
    <t>096770 KS Equity</t>
  </si>
  <si>
    <t>A096770</t>
  </si>
  <si>
    <t>SK Innovation</t>
  </si>
  <si>
    <t>SK이노베이션</t>
  </si>
  <si>
    <t>석유 정제품 제조업</t>
  </si>
  <si>
    <t>석유정제,석유화학제품,윤활유제품,아스팔트제품,의약중간체 제조,판매,유전개발,대체에너지사업</t>
  </si>
  <si>
    <t>www.skinnovations.co.kr</t>
  </si>
  <si>
    <t>017670 KS Equity</t>
  </si>
  <si>
    <t>A017670</t>
  </si>
  <si>
    <t>SKTelecom</t>
  </si>
  <si>
    <t>SK텔레콤</t>
  </si>
  <si>
    <t>무선 및 위성 통신업</t>
  </si>
  <si>
    <t>코스피 통신업</t>
  </si>
  <si>
    <t>이동전화,무선호출서비스,부가통신</t>
  </si>
  <si>
    <t>www.sktelecom.com</t>
  </si>
  <si>
    <t>009150 KS Equity</t>
  </si>
  <si>
    <t>A009150</t>
  </si>
  <si>
    <t>SamsungElectroMechanics</t>
  </si>
  <si>
    <t>삼성전기</t>
  </si>
  <si>
    <t>인쇄회로기판 및 전자부품 실장기판 제조업</t>
  </si>
  <si>
    <t>인쇄회로기판용 적층판 제조업</t>
  </si>
  <si>
    <t>수동소자 (MLCC, Inductor, Chip Resistor 등), 모듈(카메라모듈, 통신모듈), 반도체패키지 기판</t>
  </si>
  <si>
    <t>www.samsungsem.co.kr</t>
  </si>
  <si>
    <t>259960 KS Equity</t>
  </si>
  <si>
    <t>A259960</t>
  </si>
  <si>
    <t>KRAFTON</t>
  </si>
  <si>
    <t>크래프톤</t>
  </si>
  <si>
    <t>게임 소프트웨어 개발 및 공급업</t>
  </si>
  <si>
    <t>등 게임 소프트웨어</t>
  </si>
  <si>
    <t>www.krafton.com</t>
  </si>
  <si>
    <t>329180 KS Equity</t>
  </si>
  <si>
    <t>A329180</t>
  </si>
  <si>
    <t>HD HYUNDAI HEAVY INDUSTRIES</t>
  </si>
  <si>
    <t>HD현대중공업</t>
  </si>
  <si>
    <t>선박 및 보트 건조업</t>
  </si>
  <si>
    <t>선박, 해양플랜트 및 엔진기계 등</t>
  </si>
  <si>
    <t>www.hhi.co.kr</t>
  </si>
  <si>
    <t>316140 KS Equity</t>
  </si>
  <si>
    <t>A316140</t>
  </si>
  <si>
    <t>WooriFinancialGroup</t>
  </si>
  <si>
    <t>우리금융지주</t>
  </si>
  <si>
    <t>금융지주</t>
  </si>
  <si>
    <t>www.woorifg.com</t>
  </si>
  <si>
    <t>450080 KS Equity</t>
  </si>
  <si>
    <t>A450080</t>
  </si>
  <si>
    <t>ECOPRO MATERIALS</t>
  </si>
  <si>
    <t>에코프로머티</t>
  </si>
  <si>
    <t>N.A.</t>
  </si>
  <si>
    <t>배터리 양극재용 핵심소재 하이니켈 전구체</t>
  </si>
  <si>
    <t>www.ecopromaterials.com</t>
  </si>
  <si>
    <t>010130 KS Equity</t>
  </si>
  <si>
    <t>A010130</t>
  </si>
  <si>
    <t>KoreaZinc</t>
  </si>
  <si>
    <t>고려아연</t>
  </si>
  <si>
    <t>비철금속 제련, 정련 및 합금 제조업</t>
  </si>
  <si>
    <t>연 및 아연 제련, 정련 및 합금 제조업</t>
  </si>
  <si>
    <t>연,아연괴 제조,판매</t>
  </si>
  <si>
    <t>www.koreazinc.co.kr</t>
  </si>
  <si>
    <t>034020 KS Equity</t>
  </si>
  <si>
    <t>A034020</t>
  </si>
  <si>
    <t>DOOSAN ENERBILITY</t>
  </si>
  <si>
    <t>두산에너빌리티</t>
  </si>
  <si>
    <t>내연기관 및 터빈 제조업; 항공기용 및 차량용 제외</t>
  </si>
  <si>
    <t>기타 기관 및 터빈 제조업</t>
  </si>
  <si>
    <t>코스피 기계</t>
  </si>
  <si>
    <t>기관,터어빈,선박용엔진,주단조품,제강제품 제조/종합건설</t>
  </si>
  <si>
    <t>024110 KS Equity</t>
  </si>
  <si>
    <t>A024110</t>
  </si>
  <si>
    <t>INDUSTRIALBANKOFKOREA</t>
  </si>
  <si>
    <t>기업은행</t>
  </si>
  <si>
    <t>은행업</t>
  </si>
  <si>
    <t>www.ibk.co.kr</t>
  </si>
  <si>
    <t>028300 KS Equity</t>
  </si>
  <si>
    <t>A028300</t>
  </si>
  <si>
    <t>HLB. Co., LTD.</t>
  </si>
  <si>
    <t>HLB</t>
  </si>
  <si>
    <t>의료용품 및 기타 의약 관련제품 제조업</t>
  </si>
  <si>
    <t>의료기기, 의약외품 등</t>
  </si>
  <si>
    <t>www.hlbkorea.com</t>
  </si>
  <si>
    <t>030200 KS Equity</t>
  </si>
  <si>
    <t>A030200</t>
  </si>
  <si>
    <t>KTCorporation</t>
  </si>
  <si>
    <t>KT</t>
  </si>
  <si>
    <t>전기 통신업</t>
  </si>
  <si>
    <t>유무선통신사업,공중전기통신사업,인터넷,전자상거래,네트워크(전용회선,데이터통신,초고속사업 등)</t>
  </si>
  <si>
    <t>www.kt.com</t>
  </si>
  <si>
    <t>047050 KS Equity</t>
  </si>
  <si>
    <t>A047050</t>
  </si>
  <si>
    <t>POSCO INTERNATIONAL</t>
  </si>
  <si>
    <t>포스코인터내셔널</t>
  </si>
  <si>
    <t>상품 중개업</t>
  </si>
  <si>
    <t>www.poscointl.com</t>
  </si>
  <si>
    <t>352820 KS Equity</t>
  </si>
  <si>
    <t>A352820</t>
  </si>
  <si>
    <t>HYBE</t>
  </si>
  <si>
    <t>하이브</t>
  </si>
  <si>
    <t>오디오물 출판 및 원판 녹음업</t>
  </si>
  <si>
    <t>음악 기획/제작, 퍼블리싱, 아티스트 매니지먼트</t>
  </si>
  <si>
    <t>022100 KS Equity</t>
  </si>
  <si>
    <t>A022100</t>
  </si>
  <si>
    <t>POSCO DX</t>
  </si>
  <si>
    <t>포스코DX</t>
  </si>
  <si>
    <t>엔지니어링 서비스업</t>
  </si>
  <si>
    <t>기타 엔지니어링 서비스업</t>
  </si>
  <si>
    <t>EIC 자동화 엔지니어링 및 IT서비스</t>
  </si>
  <si>
    <t>www.poscoict.com</t>
  </si>
  <si>
    <t>003490 KS Equity</t>
  </si>
  <si>
    <t>A003490</t>
  </si>
  <si>
    <t>KoreanAirLines</t>
  </si>
  <si>
    <t>대한항공</t>
  </si>
  <si>
    <t>항공 여객 운송업</t>
  </si>
  <si>
    <t>여객운송,화물운송,항공기 제조,판매,정비수리/기내식 제조판매,면세품 판매</t>
  </si>
  <si>
    <t>www.koreanair.com</t>
  </si>
  <si>
    <t>090430 KS Equity</t>
  </si>
  <si>
    <t>A090430</t>
  </si>
  <si>
    <t>AMOREPACIFIC CORPORATION</t>
  </si>
  <si>
    <t>아모레퍼시픽</t>
  </si>
  <si>
    <t>세제, 화장품 및 광택제 제조업</t>
  </si>
  <si>
    <t>화장품 제조업</t>
  </si>
  <si>
    <t>화장품,생활용품 제조, 판매</t>
  </si>
  <si>
    <t>www.apgroup.com</t>
  </si>
  <si>
    <t>009540 KS Equity</t>
  </si>
  <si>
    <t>A009540</t>
  </si>
  <si>
    <t>HD KOREA SHIPBUILDING &amp; OFFSHORE ENGINEERING</t>
  </si>
  <si>
    <t>HD한국조선해양</t>
  </si>
  <si>
    <t>선박,해양구조물,엔진,펌프 전동기,중전기,중장비 제조/자동창고,물류시스템</t>
  </si>
  <si>
    <t>010950 KS Equity</t>
  </si>
  <si>
    <t>A010950</t>
  </si>
  <si>
    <t>S-OilCorporation</t>
  </si>
  <si>
    <t>S-Oil</t>
  </si>
  <si>
    <t>원유 정제처리업</t>
  </si>
  <si>
    <t>석유제품,가스,윤활기유,윤활유,그리스,석유화학제품 제조,도매</t>
  </si>
  <si>
    <t>www.s-oil.com</t>
  </si>
  <si>
    <t>326030 KS Equity</t>
  </si>
  <si>
    <t>A326030</t>
  </si>
  <si>
    <t>SK BIOPHARMACEUTICALS</t>
  </si>
  <si>
    <t>SK바이오팜</t>
  </si>
  <si>
    <t>자연과학 연구개발업</t>
  </si>
  <si>
    <t>신경질환 및 정신질환을 포함한 중추신경 관련 신약 개발</t>
  </si>
  <si>
    <t>www.skbp.com</t>
  </si>
  <si>
    <t>402340 KS Equity</t>
  </si>
  <si>
    <t>A402340</t>
  </si>
  <si>
    <t>SKSQUARE</t>
  </si>
  <si>
    <t>SK스퀘어</t>
  </si>
  <si>
    <t>www.sksquare.com</t>
  </si>
  <si>
    <t>012450 KS Equity</t>
  </si>
  <si>
    <t>A012450</t>
  </si>
  <si>
    <t>HANWHA AEROSPACE</t>
  </si>
  <si>
    <t>한화에어로스페이스</t>
  </si>
  <si>
    <t>항공기용 엔진 및 부품 제조업</t>
  </si>
  <si>
    <t>항공기용 엔진 제조업</t>
  </si>
  <si>
    <t>항공기엔진,특수방산장비 제조/정비사업</t>
  </si>
  <si>
    <t>www.hanwhaaerospace.co.kr</t>
  </si>
  <si>
    <t>042660 KS Equity</t>
  </si>
  <si>
    <t>A042660</t>
  </si>
  <si>
    <t>Hanwha Ocean</t>
  </si>
  <si>
    <t>한화오션</t>
  </si>
  <si>
    <t>선박 및 수상 부유 구조물 건조업</t>
  </si>
  <si>
    <t>강선 건조업</t>
  </si>
  <si>
    <t>선박 제조</t>
  </si>
  <si>
    <t>377300 KS Equity</t>
  </si>
  <si>
    <t>A377300</t>
  </si>
  <si>
    <t>kakaopay</t>
  </si>
  <si>
    <t>카카오페이</t>
  </si>
  <si>
    <t>기타 금융 지원 서비스업</t>
  </si>
  <si>
    <t>그 외 기타 금융 지원 서비스업</t>
  </si>
  <si>
    <t>간편결제, 간편송금 및 기타 금융서비스</t>
  </si>
  <si>
    <t>www.kakaopay.com</t>
  </si>
  <si>
    <t>086280 KS Equity</t>
  </si>
  <si>
    <t>A086280</t>
  </si>
  <si>
    <t>HYUNDAIGLOVIS Co.,LTD</t>
  </si>
  <si>
    <t>현대글로비스</t>
  </si>
  <si>
    <t>그 외 기타 운송관련 서비스업</t>
  </si>
  <si>
    <t>통관 대리 및 관련서비스업</t>
  </si>
  <si>
    <t>화물운송주선,화물포장,자동차 수리/산업용 기계장비 임대</t>
  </si>
  <si>
    <t>www.glovis.net</t>
  </si>
  <si>
    <t>010140 KS Equity</t>
  </si>
  <si>
    <t>A010140</t>
  </si>
  <si>
    <t>SamsungHeavyIndustries</t>
  </si>
  <si>
    <t>삼성중공업</t>
  </si>
  <si>
    <t>선박(벌크선,원유운반선),철구조물,에너지플랜트 생산,판매/토목건축업</t>
  </si>
  <si>
    <t>www.samsungshi.com</t>
  </si>
  <si>
    <t>161390 KS Equity</t>
  </si>
  <si>
    <t>A161390</t>
  </si>
  <si>
    <t>HANKOOK TIRE &amp; TECHNOLOGY</t>
  </si>
  <si>
    <t>한국타이어앤테크놀로지</t>
  </si>
  <si>
    <t>타이어 제조</t>
  </si>
  <si>
    <t>www.hankooktire.com</t>
  </si>
  <si>
    <t>005830 KS Equity</t>
  </si>
  <si>
    <t>A005830</t>
  </si>
  <si>
    <t>DB INSURANCE</t>
  </si>
  <si>
    <t>DB손해보험</t>
  </si>
  <si>
    <t>자동차보험,화재보험,해상보험,특종보험,장기보험</t>
  </si>
  <si>
    <t>www.idbins.com</t>
  </si>
  <si>
    <t>034220 KS Equity</t>
  </si>
  <si>
    <t>A034220</t>
  </si>
  <si>
    <t>LG Display</t>
  </si>
  <si>
    <t>LG디스플레이</t>
  </si>
  <si>
    <t>표시장치 제조업</t>
  </si>
  <si>
    <t>액정 표시장치 제조업</t>
  </si>
  <si>
    <t>액정표시장치(TFT-LCD) 제조</t>
  </si>
  <si>
    <t>www.lgdisplay.com</t>
  </si>
  <si>
    <t>042700 KS Equity</t>
  </si>
  <si>
    <t>A042700</t>
  </si>
  <si>
    <t>HANMISemiconductorCO.,Ltd.</t>
  </si>
  <si>
    <t>한미반도체</t>
  </si>
  <si>
    <t>반도체 및 디스플레이 제조용 기계 제조업</t>
  </si>
  <si>
    <t>반도체 제조용 기계 제조업</t>
  </si>
  <si>
    <t>반도체 후공정장비,반도체금형 제조/부동산 매매,임대</t>
  </si>
  <si>
    <t>www.hanmisemi.com</t>
  </si>
  <si>
    <t>009830 KS Equity</t>
  </si>
  <si>
    <t>A009830</t>
  </si>
  <si>
    <t>HANWHA SOLUTIONS</t>
  </si>
  <si>
    <t>한화솔루션</t>
  </si>
  <si>
    <t>합성수지,유화부문(LDPE,LLDPE)제품 제조,플라스틱가공품(PVC),CA,무기화학제품,부동산업</t>
  </si>
  <si>
    <t>www.hanwhasolutions.com</t>
  </si>
  <si>
    <t>011170 KS Equity</t>
  </si>
  <si>
    <t>A011170</t>
  </si>
  <si>
    <t>LOTTE CHEMICAL CORPORATION</t>
  </si>
  <si>
    <t>롯데케미칼</t>
  </si>
  <si>
    <t>폴리프로필렌,고밀도폴리에틸렌,에틸렌글리콜,벤젠,에틸렌옥사이드,합성지,부산물 제조</t>
  </si>
  <si>
    <t>www.lottechem.com</t>
  </si>
  <si>
    <t>267250 KS Equity</t>
  </si>
  <si>
    <t>A267250</t>
  </si>
  <si>
    <t>HD HYUNDAI</t>
  </si>
  <si>
    <t>HD현대</t>
  </si>
  <si>
    <t>361610 KS Equity</t>
  </si>
  <si>
    <t>A361610</t>
  </si>
  <si>
    <t>SK ie technology</t>
  </si>
  <si>
    <t>SK아이이테크놀로지</t>
  </si>
  <si>
    <t>2차전지용 습식 분리막 및 폴더블 커버 윈도우</t>
  </si>
  <si>
    <t>www.skietechnology.com</t>
  </si>
  <si>
    <t>251270 KS Equity</t>
  </si>
  <si>
    <t>A251270</t>
  </si>
  <si>
    <t>Netmarble Corporation</t>
  </si>
  <si>
    <t>넷마블</t>
  </si>
  <si>
    <t>유선 온라인 게임 소프트웨어 개발 및 공급업</t>
  </si>
  <si>
    <t>온라인·모바일 게임 소프트웨어 개발 및 공급</t>
  </si>
  <si>
    <t>www.netmarble.net</t>
  </si>
  <si>
    <t>066970 KS Equity</t>
  </si>
  <si>
    <t>A066970</t>
  </si>
  <si>
    <t>L&amp;F</t>
  </si>
  <si>
    <t>엘앤에프</t>
  </si>
  <si>
    <t>이차전지 양극활물질</t>
  </si>
  <si>
    <t>www.landf.co.kr</t>
  </si>
  <si>
    <t>051900 KS Equity</t>
  </si>
  <si>
    <t>A051900</t>
  </si>
  <si>
    <t>LG H&amp;H</t>
  </si>
  <si>
    <t>LG생활건강</t>
  </si>
  <si>
    <t>치약, 비누 및 기타 세제 제조업</t>
  </si>
  <si>
    <t>화장품,생활용품 제조,도매</t>
  </si>
  <si>
    <t>www.lghnh.com:984/</t>
  </si>
  <si>
    <t>302440 KS Equity</t>
  </si>
  <si>
    <t>A302440</t>
  </si>
  <si>
    <t>SK BIOSCIENCE</t>
  </si>
  <si>
    <t>SK바이오사이언스</t>
  </si>
  <si>
    <t>백신 제품 및 제제</t>
  </si>
  <si>
    <t>www.skbioscience.co.kr</t>
  </si>
  <si>
    <t>047810 KS Equity</t>
  </si>
  <si>
    <t>A047810</t>
  </si>
  <si>
    <t>KOREA AEROSPACE INDUSTRIES</t>
  </si>
  <si>
    <t>한국항공우주</t>
  </si>
  <si>
    <t>항공기, 우주선 및 보조장치 제조업</t>
  </si>
  <si>
    <t>유인 항공기, 항공우주선 및 보조장치 제조업</t>
  </si>
  <si>
    <t>정부방산 및 완제기 수출(T-50계열, KUH계열, KT-1계열 등), 기체부품</t>
  </si>
  <si>
    <t>www.koreaaero.com</t>
  </si>
  <si>
    <t>000100 KS Equity</t>
  </si>
  <si>
    <t>A000100</t>
  </si>
  <si>
    <t>Yuhan</t>
  </si>
  <si>
    <t>유한양행</t>
  </si>
  <si>
    <t>의약품 제조업</t>
  </si>
  <si>
    <t>의약품(삐콤씨, 안티푸라민, 렉라자, 로수바미브, 코푸시럽 등), 생활용품(유한락스, 해피홈, 유한젠), 동물약품</t>
  </si>
  <si>
    <t>www.yuhan.co.kr</t>
  </si>
  <si>
    <t>180640 KS Equity</t>
  </si>
  <si>
    <t>A180640</t>
  </si>
  <si>
    <t>HANJINKAL</t>
  </si>
  <si>
    <t>한진칼</t>
  </si>
  <si>
    <t>지주사업, 경영자문 및 컨설팅</t>
  </si>
  <si>
    <t>www.hanjinkal.co.kr</t>
  </si>
  <si>
    <t>006800 KS Equity</t>
  </si>
  <si>
    <t>A006800</t>
  </si>
  <si>
    <t>MIRAE ASSET SECURITIES</t>
  </si>
  <si>
    <t>미래에셋증권</t>
  </si>
  <si>
    <t>증권 및 선물 중개업</t>
  </si>
  <si>
    <t>증권 중개업</t>
  </si>
  <si>
    <t>코스피 증권</t>
  </si>
  <si>
    <t>유가증권매매,유가증권위탁매매,유가증권인수</t>
  </si>
  <si>
    <t>securities.miraeasset.com</t>
  </si>
  <si>
    <t>028050 KS Equity</t>
  </si>
  <si>
    <t>A028050</t>
  </si>
  <si>
    <t>산업설비,건물,구축물,토목시설의 설계,시공,공사감리</t>
  </si>
  <si>
    <t>www.samsungengineering.com</t>
  </si>
  <si>
    <t>011070 KS Equity</t>
  </si>
  <si>
    <t>A011070</t>
  </si>
  <si>
    <t>LG Innotek</t>
  </si>
  <si>
    <t>LG이노텍</t>
  </si>
  <si>
    <t>전자부품 제조업</t>
  </si>
  <si>
    <t>기타 전자부품 제조업</t>
  </si>
  <si>
    <t>www.lginnotek.com</t>
  </si>
  <si>
    <t>241560 KS Equity</t>
  </si>
  <si>
    <t>A241560</t>
  </si>
  <si>
    <t>Doosan Bobcat</t>
  </si>
  <si>
    <t>두산밥캣</t>
  </si>
  <si>
    <t>건설 및 광업용 기계장비 제조업</t>
  </si>
  <si>
    <t>건설 및 채광용 기계장비 제조업</t>
  </si>
  <si>
    <t>Compact Equipment, Heavy Equipment, Portable Power</t>
  </si>
  <si>
    <t>www.doosanbobcat.com</t>
  </si>
  <si>
    <t>454910 KS Equity</t>
  </si>
  <si>
    <t>A454910</t>
  </si>
  <si>
    <t>Doosan Robotics</t>
  </si>
  <si>
    <t>두산로보틱스</t>
  </si>
  <si>
    <t>산업용 로봇 제조업</t>
  </si>
  <si>
    <t>협동로봇</t>
  </si>
  <si>
    <t>www.doosanrobotics.com</t>
  </si>
  <si>
    <t>004020 KS Equity</t>
  </si>
  <si>
    <t>A004020</t>
  </si>
  <si>
    <t>HYUNDAI STEEL</t>
  </si>
  <si>
    <t>현대제철</t>
  </si>
  <si>
    <t>H형강,제철,제강,철근,압연,스테인레스,주강,시트파일 제조,수출입,중기부품(탱크바퀴)제조,판매</t>
  </si>
  <si>
    <t>www.hyundai-steel.com</t>
  </si>
  <si>
    <t>001570 KS Equity</t>
  </si>
  <si>
    <t>A001570</t>
  </si>
  <si>
    <t>Kumyang</t>
  </si>
  <si>
    <t>금양</t>
  </si>
  <si>
    <t>기초 화학물질 제조업</t>
  </si>
  <si>
    <t>발포제,사카린,OPTSA,베나졸,TCA 제조</t>
  </si>
  <si>
    <t>www.kyc.co.kr</t>
  </si>
  <si>
    <t>032640 KS Equity</t>
  </si>
  <si>
    <t>A032640</t>
  </si>
  <si>
    <t>LG Uplus</t>
  </si>
  <si>
    <t>LG유플러스</t>
  </si>
  <si>
    <t>개인휴대통신서비스,음성서비스,데이터서비스,부가통신/단말기 도소매/프로그램 개발,자료제공</t>
  </si>
  <si>
    <t>www.uplus.co.kr</t>
  </si>
  <si>
    <t>097950 KS Equity</t>
  </si>
  <si>
    <t>A097950</t>
  </si>
  <si>
    <t>CJ CheilJedang Corp</t>
  </si>
  <si>
    <t>CJ제일제당</t>
  </si>
  <si>
    <t>코스피 음식료품</t>
  </si>
  <si>
    <t>설탕,소맥분,조미식품,육가공식품(돈육,돼지비계,돼지식용설육),대두가공식품,사료,의약품,생활화학제품 제조,도매,무역/통신판매</t>
  </si>
  <si>
    <t>www.cj.co.kr</t>
  </si>
  <si>
    <t>068760 KS Equity</t>
  </si>
  <si>
    <t>A068760</t>
  </si>
  <si>
    <t>Celltrion Pharm, Inc.</t>
  </si>
  <si>
    <t>셀트리온제약</t>
  </si>
  <si>
    <t>완제 의약품 제조업</t>
  </si>
  <si>
    <t>고덱스 캡슐 외</t>
  </si>
  <si>
    <t>www.celltrionph.com</t>
  </si>
  <si>
    <t>036570 KS Equity</t>
  </si>
  <si>
    <t>A036570</t>
  </si>
  <si>
    <t>NCsoftCorporation</t>
  </si>
  <si>
    <t>엔씨소프트</t>
  </si>
  <si>
    <t>인터넷머그게임(리니지),그룹웨어,인터넷커뮤니티 개발,유지,공급</t>
  </si>
  <si>
    <t>www.ncsoft.com</t>
  </si>
  <si>
    <t>196170 KS Equity</t>
  </si>
  <si>
    <t>A196170</t>
  </si>
  <si>
    <t>ALTEOGEN Inc.</t>
  </si>
  <si>
    <t>알테오젠</t>
  </si>
  <si>
    <t>의학 및 약학 연구개발업</t>
  </si>
  <si>
    <t>코스닥 기타서비스</t>
  </si>
  <si>
    <t>바이오시밀러 및 바이오베터</t>
  </si>
  <si>
    <t>www.alteogen.com</t>
  </si>
  <si>
    <t>128940 KS Equity</t>
  </si>
  <si>
    <t>A128940</t>
  </si>
  <si>
    <t>HanmiPharm</t>
  </si>
  <si>
    <t>한미약품</t>
  </si>
  <si>
    <t>의약품</t>
  </si>
  <si>
    <t>www.hanmi.co.kr</t>
  </si>
  <si>
    <t>021240 KS Equity</t>
  </si>
  <si>
    <t>A021240</t>
  </si>
  <si>
    <t>COWAY</t>
  </si>
  <si>
    <t>코웨이</t>
  </si>
  <si>
    <t>그 외 기타 개인 서비스업</t>
  </si>
  <si>
    <t>렌탈 서비스(정수기,비데, 필터교환 등), 가정용기기 도매,판매,제조,폐기물처리설비,수출(정수기,청정기)</t>
  </si>
  <si>
    <t>www.coway.com</t>
  </si>
  <si>
    <t>005070 KS Equity</t>
  </si>
  <si>
    <t>A005070</t>
  </si>
  <si>
    <t>CosmoAM&amp;T</t>
  </si>
  <si>
    <t>코스모신소재</t>
  </si>
  <si>
    <t>기타 화학제품 제조업</t>
  </si>
  <si>
    <t>이차전지양극활물질,기능성필름</t>
  </si>
  <si>
    <t>www.cosmoamt.com</t>
  </si>
  <si>
    <t>078930 KS Equity</t>
  </si>
  <si>
    <t>A078930</t>
  </si>
  <si>
    <t>GS Holdings</t>
  </si>
  <si>
    <t>GS</t>
  </si>
  <si>
    <t>지주회사/부동산 임대</t>
  </si>
  <si>
    <t>www.gs.co.kr</t>
  </si>
  <si>
    <t>307950 KS Equity</t>
  </si>
  <si>
    <t>A307950</t>
  </si>
  <si>
    <t>HyundaiAutoever</t>
  </si>
  <si>
    <t>현대오토에버</t>
  </si>
  <si>
    <t>소프트웨어 개발 및 공급업</t>
  </si>
  <si>
    <t>전산실운영, 시스템구축, 전산장비 납품, SOC/건축 사업</t>
  </si>
  <si>
    <t>www.hyundai-autoever.com/</t>
  </si>
  <si>
    <t>403870 KS Equity</t>
  </si>
  <si>
    <t>A403870</t>
  </si>
  <si>
    <t>HPSP Co., Ltd.</t>
  </si>
  <si>
    <t>HPSP</t>
  </si>
  <si>
    <t>코스닥 IT H/W</t>
  </si>
  <si>
    <t>고압 수소 어닐링 장비</t>
  </si>
  <si>
    <t>www.thehpsp.com</t>
  </si>
  <si>
    <t>000720 KS Equity</t>
  </si>
  <si>
    <t>A000720</t>
  </si>
  <si>
    <t>HyundaiEngineering&amp;Construction</t>
  </si>
  <si>
    <t>현대건설</t>
  </si>
  <si>
    <t>토목시설물 건설업</t>
  </si>
  <si>
    <t>도로 건설업</t>
  </si>
  <si>
    <t>코스피 건설업</t>
  </si>
  <si>
    <t>공사수입,주택분양,건설산업부문 설계,감리 등 엔지니어링서비스</t>
  </si>
  <si>
    <t>www.hdec.kr</t>
  </si>
  <si>
    <t>029780 KS Equity</t>
  </si>
  <si>
    <t>A029780</t>
  </si>
  <si>
    <t>SAMSUNG CARD CO., LTD.</t>
  </si>
  <si>
    <t>삼성카드</t>
  </si>
  <si>
    <t>여신금융업</t>
  </si>
  <si>
    <t>신용카드 및 할부금융업</t>
  </si>
  <si>
    <t>신용카드업,상품신용판매,현금서비스,카드론,리스,기업대출,여행업무,통신판매</t>
  </si>
  <si>
    <t>www.samsungcard.com</t>
  </si>
  <si>
    <t>011780 KS Equity</t>
  </si>
  <si>
    <t>A011780</t>
  </si>
  <si>
    <t>KumhoPetrochemical</t>
  </si>
  <si>
    <t>금호석유</t>
  </si>
  <si>
    <t>합성고무 SBR(스티렌부타디엔러버),BR(폴리부타디엔러버),합성수지,BD,라텍스 제조,도소매</t>
  </si>
  <si>
    <t>www.kkpc.com</t>
  </si>
  <si>
    <t>271560 KS Equity</t>
  </si>
  <si>
    <t>A271560</t>
  </si>
  <si>
    <t>ORION</t>
  </si>
  <si>
    <t>오리온</t>
  </si>
  <si>
    <t>떡, 빵 및 과자류 제조업</t>
  </si>
  <si>
    <t>스낵 등 과자류</t>
  </si>
  <si>
    <t>www.orionworld.com</t>
  </si>
  <si>
    <t>267260 KS Equity</t>
  </si>
  <si>
    <t>A267260</t>
  </si>
  <si>
    <t>HD HYUNDAI ELECTRIC</t>
  </si>
  <si>
    <t>HD현대일렉트릭</t>
  </si>
  <si>
    <t>전동기, 발전기 및 전기 변환ㆍ 공급ㆍ제어 장치 제조업</t>
  </si>
  <si>
    <t>변압기, 고압차단기, 회전기, 배전반 등</t>
  </si>
  <si>
    <t>005940 KS Equity</t>
  </si>
  <si>
    <t>A005940</t>
  </si>
  <si>
    <t>NH INVESTMENT &amp; SECURITIES</t>
  </si>
  <si>
    <t>NH투자증권</t>
  </si>
  <si>
    <t>증권업,종합금융</t>
  </si>
  <si>
    <t>www.nhqv.com</t>
  </si>
  <si>
    <t>071050 KS Equity</t>
  </si>
  <si>
    <t>A071050</t>
  </si>
  <si>
    <t>KOREA INVESTMENT HOLDINGS</t>
  </si>
  <si>
    <t>한국금융지주</t>
  </si>
  <si>
    <t>www.koreainvestment.com</t>
  </si>
  <si>
    <t>018880 KS Equity</t>
  </si>
  <si>
    <t>A018880</t>
  </si>
  <si>
    <t>Hanon Systems</t>
  </si>
  <si>
    <t>한온시스템</t>
  </si>
  <si>
    <t>냉각, 공기조화, 여과, 증류 및 가스발생기 제조업</t>
  </si>
  <si>
    <t>자동차용부품(라디에이터,히터,에어콘,압축기,콘덴서,컴퓨레사) 제조,도매</t>
  </si>
  <si>
    <t>www.hanonsystems.com</t>
  </si>
  <si>
    <t>016360 KS Equity</t>
  </si>
  <si>
    <t>A016360</t>
  </si>
  <si>
    <t>SamsungSecurities</t>
  </si>
  <si>
    <t>삼성증권</t>
  </si>
  <si>
    <t>유가증권의 매매,위탁매매,인수주선</t>
  </si>
  <si>
    <t>www.samsungpop.com</t>
  </si>
  <si>
    <t>035250 KS Equity</t>
  </si>
  <si>
    <t>A035250</t>
  </si>
  <si>
    <t>Kangwon Land, Inc.</t>
  </si>
  <si>
    <t>강원랜드</t>
  </si>
  <si>
    <t>사행시설 관리 및 운영업</t>
  </si>
  <si>
    <t>기타 사행시설 관리 및 운영업</t>
  </si>
  <si>
    <t>카지노,관광호텔,골프장,스키장,체육시설 운영</t>
  </si>
  <si>
    <t>kangwonland.high1.com</t>
  </si>
  <si>
    <t>058470 KS Equity</t>
  </si>
  <si>
    <t>A058470</t>
  </si>
  <si>
    <t>Leeno Industrial Inc.</t>
  </si>
  <si>
    <t>리노공업</t>
  </si>
  <si>
    <t>그 외 기타 전자부품 제조업</t>
  </si>
  <si>
    <t>리노핀, 반도체 소켓 등</t>
  </si>
  <si>
    <t>leeno.com/kr</t>
  </si>
  <si>
    <t>000120 KS Equity</t>
  </si>
  <si>
    <t>A000120</t>
  </si>
  <si>
    <t>CJ LOGISTICS</t>
  </si>
  <si>
    <t>CJ대한통운</t>
  </si>
  <si>
    <t>도로 화물 운송업</t>
  </si>
  <si>
    <t>Contract Logistics, 포워딩, 항만하역, 해운, 택배국제특송, SCM Consulting</t>
  </si>
  <si>
    <t>www.cjlogistics.com</t>
  </si>
  <si>
    <t>003410 KS Equity</t>
  </si>
  <si>
    <t>A003410</t>
  </si>
  <si>
    <t>SSANGYONGC&amp;E</t>
  </si>
  <si>
    <t>쌍용C&amp;E</t>
  </si>
  <si>
    <t>시멘트, 석회 및 플라스터 제조업</t>
  </si>
  <si>
    <t>시멘트 제조업</t>
  </si>
  <si>
    <t>코스피 비금속광물</t>
  </si>
  <si>
    <t>www.ssangyongcement.co.kr</t>
  </si>
  <si>
    <t>004990 KS Equity</t>
  </si>
  <si>
    <t>A004990</t>
  </si>
  <si>
    <t>Lotte Corporation</t>
  </si>
  <si>
    <t>롯데지주</t>
  </si>
  <si>
    <t>www.lotte.co.kr</t>
  </si>
  <si>
    <t>277810 KS Equity</t>
  </si>
  <si>
    <t>A277810</t>
  </si>
  <si>
    <t>Rainbow Robotics</t>
  </si>
  <si>
    <t>레인보우로보틱스</t>
  </si>
  <si>
    <t>협동로봇, 천문마운트시스템, 이족보행로봇 등</t>
  </si>
  <si>
    <t>www.rainbow-robotics.com</t>
  </si>
  <si>
    <t>064350 KS Equity</t>
  </si>
  <si>
    <t>A064350</t>
  </si>
  <si>
    <t>HYUNDAI ROTEM</t>
  </si>
  <si>
    <t>현대로템</t>
  </si>
  <si>
    <t>철도장비 제조업</t>
  </si>
  <si>
    <t>기관차 및 기타 철도차량 제조업</t>
  </si>
  <si>
    <t>철도차량, 특수중기, 산업기계</t>
  </si>
  <si>
    <t>www.hyundai-rotem.co.kr</t>
  </si>
  <si>
    <t>011790 KS Equity</t>
  </si>
  <si>
    <t>A011790</t>
  </si>
  <si>
    <t>SKC</t>
  </si>
  <si>
    <t>www.skc.kr</t>
  </si>
  <si>
    <t>001450 KS Equity</t>
  </si>
  <si>
    <t>A001450</t>
  </si>
  <si>
    <t>Hyundai MARINE &amp; FIRE INSURANCE CO.,LTD</t>
  </si>
  <si>
    <t>현대해상</t>
  </si>
  <si>
    <t>손해보험(자동차보험)</t>
  </si>
  <si>
    <t>www.hi.co.kr</t>
  </si>
  <si>
    <t>272210 KS Equity</t>
  </si>
  <si>
    <t>A272210</t>
  </si>
  <si>
    <t>HANWHA SYSTEMS</t>
  </si>
  <si>
    <t>한화시스템</t>
  </si>
  <si>
    <t>정밀기기(육해공군관련전자제어시스템,열영상감시장비,탐지추적장치,전투지휘체계시스템) 제조</t>
  </si>
  <si>
    <t>www.hanwhasystems.com</t>
  </si>
  <si>
    <t>348370 KS Equity</t>
  </si>
  <si>
    <t>A348370</t>
  </si>
  <si>
    <t>Enchem Co., Ltd.</t>
  </si>
  <si>
    <t>엔켐</t>
  </si>
  <si>
    <t>2차전지 전해액</t>
  </si>
  <si>
    <t>www.enchem.net</t>
  </si>
  <si>
    <t>008930 KS Equity</t>
  </si>
  <si>
    <t>A008930</t>
  </si>
  <si>
    <t>Hanmi Science</t>
  </si>
  <si>
    <t>한미사이언스</t>
  </si>
  <si>
    <t>항생제(세포탁심,세포트리악손),유산균정장제(메디락비타,메디락베베),위장관운동조절개선제(설프라이드),고혈압치료제(유니바스크),원료의약품,식품 제조,판매</t>
  </si>
  <si>
    <t>www.hanmiscience.co.kr</t>
  </si>
  <si>
    <t>006260 KS Equity</t>
  </si>
  <si>
    <t>A006260</t>
  </si>
  <si>
    <t>LS</t>
  </si>
  <si>
    <t>전력용전선,일반전선,통신케이블,동선,알루미늄선,공조기,프라스틱사출성형기 제조,도매</t>
  </si>
  <si>
    <t>www.lsholdings.com</t>
  </si>
  <si>
    <t>010620 KS Equity</t>
  </si>
  <si>
    <t>A010620</t>
  </si>
  <si>
    <t>선박수리,선박개조,선박신조</t>
  </si>
  <si>
    <t>www.hmd.co.kr</t>
  </si>
  <si>
    <t>035900 KS Equity</t>
  </si>
  <si>
    <t>A035900</t>
  </si>
  <si>
    <t>JYP Entertainment Corporation</t>
  </si>
  <si>
    <t>JYP Ent.</t>
  </si>
  <si>
    <t>음악 및 기타 오디오물 출판업</t>
  </si>
  <si>
    <t>코스닥 오락, 문화</t>
  </si>
  <si>
    <t>오디오물 출판 및 원판 녹음 관련 제품</t>
  </si>
  <si>
    <t>www.jype.com</t>
  </si>
  <si>
    <t>383220 KS Equity</t>
  </si>
  <si>
    <t>A383220</t>
  </si>
  <si>
    <t>F&amp;F</t>
  </si>
  <si>
    <t>겉옷 제조업</t>
  </si>
  <si>
    <t>남자용 겉옷 제조업</t>
  </si>
  <si>
    <t>코스피 섬유,의복</t>
  </si>
  <si>
    <t>MLB, MLB KIDS, DISCOVERY 등 패션의류제품</t>
  </si>
  <si>
    <t>www.fnf.co.kr</t>
  </si>
  <si>
    <t>001040 KS Equity</t>
  </si>
  <si>
    <t>A001040</t>
  </si>
  <si>
    <t>CJ Corp.</t>
  </si>
  <si>
    <t>CJ</t>
  </si>
  <si>
    <t>www.cj.net</t>
  </si>
  <si>
    <t>088350 KS Equity</t>
  </si>
  <si>
    <t>A088350</t>
  </si>
  <si>
    <t>HANWHA LIFE INSURANCE</t>
  </si>
  <si>
    <t>한화생명</t>
  </si>
  <si>
    <t>생명보험</t>
  </si>
  <si>
    <t>www.hanwhalife.com</t>
  </si>
  <si>
    <t>039490 KS Equity</t>
  </si>
  <si>
    <t>A039490</t>
  </si>
  <si>
    <t>KIWOOM Securities</t>
  </si>
  <si>
    <t>키움증권</t>
  </si>
  <si>
    <t>유가증권의 매매, 위탁, 인수, 주선</t>
  </si>
  <si>
    <t>www.kiwoom.com</t>
  </si>
  <si>
    <t>052690 KS Equity</t>
  </si>
  <si>
    <t>A052690</t>
  </si>
  <si>
    <t>KEPCO Engineering &amp; Construction</t>
  </si>
  <si>
    <t>한전기술</t>
  </si>
  <si>
    <t>원자력발전소 설계 등</t>
  </si>
  <si>
    <t>www.kepco-enc.com</t>
  </si>
  <si>
    <t>081660 KS Equity</t>
  </si>
  <si>
    <t>A081660</t>
  </si>
  <si>
    <t>Fila Holdings</t>
  </si>
  <si>
    <t>휠라홀딩스</t>
  </si>
  <si>
    <t>생활용품 도매업</t>
  </si>
  <si>
    <t>스포츠의류,신발,가방,시계,골프장비,화장품,가죽제품(지갑,키홀더) 도매,수출입</t>
  </si>
  <si>
    <t>www.filaholdings.com</t>
  </si>
  <si>
    <t>112610 KS Equity</t>
  </si>
  <si>
    <t>A112610</t>
  </si>
  <si>
    <t>CS Wind Corporation</t>
  </si>
  <si>
    <t>씨에스윈드</t>
  </si>
  <si>
    <t>구조용 금속제품 제조업</t>
  </si>
  <si>
    <t>육상 금속 골조 구조재 제조업</t>
  </si>
  <si>
    <t>풍력발전타워 제조</t>
  </si>
  <si>
    <t>www.cswind.com</t>
  </si>
  <si>
    <t>282330 KS Equity</t>
  </si>
  <si>
    <t>A282330</t>
  </si>
  <si>
    <t>BGF Retail</t>
  </si>
  <si>
    <t>BGF리테일</t>
  </si>
  <si>
    <t>음ㆍ식료품 위주 종합 소매업</t>
  </si>
  <si>
    <t>체인화 편의점</t>
  </si>
  <si>
    <t>www.bgfretail.com</t>
  </si>
  <si>
    <t>036460 KS Equity</t>
  </si>
  <si>
    <t>A036460</t>
  </si>
  <si>
    <t>KoreaGasCorporation</t>
  </si>
  <si>
    <t>한국가스공사</t>
  </si>
  <si>
    <t>연료용 가스 제조 및 배관공급업</t>
  </si>
  <si>
    <t>액화천연가스 공급,제조,도매,개발</t>
  </si>
  <si>
    <t>www.kogas.or.kr</t>
  </si>
  <si>
    <t>014680 KS Equity</t>
  </si>
  <si>
    <t>A014680</t>
  </si>
  <si>
    <t>HansolChemical</t>
  </si>
  <si>
    <t>한솔케미칼</t>
  </si>
  <si>
    <t>기초 무기 화학물질 제조업</t>
  </si>
  <si>
    <t>기타 기초 무기 화학물질 제조업</t>
  </si>
  <si>
    <t>과산화수소,라텍스,요소수지,수소액화탄산,차아황산소다 제조,판매,디지털카메라용 인화필름 제조,수출</t>
  </si>
  <si>
    <t>www.hansolchemical.com</t>
  </si>
  <si>
    <t>138930 KS Equity</t>
  </si>
  <si>
    <t>A138930</t>
  </si>
  <si>
    <t>BNK Financial Group Inc.</t>
  </si>
  <si>
    <t>BNK금융지주</t>
  </si>
  <si>
    <t>www.bnkfg.com</t>
  </si>
  <si>
    <t>007070 KS Equity</t>
  </si>
  <si>
    <t>A007070</t>
  </si>
  <si>
    <t>GS Retail</t>
  </si>
  <si>
    <t>GS리테일</t>
  </si>
  <si>
    <t>체인화 편의점,슈퍼마켓,마트,전자상거래/부동산(빌딩) 임대</t>
  </si>
  <si>
    <t>www.gsretail.com</t>
  </si>
  <si>
    <t>079550 KS Equity</t>
  </si>
  <si>
    <t>A079550</t>
  </si>
  <si>
    <t>LIG Nex1 Co., Ltd.</t>
  </si>
  <si>
    <t>LIG넥스원</t>
  </si>
  <si>
    <t>무기 및 총포탄 제조업</t>
  </si>
  <si>
    <t>정밀유도무기 등</t>
  </si>
  <si>
    <t>www.lignex1.com</t>
  </si>
  <si>
    <t>002790 KS Equity</t>
  </si>
  <si>
    <t>A002790</t>
  </si>
  <si>
    <t>AmoreG</t>
  </si>
  <si>
    <t>아모레G</t>
  </si>
  <si>
    <t>008770 KS Equity</t>
  </si>
  <si>
    <t>A008770</t>
  </si>
  <si>
    <t>HotelShilla</t>
  </si>
  <si>
    <t>호텔신라</t>
  </si>
  <si>
    <t>그 외 기타 상품 전문 소매업</t>
  </si>
  <si>
    <t>그 외 기타 분류 안된 상품 전문 소매업</t>
  </si>
  <si>
    <t>면세판매,관광숙박,외식사업,예식업</t>
  </si>
  <si>
    <t>www.hotelshilla.net</t>
  </si>
  <si>
    <t>004370 KS Equity</t>
  </si>
  <si>
    <t>A004370</t>
  </si>
  <si>
    <t>Nongshim</t>
  </si>
  <si>
    <t>농심</t>
  </si>
  <si>
    <t>라면,스낵,유지 제조,도매,수출입</t>
  </si>
  <si>
    <t>www.nongshim.com</t>
  </si>
  <si>
    <t>039030 KS Equity</t>
  </si>
  <si>
    <t>A039030</t>
  </si>
  <si>
    <t>EO Technics Co., Ltd.</t>
  </si>
  <si>
    <t>이오테크닉스</t>
  </si>
  <si>
    <t>레이저 마커 및 레이저 응용기기</t>
  </si>
  <si>
    <t>www.eotechnics.com</t>
  </si>
  <si>
    <t>023530 KS Equity</t>
  </si>
  <si>
    <t>A023530</t>
  </si>
  <si>
    <t>LOTTE SHOPPING CO., LTD.</t>
  </si>
  <si>
    <t>롯데쇼핑</t>
  </si>
  <si>
    <t>대형 종합 소매업</t>
  </si>
  <si>
    <t>백화점</t>
  </si>
  <si>
    <t>백화점(의류,식품 및 잡화),할인점 운영/전자상거래</t>
  </si>
  <si>
    <t>www.lotteshopping.com</t>
  </si>
  <si>
    <t>000990 KS Equity</t>
  </si>
  <si>
    <t>A000990</t>
  </si>
  <si>
    <t>DB HiTek Co.,LTD</t>
  </si>
  <si>
    <t>DB하이텍</t>
  </si>
  <si>
    <t>전자집적회로 제조업</t>
  </si>
  <si>
    <t>반도체 제조</t>
  </si>
  <si>
    <t>www.dbhitek.co.kr</t>
  </si>
  <si>
    <t>175330 KS Equity</t>
  </si>
  <si>
    <t>A175330</t>
  </si>
  <si>
    <t>JB Financial Group Co., Ltd.</t>
  </si>
  <si>
    <t>JB금융지주</t>
  </si>
  <si>
    <t>금융지주 회사</t>
  </si>
  <si>
    <t>www.jbfg.com</t>
  </si>
  <si>
    <t>139480 KS Equity</t>
  </si>
  <si>
    <t>A139480</t>
  </si>
  <si>
    <t>E-MART Co., Ltd.</t>
  </si>
  <si>
    <t>이마트</t>
  </si>
  <si>
    <t>기타 대형 종합 소매업</t>
  </si>
  <si>
    <t>대형마트</t>
  </si>
  <si>
    <t>www.emartcompany.com</t>
  </si>
  <si>
    <t>263750 KS Equity</t>
  </si>
  <si>
    <t>A263750</t>
  </si>
  <si>
    <t>PearlAbyss Corp.</t>
  </si>
  <si>
    <t>펄어비스</t>
  </si>
  <si>
    <t>온라인게임 개발 서비스(검은사막)</t>
  </si>
  <si>
    <t>www.pearlabyss.com</t>
  </si>
  <si>
    <t>002380 KS Equity</t>
  </si>
  <si>
    <t>A002380</t>
  </si>
  <si>
    <t>KCC Corporation</t>
  </si>
  <si>
    <t>KCC</t>
  </si>
  <si>
    <t>잉크, 페인트, 코팅제 및 유사제품 제조업</t>
  </si>
  <si>
    <t>일반용 도료 및 관련제품 제조업</t>
  </si>
  <si>
    <t>건축용단열재,내외장재,스레트,밤라이트,암면,석고보드,판유리 제조</t>
  </si>
  <si>
    <t>www.kccworld.co.kr</t>
  </si>
  <si>
    <t>357780 KS Equity</t>
  </si>
  <si>
    <t>A357780</t>
  </si>
  <si>
    <t>Soulbrain Co., Ltd.</t>
  </si>
  <si>
    <t>솔브레인</t>
  </si>
  <si>
    <t>반도체 및 디스플레이 관련 화학재료 제조ㆍ판매 등</t>
  </si>
  <si>
    <t>www.soulbrain.co.kr</t>
  </si>
  <si>
    <t>030000 KS Equity</t>
  </si>
  <si>
    <t>A030000</t>
  </si>
  <si>
    <t>CheilWorldwide</t>
  </si>
  <si>
    <t>제일기획</t>
  </si>
  <si>
    <t>광고 대행업</t>
  </si>
  <si>
    <t>광고 대행/광고물,영화 제작,인쇄,출판</t>
  </si>
  <si>
    <t>www.cheil.com</t>
  </si>
  <si>
    <t>012750 KS Equity</t>
  </si>
  <si>
    <t>A012750</t>
  </si>
  <si>
    <t>S-1</t>
  </si>
  <si>
    <t>에스원</t>
  </si>
  <si>
    <t>보안시스템 서비스업</t>
  </si>
  <si>
    <t>부가통신 서비스(경비),안전관리용역,CCTV카메라</t>
  </si>
  <si>
    <t>www.s1.co.kr</t>
  </si>
  <si>
    <t>065350 KS Equity</t>
  </si>
  <si>
    <t>A065350</t>
  </si>
  <si>
    <t>SHINSUNG DELTA TECH CO.,LTD.</t>
  </si>
  <si>
    <t>신성델타테크</t>
  </si>
  <si>
    <t>가정용 전기기기 제조업</t>
  </si>
  <si>
    <t>기타 가정용 전기기기 제조업</t>
  </si>
  <si>
    <t>세탁기, 자동차, 에어컨 및 LCD 부품</t>
  </si>
  <si>
    <t>www.ssdelta.co.kr</t>
  </si>
  <si>
    <t>417200 KS Equity</t>
  </si>
  <si>
    <t>A417200</t>
  </si>
  <si>
    <t>LS Materials Co.,Ltd.</t>
  </si>
  <si>
    <t>LS머트리얼즈</t>
  </si>
  <si>
    <t>전자축전기 제조업</t>
  </si>
  <si>
    <t>울트라커패시터(셀 및 모듈)</t>
  </si>
  <si>
    <t>www.lsmaterials.co.kr</t>
  </si>
  <si>
    <t>293490 KS Equity</t>
  </si>
  <si>
    <t>A293490</t>
  </si>
  <si>
    <t>Kakao Games Corp.</t>
  </si>
  <si>
    <t>카카오게임즈</t>
  </si>
  <si>
    <t>모바일, PC게임 퍼블리싱</t>
  </si>
  <si>
    <t>www.kakaogamescorp.com</t>
  </si>
  <si>
    <t>010060 KS Equity</t>
  </si>
  <si>
    <t>A010060</t>
  </si>
  <si>
    <t>OCI Holdings Company Ltd.</t>
  </si>
  <si>
    <t>OCI홀딩스</t>
  </si>
  <si>
    <t>타르제품,카본블랙,무수프탈산,농약원제,석탄화학제품,정밀화학제품,플라스틱창호재 제조,판매</t>
  </si>
  <si>
    <t>www.oci.co.kr</t>
  </si>
  <si>
    <t>005290 KS Equity</t>
  </si>
  <si>
    <t>A005290</t>
  </si>
  <si>
    <t>Dongjin Semichem Co., Ltd.</t>
  </si>
  <si>
    <t>동진쎄미켐</t>
  </si>
  <si>
    <t>반도체,LCD용재료(감광제,봉지제),발포제</t>
  </si>
  <si>
    <t>www.dongjin.com</t>
  </si>
  <si>
    <t>111770 KS Equity</t>
  </si>
  <si>
    <t>A111770</t>
  </si>
  <si>
    <t>Youngone Corporation</t>
  </si>
  <si>
    <t>영원무역</t>
  </si>
  <si>
    <t>상품 종합 도매업</t>
  </si>
  <si>
    <t>스포츠의류</t>
  </si>
  <si>
    <t>www.youngone.co.kr</t>
  </si>
  <si>
    <t>214150 KS Equity</t>
  </si>
  <si>
    <t>A214150</t>
  </si>
  <si>
    <t>CLASSYS Inc.</t>
  </si>
  <si>
    <t>클래시스</t>
  </si>
  <si>
    <t>의료용 기기 제조업</t>
  </si>
  <si>
    <t>미용의료기기</t>
  </si>
  <si>
    <t>www.classys.co.kr</t>
  </si>
  <si>
    <t>010120 KS Equity</t>
  </si>
  <si>
    <t>A010120</t>
  </si>
  <si>
    <t>LS ELECTRIC</t>
  </si>
  <si>
    <t>전기 공급 및 제어장치 제조업</t>
  </si>
  <si>
    <t>전기회로 개폐, 보호장치 제조업</t>
  </si>
  <si>
    <t>고압기기,저압기기,변압기,배전반,PLC,인버터,빌딩설비,공조기,건축배관,자동화기기 제조,동가공</t>
  </si>
  <si>
    <t>www.ls-electric.com</t>
  </si>
  <si>
    <t>000880 KS Equity</t>
  </si>
  <si>
    <t>A000880</t>
  </si>
  <si>
    <t>Hanwha</t>
  </si>
  <si>
    <t>한화</t>
  </si>
  <si>
    <t>그 외 기타 화학제품 제조업</t>
  </si>
  <si>
    <t>화약 및 불꽃제품 제조업</t>
  </si>
  <si>
    <t>화약,화공품,자동선반류,공작기계 제조,전자교환기,건설,정보통신,종합무역/임직원 및 개인대상 교육,세미나 및 워크샵 중계,동영상광고</t>
  </si>
  <si>
    <t>www.hanwhacorp.co.kr</t>
  </si>
  <si>
    <t>028670 KS Equity</t>
  </si>
  <si>
    <t>A028670</t>
  </si>
  <si>
    <t>PanOcean</t>
  </si>
  <si>
    <t>팬오션</t>
  </si>
  <si>
    <t>해상화물운송(외항,운수보관)</t>
  </si>
  <si>
    <t>www.panocean.com</t>
  </si>
  <si>
    <t>007660 KS Equity</t>
  </si>
  <si>
    <t>A007660</t>
  </si>
  <si>
    <t>ISUPETASYS</t>
  </si>
  <si>
    <t>이수페타시스</t>
  </si>
  <si>
    <t>P.C.B(인쇄회로기판),M.L.B 제조</t>
  </si>
  <si>
    <t>www.petasys.com</t>
  </si>
  <si>
    <t>145020 KS Equity</t>
  </si>
  <si>
    <t>A145020</t>
  </si>
  <si>
    <t>Hugel, Inc.</t>
  </si>
  <si>
    <t>휴젤</t>
  </si>
  <si>
    <t>보툴리눔톡신, 필러</t>
  </si>
  <si>
    <t>www.hugel.co.kr</t>
  </si>
  <si>
    <t>041510 KS Equity</t>
  </si>
  <si>
    <t>A041510</t>
  </si>
  <si>
    <t>SM ENTERTAINMENT Co., Ltd.</t>
  </si>
  <si>
    <t>에스엠</t>
  </si>
  <si>
    <t>음반(CD,MC),연예 대리</t>
  </si>
  <si>
    <t>www.smentertainment.com</t>
  </si>
  <si>
    <t>328130 KS Equity</t>
  </si>
  <si>
    <t>A328130</t>
  </si>
  <si>
    <t>Lunit Inc.</t>
  </si>
  <si>
    <t>루닛</t>
  </si>
  <si>
    <t>시스템ㆍ응용 소프트웨어 개발 및 공급업</t>
  </si>
  <si>
    <t>응용 소프트웨어 개발 및 공급업</t>
  </si>
  <si>
    <t>Lunit INSIGHT</t>
  </si>
  <si>
    <t>www.lunit.io</t>
  </si>
  <si>
    <t>112040 KS Equity</t>
  </si>
  <si>
    <t>A112040</t>
  </si>
  <si>
    <t>Wemade Co., Ltd.</t>
  </si>
  <si>
    <t>위메이드</t>
  </si>
  <si>
    <t>미르의전설2, 미르4</t>
  </si>
  <si>
    <t>www.wemade.com</t>
  </si>
  <si>
    <t>073240 KS Equity</t>
  </si>
  <si>
    <t>A073240</t>
  </si>
  <si>
    <t>KUMHOTIRECO.,INC</t>
  </si>
  <si>
    <t>금호타이어</t>
  </si>
  <si>
    <t>타이어,튜브 제조,도매,무역</t>
  </si>
  <si>
    <t>www.kumhotire.com</t>
  </si>
  <si>
    <t>006040 KS Equity</t>
  </si>
  <si>
    <t>A006040</t>
  </si>
  <si>
    <t>DongwonIndustries</t>
  </si>
  <si>
    <t>동원산업</t>
  </si>
  <si>
    <t>001440 KS Equity</t>
  </si>
  <si>
    <t>A001440</t>
  </si>
  <si>
    <t>TaihanElectricWire</t>
  </si>
  <si>
    <t>대한전선</t>
  </si>
  <si>
    <t>절연선 및 케이블 제조업</t>
  </si>
  <si>
    <t>기타 절연선 및 케이블 제조업</t>
  </si>
  <si>
    <t>전력선,통신케이블,적산계기,스텐레스압연제품,광케이블,초고압선,알루미늄 제조,도매/전기공사</t>
  </si>
  <si>
    <t>www.taihan.com</t>
  </si>
  <si>
    <t>026960 KS Equity</t>
  </si>
  <si>
    <t>A026960</t>
  </si>
  <si>
    <t>DONGSUH</t>
  </si>
  <si>
    <t>동서</t>
  </si>
  <si>
    <t>가공식품 도매업</t>
  </si>
  <si>
    <t>기타 가공식품 도매업</t>
  </si>
  <si>
    <t>식품 유통, 다류 및 연포장재 제조 등</t>
  </si>
  <si>
    <t>www.dongsuh.com</t>
  </si>
  <si>
    <t>095340 KS Equity</t>
  </si>
  <si>
    <t>A095340</t>
  </si>
  <si>
    <t>ISC Co., Ltd.</t>
  </si>
  <si>
    <t>ISC</t>
  </si>
  <si>
    <t>기계장비 및 관련 물품 도매업</t>
  </si>
  <si>
    <t>반도체테스트소켓</t>
  </si>
  <si>
    <t>www.isc21.kr</t>
  </si>
  <si>
    <t>009420 KS Equity</t>
  </si>
  <si>
    <t>A009420</t>
  </si>
  <si>
    <t>HANALL BIOPHARMA CO.,LTD</t>
  </si>
  <si>
    <t>한올바이오파마</t>
  </si>
  <si>
    <t>의약품 제조,도매/부동산 임대</t>
  </si>
  <si>
    <t>www.hanall.co.kr</t>
  </si>
  <si>
    <t>047040 KS Equity</t>
  </si>
  <si>
    <t>A047040</t>
  </si>
  <si>
    <t>DaewooEngineering&amp;Construction</t>
  </si>
  <si>
    <t>대우건설</t>
  </si>
  <si>
    <t>주거용 건물 건설업</t>
  </si>
  <si>
    <t>아파트 건설업</t>
  </si>
  <si>
    <t>아파트건설,토목공사,건축공사,포장공사,전기공사,무역/중장비 대여</t>
  </si>
  <si>
    <t>www.daewooenc.com</t>
  </si>
  <si>
    <t>004170 KS Equity</t>
  </si>
  <si>
    <t>A004170</t>
  </si>
  <si>
    <t>Shinsegae Co.,Ltd</t>
  </si>
  <si>
    <t>신세계</t>
  </si>
  <si>
    <t>백화점,할인점(E마트)</t>
  </si>
  <si>
    <t>www.shinsegae.com</t>
  </si>
  <si>
    <t>204320 KS Equity</t>
  </si>
  <si>
    <t>A204320</t>
  </si>
  <si>
    <t>HL Mando</t>
  </si>
  <si>
    <t>HL만도</t>
  </si>
  <si>
    <t>자동차용 기타 신품 부품 제조업</t>
  </si>
  <si>
    <t>그 외 자동차용 신품 부품 제조업</t>
  </si>
  <si>
    <t>제동장치, 조향장치, 현가장치</t>
  </si>
  <si>
    <t>www.mando.com</t>
  </si>
  <si>
    <t>036930 KS Equity</t>
  </si>
  <si>
    <t>A036930</t>
  </si>
  <si>
    <t>Jusung Engineering Co., Ltd.</t>
  </si>
  <si>
    <t>주성엔지니어링</t>
  </si>
  <si>
    <t>가공 공작기계 제조업</t>
  </si>
  <si>
    <t>기타 가공 공작기계 제조업</t>
  </si>
  <si>
    <t>LP CVD</t>
  </si>
  <si>
    <t>www.jseng.com</t>
  </si>
  <si>
    <t>375500 KS Equity</t>
  </si>
  <si>
    <t>A375500</t>
  </si>
  <si>
    <t>DL E&amp;C CO., LTD.</t>
  </si>
  <si>
    <t>DL이앤씨</t>
  </si>
  <si>
    <t>토목 건설업</t>
  </si>
  <si>
    <t>토목 건설 사업</t>
  </si>
  <si>
    <t>www.dlenc.co.kr</t>
  </si>
  <si>
    <t>001740 KS Equity</t>
  </si>
  <si>
    <t>A001740</t>
  </si>
  <si>
    <t>SKNetworksCo.,Ltd</t>
  </si>
  <si>
    <t>SK네트웍스</t>
  </si>
  <si>
    <t>정보통신 유통, 자동차 관리, 글로벌 트레이딩, 호텔&amp;리조트</t>
  </si>
  <si>
    <t>www.sknetworks.co.kr</t>
  </si>
  <si>
    <t>298040 KS Equity</t>
  </si>
  <si>
    <t>A298040</t>
  </si>
  <si>
    <t>HYOSUNG HEAVY INDUSTRIES</t>
  </si>
  <si>
    <t>효성중공업</t>
  </si>
  <si>
    <t>www.hyosungheavyindustries.com</t>
  </si>
  <si>
    <t>007310 KS Equity</t>
  </si>
  <si>
    <t>A007310</t>
  </si>
  <si>
    <t>Ottogi</t>
  </si>
  <si>
    <t>오뚜기</t>
  </si>
  <si>
    <t>라면,마요네즈,카레,스프,당면,소오스,토마토케첩,마가린,냉동생지(바게트,크로와상),참치캔,식초,3분짜장 제조</t>
  </si>
  <si>
    <t>www.ottogi.co.kr</t>
  </si>
  <si>
    <t>017800 KS Equity</t>
  </si>
  <si>
    <t>A017800</t>
  </si>
  <si>
    <t>HyundaiElevator</t>
  </si>
  <si>
    <t>현대엘리베이</t>
  </si>
  <si>
    <t>산업용 트럭, 승강기 및 물품취급장비 제조업</t>
  </si>
  <si>
    <t>승강기 제조업</t>
  </si>
  <si>
    <t>엘리베이터,에스컬레이터,공항,공정,크린룸,병원 물류시스템,수,배송센터,고속소팅시스템,주차설비 제조,판매,보수</t>
  </si>
  <si>
    <t>www.hyundaielevator.co.kr</t>
  </si>
  <si>
    <t>000250 KS Equity</t>
  </si>
  <si>
    <t>A000250</t>
  </si>
  <si>
    <t>SAM CHUN DANG PHARM. Co., Ltd.</t>
  </si>
  <si>
    <t>삼천당제약</t>
  </si>
  <si>
    <t>하메론, 아토로우</t>
  </si>
  <si>
    <t>www.scd.co.kr</t>
  </si>
  <si>
    <t>067630 KS Equity</t>
  </si>
  <si>
    <t>A067630</t>
  </si>
  <si>
    <t>HLB Life Science Co., Ltd.</t>
  </si>
  <si>
    <t>HLB생명과학</t>
  </si>
  <si>
    <t>ESCO 사업, 신재생에너지 사업</t>
  </si>
  <si>
    <t>www.hlb-ls.com</t>
  </si>
  <si>
    <t>011210 KS Equity</t>
  </si>
  <si>
    <t>A011210</t>
  </si>
  <si>
    <t>HYUNDAI WIA</t>
  </si>
  <si>
    <t>현대위아</t>
  </si>
  <si>
    <t>자동차부품, 공작기계 등</t>
  </si>
  <si>
    <t>www.hyundai-wia.com</t>
  </si>
  <si>
    <t>035760 KS Equity</t>
  </si>
  <si>
    <t>A035760</t>
  </si>
  <si>
    <t>CJ ENM CO., Ltd.</t>
  </si>
  <si>
    <t>CJ ENM</t>
  </si>
  <si>
    <t>텔레비전 방송업</t>
  </si>
  <si>
    <t>의류, 생활주방, 가전제품, 보석, 기타</t>
  </si>
  <si>
    <t>www.cjenm.com</t>
  </si>
  <si>
    <t>051600 KS Equity</t>
  </si>
  <si>
    <t>A051600</t>
  </si>
  <si>
    <t>KEPCO Plant Service &amp; Engineering</t>
  </si>
  <si>
    <t>한전KPS</t>
  </si>
  <si>
    <t>전기 공사업</t>
  </si>
  <si>
    <t>일반전기 공사업</t>
  </si>
  <si>
    <t>일반전기공사,발전설비정비공사,점검,수리,엔지니어링</t>
  </si>
  <si>
    <t>www.kps.co.kr</t>
  </si>
  <si>
    <t>042670 KS Equity</t>
  </si>
  <si>
    <t>A042670</t>
  </si>
  <si>
    <t>HD Hyundai Infracore</t>
  </si>
  <si>
    <t>HD현대인프라코어</t>
  </si>
  <si>
    <t>굴착기,엔진 제조,도소매</t>
  </si>
  <si>
    <t>298050 KS Equity</t>
  </si>
  <si>
    <t>A298050</t>
  </si>
  <si>
    <t>화학섬유 제조업</t>
  </si>
  <si>
    <t>PET타이어코드</t>
  </si>
  <si>
    <t>www.hyosungadvancedmaterials.com</t>
  </si>
  <si>
    <t>000080 KS Equity</t>
  </si>
  <si>
    <t>A000080</t>
  </si>
  <si>
    <t>HITEJINRO</t>
  </si>
  <si>
    <t>하이트진로</t>
  </si>
  <si>
    <t>증류주 및 합성주 제조업</t>
  </si>
  <si>
    <t>소주 제조업</t>
  </si>
  <si>
    <t>소주</t>
  </si>
  <si>
    <t>www.hitejinro.com</t>
  </si>
  <si>
    <t>240810 KS Equity</t>
  </si>
  <si>
    <t>A240810</t>
  </si>
  <si>
    <t>WONIK IPS CO., LTD.</t>
  </si>
  <si>
    <t>원익IPS</t>
  </si>
  <si>
    <t>특수 목적용 기계 제조업</t>
  </si>
  <si>
    <t>반도체 제조용 기계</t>
  </si>
  <si>
    <t>www.ips.co.kr</t>
  </si>
  <si>
    <t>185750 KS Equity</t>
  </si>
  <si>
    <t>A185750</t>
  </si>
  <si>
    <t>CHONGKUNDANG</t>
  </si>
  <si>
    <t>종근당</t>
  </si>
  <si>
    <t>딜라트렌,리피로우</t>
  </si>
  <si>
    <t>www.ckdpharm.com</t>
  </si>
  <si>
    <t>000240 KS Equity</t>
  </si>
  <si>
    <t>A000240</t>
  </si>
  <si>
    <t>HANKOOK &amp; COMPANY</t>
  </si>
  <si>
    <t>한국앤컴퍼니</t>
  </si>
  <si>
    <t>비금융지주회사</t>
  </si>
  <si>
    <t>www.hankookandcompany.com</t>
  </si>
  <si>
    <t>139130 KS Equity</t>
  </si>
  <si>
    <t>A139130</t>
  </si>
  <si>
    <t>DGB Financial Group</t>
  </si>
  <si>
    <t>DGB금융지주</t>
  </si>
  <si>
    <t>www.dgbfg.co.kr</t>
  </si>
  <si>
    <t>020150 KS Equity</t>
  </si>
  <si>
    <t>A020150</t>
  </si>
  <si>
    <t>LOTTE ENERGY MATERIALS CORPORATION</t>
  </si>
  <si>
    <t>롯데에너지머티리얼즈</t>
  </si>
  <si>
    <t>인쇄회로기판(PCB)용 전해동박(ACF,UCF),에폭시용 동박,전해콘덴서용 알루미늄박 제조,판매</t>
  </si>
  <si>
    <t>000150 KS Equity</t>
  </si>
  <si>
    <t>A000150</t>
  </si>
  <si>
    <t>DOOSAN</t>
  </si>
  <si>
    <t>두산</t>
  </si>
  <si>
    <t>동박적층판 등 제조 및 판매, 유압기기 등 제조 및 판매, 지게차 제조 및 판매, IT 시스템 개발/운영 서비스 등, 연료전지 등</t>
  </si>
  <si>
    <t>www.doosan.com</t>
  </si>
  <si>
    <t>141080 KS Equity</t>
  </si>
  <si>
    <t>A141080</t>
  </si>
  <si>
    <t>신약후보물질 발굴을 통한 License-Out</t>
  </si>
  <si>
    <t>www.legochembio.com</t>
  </si>
  <si>
    <t>086900 KS Equity</t>
  </si>
  <si>
    <t>A086900</t>
  </si>
  <si>
    <t>Medy-Tox Inc.</t>
  </si>
  <si>
    <t>메디톡스</t>
  </si>
  <si>
    <t>의약품원료(A형,B형 보툴리늄독소 단백질치료제) 제조,연구,개발</t>
  </si>
  <si>
    <t>www.medy-tox.co.kr</t>
  </si>
  <si>
    <t>005850 KS Equity</t>
  </si>
  <si>
    <t>A005850</t>
  </si>
  <si>
    <t>SLCORPORATION</t>
  </si>
  <si>
    <t>에스엘</t>
  </si>
  <si>
    <t>자동차 엔진용 신품 부품 제조업</t>
  </si>
  <si>
    <t>자동차부품(자동차램프, 전동화부품, 전자부품) 제조, 판매</t>
  </si>
  <si>
    <t>www.slworld.com</t>
  </si>
  <si>
    <t>003620 KS Equity</t>
  </si>
  <si>
    <t>A003620</t>
  </si>
  <si>
    <t>KG Mobility</t>
  </si>
  <si>
    <t>KG모빌리티</t>
  </si>
  <si>
    <t>자동차용 엔진 및 자동차 제조업</t>
  </si>
  <si>
    <t>자동차,자동차부품,차륜,정비 제조/도소매</t>
  </si>
  <si>
    <t>012510 KS Equity</t>
  </si>
  <si>
    <t>A012510</t>
  </si>
  <si>
    <t>DOUZONE BIZON</t>
  </si>
  <si>
    <t>더존비즈온</t>
  </si>
  <si>
    <t>컴퓨터시설 관리업</t>
  </si>
  <si>
    <t>www.douzone.com</t>
  </si>
  <si>
    <t>248070 KS Equity</t>
  </si>
  <si>
    <t>A248070</t>
  </si>
  <si>
    <t>SOLUM</t>
  </si>
  <si>
    <t>솔루엠</t>
  </si>
  <si>
    <t>POWER, 3in1 Board, ESL 등</t>
  </si>
  <si>
    <t>www.solu-m.com</t>
  </si>
  <si>
    <t>253450 KS Equity</t>
  </si>
  <si>
    <t>A253450</t>
  </si>
  <si>
    <t>Studio Dragon Corporation</t>
  </si>
  <si>
    <t>스튜디오드래곤</t>
  </si>
  <si>
    <t>영화, 비디오물 및 방송프로그램 제작업</t>
  </si>
  <si>
    <t>방송 프로그램 제작업</t>
  </si>
  <si>
    <t>드라마 제작, 판매</t>
  </si>
  <si>
    <t>www.studiodragon.net</t>
  </si>
  <si>
    <t>018670 KS Equity</t>
  </si>
  <si>
    <t>A018670</t>
  </si>
  <si>
    <t>SKGas</t>
  </si>
  <si>
    <t>SK가스</t>
  </si>
  <si>
    <t>연료, 연료용 광물 및 관련제품 도매업</t>
  </si>
  <si>
    <t>기체연료 및 관련제품 도매업</t>
  </si>
  <si>
    <t>액화석유가스,가스기기 판매,수입,저장</t>
  </si>
  <si>
    <t>www.skgas.co.kr</t>
  </si>
  <si>
    <t>096530 KS Equity</t>
  </si>
  <si>
    <t>A096530</t>
  </si>
  <si>
    <t>Seegene, Inc.</t>
  </si>
  <si>
    <t>씨젠</t>
  </si>
  <si>
    <t>호흡기성 병원체 검사제품, 성감염증원인균 검사제품</t>
  </si>
  <si>
    <t>www.seegene.co.kr</t>
  </si>
  <si>
    <t>137310 KS Equity</t>
  </si>
  <si>
    <t>A137310</t>
  </si>
  <si>
    <t>SD Biosensor</t>
  </si>
  <si>
    <t>에스디바이오센서</t>
  </si>
  <si>
    <t>방사선 장치 및 전기식 진단 기기 제조업</t>
  </si>
  <si>
    <t>전기식 진단 및 요법 기기 제조업</t>
  </si>
  <si>
    <t>코스피 의료정밀</t>
  </si>
  <si>
    <t>STANDARD Q 항원/항체 진단키트(COVID-19 진단키트)</t>
  </si>
  <si>
    <t>sdbiosensor.co.kr</t>
  </si>
  <si>
    <t>003230 KS Equity</t>
  </si>
  <si>
    <t>A003230</t>
  </si>
  <si>
    <t>SamyangFoods</t>
  </si>
  <si>
    <t>삼양식품</t>
  </si>
  <si>
    <t>라면,스낵,유제품,장유,식용유,사료,향신료,건강음료(루이보스 티) 제조,도매</t>
  </si>
  <si>
    <t>www.samyangfood.co.kr</t>
  </si>
  <si>
    <t>192820 KS Equity</t>
  </si>
  <si>
    <t>A192820</t>
  </si>
  <si>
    <t>COSMAX, INC.</t>
  </si>
  <si>
    <t>코스맥스</t>
  </si>
  <si>
    <t>화장품</t>
  </si>
  <si>
    <t>www.cosmax.com</t>
  </si>
  <si>
    <t>336260 KS Equity</t>
  </si>
  <si>
    <t>A336260</t>
  </si>
  <si>
    <t>Doosan Fuel Cell</t>
  </si>
  <si>
    <t>두산퓨얼셀</t>
  </si>
  <si>
    <t>전동기, 발전기 및 전기 변환장치 제조업</t>
  </si>
  <si>
    <t>전동기 및 발전기 제조업</t>
  </si>
  <si>
    <t>연료전지</t>
  </si>
  <si>
    <t>www.doosanfuelcell.com</t>
  </si>
  <si>
    <t>393890 KS Equity</t>
  </si>
  <si>
    <t>A393890</t>
  </si>
  <si>
    <t>W-SCOPE CHUNGJU PLANT CO., LTD.</t>
  </si>
  <si>
    <t>더블유씨피</t>
  </si>
  <si>
    <t>이차전지용 분리막</t>
  </si>
  <si>
    <t>wcp.kr</t>
  </si>
  <si>
    <t>002710 KS Equity</t>
  </si>
  <si>
    <t>A002710</t>
  </si>
  <si>
    <t>TCC STEEL</t>
  </si>
  <si>
    <t>TCC스틸</t>
  </si>
  <si>
    <t>기타 1차 철강 제조업</t>
  </si>
  <si>
    <t>도금, 착색 및 기타 표면처리강재 제조업</t>
  </si>
  <si>
    <t>석도강판,표면처리강판 제조,판매</t>
  </si>
  <si>
    <t>www.tccsteel.com</t>
  </si>
  <si>
    <t>298020 KS Equity</t>
  </si>
  <si>
    <t>A298020</t>
  </si>
  <si>
    <t>HYOSUNG TNC</t>
  </si>
  <si>
    <t>효성티앤씨</t>
  </si>
  <si>
    <t>섬유, 산업자재, 화학, 중공업, 건설, 무역,금융 등</t>
  </si>
  <si>
    <t>www.hyosungtnc.com</t>
  </si>
  <si>
    <t>004800 KS Equity</t>
  </si>
  <si>
    <t>A004800</t>
  </si>
  <si>
    <t>Hyosung</t>
  </si>
  <si>
    <t>효성</t>
  </si>
  <si>
    <t>기타 금융업</t>
  </si>
  <si>
    <t>스판덱스,합성원사,나일론,폴리에스터,타이어코드지,PET병,수지제품,중전기제품(변압기,차단기),사무용기계,컴퓨터 제조/건축공사</t>
  </si>
  <si>
    <t>www.hyosung.com</t>
  </si>
  <si>
    <t>108320 KS Equity</t>
  </si>
  <si>
    <t>A108320</t>
  </si>
  <si>
    <t>LX Semicon</t>
  </si>
  <si>
    <t>LX세미콘</t>
  </si>
  <si>
    <t>Display Driver IC</t>
  </si>
  <si>
    <t>www.lxsemicon.com</t>
  </si>
  <si>
    <t>006110 KS Equity</t>
  </si>
  <si>
    <t>A006110</t>
  </si>
  <si>
    <t>SamaAluminium</t>
  </si>
  <si>
    <t>삼아알미늄</t>
  </si>
  <si>
    <t>비철금속 압연, 압출 및 연신제품 제조업</t>
  </si>
  <si>
    <t>알루미늄 압연, 압출 및 연신제품 제조업</t>
  </si>
  <si>
    <t>알루미늄박지,은박지,은박가공품,알페이스트 제조,도매,수출</t>
  </si>
  <si>
    <t>www.sama-al.com</t>
  </si>
  <si>
    <t>145720 KS Equity</t>
  </si>
  <si>
    <t>A145720</t>
  </si>
  <si>
    <t>DENTIUM</t>
  </si>
  <si>
    <t>덴티움</t>
  </si>
  <si>
    <t>기타 의료용 기기 제조업</t>
  </si>
  <si>
    <t>치과용 기기 제조업</t>
  </si>
  <si>
    <t>www.dentium.co.kr</t>
  </si>
  <si>
    <t>006360 KS Equity</t>
  </si>
  <si>
    <t>A006360</t>
  </si>
  <si>
    <t>GS Engineering &amp; Construction Corp</t>
  </si>
  <si>
    <t>GS건설</t>
  </si>
  <si>
    <t>단독 주택 건설업</t>
  </si>
  <si>
    <t>토목공사,건축공사,주택공사,산업플랜트공사,리모델링공사,시설물유지관리공사/산업설비설계,감리 용역,수출입/에너지관리 진단,연구개발</t>
  </si>
  <si>
    <t>www.gsenc.com</t>
  </si>
  <si>
    <t>067310 KS Equity</t>
  </si>
  <si>
    <t>A067310</t>
  </si>
  <si>
    <t>Hana Micron Inc.</t>
  </si>
  <si>
    <t>하나마이크론</t>
  </si>
  <si>
    <t>반도체패키징,IOT</t>
  </si>
  <si>
    <t>www.hanamicron.co.kr</t>
  </si>
  <si>
    <t>069620 KS Equity</t>
  </si>
  <si>
    <t>A069620</t>
  </si>
  <si>
    <t>DAEWOONGPHARMACEUTICAL</t>
  </si>
  <si>
    <t>대웅제약</t>
  </si>
  <si>
    <t>양약,의료기기 제조/화장품,의약부의품 도소매/부동산 임대</t>
  </si>
  <si>
    <t>www.daewoong.co.kr</t>
  </si>
  <si>
    <t>006280 KS Equity</t>
  </si>
  <si>
    <t>A006280</t>
  </si>
  <si>
    <t>Green Cross Corporation</t>
  </si>
  <si>
    <t>녹십자</t>
  </si>
  <si>
    <t>알부민외 제조,판매</t>
  </si>
  <si>
    <t>www.gccorp.com</t>
  </si>
  <si>
    <t>004000 KS Equity</t>
  </si>
  <si>
    <t>A004000</t>
  </si>
  <si>
    <t>LOTTE Fine Chemical</t>
  </si>
  <si>
    <t>롯데정밀화학</t>
  </si>
  <si>
    <t>염소·셀룰로스계열, 암모니아 계열, 전자재료 등 화학제품 제조</t>
  </si>
  <si>
    <t>www.lottefinechem.com</t>
  </si>
  <si>
    <t>005300 KS Equity</t>
  </si>
  <si>
    <t>A005300</t>
  </si>
  <si>
    <t>LotteChilsungBeverage</t>
  </si>
  <si>
    <t>롯데칠성</t>
  </si>
  <si>
    <t>비알코올 음료 및 얼음 제조업</t>
  </si>
  <si>
    <t>기타 비알코올 음료 제조업</t>
  </si>
  <si>
    <t>청량음료,과채류음료,곡류음료,주류 제조,판매/자동차정비,연수원</t>
  </si>
  <si>
    <t>company.lottechilsung.co.kr</t>
  </si>
  <si>
    <t>064760 KS Equity</t>
  </si>
  <si>
    <t>A064760</t>
  </si>
  <si>
    <t>Tokai Carbon Korea Co., Ltd.</t>
  </si>
  <si>
    <t>티씨케이</t>
  </si>
  <si>
    <t>그 외 기타 비금속 광물제품 제조업</t>
  </si>
  <si>
    <t>그 외 기타 분류 안된 비금속 광물제품 제조업</t>
  </si>
  <si>
    <t>반도체 제조공정용 고순도 흑연제품</t>
  </si>
  <si>
    <t>www.tck.co.kr</t>
  </si>
  <si>
    <t>003090 KS Equity</t>
  </si>
  <si>
    <t>A003090</t>
  </si>
  <si>
    <t>Daewoong</t>
  </si>
  <si>
    <t>대웅</t>
  </si>
  <si>
    <t>지주회사/의약품,화공약품,농예약품,위생용품,의료용구,식품,전기전자기구,부품 제조,판매</t>
  </si>
  <si>
    <t>www.daewoongholdings.com</t>
  </si>
  <si>
    <t>140860 KS Equity</t>
  </si>
  <si>
    <t>A140860</t>
  </si>
  <si>
    <t>Park Systems Corp.</t>
  </si>
  <si>
    <t>파크시스템스</t>
  </si>
  <si>
    <t>측정, 시험, 항해, 제어 및 기타 정밀기기 제조업</t>
  </si>
  <si>
    <t>기타 측정, 시험, 항해, 제어 및 정밀기기 제조업</t>
  </si>
  <si>
    <t>연구용 및 산업용 원자현미경</t>
  </si>
  <si>
    <t>www.parksystems.co.kr</t>
  </si>
  <si>
    <t>353200 KS Equity</t>
  </si>
  <si>
    <t>A353200</t>
  </si>
  <si>
    <t>DaeduckElectronics</t>
  </si>
  <si>
    <t>대덕전자</t>
  </si>
  <si>
    <t>PCB(Printed Circuit Board, 인쇄회로기판)의 제조 및 판매</t>
  </si>
  <si>
    <t>www.daeduck.com</t>
  </si>
  <si>
    <t>195940 KS Equity</t>
  </si>
  <si>
    <t>A195940</t>
  </si>
  <si>
    <t>HK inno.N Corporation</t>
  </si>
  <si>
    <t>HK이노엔</t>
  </si>
  <si>
    <t>전문의약품, 숙취해소음료</t>
  </si>
  <si>
    <t>www.inno-n.com</t>
  </si>
  <si>
    <t>069960 KS Equity</t>
  </si>
  <si>
    <t>A069960</t>
  </si>
  <si>
    <t>HYUNDAIDEPARTMENTSTORECO.,LTD</t>
  </si>
  <si>
    <t>현대백화점</t>
  </si>
  <si>
    <t>www.ehyundai.com</t>
  </si>
  <si>
    <t>098460 KS Equity</t>
  </si>
  <si>
    <t>A098460</t>
  </si>
  <si>
    <t>Koh Young Technology Inc.</t>
  </si>
  <si>
    <t>고영</t>
  </si>
  <si>
    <t>전자제품및반도체생산용 3차원 납도포검사장비</t>
  </si>
  <si>
    <t>www.kohyoung.com</t>
  </si>
  <si>
    <t>003690 KS Equity</t>
  </si>
  <si>
    <t>A003690</t>
  </si>
  <si>
    <t>Korean Reinsurance Company</t>
  </si>
  <si>
    <t>코리안리</t>
  </si>
  <si>
    <t>재 보험업</t>
  </si>
  <si>
    <t>금융보험/부동산 임대</t>
  </si>
  <si>
    <t>www.koreanre.co.kr</t>
  </si>
  <si>
    <t>280360 KS Equity</t>
  </si>
  <si>
    <t>A280360</t>
  </si>
  <si>
    <t>LOTTE WELLFOOD</t>
  </si>
  <si>
    <t>롯데웰푸드</t>
  </si>
  <si>
    <t>기타 식품 제조업</t>
  </si>
  <si>
    <t>껌,캔디,초코,비스켓,빙과</t>
  </si>
  <si>
    <t>067160 KS Equity</t>
  </si>
  <si>
    <t>A067160</t>
  </si>
  <si>
    <t>1인미디어플랫폼</t>
  </si>
  <si>
    <t>corp.afreecatv.com</t>
  </si>
  <si>
    <t>237690 KS Equity</t>
  </si>
  <si>
    <t>A237690</t>
  </si>
  <si>
    <t>ST PHARM CO., LTD.</t>
  </si>
  <si>
    <t>에스티팜</t>
  </si>
  <si>
    <t>원료의약품</t>
  </si>
  <si>
    <t>www.stpharm.co.kr</t>
  </si>
  <si>
    <t>121600 KS Equity</t>
  </si>
  <si>
    <t>A121600</t>
  </si>
  <si>
    <t>Advanced Nano Products Co., Ltd.</t>
  </si>
  <si>
    <t>나노신소재</t>
  </si>
  <si>
    <t>그 외 기타 분류 안된 화학제품 제조업</t>
  </si>
  <si>
    <t>인듐계 산화물 TCO Target, 반도체 CMP Slurry 등</t>
  </si>
  <si>
    <t>www.anapro.com</t>
  </si>
  <si>
    <t>025900 KS Equity</t>
  </si>
  <si>
    <t>A025900</t>
  </si>
  <si>
    <t>DONGWHA ENTERPRISE Co., Ltd.</t>
  </si>
  <si>
    <t>동화기업</t>
  </si>
  <si>
    <t>박판, 합판 및 강화 목제품 제조업</t>
  </si>
  <si>
    <t>강화 및 재생 목재 제조업</t>
  </si>
  <si>
    <t>PB, MDF, 표면재,온돌마루, 창호, 도어 등</t>
  </si>
  <si>
    <t>www.dongwha.com</t>
  </si>
  <si>
    <t>214370 KS Equity</t>
  </si>
  <si>
    <t>A214370</t>
  </si>
  <si>
    <t>CAREGEN CO., LTD.</t>
  </si>
  <si>
    <t>케어젠</t>
  </si>
  <si>
    <t>성장인자, 바이오미메틱펩타이드 기반 안면, 두피, 바디 코스메슈티컬 제품</t>
  </si>
  <si>
    <t>www.caregen.co.kr</t>
  </si>
  <si>
    <t>294870 KS Equity</t>
  </si>
  <si>
    <t>A294870</t>
  </si>
  <si>
    <t>HYUNDAI DEVELOPMENT COMPANY</t>
  </si>
  <si>
    <t>HDC현대산업개발</t>
  </si>
  <si>
    <t>건물 건설업</t>
  </si>
  <si>
    <t>외주주택, 자체공사, 일반건축, 토목 등</t>
  </si>
  <si>
    <t>www.hdc-dvp.com</t>
  </si>
  <si>
    <t>034230 KS Equity</t>
  </si>
  <si>
    <t>A034230</t>
  </si>
  <si>
    <t>파라다이스</t>
  </si>
  <si>
    <t>카지노</t>
  </si>
  <si>
    <t>www.paradise.co.kr</t>
  </si>
  <si>
    <t>000210 KS Equity</t>
  </si>
  <si>
    <t>A000210</t>
  </si>
  <si>
    <t>DL</t>
  </si>
  <si>
    <t>www.dlholdings.co.kr</t>
  </si>
  <si>
    <t>161890 KS Equity</t>
  </si>
  <si>
    <t>A161890</t>
  </si>
  <si>
    <t>KOLMAR KOREA</t>
  </si>
  <si>
    <t>한국콜마</t>
  </si>
  <si>
    <t>화장품, 의약품</t>
  </si>
  <si>
    <t>www.kolmar.co.kr</t>
  </si>
  <si>
    <t>285130 KS Equity</t>
  </si>
  <si>
    <t>A285130</t>
  </si>
  <si>
    <t>SKCHEMICALS</t>
  </si>
  <si>
    <t>SK케미칼</t>
  </si>
  <si>
    <t>합성고무 및 플라스틱 물질 제조업</t>
  </si>
  <si>
    <t>PETG 수지, PET 수지, 바이오디젤, 백신</t>
  </si>
  <si>
    <t>www.skchemicals.com</t>
  </si>
  <si>
    <t>222800 KS Equity</t>
  </si>
  <si>
    <t>A222800</t>
  </si>
  <si>
    <t>SIMMTECH Co., Ltd.</t>
  </si>
  <si>
    <t>심텍</t>
  </si>
  <si>
    <t>반도체용 인쇄회로기판</t>
  </si>
  <si>
    <t>www.simmtech.co.kr</t>
  </si>
  <si>
    <t>120110 KS Equity</t>
  </si>
  <si>
    <t>A120110</t>
  </si>
  <si>
    <t>KOLON INDUSTRIES</t>
  </si>
  <si>
    <t>코오롱인더</t>
  </si>
  <si>
    <t>산업자재, 화학, 필름</t>
  </si>
  <si>
    <t>www.kolonindustries.com</t>
  </si>
  <si>
    <t>005420 KS Equity</t>
  </si>
  <si>
    <t>A005420</t>
  </si>
  <si>
    <t>COSMOCHEMICALCO</t>
  </si>
  <si>
    <t>코스모화학</t>
  </si>
  <si>
    <t>이산화티타늄 및 부산물, 황산코발트 및 부산물</t>
  </si>
  <si>
    <t>www.cosmochem.co.kr</t>
  </si>
  <si>
    <t>214450 KS Equity</t>
  </si>
  <si>
    <t>A214450</t>
  </si>
  <si>
    <t>PharmaResearch Co., Ltd.</t>
  </si>
  <si>
    <t>파마리서치</t>
  </si>
  <si>
    <t>재생의약품</t>
  </si>
  <si>
    <t>009240 KS Equity</t>
  </si>
  <si>
    <t>A009240</t>
  </si>
  <si>
    <t>HANSSEM CO.,LTD.</t>
  </si>
  <si>
    <t>한샘</t>
  </si>
  <si>
    <t>생활용 가구, 조명기구 및 비전기식 생활용 기기 도매업</t>
  </si>
  <si>
    <t>생활용 가구 도매업</t>
  </si>
  <si>
    <t>주방가구(씽크대),인테리어가구 판매,제조/주택신축판매</t>
  </si>
  <si>
    <t>company.hanssem.com</t>
  </si>
  <si>
    <t>036540 KS Equity</t>
  </si>
  <si>
    <t>A036540</t>
  </si>
  <si>
    <t>SFA Semicon Co., Ltd.</t>
  </si>
  <si>
    <t>SFA반도체</t>
  </si>
  <si>
    <t>반도체패키지(SOP,DIP,QFP)</t>
  </si>
  <si>
    <t>www.sfasemicon.com</t>
  </si>
  <si>
    <t>298380 KS Equity</t>
  </si>
  <si>
    <t>A298380</t>
  </si>
  <si>
    <t>ABL Bio, Inc.</t>
  </si>
  <si>
    <t>에이비엘바이오</t>
  </si>
  <si>
    <t>항체의약품 연구개발</t>
  </si>
  <si>
    <t>www.ablbio.com</t>
  </si>
  <si>
    <t>001120 KS Equity</t>
  </si>
  <si>
    <t>A001120</t>
  </si>
  <si>
    <t>LX INTERNATIONAL CORP.</t>
  </si>
  <si>
    <t>LX인터내셔널</t>
  </si>
  <si>
    <t>상품 종합 중개업</t>
  </si>
  <si>
    <t>전자,기계,화공,유류.금속,의류 수출입,도소매</t>
  </si>
  <si>
    <t>www.lxinternational.co.kr</t>
  </si>
  <si>
    <t>078600 KS Equity</t>
  </si>
  <si>
    <t>A078600</t>
  </si>
  <si>
    <t>Daejoo Electronic Materials Co., Ltd.</t>
  </si>
  <si>
    <t>대주전자재료</t>
  </si>
  <si>
    <t>전도성페이스트,태양전지 페이스트,고분자재료,PIG,이차전지용음극재료</t>
  </si>
  <si>
    <t>www.daejoo.co.kr</t>
  </si>
  <si>
    <t>103140 KS Equity</t>
  </si>
  <si>
    <t>A103140</t>
  </si>
  <si>
    <t>POONGSAN CORPORATION</t>
  </si>
  <si>
    <t>풍산</t>
  </si>
  <si>
    <t>1차 비철금속 제조업</t>
  </si>
  <si>
    <t>www.poongsan.co.kr</t>
  </si>
  <si>
    <t>365340 KS Equity</t>
  </si>
  <si>
    <t>A365340</t>
  </si>
  <si>
    <t>SungEel Hitech. Co.,Ltd.</t>
  </si>
  <si>
    <t>성일하이텍</t>
  </si>
  <si>
    <t>코발트, 니켈, 리튬 등</t>
  </si>
  <si>
    <t>www.sungeelht.com</t>
  </si>
  <si>
    <t>017860 KS Equity</t>
  </si>
  <si>
    <t>A017860</t>
  </si>
  <si>
    <t>DS Dansuk</t>
  </si>
  <si>
    <t>DS단석</t>
  </si>
  <si>
    <t>바이오에너지</t>
  </si>
  <si>
    <t>140410 KS Equity</t>
  </si>
  <si>
    <t>A140410</t>
  </si>
  <si>
    <t>Mezzion Pharma Co., Ltd.</t>
  </si>
  <si>
    <t>메지온</t>
  </si>
  <si>
    <t>발기부전증치료제, 전립선비대증치료제</t>
  </si>
  <si>
    <t>www.mezzion.co.kr</t>
  </si>
  <si>
    <t>440110 KS Equity</t>
  </si>
  <si>
    <t>A440110</t>
  </si>
  <si>
    <t>FADU Inc.</t>
  </si>
  <si>
    <t>파두</t>
  </si>
  <si>
    <t>비메모리용 및 기타 전자집적회로 제조업</t>
  </si>
  <si>
    <t>SSD 컨트롤러</t>
  </si>
  <si>
    <t>www.fadu.io</t>
  </si>
  <si>
    <t>009970 KS Equity</t>
  </si>
  <si>
    <t>A009970</t>
  </si>
  <si>
    <t>YoungoneHoldings</t>
  </si>
  <si>
    <t>영원무역홀딩스</t>
  </si>
  <si>
    <t>스포츠의류(등산복,운동복,스키복) 도소매,수출,섬유봉제</t>
  </si>
  <si>
    <t>089590 KS Equity</t>
  </si>
  <si>
    <t>A089590</t>
  </si>
  <si>
    <t>JEJUAIR, CO., LTD.</t>
  </si>
  <si>
    <t>제주항공</t>
  </si>
  <si>
    <t>여객운송서비스, 화물운송서비스</t>
  </si>
  <si>
    <t>www.jejuair.net</t>
  </si>
  <si>
    <t>281740 KS Equity</t>
  </si>
  <si>
    <t>A281740</t>
  </si>
  <si>
    <t>Lake Materials Co., Ltd.</t>
  </si>
  <si>
    <t>레이크머티리얼즈</t>
  </si>
  <si>
    <t>LED, 반도체 소재 및 석유화학촉매</t>
  </si>
  <si>
    <t>www.lake-led.com</t>
  </si>
  <si>
    <t>225570 KS Equity</t>
  </si>
  <si>
    <t>A225570</t>
  </si>
  <si>
    <t>NEXON Games Co., Ltd.</t>
  </si>
  <si>
    <t>넥슨게임즈</t>
  </si>
  <si>
    <t>온라인 및 모바일 게임</t>
  </si>
  <si>
    <t>085660 KS Equity</t>
  </si>
  <si>
    <t>A085660</t>
  </si>
  <si>
    <t>Chabiotech Co.,Ltd.</t>
  </si>
  <si>
    <t>차바이오텍</t>
  </si>
  <si>
    <t>세포치료제 개발, 제대혈 보관 등</t>
  </si>
  <si>
    <t>www.chabio.com</t>
  </si>
  <si>
    <t>085620 KS Equity</t>
  </si>
  <si>
    <t>A085620</t>
  </si>
  <si>
    <t>MIRAE ASSET Life Insurance CO., Ltd.</t>
  </si>
  <si>
    <t>미래에셋생명</t>
  </si>
  <si>
    <t>생명보험상품</t>
  </si>
  <si>
    <t>life.miraeasset.com</t>
  </si>
  <si>
    <t>048410 KS Equity</t>
  </si>
  <si>
    <t>A048410</t>
  </si>
  <si>
    <t>HYUNDAI BIOSCIENCE CO., LTD.</t>
  </si>
  <si>
    <t>현대바이오</t>
  </si>
  <si>
    <t>화장품 및 화장품원료</t>
  </si>
  <si>
    <t>www.hyundaibioscience.com</t>
  </si>
  <si>
    <t>267270 KS Equity</t>
  </si>
  <si>
    <t>A267270</t>
  </si>
  <si>
    <t>HD Hyundai Construction Equipment</t>
  </si>
  <si>
    <t>HD현대건설기계</t>
  </si>
  <si>
    <t>일반 목적용 기계 제조업</t>
  </si>
  <si>
    <t>굴삭기, 지게차, 휠로더 등</t>
  </si>
  <si>
    <t>084370 KS Equity</t>
  </si>
  <si>
    <t>A084370</t>
  </si>
  <si>
    <t>Eugene Technology Co., Ltd.</t>
  </si>
  <si>
    <t>유진테크</t>
  </si>
  <si>
    <t>실리콘질화막증착용LP-CVD</t>
  </si>
  <si>
    <t>www.eugenetech.co.kr</t>
  </si>
  <si>
    <t>056190 KS Equity</t>
  </si>
  <si>
    <t>A056190</t>
  </si>
  <si>
    <t>SFA Engineering Corp.</t>
  </si>
  <si>
    <t>에스에프에이</t>
  </si>
  <si>
    <t>기타 특수 목적용 기계 제조업</t>
  </si>
  <si>
    <t>그 외 기타 특수목적용 기계 제조업</t>
  </si>
  <si>
    <t>디스플레이, 2차전지, 반도체 제조설비 및 공장자동화기기</t>
  </si>
  <si>
    <t>www.sfa.co.kr</t>
  </si>
  <si>
    <t>009520 KS Equity</t>
  </si>
  <si>
    <t>A009520</t>
  </si>
  <si>
    <t>POSCO M-TECH Co., Ltd.</t>
  </si>
  <si>
    <t>포스코엠텍</t>
  </si>
  <si>
    <t>그 외 기타 1차 철강 제조업</t>
  </si>
  <si>
    <t>철강포장용역 및 Al탈산제 생산</t>
  </si>
  <si>
    <t>www.poscomtech.com</t>
  </si>
  <si>
    <t>039130 KS Equity</t>
  </si>
  <si>
    <t>A039130</t>
  </si>
  <si>
    <t>HANATOUR SERVICE</t>
  </si>
  <si>
    <t>하나투어</t>
  </si>
  <si>
    <t>여행사업</t>
  </si>
  <si>
    <t>일반여행알선,컴퓨터프로그램 개발,보급,통신판매</t>
  </si>
  <si>
    <t>www.hanatour.com</t>
  </si>
  <si>
    <t>457190 KS Equity</t>
  </si>
  <si>
    <t>A457190</t>
  </si>
  <si>
    <t>ISU SPECIALTY CHEMICAL</t>
  </si>
  <si>
    <t>이수스페셜티케미컬</t>
  </si>
  <si>
    <t>석유화학제품 및 정밀화학제품</t>
  </si>
  <si>
    <t>www.isuspecialtychemical.com</t>
  </si>
  <si>
    <t>080220 KS Equity</t>
  </si>
  <si>
    <t>A080220</t>
  </si>
  <si>
    <t>Jeju Semiconductor Corp.</t>
  </si>
  <si>
    <t>제주반도체</t>
  </si>
  <si>
    <t>모바일용 LP DDR SDRAM, CRAM, SRAM</t>
  </si>
  <si>
    <t>www.jeju-semi.com</t>
  </si>
  <si>
    <t>089860 KS Equity</t>
  </si>
  <si>
    <t>A089860</t>
  </si>
  <si>
    <t>LOTTE rental</t>
  </si>
  <si>
    <t>롯데렌탈</t>
  </si>
  <si>
    <t>운송장비 임대업</t>
  </si>
  <si>
    <t>렌터카, 카셰어링(그린카), 중고차매매, 일반렌탈(측정기,OA, 리프트 등)</t>
  </si>
  <si>
    <t>lotterentacar.net</t>
  </si>
  <si>
    <t>213420 KS Equity</t>
  </si>
  <si>
    <t>A213420</t>
  </si>
  <si>
    <t>DUK SAN NEOLUX CO.,LTD.</t>
  </si>
  <si>
    <t>덕산네오룩스</t>
  </si>
  <si>
    <t>HTL(정공수송층), HIL(정공주입층), RED HOST</t>
  </si>
  <si>
    <t>www.dsnl.co.kr</t>
  </si>
  <si>
    <t>166090 KS Equity</t>
  </si>
  <si>
    <t>A166090</t>
  </si>
  <si>
    <t>Hana Materials Inc.</t>
  </si>
  <si>
    <t>하나머티리얼즈</t>
  </si>
  <si>
    <t>실리콘부품, 세라믹부품, 특수가스</t>
  </si>
  <si>
    <t>www.hanamts.com</t>
  </si>
  <si>
    <t>000670 KS Equity</t>
  </si>
  <si>
    <t>A000670</t>
  </si>
  <si>
    <t>Youngpoong</t>
  </si>
  <si>
    <t>영풍</t>
  </si>
  <si>
    <t>제1차 금속산업(아연괴,황산,카드뮴괴),건전지 제조,무역</t>
  </si>
  <si>
    <t>www.ypzinc.co.kr</t>
  </si>
  <si>
    <t>100090 KS Equity</t>
  </si>
  <si>
    <t>A100090</t>
  </si>
  <si>
    <t>SKoceanplant</t>
  </si>
  <si>
    <t>SK오션플랜트</t>
  </si>
  <si>
    <t>철강관 제조업</t>
  </si>
  <si>
    <t>강관 제조업</t>
  </si>
  <si>
    <t>해상풍력 하부구조물</t>
  </si>
  <si>
    <t>420770 KS Equity</t>
  </si>
  <si>
    <t>A420770</t>
  </si>
  <si>
    <t>GigaVis Co., Ltd.</t>
  </si>
  <si>
    <t>기가비스</t>
  </si>
  <si>
    <t>반도체 기판용 광학검사 및 수리장비</t>
  </si>
  <si>
    <t>www.gigavis.com</t>
  </si>
  <si>
    <t>003240 KS Equity</t>
  </si>
  <si>
    <t>A003240</t>
  </si>
  <si>
    <t>TaekwangIndustrial</t>
  </si>
  <si>
    <t>태광산업</t>
  </si>
  <si>
    <t>합성섬유 제조업</t>
  </si>
  <si>
    <t>석유화학제품(PTA,AN),화섬사,직물 등</t>
  </si>
  <si>
    <t>www.taekwang.co.kr</t>
  </si>
  <si>
    <t>192080 KS Equity</t>
  </si>
  <si>
    <t>A192080</t>
  </si>
  <si>
    <t>DoubleUGames</t>
  </si>
  <si>
    <t>더블유게임즈</t>
  </si>
  <si>
    <t>모바일게임</t>
  </si>
  <si>
    <t>www.doubleugames.com</t>
  </si>
  <si>
    <t>014820 KS Equity</t>
  </si>
  <si>
    <t>A014820</t>
  </si>
  <si>
    <t>Dongwon Systems Corporation</t>
  </si>
  <si>
    <t>동원시스템즈</t>
  </si>
  <si>
    <t>플라스틱제품 제조업</t>
  </si>
  <si>
    <t>포장용 플라스틱제품 제조 외</t>
  </si>
  <si>
    <t>www.dongwonsystems.com</t>
  </si>
  <si>
    <t>023590 KS Equity</t>
  </si>
  <si>
    <t>A023590</t>
  </si>
  <si>
    <t>DaouTechnology</t>
  </si>
  <si>
    <t>다우기술</t>
  </si>
  <si>
    <t>자료처리, 호스팅, 포털 및 기타 인터넷 정보매개 서비스업</t>
  </si>
  <si>
    <t>인터넷솔루션 개발,도매,IT컨설팅,시스템 설계,자문,인터넷관련서비스/부동산분양,개발,임대</t>
  </si>
  <si>
    <t>www.daou.co.kr</t>
  </si>
  <si>
    <t>383310 KS Equity</t>
  </si>
  <si>
    <t>A383310</t>
  </si>
  <si>
    <t>ECOPRO HN CO., LTD.</t>
  </si>
  <si>
    <t>에코프로에이치엔</t>
  </si>
  <si>
    <t>환경오염 방지 관련 소재 및 설비</t>
  </si>
  <si>
    <t>www.ecoprohn.co.kr</t>
  </si>
  <si>
    <t>101490 KS Equity</t>
  </si>
  <si>
    <t>A101490</t>
  </si>
  <si>
    <t>S&amp;S TECH CORPORATION</t>
  </si>
  <si>
    <t>에스앤에스텍</t>
  </si>
  <si>
    <t>블랭크마스크</t>
  </si>
  <si>
    <t>www.snstech.co.kr</t>
  </si>
  <si>
    <t>950160 KS Equity</t>
  </si>
  <si>
    <t>A950160</t>
  </si>
  <si>
    <t>Kolon TissueGene, Inc.</t>
  </si>
  <si>
    <t>코오롱티슈진</t>
  </si>
  <si>
    <t>골관절염 치료제</t>
  </si>
  <si>
    <t>www.tissuegene.com</t>
  </si>
  <si>
    <t>006650 KS Equity</t>
  </si>
  <si>
    <t>A006650</t>
  </si>
  <si>
    <t>KOREA PETRO CHEMICAL IND</t>
  </si>
  <si>
    <t>대한유화</t>
  </si>
  <si>
    <t>폴리프로필렌,고밀도폴리에틸렌,나프타분해유분,올레핀류,혼합C4류,분해가솔린 제조</t>
  </si>
  <si>
    <t>www.kpic.co.kr</t>
  </si>
  <si>
    <t>001800 KS Equity</t>
  </si>
  <si>
    <t>A001800</t>
  </si>
  <si>
    <t>ORION Holdings</t>
  </si>
  <si>
    <t>오리온홀딩스</t>
  </si>
  <si>
    <t>자회사 관리 지주사업 등</t>
  </si>
  <si>
    <t>www.oriongroup.co.kr</t>
  </si>
  <si>
    <t>009900 KS Equity</t>
  </si>
  <si>
    <t>A009900</t>
  </si>
  <si>
    <t>MYOUNG SHIN INDUSTRY</t>
  </si>
  <si>
    <t>명신산업</t>
  </si>
  <si>
    <t>자동차차체부품</t>
  </si>
  <si>
    <t>www.myoungshinindustry.com</t>
  </si>
  <si>
    <t>003850 KS Equity</t>
  </si>
  <si>
    <t>A003850</t>
  </si>
  <si>
    <t>Boryung</t>
  </si>
  <si>
    <t>보령</t>
  </si>
  <si>
    <t>의약품(제산제(겔포스),구심,용각산,고혈압치료제(카프릴),소염진통제(멘소레담),항생제(듀리세프),혈전치료제(아스트릭스)) 제조</t>
  </si>
  <si>
    <t>www.boryung.co.kr</t>
  </si>
  <si>
    <t>020560 KS Equity</t>
  </si>
  <si>
    <t>A020560</t>
  </si>
  <si>
    <t>Asiana Airlines</t>
  </si>
  <si>
    <t>아시아나항공</t>
  </si>
  <si>
    <t>항공운송(여객운송,화물운송)/항공기 제조,정비수리</t>
  </si>
  <si>
    <t>www.flyasiana.com</t>
  </si>
  <si>
    <t>192650 KS Equity</t>
  </si>
  <si>
    <t>A192650</t>
  </si>
  <si>
    <t>DREAMTECH</t>
  </si>
  <si>
    <t>드림텍</t>
  </si>
  <si>
    <t>모바일 PBA, 지문인식 모듈, 전장 LED 모듈 등</t>
  </si>
  <si>
    <t>http://www.idreamtech.co.kr</t>
  </si>
  <si>
    <t>003030 KS Equity</t>
  </si>
  <si>
    <t>A003030</t>
  </si>
  <si>
    <t>SeAH Steel Holdings Corporation</t>
  </si>
  <si>
    <t>세아제강지주</t>
  </si>
  <si>
    <t>경영컨설팅업</t>
  </si>
  <si>
    <t>195870 KS Equity</t>
  </si>
  <si>
    <t>A195870</t>
  </si>
  <si>
    <t>HAESUNG DS</t>
  </si>
  <si>
    <t>해성디에스</t>
  </si>
  <si>
    <t>반도체 패키지용 Substrate</t>
  </si>
  <si>
    <t>www.haesungds.co.kr</t>
  </si>
  <si>
    <t>214320 KS Equity</t>
  </si>
  <si>
    <t>A214320</t>
  </si>
  <si>
    <t>INNOCEAN WORLDWIDE INC.</t>
  </si>
  <si>
    <t>이노션</t>
  </si>
  <si>
    <t>광고대행 및 광고물의 제작 등</t>
  </si>
  <si>
    <t>www.innocean.com</t>
  </si>
  <si>
    <t>007340 KS Equity</t>
  </si>
  <si>
    <t>A007340</t>
  </si>
  <si>
    <t>DN AUTOMOTIVE CORPORATION</t>
  </si>
  <si>
    <t>DN오토모티브</t>
  </si>
  <si>
    <t>자동차용 밧데리</t>
  </si>
  <si>
    <t>278280 KS Equity</t>
  </si>
  <si>
    <t>A278280</t>
  </si>
  <si>
    <t>CHUNBO Co.,Ltd.</t>
  </si>
  <si>
    <t>천보</t>
  </si>
  <si>
    <t>디스플레이 소재, 반도체 공정 소재, 2차전지 소재, 의약품 소재, 정밀화학 소재</t>
  </si>
  <si>
    <t>www.chunbochem.com</t>
  </si>
  <si>
    <t>271940 KS Equity</t>
  </si>
  <si>
    <t>A271940</t>
  </si>
  <si>
    <t>ILJIN HYSOLUS</t>
  </si>
  <si>
    <t>일진하이솔루스</t>
  </si>
  <si>
    <t>그 외 기타 운송장비 제조업</t>
  </si>
  <si>
    <t>수소승용용기, 매연저감장치 등</t>
  </si>
  <si>
    <t>www.hysolus.co.kr</t>
  </si>
  <si>
    <t>069260 KS Equity</t>
  </si>
  <si>
    <t>A069260</t>
  </si>
  <si>
    <t>TKG Huchems</t>
  </si>
  <si>
    <t>TKG휴켐스</t>
  </si>
  <si>
    <t>화합물,화학제품 제조</t>
  </si>
  <si>
    <t>137400 KS Equity</t>
  </si>
  <si>
    <t>A137400</t>
  </si>
  <si>
    <t>PEOPLE &amp; TECHNOLOGY, INC.</t>
  </si>
  <si>
    <t>피엔티</t>
  </si>
  <si>
    <t>2차전지 및 전자소재용 Roll-to-Roll 장비</t>
  </si>
  <si>
    <t>www.epnt.co.kr</t>
  </si>
  <si>
    <t>036830 KS Equity</t>
  </si>
  <si>
    <t>A036830</t>
  </si>
  <si>
    <t>Soulbrain Holdings Co., Ltd.</t>
  </si>
  <si>
    <t>솔브레인홀딩스</t>
  </si>
  <si>
    <t>경영 컨설팅 및 공공 관계 서비스업</t>
  </si>
  <si>
    <t>경영 컨설팅업</t>
  </si>
  <si>
    <t>반도체,디스플레이,2차전지 공정용 화학제품</t>
  </si>
  <si>
    <t>003530 KS Equity</t>
  </si>
  <si>
    <t>A003530</t>
  </si>
  <si>
    <t>HANWHA INVESTMENT &amp; SECURITIES</t>
  </si>
  <si>
    <t>한화투자증권</t>
  </si>
  <si>
    <t>유가증권 위탁매매,자기매매,인수주선</t>
  </si>
  <si>
    <t>www.hanwhawm.com</t>
  </si>
  <si>
    <t>003380 KS Equity</t>
  </si>
  <si>
    <t>A003380</t>
  </si>
  <si>
    <t>Harim Holdings Co., Ltd.</t>
  </si>
  <si>
    <t>하림지주</t>
  </si>
  <si>
    <t>지주사업</t>
  </si>
  <si>
    <t>www.harimholdings.com</t>
  </si>
  <si>
    <t>122870 KS Equity</t>
  </si>
  <si>
    <t>A122870</t>
  </si>
  <si>
    <t>YG Entertainment Inc.</t>
  </si>
  <si>
    <t>와이지엔터테인먼트</t>
  </si>
  <si>
    <t>음악 및 기타 오디오물 출판, 신인 아티스트 육성 및 매니지먼트</t>
  </si>
  <si>
    <t>www.ygfamily.com</t>
  </si>
  <si>
    <t>300720 KS Equity</t>
  </si>
  <si>
    <t>A300720</t>
  </si>
  <si>
    <t>HANILCEMENT</t>
  </si>
  <si>
    <t>한일시멘트</t>
  </si>
  <si>
    <t>시멘트, 석회, 플라스터 및 그 제품 제조업</t>
  </si>
  <si>
    <t>시멘트, 레미콘, 레미탈</t>
  </si>
  <si>
    <t>www.hanilcement.com</t>
  </si>
  <si>
    <t>181710 KS Equity</t>
  </si>
  <si>
    <t>A181710</t>
  </si>
  <si>
    <t>NHN</t>
  </si>
  <si>
    <t>한게임</t>
  </si>
  <si>
    <t>www.nhn.com</t>
  </si>
  <si>
    <t>002350 KS Equity</t>
  </si>
  <si>
    <t>A002350</t>
  </si>
  <si>
    <t>NEXENTIRE</t>
  </si>
  <si>
    <t>넥센타이어</t>
  </si>
  <si>
    <t>타이어,후랩,고무제타이어(승용자동차용,래디알구조) 제조</t>
  </si>
  <si>
    <t>www.nexentire.com</t>
  </si>
  <si>
    <t>105630 KS Equity</t>
  </si>
  <si>
    <t>A105630</t>
  </si>
  <si>
    <t>HANSAE</t>
  </si>
  <si>
    <t>한세실업</t>
  </si>
  <si>
    <t>기타 봉제의복 제조업</t>
  </si>
  <si>
    <t>그 외 기타 봉제의복 제조업</t>
  </si>
  <si>
    <t>의류 완제품</t>
  </si>
  <si>
    <t>www.hansae.com</t>
  </si>
  <si>
    <t>086450 KS Equity</t>
  </si>
  <si>
    <t>A086450</t>
  </si>
  <si>
    <t>DongKook Pharmaceutical Co., Ltd.</t>
  </si>
  <si>
    <t>동국제약</t>
  </si>
  <si>
    <t>인사돌, 복합마데카솔, 파미레이</t>
  </si>
  <si>
    <t>www.dkpharm.co.kr</t>
  </si>
  <si>
    <t>336370 KS Equity</t>
  </si>
  <si>
    <t>A336370</t>
  </si>
  <si>
    <t>Solus Advanced Materials</t>
  </si>
  <si>
    <t>솔루스첨단소재</t>
  </si>
  <si>
    <t>동박, 유압기기 등</t>
  </si>
  <si>
    <t>www.solusadvancedmaterials.com</t>
  </si>
  <si>
    <t>004490 KS Equity</t>
  </si>
  <si>
    <t>A004490</t>
  </si>
  <si>
    <t>SEBANG GLOBAL BATTERY</t>
  </si>
  <si>
    <t>세방전지</t>
  </si>
  <si>
    <t>자동차용 및 산업용 축전지(연축전지) 제조,판매</t>
  </si>
  <si>
    <t>www.gbattery.com</t>
  </si>
  <si>
    <t>093370 KS Equity</t>
  </si>
  <si>
    <t>A093370</t>
  </si>
  <si>
    <t>FOOSUNG CO.,LTD</t>
  </si>
  <si>
    <t>후성</t>
  </si>
  <si>
    <t>불소화물 제조,도매</t>
  </si>
  <si>
    <t>www.foosungchem.com</t>
  </si>
  <si>
    <t>114090 KS Equity</t>
  </si>
  <si>
    <t>A114090</t>
  </si>
  <si>
    <t>Grand Korea Leisure</t>
  </si>
  <si>
    <t>GKL</t>
  </si>
  <si>
    <t>www.grandkorea.com</t>
  </si>
  <si>
    <t>010780 KS Equity</t>
  </si>
  <si>
    <t>A010780</t>
  </si>
  <si>
    <t>IS DONGSEO</t>
  </si>
  <si>
    <t>아이에스동서</t>
  </si>
  <si>
    <t>콘크리트, 레미콘 및 기타 시멘트, 플라스터 제품 제조업</t>
  </si>
  <si>
    <t>타일,위생도기,콘크리트파일,P.C관,침목 제조,도매</t>
  </si>
  <si>
    <t>www.isdongseo.co.kr</t>
  </si>
  <si>
    <t>002840 KS Equity</t>
  </si>
  <si>
    <t>A002840</t>
  </si>
  <si>
    <t>MiwonCommercial</t>
  </si>
  <si>
    <t>미원상사</t>
  </si>
  <si>
    <t>계면활성제,분황,황산,도료첨가제,프라스틱첨가제 제조</t>
  </si>
  <si>
    <t>www.mwc.co.kr</t>
  </si>
  <si>
    <t>131970 KS Equity</t>
  </si>
  <si>
    <t>A131970</t>
  </si>
  <si>
    <t>DOOSAN TESNA Inc.</t>
  </si>
  <si>
    <t>두산테스나</t>
  </si>
  <si>
    <t>그 외 기타 전문, 과학 및 기술 서비스업</t>
  </si>
  <si>
    <t>반도체 테스트</t>
  </si>
  <si>
    <t>082640 KS Equity</t>
  </si>
  <si>
    <t>A082640</t>
  </si>
  <si>
    <t>TONGYANG LIFE INSURANCE</t>
  </si>
  <si>
    <t>동양생명</t>
  </si>
  <si>
    <t>www.myangel.co.kr</t>
  </si>
  <si>
    <t>003540 KS Equity</t>
  </si>
  <si>
    <t>A003540</t>
  </si>
  <si>
    <t>DaishinSecurities</t>
  </si>
  <si>
    <t>대신증권</t>
  </si>
  <si>
    <t>유가증권 위탁매매,인수주선,자기매매 기타 금융서비스</t>
  </si>
  <si>
    <t>www.daishin.com</t>
  </si>
  <si>
    <t>001430 KS Equity</t>
  </si>
  <si>
    <t>A001430</t>
  </si>
  <si>
    <t>SeAH Besteel Holdings Corporation</t>
  </si>
  <si>
    <t>세아베스틸지주</t>
  </si>
  <si>
    <t>특수강,철도용품,자동차부품 제조,수출입</t>
  </si>
  <si>
    <t>www.seahbesteel.co.kr</t>
  </si>
  <si>
    <t>003280 KS Equity</t>
  </si>
  <si>
    <t>A003280</t>
  </si>
  <si>
    <t>HeungaShipping</t>
  </si>
  <si>
    <t>흥아해운</t>
  </si>
  <si>
    <t>외항화물운송업(케미컬탱커)</t>
  </si>
  <si>
    <t>www.heung-a.com</t>
  </si>
  <si>
    <t>016380 KS Equity</t>
  </si>
  <si>
    <t>A016380</t>
  </si>
  <si>
    <t>KG DONGBUSTEEL</t>
  </si>
  <si>
    <t>KG스틸</t>
  </si>
  <si>
    <t>철강 압연, 압출 및 연신제품 제조업</t>
  </si>
  <si>
    <t>냉간 압연 및 압출 제품 제조업</t>
  </si>
  <si>
    <t>철강재(냉연강판,아연도강판,칼라강판,석도강판,선재류,강관,형강,봉강),비철금속 제조,도매</t>
  </si>
  <si>
    <t>074600 KS Equity</t>
  </si>
  <si>
    <t>A074600</t>
  </si>
  <si>
    <t>WONIK QnC CORPORATION</t>
  </si>
  <si>
    <t>원익QnC</t>
  </si>
  <si>
    <t>산업용 유리 제조업</t>
  </si>
  <si>
    <t>기타 산업용 유리제품 제조업</t>
  </si>
  <si>
    <t>반도체용 석영유리</t>
  </si>
  <si>
    <t>www.wonikqnc.com</t>
  </si>
  <si>
    <t>000400 KS Equity</t>
  </si>
  <si>
    <t>A000400</t>
  </si>
  <si>
    <t>LotteNon-LifeInsurance</t>
  </si>
  <si>
    <t>롯데손해보험</t>
  </si>
  <si>
    <t>손해보험업</t>
  </si>
  <si>
    <t>www.lotteins.co.kr</t>
  </si>
  <si>
    <t>399720 KS Equity</t>
  </si>
  <si>
    <t>A399720</t>
  </si>
  <si>
    <t>GAONCHIPS CO.,LTD.</t>
  </si>
  <si>
    <t>가온칩스</t>
  </si>
  <si>
    <t>설계 솔루션 및 주문형 반도체</t>
  </si>
  <si>
    <t>www.gaonchips.com</t>
  </si>
  <si>
    <t>348210 KS Equity</t>
  </si>
  <si>
    <t>A348210</t>
  </si>
  <si>
    <t>NEXTIN, Inc.</t>
  </si>
  <si>
    <t>넥스틴</t>
  </si>
  <si>
    <t>반도체 전공정용 패턴결함 검사장비(AEGIS 등)</t>
  </si>
  <si>
    <t>www.nextinsol.com</t>
  </si>
  <si>
    <t>058970 KS Equity</t>
  </si>
  <si>
    <t>A058970</t>
  </si>
  <si>
    <t>EMRO Incorporated</t>
  </si>
  <si>
    <t>엠로</t>
  </si>
  <si>
    <t>기업용 공급망관리 소프트웨어, AI 디지털혁신 소프트웨어, 공급망관리 클라우드 서비스</t>
  </si>
  <si>
    <t>www.emro.co.kr</t>
  </si>
  <si>
    <t>001060 KS Equity</t>
  </si>
  <si>
    <t>A001060</t>
  </si>
  <si>
    <t>JWPHARMACEUTICAL</t>
  </si>
  <si>
    <t>JW중외제약</t>
  </si>
  <si>
    <t>www.jw-pharma.co.kr</t>
  </si>
  <si>
    <t>376300 KS Equity</t>
  </si>
  <si>
    <t>A376300</t>
  </si>
  <si>
    <t>DEAR U Co.,Ltd.</t>
  </si>
  <si>
    <t>디어유</t>
  </si>
  <si>
    <t>모바일 어플리케이션(DearU bubble, Lysn)</t>
  </si>
  <si>
    <t>www.dear-u.co</t>
  </si>
  <si>
    <t>053800 KS Equity</t>
  </si>
  <si>
    <t>A053800</t>
  </si>
  <si>
    <t>AHNlab, Inc.</t>
  </si>
  <si>
    <t>안랩</t>
  </si>
  <si>
    <t>시스템 소프트웨어 개발 및 공급업</t>
  </si>
  <si>
    <t>바이러스백신 프로그램</t>
  </si>
  <si>
    <t>www.ahnlab.com</t>
  </si>
  <si>
    <t>039200 KS Equity</t>
  </si>
  <si>
    <t>A039200</t>
  </si>
  <si>
    <t>Oscotec Inc.,Ltd.</t>
  </si>
  <si>
    <t>오스코텍</t>
  </si>
  <si>
    <t>뼈이식재,건강식품소재</t>
  </si>
  <si>
    <t>www.oscotec.com</t>
  </si>
  <si>
    <t>006120 KS Equity</t>
  </si>
  <si>
    <t>A006120</t>
  </si>
  <si>
    <t>SK Discovery Co.,Ltd.</t>
  </si>
  <si>
    <t>SK디스커버리</t>
  </si>
  <si>
    <t>화섬사(폴리에스테르원사(폴리에스터F,폴리에스터SF),폴리에스터직물,아세테이트),석유화학부문(TPA,DMT),섬유원료,직물,BOTTLE용CHIP,접착제,폴리우레탄 제조,</t>
  </si>
  <si>
    <t>www.skdiscovery.com</t>
  </si>
  <si>
    <t>025540 KS Equity</t>
  </si>
  <si>
    <t>A025540</t>
  </si>
  <si>
    <t>KoreaElectricTerminal</t>
  </si>
  <si>
    <t>한국단자</t>
  </si>
  <si>
    <t>전기변환장치(광커넥터,통신용콘넥터,정밀압착단자설계) 제조,무역(수출)</t>
  </si>
  <si>
    <t>www.ket.com</t>
  </si>
  <si>
    <t>025320 KS Equity</t>
  </si>
  <si>
    <t>A025320</t>
  </si>
  <si>
    <t>Synopex Inc.</t>
  </si>
  <si>
    <t>시노펙스</t>
  </si>
  <si>
    <t>전자부품, 필터</t>
  </si>
  <si>
    <t>www.synopex.com</t>
  </si>
  <si>
    <t>099190 KS Equity</t>
  </si>
  <si>
    <t>A099190</t>
  </si>
  <si>
    <t>i-SENS, Inc.</t>
  </si>
  <si>
    <t>아이센스</t>
  </si>
  <si>
    <t>혈당측정스트립, 혈당측정기기 등</t>
  </si>
  <si>
    <t>www.i-sens.co.kr</t>
  </si>
  <si>
    <t>178320 KS Equity</t>
  </si>
  <si>
    <t>A178320</t>
  </si>
  <si>
    <t>SEOJIN SYSTEM CO.,LTD.</t>
  </si>
  <si>
    <t>서진시스템</t>
  </si>
  <si>
    <t>방송 및 무선 통신장비 제조업</t>
  </si>
  <si>
    <t>기타 무선 통신장비 제조업</t>
  </si>
  <si>
    <t>통신장비부품,휴대폰부품(메탈케이스 등)</t>
  </si>
  <si>
    <t>www.seojinsystem.net</t>
  </si>
  <si>
    <t>008730 KS Equity</t>
  </si>
  <si>
    <t>A008730</t>
  </si>
  <si>
    <t>YoulchonChemical</t>
  </si>
  <si>
    <t>율촌화학</t>
  </si>
  <si>
    <t>포장용 플라스틱제품 제조업</t>
  </si>
  <si>
    <t>플라스틱 포대, 봉투 및 유사제품 제조업</t>
  </si>
  <si>
    <t>연포장재,필름,골판지상자,합성수지,플라스틱일반성형제품 제조</t>
  </si>
  <si>
    <t>www.youlchon.com</t>
  </si>
  <si>
    <t>336570 KS Equity</t>
  </si>
  <si>
    <t>A336570</t>
  </si>
  <si>
    <t>WON TECH Co.,Ltd.</t>
  </si>
  <si>
    <t>원텍</t>
  </si>
  <si>
    <t>기업 인수 및 합병</t>
  </si>
  <si>
    <t>www.wtlaser.com</t>
  </si>
  <si>
    <t>215200 KS Equity</t>
  </si>
  <si>
    <t>A215200</t>
  </si>
  <si>
    <t>MegaStudyEdu Co., Ltd.</t>
  </si>
  <si>
    <t>메가스터디교육</t>
  </si>
  <si>
    <t>일반 교습 학원</t>
  </si>
  <si>
    <t>온라인 교육 학원</t>
  </si>
  <si>
    <t>오프라인 학원, 온라인 강의</t>
  </si>
  <si>
    <t>corp.megastudy.net</t>
  </si>
  <si>
    <t>178920 KS Equity</t>
  </si>
  <si>
    <t>A178920</t>
  </si>
  <si>
    <t>PI Advanced Materials Co., Ltd.</t>
  </si>
  <si>
    <t>PI첨단소재</t>
  </si>
  <si>
    <t>1차 플라스틱제품 제조업</t>
  </si>
  <si>
    <t>플라스틱 필름 제조업</t>
  </si>
  <si>
    <t>PI(Polyimide)제품</t>
  </si>
  <si>
    <t>www.skckolonpi.com</t>
  </si>
  <si>
    <t>286940 KS Equity</t>
  </si>
  <si>
    <t>A286940</t>
  </si>
  <si>
    <t>SM, SI</t>
  </si>
  <si>
    <t>www.ldcc.co.kr</t>
  </si>
  <si>
    <t>005250 KS Equity</t>
  </si>
  <si>
    <t>A005250</t>
  </si>
  <si>
    <t>Green Cross Holdings Corporation</t>
  </si>
  <si>
    <t>녹십자홀딩스</t>
  </si>
  <si>
    <t>알부민,유로키나제,간염백신,유행성출혈열백신 제조</t>
  </si>
  <si>
    <t>009450 KS Equity</t>
  </si>
  <si>
    <t>A009450</t>
  </si>
  <si>
    <t>KYUNGDONGNAVIEN</t>
  </si>
  <si>
    <t>경동나비엔</t>
  </si>
  <si>
    <t>가정용 비전기식 조리 및 난방 기구 제조업</t>
  </si>
  <si>
    <t>가정용기름보일러,입형,횡형 온수보일러,가스보일러,버너,흡수식 냉온수기,전기보일러,진공온수보일러,태양열보일러 제조,판매</t>
  </si>
  <si>
    <t>www.kdnavien.co.kr</t>
  </si>
  <si>
    <t>352480 KS Equity</t>
  </si>
  <si>
    <t>A352480</t>
  </si>
  <si>
    <t>C&amp;C International Co., Ltd.</t>
  </si>
  <si>
    <t>씨앤씨인터내셔널</t>
  </si>
  <si>
    <t>색조 화장품</t>
  </si>
  <si>
    <t>www.cnccosmetic.com</t>
  </si>
  <si>
    <t>456040 KS Equity</t>
  </si>
  <si>
    <t>A456040</t>
  </si>
  <si>
    <t>OCI</t>
  </si>
  <si>
    <t>폴리실리콘,타르제품,카본블랙,무수프탈산,농약원제,석탄화학제품,정밀화학제품,플라스틱창호재 제조,판매</t>
  </si>
  <si>
    <t>001530 KS Equity</t>
  </si>
  <si>
    <t>A001530</t>
  </si>
  <si>
    <t>DI DONGIL</t>
  </si>
  <si>
    <t>DI동일</t>
  </si>
  <si>
    <t>섬유, 의복, 신발 및 가죽제품 중개업</t>
  </si>
  <si>
    <t>면사,화섬사,면포,혼방포,스포츠웨어용 신합섬 제조,도매,수출</t>
  </si>
  <si>
    <t>www.dong-il.com</t>
  </si>
  <si>
    <t>032350 KS Equity</t>
  </si>
  <si>
    <t>A032350</t>
  </si>
  <si>
    <t>LOTTE TOUR DEVELOPMENT CO., LTD</t>
  </si>
  <si>
    <t>롯데관광개발</t>
  </si>
  <si>
    <t>국내외여행알선,관광개발,전세운수,항공권매매대행</t>
  </si>
  <si>
    <t>www.lottetour.com</t>
  </si>
  <si>
    <t>272450 KS Equity</t>
  </si>
  <si>
    <t>A272450</t>
  </si>
  <si>
    <t>JIN AIR</t>
  </si>
  <si>
    <t>진에어</t>
  </si>
  <si>
    <t>여객, 화물 등 항공운송</t>
  </si>
  <si>
    <t>www.jinair.com</t>
  </si>
  <si>
    <t>222080 KS Equity</t>
  </si>
  <si>
    <t>A222080</t>
  </si>
  <si>
    <t>Creative &amp; Innovative System Corporation</t>
  </si>
  <si>
    <t>씨아이에스</t>
  </si>
  <si>
    <t>2차전지 제조설비</t>
  </si>
  <si>
    <t>www.cisro.co.kr</t>
  </si>
  <si>
    <t>000640 KS Equity</t>
  </si>
  <si>
    <t>A000640</t>
  </si>
  <si>
    <t>Dong-A Socio Holdings</t>
  </si>
  <si>
    <t>동아쏘시오홀딩스</t>
  </si>
  <si>
    <t>의약품(피로회복제/박카스,병원용의약품),비의약품(의료기기,염모제,가글제) 제조,도소매/화장품 생산</t>
  </si>
  <si>
    <t>www.donga.co.kr</t>
  </si>
  <si>
    <t>079160 KS Equity</t>
  </si>
  <si>
    <t>A079160</t>
  </si>
  <si>
    <t>CJ CGV</t>
  </si>
  <si>
    <t>영화 및 비디오물 상영업</t>
  </si>
  <si>
    <t>영화관 운영업</t>
  </si>
  <si>
    <t>영화상영,영화관 운영</t>
  </si>
  <si>
    <t>www.cgv.co.kr</t>
  </si>
  <si>
    <t>058610 KS Equity</t>
  </si>
  <si>
    <t>A058610</t>
  </si>
  <si>
    <t>SPG Co., Ltd.</t>
  </si>
  <si>
    <t>에스피지</t>
  </si>
  <si>
    <t>소형 Geared Motor</t>
  </si>
  <si>
    <t>www.spg.co.kr</t>
  </si>
  <si>
    <t>268280 KS Equity</t>
  </si>
  <si>
    <t>A268280</t>
  </si>
  <si>
    <t>Miwon Specialty Chemical</t>
  </si>
  <si>
    <t>미원에스씨</t>
  </si>
  <si>
    <t>에너지경화수지</t>
  </si>
  <si>
    <t>www.miramer.co.kr</t>
  </si>
  <si>
    <t>119860 KS Equity</t>
  </si>
  <si>
    <t>A119860</t>
  </si>
  <si>
    <t>커넥트웨이브</t>
  </si>
  <si>
    <t>https://connectwave.co.kr</t>
  </si>
  <si>
    <t>183300 KS Equity</t>
  </si>
  <si>
    <t>A183300</t>
  </si>
  <si>
    <t>KoMiCo., Ltd.</t>
  </si>
  <si>
    <t>코미코</t>
  </si>
  <si>
    <t>반도체 부품 세정 및 코팅</t>
  </si>
  <si>
    <t>www.komico.com</t>
  </si>
  <si>
    <t>064550 KS Equity</t>
  </si>
  <si>
    <t>A064550</t>
  </si>
  <si>
    <t>BIONEER CORPORATION</t>
  </si>
  <si>
    <t>바이오니아</t>
  </si>
  <si>
    <t>합성유전자,시약및유전자분석장비</t>
  </si>
  <si>
    <t>www.bioneer.co.kr</t>
  </si>
  <si>
    <t>287410 KS Equity</t>
  </si>
  <si>
    <t>A287410</t>
  </si>
  <si>
    <t>제이시스메디칼</t>
  </si>
  <si>
    <t>www.jeisys.com</t>
  </si>
  <si>
    <t>091120 KS Equity</t>
  </si>
  <si>
    <t>A091120</t>
  </si>
  <si>
    <t>EM-Tech. Co., Ltd.</t>
  </si>
  <si>
    <t>이엠텍</t>
  </si>
  <si>
    <t>마이크로스피커,리시버</t>
  </si>
  <si>
    <t>www.em-tech.co.kr</t>
  </si>
  <si>
    <t>005880 KS Equity</t>
  </si>
  <si>
    <t>A005880</t>
  </si>
  <si>
    <t>KoreaLine</t>
  </si>
  <si>
    <t>대한해운</t>
  </si>
  <si>
    <t>외항화물운송,국제해운대리점</t>
  </si>
  <si>
    <t>www.korealines.co.kr</t>
  </si>
  <si>
    <t>033240 KS Equity</t>
  </si>
  <si>
    <t>A033240</t>
  </si>
  <si>
    <t>JahwaElectronics</t>
  </si>
  <si>
    <t>자화전자</t>
  </si>
  <si>
    <t>Bonded magenet,플라스틱자성제품,티탄산 바륨계 반도체소자,휴대전화용 Vibration Motor,전자관,전자부품 제조</t>
  </si>
  <si>
    <t>www.jahwa.co.kr</t>
  </si>
  <si>
    <t>204270 KS Equity</t>
  </si>
  <si>
    <t>A204270</t>
  </si>
  <si>
    <t>JNTC CO.,LTD.</t>
  </si>
  <si>
    <t>제이앤티씨</t>
  </si>
  <si>
    <t>강화유리, 커넥터</t>
  </si>
  <si>
    <t>www.thejntc.com</t>
  </si>
  <si>
    <t>015750 KS Equity</t>
  </si>
  <si>
    <t>A015750</t>
  </si>
  <si>
    <t>SUNGWOO HITECH  CO., LTD.</t>
  </si>
  <si>
    <t>성우하이텍</t>
  </si>
  <si>
    <t>자동차 차체용 신품 부품 제조업</t>
  </si>
  <si>
    <t>자동차범퍼</t>
  </si>
  <si>
    <t>www.swhitech.com</t>
  </si>
  <si>
    <t>030520 KS Equity</t>
  </si>
  <si>
    <t>A030520</t>
  </si>
  <si>
    <t>Hancom Inc.</t>
  </si>
  <si>
    <t>한글과컴퓨터</t>
  </si>
  <si>
    <t>오피스소프트웨어</t>
  </si>
  <si>
    <t>www.hancom.com</t>
  </si>
  <si>
    <t>031980 KS Equity</t>
  </si>
  <si>
    <t>A031980</t>
  </si>
  <si>
    <t>PSK HOLDINGS INC.</t>
  </si>
  <si>
    <t>피에스케이홀딩스</t>
  </si>
  <si>
    <t>Descum, Reflow</t>
  </si>
  <si>
    <t>www.psk-inc.com</t>
  </si>
  <si>
    <t>418550 KS Equity</t>
  </si>
  <si>
    <t>A418550</t>
  </si>
  <si>
    <t>JEIO. Co., Ltd.</t>
  </si>
  <si>
    <t>제이오</t>
  </si>
  <si>
    <t>건축기술, 엔지니어링 및 관련 기술 서비스업</t>
  </si>
  <si>
    <t>탄소나노튜브, 금속탱크 및 유사용기</t>
  </si>
  <si>
    <t>www.jeio.co.kr</t>
  </si>
  <si>
    <t>090460 KS Equity</t>
  </si>
  <si>
    <t>A090460</t>
  </si>
  <si>
    <t>BH</t>
  </si>
  <si>
    <t>비에이치</t>
  </si>
  <si>
    <t>FPCB (연성인쇄회로기판)</t>
  </si>
  <si>
    <t>www.bhe.co.kr</t>
  </si>
  <si>
    <t>144510 KS Equity</t>
  </si>
  <si>
    <t>A144510</t>
  </si>
  <si>
    <t>GC Cell Corporation</t>
  </si>
  <si>
    <t>지씨셀</t>
  </si>
  <si>
    <t>그 외 기타 분류 안된 전문, 과학 및 기술 서비스업</t>
  </si>
  <si>
    <t>세포치료제, 검체검사서비스, 제대혈은행</t>
  </si>
  <si>
    <t>www.gccell.com</t>
  </si>
  <si>
    <t>001680 KS Equity</t>
  </si>
  <si>
    <t>A001680</t>
  </si>
  <si>
    <t>Daesang</t>
  </si>
  <si>
    <t>대상</t>
  </si>
  <si>
    <t>전분,라이신,물엿,과당,포도당,MSG및 사료,조미료,항생제,핵산,커피 제조,도매/토목공사,건축공사</t>
  </si>
  <si>
    <t>www.daesang.com</t>
  </si>
  <si>
    <t>032500 KS Equity</t>
  </si>
  <si>
    <t>A032500</t>
  </si>
  <si>
    <t>KMW Inc.</t>
  </si>
  <si>
    <t>케이엠더블유</t>
  </si>
  <si>
    <t>RF 부품 및 중계기</t>
  </si>
  <si>
    <t>www.kmw.co.kr</t>
  </si>
  <si>
    <t>005440 KS Equity</t>
  </si>
  <si>
    <t>A005440</t>
  </si>
  <si>
    <t>HYUNDAI G.F. HOLDINGS</t>
  </si>
  <si>
    <t>현대지에프홀딩스</t>
  </si>
  <si>
    <t>백화점,여행알선,숙박,음식점/부동산 임대</t>
  </si>
  <si>
    <t>www.hyundaigreenfood.com</t>
  </si>
  <si>
    <t>049770 KS Equity</t>
  </si>
  <si>
    <t>A049770</t>
  </si>
  <si>
    <t>DongwonF&amp;B Co.,Ltd.</t>
  </si>
  <si>
    <t>동원F&amp;B</t>
  </si>
  <si>
    <t>참치캔,음료,냉동식품 제조,판매</t>
  </si>
  <si>
    <t>www.dongwonfnb.com</t>
  </si>
  <si>
    <t>344820 KS Equity</t>
  </si>
  <si>
    <t>A344820</t>
  </si>
  <si>
    <t>KCC GLASS Corporation</t>
  </si>
  <si>
    <t>KCC글라스</t>
  </si>
  <si>
    <t>판유리 및 판유리 가공품 제조업</t>
  </si>
  <si>
    <t>판유리 등</t>
  </si>
  <si>
    <t>www.kccglass.co.kr</t>
  </si>
  <si>
    <t>064960 KS Equity</t>
  </si>
  <si>
    <t>A064960</t>
  </si>
  <si>
    <t>SNT MOTIV</t>
  </si>
  <si>
    <t>SNT모티브</t>
  </si>
  <si>
    <t>자동차부품(서스펜션모듈,전장품,속옵서버,에어백,트로틀바디,너클),방산품(총포) 제조,도매</t>
  </si>
  <si>
    <t>www.sntmotiv.com</t>
  </si>
  <si>
    <t>310210 KS Equity</t>
  </si>
  <si>
    <t>A310210</t>
  </si>
  <si>
    <t>Voronoi, Inc.</t>
  </si>
  <si>
    <t>보로노이</t>
  </si>
  <si>
    <t>표적치료제</t>
  </si>
  <si>
    <t>voronoi.io</t>
  </si>
  <si>
    <t>091810 KS Equity</t>
  </si>
  <si>
    <t>A091810</t>
  </si>
  <si>
    <t>TWAYAIR</t>
  </si>
  <si>
    <t>티웨이항공</t>
  </si>
  <si>
    <t>저가 항공운송</t>
  </si>
  <si>
    <t>www.twayair.com</t>
  </si>
  <si>
    <t>161000 KS Equity</t>
  </si>
  <si>
    <t>A161000</t>
  </si>
  <si>
    <t>AEKYUNG CHEMICAL</t>
  </si>
  <si>
    <t>애경케미칼</t>
  </si>
  <si>
    <t>www.aekyungchemical.co.kr</t>
  </si>
  <si>
    <t>019170 KS Equity</t>
  </si>
  <si>
    <t>A019170</t>
  </si>
  <si>
    <t>ShinpoongPharmaceutical</t>
  </si>
  <si>
    <t>신풍제약</t>
  </si>
  <si>
    <t>의약품(항생제,혈전용해제,향정신성약품,구충제) 제조,판매</t>
  </si>
  <si>
    <t>shinpoong.co.kr</t>
  </si>
  <si>
    <t>372170 KS Equity</t>
  </si>
  <si>
    <t>A372170</t>
  </si>
  <si>
    <t>YUNSUNG F&amp;C Co.,Ltd.</t>
  </si>
  <si>
    <t>윤성에프앤씨</t>
  </si>
  <si>
    <t>2차전지용 믹싱시스템</t>
  </si>
  <si>
    <t>www.ysfc.co.kr</t>
  </si>
  <si>
    <t>060280 KS Equity</t>
  </si>
  <si>
    <t>A060280</t>
  </si>
  <si>
    <t>CUREXO INC.</t>
  </si>
  <si>
    <t>큐렉소</t>
  </si>
  <si>
    <t>의약품, 의료용 기구, 화장품 및 방향제 소매업</t>
  </si>
  <si>
    <t>의료용 기구 소매업</t>
  </si>
  <si>
    <t>코스닥 유통</t>
  </si>
  <si>
    <t>만화단행본, 정기간행물</t>
  </si>
  <si>
    <t>www.curexo.com</t>
  </si>
  <si>
    <t>046890 KS Equity</t>
  </si>
  <si>
    <t>A046890</t>
  </si>
  <si>
    <t>Seoul Semiconductor Co., Ltd.</t>
  </si>
  <si>
    <t>서울반도체</t>
  </si>
  <si>
    <t>Display, Chip LED, Lamp</t>
  </si>
  <si>
    <t>www.seoulsemicon.com</t>
  </si>
  <si>
    <t>018290 KS Equity</t>
  </si>
  <si>
    <t>A018290</t>
  </si>
  <si>
    <t>브이티</t>
  </si>
  <si>
    <t>화장품, 라미네이팅필름, 라미네이팅기계</t>
  </si>
  <si>
    <t>136510 KS Equity</t>
  </si>
  <si>
    <t>A136510</t>
  </si>
  <si>
    <t>스마트솔루션즈</t>
  </si>
  <si>
    <t>디스플레이 제조용 기계 제조업</t>
  </si>
  <si>
    <t>www.semisysco.com</t>
  </si>
  <si>
    <t>281820 KS Equity</t>
  </si>
  <si>
    <t>A281820</t>
  </si>
  <si>
    <t>KCTECH</t>
  </si>
  <si>
    <t>케이씨텍</t>
  </si>
  <si>
    <t>측정, 시험, 항해, 제어 및 기타 정밀기기 제조업; 광학기기 제외</t>
  </si>
  <si>
    <t>반도체, 디스플레이 제조 장비</t>
  </si>
  <si>
    <t>www.kctech.co.kr</t>
  </si>
  <si>
    <t>460930 KS Equity</t>
  </si>
  <si>
    <t>A460930</t>
  </si>
  <si>
    <t>HYUNDAI HYMS CO., LTD.</t>
  </si>
  <si>
    <t>현대힘스</t>
  </si>
  <si>
    <t>선박 구성 부분품 제조업</t>
  </si>
  <si>
    <t>선박기자재 (선박 블록, 보강재, 도장 등)</t>
  </si>
  <si>
    <t>www.hyms.kr</t>
  </si>
  <si>
    <t>089030 KS Equity</t>
  </si>
  <si>
    <t>A089030</t>
  </si>
  <si>
    <t>TECHWING, INC.</t>
  </si>
  <si>
    <t>테크윙</t>
  </si>
  <si>
    <t>반도체테스트핸들러,C.O.K(Change Over Kit)</t>
  </si>
  <si>
    <t>www.techwing.co.kr</t>
  </si>
  <si>
    <t>170900 KS Equity</t>
  </si>
  <si>
    <t>A170900</t>
  </si>
  <si>
    <t>Donga ST</t>
  </si>
  <si>
    <t>동아에스티</t>
  </si>
  <si>
    <t>스티렌, 자이데나</t>
  </si>
  <si>
    <t>www.donga-st.com</t>
  </si>
  <si>
    <t>229640 KS Equity</t>
  </si>
  <si>
    <t>A229640</t>
  </si>
  <si>
    <t>LS Eco Energy</t>
  </si>
  <si>
    <t>LS에코에너지</t>
  </si>
  <si>
    <t>www.lsecoenergy.com</t>
  </si>
  <si>
    <t>189300 KS Equity</t>
  </si>
  <si>
    <t>A189300</t>
  </si>
  <si>
    <t>Intellian Technologies Inc.</t>
  </si>
  <si>
    <t>인텔리안테크</t>
  </si>
  <si>
    <t>위성통신 안테나, 해상용 위성방송 수신안테나</t>
  </si>
  <si>
    <t>www.intelliantech.com</t>
  </si>
  <si>
    <t>084850 KS Equity</t>
  </si>
  <si>
    <t>A084850</t>
  </si>
  <si>
    <t>ITM Semiconductor Co.,Ltd.</t>
  </si>
  <si>
    <t>아이티엠반도체</t>
  </si>
  <si>
    <t>배터리 보호회로</t>
  </si>
  <si>
    <t>www.it-m.co.kr</t>
  </si>
  <si>
    <t>078340 KS Equity</t>
  </si>
  <si>
    <t>A078340</t>
  </si>
  <si>
    <t>Com2uS Corporation</t>
  </si>
  <si>
    <t>컴투스</t>
  </si>
  <si>
    <t>www.com2us.com</t>
  </si>
  <si>
    <t>082740 KS Equity</t>
  </si>
  <si>
    <t>A082740</t>
  </si>
  <si>
    <t>내연기관 제조업</t>
  </si>
  <si>
    <t>대형선박용엔진,내연발전엔진</t>
  </si>
  <si>
    <t>www.hsdengine.com</t>
  </si>
  <si>
    <t>319660 KS Equity</t>
  </si>
  <si>
    <t>A319660</t>
  </si>
  <si>
    <t>PSK INC.</t>
  </si>
  <si>
    <t>피에스케이</t>
  </si>
  <si>
    <t>드라이스트립, 드라이클리닝</t>
  </si>
  <si>
    <t>www.pskinc.com</t>
  </si>
  <si>
    <t>030190 KS Equity</t>
  </si>
  <si>
    <t>A030190</t>
  </si>
  <si>
    <t>NICE Information Service</t>
  </si>
  <si>
    <t>NICE평가정보</t>
  </si>
  <si>
    <t>그 외 기타 정보 서비스업</t>
  </si>
  <si>
    <t>데이터베이스 및 온라인정보 제공업</t>
  </si>
  <si>
    <t>개인 및 기업정보, 솔루션</t>
  </si>
  <si>
    <t>www.niceinfo.co.kr</t>
  </si>
  <si>
    <t>007700 KS Equity</t>
  </si>
  <si>
    <t>A007700</t>
  </si>
  <si>
    <t>F&amp;F Holdings</t>
  </si>
  <si>
    <t>F&amp;F홀딩스</t>
  </si>
  <si>
    <t>069080 KS Equity</t>
  </si>
  <si>
    <t>A069080</t>
  </si>
  <si>
    <t>Webzen Inc.</t>
  </si>
  <si>
    <t>웹젠</t>
  </si>
  <si>
    <t>3D 온라인게임 '뮤(MU)'</t>
  </si>
  <si>
    <t>company.webzen.com</t>
  </si>
  <si>
    <t>031430 KS Equity</t>
  </si>
  <si>
    <t>A031430</t>
  </si>
  <si>
    <t>SHINSEGAE INTERNATIONAL</t>
  </si>
  <si>
    <t>신세계인터내셔날</t>
  </si>
  <si>
    <t>의복 소매업</t>
  </si>
  <si>
    <t>가죽 및 모피의복 소매업</t>
  </si>
  <si>
    <t>섬유, 의복, 신발 및 가죽제품 소매</t>
  </si>
  <si>
    <t>www.sikorea.co.kr</t>
  </si>
  <si>
    <t>001720 KS Equity</t>
  </si>
  <si>
    <t>A001720</t>
  </si>
  <si>
    <t>ShinyoungSecurities</t>
  </si>
  <si>
    <t>신영증권</t>
  </si>
  <si>
    <t>증권업</t>
  </si>
  <si>
    <t>www.shinyoung.com</t>
  </si>
  <si>
    <t>179900 KS Equity</t>
  </si>
  <si>
    <t>A179900</t>
  </si>
  <si>
    <t>UTI INC.</t>
  </si>
  <si>
    <t>유티아이</t>
  </si>
  <si>
    <t>카메라 윈도우</t>
  </si>
  <si>
    <t>www.utikorea.com</t>
  </si>
  <si>
    <t>460860 KS Equity</t>
  </si>
  <si>
    <t>A460860</t>
  </si>
  <si>
    <t>DONGKUK STEEL MILL</t>
  </si>
  <si>
    <t>동국제강</t>
  </si>
  <si>
    <t>1차 철강 제조업</t>
  </si>
  <si>
    <t>봉강,형강,후판,냉연강판,칼라강판</t>
  </si>
  <si>
    <t>079370 KS Equity</t>
  </si>
  <si>
    <t>A079370</t>
  </si>
  <si>
    <t>Zeus Co., Ltd.</t>
  </si>
  <si>
    <t>제우스</t>
  </si>
  <si>
    <t>LCD제조용장비</t>
  </si>
  <si>
    <t>www.globalzeus.com</t>
  </si>
  <si>
    <t>095660 KS Equity</t>
  </si>
  <si>
    <t>A095660</t>
  </si>
  <si>
    <t>NEOWIZ</t>
  </si>
  <si>
    <t>네오위즈</t>
  </si>
  <si>
    <t>피망,스페셜포스</t>
  </si>
  <si>
    <t>www.neowiz.co.kr</t>
  </si>
  <si>
    <t>094360 KS Equity</t>
  </si>
  <si>
    <t>A094360</t>
  </si>
  <si>
    <t>Chips&amp;Media, Inc.</t>
  </si>
  <si>
    <t>칩스앤미디어</t>
  </si>
  <si>
    <t>반도체 제조업</t>
  </si>
  <si>
    <t>비디오 IP</t>
  </si>
  <si>
    <t>www.chipsnmedia.com</t>
  </si>
  <si>
    <t>210980 KS Equity</t>
  </si>
  <si>
    <t>A210980</t>
  </si>
  <si>
    <t>SK D&amp;D Co., Ltd</t>
  </si>
  <si>
    <t>SK디앤디</t>
  </si>
  <si>
    <t>부동산 개발 및 공급업</t>
  </si>
  <si>
    <t>비주거용 건물 개발 및 공급업</t>
  </si>
  <si>
    <t>비주거용 부동산개발 및 임대(오피스, 지식산업센터, 호텔 등)</t>
  </si>
  <si>
    <t>www.skdnd.com</t>
  </si>
  <si>
    <t>272290 KS Equity</t>
  </si>
  <si>
    <t>A272290</t>
  </si>
  <si>
    <t>INNOX Advanced Materials Co.,Ltd.</t>
  </si>
  <si>
    <t>이녹스첨단소재</t>
  </si>
  <si>
    <t>FPCB소재, 반도체 및 디스플레이 소재</t>
  </si>
  <si>
    <t>www.innoxamc.com</t>
  </si>
  <si>
    <t>030610 KS Equity</t>
  </si>
  <si>
    <t>A030610</t>
  </si>
  <si>
    <t>KYOBOSECURITIESCO.,LTD.</t>
  </si>
  <si>
    <t>교보증권</t>
  </si>
  <si>
    <t>유가증권 매매,중개,대리,인수</t>
  </si>
  <si>
    <t>www.iprovest.com</t>
  </si>
  <si>
    <t>000070 KS Equity</t>
  </si>
  <si>
    <t>A000070</t>
  </si>
  <si>
    <t>SAMYANGHOLDINGS</t>
  </si>
  <si>
    <t>삼양홀딩스</t>
  </si>
  <si>
    <t>지주회사,경영자문컨설팅</t>
  </si>
  <si>
    <t>www.samyang.com</t>
  </si>
  <si>
    <t>192400 KS Equity</t>
  </si>
  <si>
    <t>A192400</t>
  </si>
  <si>
    <t>Cuckoo Holdings Co.,Ltd</t>
  </si>
  <si>
    <t>쿠쿠홀딩스</t>
  </si>
  <si>
    <t>주방용 전기기기 제조업</t>
  </si>
  <si>
    <t>www.cuckoo.co.kr</t>
  </si>
  <si>
    <t>358570 KS Equity</t>
  </si>
  <si>
    <t>A358570</t>
  </si>
  <si>
    <t>GI Innovation, Inc.</t>
  </si>
  <si>
    <t>지아이이노베이션</t>
  </si>
  <si>
    <t>면역항암제 및 알레르기 치료제</t>
  </si>
  <si>
    <t>www.gi-innovation.com</t>
  </si>
  <si>
    <t>017960 KS Equity</t>
  </si>
  <si>
    <t>A017960</t>
  </si>
  <si>
    <t>HankukCarbon</t>
  </si>
  <si>
    <t>한국카본</t>
  </si>
  <si>
    <t>산업용 난방보일러, 금속탱크 및 유사 용기 제조업</t>
  </si>
  <si>
    <t>금속탱크 및 저장용기 제조업</t>
  </si>
  <si>
    <t>탄소섬유(카본프리프레그(낚시대,테니스라켓,골프 Shaft,스포츠레저용품)),합성수지,글라스페이퍼,LNG선박용 단열판넬 제조,도매</t>
  </si>
  <si>
    <t>www.hcarbon.com</t>
  </si>
  <si>
    <t>025980 KS Equity</t>
  </si>
  <si>
    <t>A025980</t>
  </si>
  <si>
    <t>Ananti Inc.</t>
  </si>
  <si>
    <t>아난티</t>
  </si>
  <si>
    <t>일반 및 생활 숙박시설 운영업</t>
  </si>
  <si>
    <t>리조트 운영 및 분양</t>
  </si>
  <si>
    <t>www.theananti.com</t>
  </si>
  <si>
    <t>032190 KS Equity</t>
  </si>
  <si>
    <t>A032190</t>
  </si>
  <si>
    <t>Daou Data Corp.</t>
  </si>
  <si>
    <t>다우데이타</t>
  </si>
  <si>
    <t>컴퓨터 및 주변장치, 소프트웨어 도매업</t>
  </si>
  <si>
    <t>Autodesk 제품군 및 보안, 백신 소프트웨어 등</t>
  </si>
  <si>
    <t>www.daoudata.co.kr</t>
  </si>
  <si>
    <t>047920 KS Equity</t>
  </si>
  <si>
    <t>A047920</t>
  </si>
  <si>
    <t>HLB PHARMACEUTICAL CO., LTD.</t>
  </si>
  <si>
    <t>HLB제약</t>
  </si>
  <si>
    <t>물리, 화학 및 생물학 연구개발업</t>
  </si>
  <si>
    <t>씨트리시메티딘정, 로자틴정</t>
  </si>
  <si>
    <t>www.c-tri.co.kr</t>
  </si>
  <si>
    <t>290650 KS Equity</t>
  </si>
  <si>
    <t>A290650</t>
  </si>
  <si>
    <t>L&amp;C BIO Co., Ltd.</t>
  </si>
  <si>
    <t>엘앤씨바이오</t>
  </si>
  <si>
    <t>인체조직(피부, 뼈, 연골)</t>
  </si>
  <si>
    <t>www.lncbio.co.kr</t>
  </si>
  <si>
    <t>299900 KS Equity</t>
  </si>
  <si>
    <t>A299900</t>
  </si>
  <si>
    <t>WYSIWYG STUDIOS CO., LTD.</t>
  </si>
  <si>
    <t>위지윅스튜디오</t>
  </si>
  <si>
    <t>영화, 비디오물 및 방송프로그램 제작 관련 서비스업</t>
  </si>
  <si>
    <t>VFX, 뉴미디어 등 특수영상 컨텐츠 제작</t>
  </si>
  <si>
    <t>www.wswgstudios.com</t>
  </si>
  <si>
    <t>403550 KS Equity</t>
  </si>
  <si>
    <t>A403550</t>
  </si>
  <si>
    <t>SOCAR</t>
  </si>
  <si>
    <t>쏘카</t>
  </si>
  <si>
    <t>자동차 임대업</t>
  </si>
  <si>
    <t>카셰어링, 모빌리티 플랫폼 등</t>
  </si>
  <si>
    <t>www.socar.kr</t>
  </si>
  <si>
    <t>087010 KS Equity</t>
  </si>
  <si>
    <t>A087010</t>
  </si>
  <si>
    <t>Peptron, Inc.</t>
  </si>
  <si>
    <t>펩트론</t>
  </si>
  <si>
    <t>약효지속성 의약품 및 펩타이드 소재</t>
  </si>
  <si>
    <t>www.peptron.co.kr</t>
  </si>
  <si>
    <t>900140 KS Equity</t>
  </si>
  <si>
    <t>A900140</t>
  </si>
  <si>
    <t>LVMC Holdings</t>
  </si>
  <si>
    <t>엘브이엠씨홀딩스</t>
  </si>
  <si>
    <t>자동차 판매업</t>
  </si>
  <si>
    <t>www.lvmcholdings.net</t>
  </si>
  <si>
    <t>103590 KS Equity</t>
  </si>
  <si>
    <t>A103590</t>
  </si>
  <si>
    <t>ILJIN ELECTRIC</t>
  </si>
  <si>
    <t>일진전기</t>
  </si>
  <si>
    <t>www.iljinelectric.co.kr</t>
  </si>
  <si>
    <t>381970 KS Equity</t>
  </si>
  <si>
    <t>A381970</t>
  </si>
  <si>
    <t>K Car</t>
  </si>
  <si>
    <t>케이카</t>
  </si>
  <si>
    <t>중고 자동차 판매업</t>
  </si>
  <si>
    <t>오프라인 및 온라인 중고차 매매업</t>
  </si>
  <si>
    <t>www.kcar.com</t>
  </si>
  <si>
    <t>093320 KS Equity</t>
  </si>
  <si>
    <t>A093320</t>
  </si>
  <si>
    <t>KINX, Inc.</t>
  </si>
  <si>
    <t>케이아이엔엑스</t>
  </si>
  <si>
    <t>인터넷연동서비스 등</t>
  </si>
  <si>
    <t>www.kinx.net</t>
  </si>
  <si>
    <t>215600 KS Equity</t>
  </si>
  <si>
    <t>A215600</t>
  </si>
  <si>
    <t>Sillajen, Inc.</t>
  </si>
  <si>
    <t>신라젠</t>
  </si>
  <si>
    <t>펙사벡(바이러스 항암면역치료제)</t>
  </si>
  <si>
    <t>www.sillajen.com</t>
  </si>
  <si>
    <t>057050 KS Equity</t>
  </si>
  <si>
    <t>A057050</t>
  </si>
  <si>
    <t>HYUNDAI HOME SHOPPING NETWORK CORPORATION</t>
  </si>
  <si>
    <t>현대홈쇼핑</t>
  </si>
  <si>
    <t>통신 판매업</t>
  </si>
  <si>
    <t>기타 통신 판매업</t>
  </si>
  <si>
    <t>TV홈쇼핑 도소매/홈쇼핑프로그램 제작</t>
  </si>
  <si>
    <t>www.hyundaihmall.com</t>
  </si>
  <si>
    <t>383800 KS Equity</t>
  </si>
  <si>
    <t>A383800</t>
  </si>
  <si>
    <t>LX HOLDINGS</t>
  </si>
  <si>
    <t>LX홀딩스</t>
  </si>
  <si>
    <t>www.lxholdings.co.kr</t>
  </si>
  <si>
    <t>042000 KS Equity</t>
  </si>
  <si>
    <t>A042000</t>
  </si>
  <si>
    <t>Cafe24 Corp.</t>
  </si>
  <si>
    <t>카페24</t>
  </si>
  <si>
    <t>쇼핑몰솔루션, 광고솔루션, 호스팅솔루션</t>
  </si>
  <si>
    <t>www.cafe24corp.com</t>
  </si>
  <si>
    <t>041190 KS Equity</t>
  </si>
  <si>
    <t>A041190</t>
  </si>
  <si>
    <t>Woori Technology Investment Co., Ltd.</t>
  </si>
  <si>
    <t>우리기술투자</t>
  </si>
  <si>
    <t>창업자에 대한 투자 및 융자</t>
  </si>
  <si>
    <t>www.wooricapital.co.kr</t>
  </si>
  <si>
    <t>237880 KS Equity</t>
  </si>
  <si>
    <t>A237880</t>
  </si>
  <si>
    <t>CLIO Cosmetics Co., Ltd.</t>
  </si>
  <si>
    <t>클리오</t>
  </si>
  <si>
    <t>색조화장품, 기초화장품</t>
  </si>
  <si>
    <t>www.cliocosmetic.com</t>
  </si>
  <si>
    <t>082270 KS Equity</t>
  </si>
  <si>
    <t>A082270</t>
  </si>
  <si>
    <t>GemVax&amp;KAEL Co.,Ltd.</t>
  </si>
  <si>
    <t>젬백스</t>
  </si>
  <si>
    <t>ChemicalAirFilter,GasScrubber</t>
  </si>
  <si>
    <t>www.kael.co.kr</t>
  </si>
  <si>
    <t>068240 KS Equity</t>
  </si>
  <si>
    <t>A068240</t>
  </si>
  <si>
    <t>DAWONSYS Co., Ltd.</t>
  </si>
  <si>
    <t>다원시스</t>
  </si>
  <si>
    <t>기타 전기 변환장치 제조업</t>
  </si>
  <si>
    <t>핵융합 전원장치, 플라즈마 전원장치, 태양광 CVD 전원장치, 산업용 특수정류기</t>
  </si>
  <si>
    <t>www.dawonsys.com</t>
  </si>
  <si>
    <t>002240 KS Equity</t>
  </si>
  <si>
    <t>A002240</t>
  </si>
  <si>
    <t>KISWire</t>
  </si>
  <si>
    <t>고려제강</t>
  </si>
  <si>
    <t>PC강선,선재 2차제품,와이어로프,비드와이어,SC(Surpass Coat) Stand,각종선재 제조,도매</t>
  </si>
  <si>
    <t>www.kiswire.com</t>
  </si>
  <si>
    <t>445090 KS Equity</t>
  </si>
  <si>
    <t>A445090</t>
  </si>
  <si>
    <t>ASICLAND Co.,Ltd.</t>
  </si>
  <si>
    <t>에이직랜드</t>
  </si>
  <si>
    <t>비메모리 반도체 설계및 제조, 전자회로 연구, 설계, 레이아웃 등</t>
  </si>
  <si>
    <t>www.asicland.com</t>
  </si>
  <si>
    <t>005180 KS Equity</t>
  </si>
  <si>
    <t>A005180</t>
  </si>
  <si>
    <t>Binggrae</t>
  </si>
  <si>
    <t>빙그레</t>
  </si>
  <si>
    <t>아이스크림,우유,스낵,유산균(욥닥터캡슐) 제조</t>
  </si>
  <si>
    <t>www.bing.co.kr</t>
  </si>
  <si>
    <t>014830 KS Equity</t>
  </si>
  <si>
    <t>A014830</t>
  </si>
  <si>
    <t>UNID</t>
  </si>
  <si>
    <t>유니드</t>
  </si>
  <si>
    <t>탄산칼륨,가성칼륨,가성카리,탄산카리(무기화합물),MDF(가공목재) 제조,도매</t>
  </si>
  <si>
    <t>www.unid.co.kr</t>
  </si>
  <si>
    <t>005610 KS Equity</t>
  </si>
  <si>
    <t>A005610</t>
  </si>
  <si>
    <t>SPC SAMLIP</t>
  </si>
  <si>
    <t>SPC삼립</t>
  </si>
  <si>
    <t>빵,아이스크림,과자,케익,유산균음료,인스턴트식품,병조림,면류,식용유 제조,판매</t>
  </si>
  <si>
    <t>www.spcsamlip.co.kr</t>
  </si>
  <si>
    <t>115450 KS Equity</t>
  </si>
  <si>
    <t>A115450</t>
  </si>
  <si>
    <t>HLB Therapeutics Co.,Ltd.</t>
  </si>
  <si>
    <t>HLB테라퓨틱스</t>
  </si>
  <si>
    <t>임베디드 GUI 미들웨어 FXUI-2D, FXUI-3D</t>
  </si>
  <si>
    <t>049070 KS Equity</t>
  </si>
  <si>
    <t>A049070</t>
  </si>
  <si>
    <t>Intops Co., Ltd.</t>
  </si>
  <si>
    <t>인탑스</t>
  </si>
  <si>
    <t>휴대용단말기 부품, 가전 부품, 자동차 부품, 의료기기 제품, 로봇 관련 제품 제조 등</t>
  </si>
  <si>
    <t>www.intops.co.kr</t>
  </si>
  <si>
    <t>033290 KS Equity</t>
  </si>
  <si>
    <t>A033290</t>
  </si>
  <si>
    <t>COWELL FASHION Co., Ltd.</t>
  </si>
  <si>
    <t>코웰패션</t>
  </si>
  <si>
    <t>섬유, 의복, 신발 및 가죽제품 소매업</t>
  </si>
  <si>
    <t>의복, 잡화, 콘덴서</t>
  </si>
  <si>
    <t>www.cowellfashion.co.kr</t>
  </si>
  <si>
    <t>047560 KS Equity</t>
  </si>
  <si>
    <t>A047560</t>
  </si>
  <si>
    <t>ESTsoft Corp.</t>
  </si>
  <si>
    <t>이스트소프트</t>
  </si>
  <si>
    <t>온라인게임(카발온라인),알툴즈S/W,스토리지S/W</t>
  </si>
  <si>
    <t>www.estsoft.co.kr</t>
  </si>
  <si>
    <t>215000 KS Equity</t>
  </si>
  <si>
    <t>A215000</t>
  </si>
  <si>
    <t>GOLFZON Co., Ltd.</t>
  </si>
  <si>
    <t>골프존</t>
  </si>
  <si>
    <t>기타 게임 소프트웨어 개발 및 공급업</t>
  </si>
  <si>
    <t>골프시뮬레이터</t>
  </si>
  <si>
    <t>company.golfzon.com</t>
  </si>
  <si>
    <t>000370 KS Equity</t>
  </si>
  <si>
    <t>A000370</t>
  </si>
  <si>
    <t>Hanwha General Insurance Co.,Ltd.</t>
  </si>
  <si>
    <t>한화손해보험</t>
  </si>
  <si>
    <t>손해보험</t>
  </si>
  <si>
    <t>www.hwgeneralins.com</t>
  </si>
  <si>
    <t>003470 KS Equity</t>
  </si>
  <si>
    <t>A003470</t>
  </si>
  <si>
    <t>Yuanta Securities Korea</t>
  </si>
  <si>
    <t>유안타증권</t>
  </si>
  <si>
    <t>www.yuantakorea.com</t>
  </si>
  <si>
    <t>051370 KS Equity</t>
  </si>
  <si>
    <t>A051370</t>
  </si>
  <si>
    <t>Interflex Co., Ltd.</t>
  </si>
  <si>
    <t>인터플렉스</t>
  </si>
  <si>
    <t>연성회로기판(Flexible PCB)</t>
  </si>
  <si>
    <t>www.interflex.co.kr</t>
  </si>
  <si>
    <t>253590 KS Equity</t>
  </si>
  <si>
    <t>A253590</t>
  </si>
  <si>
    <t>Neosem Inc.</t>
  </si>
  <si>
    <t>네오셈</t>
  </si>
  <si>
    <t>반도체 검사장비</t>
  </si>
  <si>
    <t>www.neosem.com</t>
  </si>
  <si>
    <t>194480 KS Equity</t>
  </si>
  <si>
    <t>A194480</t>
  </si>
  <si>
    <t>Devsisters corporation</t>
  </si>
  <si>
    <t>데브시스터즈</t>
  </si>
  <si>
    <t>모바일 게임 소프트웨어 개발 및 공급업</t>
  </si>
  <si>
    <t>모바일 게임</t>
  </si>
  <si>
    <t>www.devsisters.com</t>
  </si>
  <si>
    <t>006730 KS Equity</t>
  </si>
  <si>
    <t>A006730</t>
  </si>
  <si>
    <t>Seobu T&amp;D Co.,Ltd.</t>
  </si>
  <si>
    <t>서부T&amp;D</t>
  </si>
  <si>
    <t>석유류판매</t>
  </si>
  <si>
    <t>www.seobutnd.com</t>
  </si>
  <si>
    <t>108860 KS Equity</t>
  </si>
  <si>
    <t>A108860</t>
  </si>
  <si>
    <t>Selvas AI Inc.</t>
  </si>
  <si>
    <t>셀바스AI</t>
  </si>
  <si>
    <t>인공지능 솔루션 등</t>
  </si>
  <si>
    <t>www.selvasai.com</t>
  </si>
  <si>
    <t>950210 KS Equity</t>
  </si>
  <si>
    <t>A950210</t>
  </si>
  <si>
    <t>PRESTIGE BIOPHARMA LIMITED KDR</t>
  </si>
  <si>
    <t>프레스티지바이오파마</t>
  </si>
  <si>
    <t>바이오시밀러 및 항체의약품 신약</t>
  </si>
  <si>
    <t>www.prestigebiopharma.com</t>
  </si>
  <si>
    <t>232140 KS Equity</t>
  </si>
  <si>
    <t>A232140</t>
  </si>
  <si>
    <t>메모리 웨이퍼 테스터</t>
  </si>
  <si>
    <t>www.yikcorp.com</t>
  </si>
  <si>
    <t>131290 KS Equity</t>
  </si>
  <si>
    <t>A131290</t>
  </si>
  <si>
    <t>TSE CO., Ltd.</t>
  </si>
  <si>
    <t>티에스이</t>
  </si>
  <si>
    <t>전자기 측정, 시험 및 분석기구 제조업</t>
  </si>
  <si>
    <t>Probe Card, Test Interface Board, LED Test Equipment</t>
  </si>
  <si>
    <t>www.tse21.com</t>
  </si>
  <si>
    <t>145990 KS Equity</t>
  </si>
  <si>
    <t>A145990</t>
  </si>
  <si>
    <t>Samyang Corporation</t>
  </si>
  <si>
    <t>삼양사</t>
  </si>
  <si>
    <t>설탕</t>
  </si>
  <si>
    <t>www.samyangcorp.com</t>
  </si>
  <si>
    <t>003570 KS Equity</t>
  </si>
  <si>
    <t>A003570</t>
  </si>
  <si>
    <t>SNT DYNAMICS</t>
  </si>
  <si>
    <t>SNT다이내믹스</t>
  </si>
  <si>
    <t>자동차부품(동력전달장치 등),공작기계(CNC선반 등),사출성형기 제조</t>
  </si>
  <si>
    <t>www.hisntd.com</t>
  </si>
  <si>
    <t>218410 KS Equity</t>
  </si>
  <si>
    <t>A218410</t>
  </si>
  <si>
    <t>RFHIC CORPORATION</t>
  </si>
  <si>
    <t>RFHIC</t>
  </si>
  <si>
    <t>GaN 트랜지스터</t>
  </si>
  <si>
    <t>www.rfhic.com</t>
  </si>
  <si>
    <t>060250 KS Equity</t>
  </si>
  <si>
    <t>A060250</t>
  </si>
  <si>
    <t>NHN KCP Corp.</t>
  </si>
  <si>
    <t>NHN KCP</t>
  </si>
  <si>
    <t>기타 정보 서비스업</t>
  </si>
  <si>
    <t>전자결제서비스업</t>
  </si>
  <si>
    <t>www.kcp.co.kr</t>
  </si>
  <si>
    <t>257720 KS Equity</t>
  </si>
  <si>
    <t>A257720</t>
  </si>
  <si>
    <t>SILICON 2 Co., Ltd.</t>
  </si>
  <si>
    <t>실리콘투</t>
  </si>
  <si>
    <t>화장품 유통</t>
  </si>
  <si>
    <t>www.siliconii.com</t>
  </si>
  <si>
    <t>034310 KS Equity</t>
  </si>
  <si>
    <t>A034310</t>
  </si>
  <si>
    <t>NICEHoldings</t>
  </si>
  <si>
    <t>NICE</t>
  </si>
  <si>
    <t>기업신용분석,유가증권등급평정,기업정보,긍융정보,경제정보,소비자신용정보 제공,시장조사,사회여론조사,점외 CD/ATM사업</t>
  </si>
  <si>
    <t>www.nice.co.kr</t>
  </si>
  <si>
    <t>200130 KS Equity</t>
  </si>
  <si>
    <t>A200130</t>
  </si>
  <si>
    <t>Kolmar BNH Co., Ltd.</t>
  </si>
  <si>
    <t>콜마비앤에이치</t>
  </si>
  <si>
    <t>건강기능식품</t>
  </si>
  <si>
    <t>www.kolmarbnh.co.kr</t>
  </si>
  <si>
    <t>003000 KS Equity</t>
  </si>
  <si>
    <t>A003000</t>
  </si>
  <si>
    <t>BukwangPharmaceutical</t>
  </si>
  <si>
    <t>부광약품</t>
  </si>
  <si>
    <t>의약품,치약,의약부외품(부광탁스,레가론,부광안티프라그) 제조</t>
  </si>
  <si>
    <t>www.bukwang.co.kr</t>
  </si>
  <si>
    <t>053610 KS Equity</t>
  </si>
  <si>
    <t>A053610</t>
  </si>
  <si>
    <t>Protec Co., Ltd.</t>
  </si>
  <si>
    <t>프로텍</t>
  </si>
  <si>
    <t>Dispenser, Tray Feeder, 공압실린더</t>
  </si>
  <si>
    <t>www.protec21.co.kr</t>
  </si>
  <si>
    <t>036810 KS Equity</t>
  </si>
  <si>
    <t>A036810</t>
  </si>
  <si>
    <t>FINE SEMITECH Corp.</t>
  </si>
  <si>
    <t>에프에스티</t>
  </si>
  <si>
    <t>펠리클(반도체부품), 칠러장비, 반도체유통</t>
  </si>
  <si>
    <t>www.fstc.co.kr</t>
  </si>
  <si>
    <t>097520 KS Equity</t>
  </si>
  <si>
    <t>A097520</t>
  </si>
  <si>
    <t>MCNEX Co.,Ltd.</t>
  </si>
  <si>
    <t>엠씨넥스</t>
  </si>
  <si>
    <t>텔레비전, 비디오 및 기타 영상기기 제조업</t>
  </si>
  <si>
    <t>비디오 및 기타 영상기기 제조업</t>
  </si>
  <si>
    <t>모바일 카메라모듈,전장 카메라모듈,블랙박스,IP 카메라</t>
  </si>
  <si>
    <t>www.mcnex.com</t>
  </si>
  <si>
    <t>241590 KS Equity</t>
  </si>
  <si>
    <t>A241590</t>
  </si>
  <si>
    <t>HWASEUNG ENTERPRISE</t>
  </si>
  <si>
    <t>화승엔터프라이즈</t>
  </si>
  <si>
    <t>신발 제조업</t>
  </si>
  <si>
    <t>기타 신발 제조업</t>
  </si>
  <si>
    <t>www.hsenterprise.co.kr</t>
  </si>
  <si>
    <t>091700 KS Equity</t>
  </si>
  <si>
    <t>A091700</t>
  </si>
  <si>
    <t>PARTRON Co.,Ltd.</t>
  </si>
  <si>
    <t>파트론</t>
  </si>
  <si>
    <t>카메라모듈, 안테나, 센서류 등</t>
  </si>
  <si>
    <t>www.partron.co.kr</t>
  </si>
  <si>
    <t>043150 KS Equity</t>
  </si>
  <si>
    <t>A043150</t>
  </si>
  <si>
    <t>Value Added Technology Co., Ltd.</t>
  </si>
  <si>
    <t>바텍</t>
  </si>
  <si>
    <t>치과용 디지털 X-ray기기 (파노라마, CT) 및 구강스캐너 등</t>
  </si>
  <si>
    <t>www.vatechcorp.co.kr</t>
  </si>
  <si>
    <t>007390 KS Equity</t>
  </si>
  <si>
    <t>A007390</t>
  </si>
  <si>
    <t>NATURECELL CO.,LTD.</t>
  </si>
  <si>
    <t>네이처셀</t>
  </si>
  <si>
    <t>닥터쥬크르</t>
  </si>
  <si>
    <t>www.naturecell.co.kr</t>
  </si>
  <si>
    <t>284740 KS Equity</t>
  </si>
  <si>
    <t>A284740</t>
  </si>
  <si>
    <t>CUCKOO HOMESYS</t>
  </si>
  <si>
    <t>쿠쿠홈시스</t>
  </si>
  <si>
    <t>개인 및 가정용품 임대업</t>
  </si>
  <si>
    <t>정수기, 공기청정기 등</t>
  </si>
  <si>
    <t>039440 KS Equity</t>
  </si>
  <si>
    <t>A039440</t>
  </si>
  <si>
    <t>STI Co., Ltd.</t>
  </si>
  <si>
    <t>에스티아이</t>
  </si>
  <si>
    <t>Chemical 중앙공급시스템(C.C.S.S), 세정·식각시스템</t>
  </si>
  <si>
    <t>058650 KS Equity</t>
  </si>
  <si>
    <t>A058650</t>
  </si>
  <si>
    <t>SeAHHoldings</t>
  </si>
  <si>
    <t>세아홀딩스</t>
  </si>
  <si>
    <t>지주회사/투자 및 경영컨설팅/부동산 임대</t>
  </si>
  <si>
    <t>www.seahholdings.co.kr</t>
  </si>
  <si>
    <t>020000 KS Equity</t>
  </si>
  <si>
    <t>A020000</t>
  </si>
  <si>
    <t>HandsomeCorporation</t>
  </si>
  <si>
    <t>한섬</t>
  </si>
  <si>
    <t>여자용 겉옷 제조업</t>
  </si>
  <si>
    <t>여성의류,금속 액세서리,신발,가방,선글라스 제조,판매</t>
  </si>
  <si>
    <t>www.handsome.co.kr</t>
  </si>
  <si>
    <t>377740 KS Equity</t>
  </si>
  <si>
    <t>A377740</t>
  </si>
  <si>
    <t>BioNote</t>
  </si>
  <si>
    <t>바이오노트</t>
  </si>
  <si>
    <t>Rapid 반제품 및 완제품, 동물용신속진단 키트</t>
  </si>
  <si>
    <t>www.bionote.co.kr</t>
  </si>
  <si>
    <t>007810 KS Equity</t>
  </si>
  <si>
    <t>A007810</t>
  </si>
  <si>
    <t>KoreaCircuit</t>
  </si>
  <si>
    <t>코리아써키트</t>
  </si>
  <si>
    <t>인쇄회로기판,Module 제조/부동산(건물) 임대</t>
  </si>
  <si>
    <t>www.kcg.co.kr</t>
  </si>
  <si>
    <t>394280 KS Equity</t>
  </si>
  <si>
    <t>A394280</t>
  </si>
  <si>
    <t>Openedges Technology, Inc.</t>
  </si>
  <si>
    <t>오픈엣지테크놀로지</t>
  </si>
  <si>
    <t>시스템 반도체 IP</t>
  </si>
  <si>
    <t>www.openedges.com</t>
  </si>
  <si>
    <t>335890 KS Equity</t>
  </si>
  <si>
    <t>A335890</t>
  </si>
  <si>
    <t>VIOL Co., Ltd.</t>
  </si>
  <si>
    <t>비올</t>
  </si>
  <si>
    <t>의료기기</t>
  </si>
  <si>
    <t>www.viol.co.kr</t>
  </si>
  <si>
    <t>228760 KS Equity</t>
  </si>
  <si>
    <t>A228760</t>
  </si>
  <si>
    <t>Genomictree, Inc.</t>
  </si>
  <si>
    <t>지노믹트리</t>
  </si>
  <si>
    <t>자연과학 및 공학 연구개발업</t>
  </si>
  <si>
    <t>암 조기진단 제품</t>
  </si>
  <si>
    <t>www.genomictree.com</t>
  </si>
  <si>
    <t>200880 KS Equity</t>
  </si>
  <si>
    <t>A200880</t>
  </si>
  <si>
    <t>SEOYONEHWA</t>
  </si>
  <si>
    <t>서연이화</t>
  </si>
  <si>
    <t>자동차 도어 트림 및 시트</t>
  </si>
  <si>
    <t>www.seoyoneh.com</t>
  </si>
  <si>
    <t>034120 KS Equity</t>
  </si>
  <si>
    <t>A034120</t>
  </si>
  <si>
    <t>SEOULBROADCASTINGSYSTEM</t>
  </si>
  <si>
    <t>SBS</t>
  </si>
  <si>
    <t>지상파 방송업</t>
  </si>
  <si>
    <t>TV,라디오방송,광고</t>
  </si>
  <si>
    <t>www.sbs.co.kr</t>
  </si>
  <si>
    <t>323990 KS Equity</t>
  </si>
  <si>
    <t>A323990</t>
  </si>
  <si>
    <t>Vaxcell-Bio Therapeutics</t>
  </si>
  <si>
    <t>박셀바이오</t>
  </si>
  <si>
    <t>항암면역세포치료제(자연살해세포, 수지상세포, CAR-T 및 인터루킨 기반 항암제)</t>
  </si>
  <si>
    <t>www.vaxcell-bio.com</t>
  </si>
  <si>
    <t>033640 KS Equity</t>
  </si>
  <si>
    <t>A033640</t>
  </si>
  <si>
    <t>Nepes Corporation</t>
  </si>
  <si>
    <t>네패스</t>
  </si>
  <si>
    <t>반도체및TFT-LCD용현상액</t>
  </si>
  <si>
    <t>www.nepes.co.kr</t>
  </si>
  <si>
    <t>018250 KS Equity</t>
  </si>
  <si>
    <t>A018250</t>
  </si>
  <si>
    <t>AEKYUNG INDUSTRIAL</t>
  </si>
  <si>
    <t>애경산업</t>
  </si>
  <si>
    <t>Age 20's,루나, 트리오, 2080치약, 순샘, 제트 등</t>
  </si>
  <si>
    <t>www.aekyung.co.kr</t>
  </si>
  <si>
    <t>012630 KS Equity</t>
  </si>
  <si>
    <t>A012630</t>
  </si>
  <si>
    <t>HDC HOLDINGS CO.,Ltd</t>
  </si>
  <si>
    <t>HDC</t>
  </si>
  <si>
    <t>www.hdc-holdings.com</t>
  </si>
  <si>
    <t>249420 KS Equity</t>
  </si>
  <si>
    <t>A249420</t>
  </si>
  <si>
    <t>ILDONG PHARM</t>
  </si>
  <si>
    <t>일동제약</t>
  </si>
  <si>
    <t>아로나민, 후루마린, 큐란, 라비에트, 사미온 등</t>
  </si>
  <si>
    <t>www.ildong.com</t>
  </si>
  <si>
    <t>095500 KS Equity</t>
  </si>
  <si>
    <t>A095500</t>
  </si>
  <si>
    <t>MNtech Co., Ltd.</t>
  </si>
  <si>
    <t>미래나노텍</t>
  </si>
  <si>
    <t>기타 플라스틱제품 제조업</t>
  </si>
  <si>
    <t>플라스틱 접착처리 제품 제조업</t>
  </si>
  <si>
    <t>LCDBLU용광학필름</t>
  </si>
  <si>
    <t>www.mntech.co.kr</t>
  </si>
  <si>
    <t>001390 KS Equity</t>
  </si>
  <si>
    <t>A001390</t>
  </si>
  <si>
    <t>KG Chemical</t>
  </si>
  <si>
    <t>KG케미칼</t>
  </si>
  <si>
    <t>콘크리트혼화제, 비료, 친환경농자재, 수처리제</t>
  </si>
  <si>
    <t>www.kgchem.co.kr</t>
  </si>
  <si>
    <t>299030 KS Equity</t>
  </si>
  <si>
    <t>A299030</t>
  </si>
  <si>
    <t>HANA TECHNLOGY CO., LTD.</t>
  </si>
  <si>
    <t>하나기술</t>
  </si>
  <si>
    <t>이차전지 양산 자동화 설비 제조</t>
  </si>
  <si>
    <t>www.hn-tech.co.kr</t>
  </si>
  <si>
    <t>054450 KS Equity</t>
  </si>
  <si>
    <t>A054450</t>
  </si>
  <si>
    <t>Telechips Inc.</t>
  </si>
  <si>
    <t>텔레칩스</t>
  </si>
  <si>
    <t>디지털미디어프로세서,발신자정보표시칩</t>
  </si>
  <si>
    <t>www.telechips.com</t>
  </si>
  <si>
    <t>241710 KS Equity</t>
  </si>
  <si>
    <t>A241710</t>
  </si>
  <si>
    <t>COSMECCA KOREA CO., LTD.</t>
  </si>
  <si>
    <t>코스메카코리아</t>
  </si>
  <si>
    <t>화장품 OEM, ODM</t>
  </si>
  <si>
    <t>www.cosmecca.com</t>
  </si>
  <si>
    <t>094170 KS Equity</t>
  </si>
  <si>
    <t>A094170</t>
  </si>
  <si>
    <t>DONGWOON ANATECH CO.,LTD.</t>
  </si>
  <si>
    <t>동운아나텍</t>
  </si>
  <si>
    <t>아날로그 반도체</t>
  </si>
  <si>
    <t>www.dwanatech.com</t>
  </si>
  <si>
    <t>047310 KS Equity</t>
  </si>
  <si>
    <t>A047310</t>
  </si>
  <si>
    <t>PowerLogics Co., Ltd.</t>
  </si>
  <si>
    <t>파워로직스</t>
  </si>
  <si>
    <t>2차전지 보호회로 및 배터리팩, 카메라모듈</t>
  </si>
  <si>
    <t>www.powerlogics.co.kr</t>
  </si>
  <si>
    <t>002030 KS Equity</t>
  </si>
  <si>
    <t>A002030</t>
  </si>
  <si>
    <t>ASIA HOLDINGS</t>
  </si>
  <si>
    <t>아세아</t>
  </si>
  <si>
    <t>회사본부,지주회사 및 경영컨설팅 서비스업</t>
  </si>
  <si>
    <t>www.asiaholdings.co.kr</t>
  </si>
  <si>
    <t>099430 KS Equity</t>
  </si>
  <si>
    <t>A099430</t>
  </si>
  <si>
    <t>Bio Plus Co., Ltd.</t>
  </si>
  <si>
    <t>바이오플러스</t>
  </si>
  <si>
    <t>생체재료 개질 기술을 사용한 히알루론산(HA) 기반 더말필러, 유착방지제 및 그 응용제품</t>
  </si>
  <si>
    <t>017940 KS Equity</t>
  </si>
  <si>
    <t>A017940</t>
  </si>
  <si>
    <t>E1Corporation</t>
  </si>
  <si>
    <t>E1</t>
  </si>
  <si>
    <t>LPG(프로판,부탄가스),가스기기판매</t>
  </si>
  <si>
    <t>www.e1.co.kr</t>
  </si>
  <si>
    <t>243070 KS Equity</t>
  </si>
  <si>
    <t>A243070</t>
  </si>
  <si>
    <t>HUONS CO., LTD.</t>
  </si>
  <si>
    <t>휴온스</t>
  </si>
  <si>
    <t>전문의약품, 일반의약품</t>
  </si>
  <si>
    <t>www.huons.com</t>
  </si>
  <si>
    <t>033270 KS Equity</t>
  </si>
  <si>
    <t>A033270</t>
  </si>
  <si>
    <t>Korea United Pharm. Inc.</t>
  </si>
  <si>
    <t>유나이티드제약</t>
  </si>
  <si>
    <t>홈타민 진생연질60C(비타민제),항암제,항생제,순환기계,해열진통제,소화기계약품 제조</t>
  </si>
  <si>
    <t>www.kup.co.kr</t>
  </si>
  <si>
    <t>001470 KS Equity</t>
  </si>
  <si>
    <t>A001470</t>
  </si>
  <si>
    <t>SambuEngineering&amp;Construction</t>
  </si>
  <si>
    <t>삼부토건</t>
  </si>
  <si>
    <t>토목공사,건축공사,포장공사,건설업,분양사업/건설자재 제조</t>
  </si>
  <si>
    <t>www.sambu.co.kr</t>
  </si>
  <si>
    <t>206640 KS Equity</t>
  </si>
  <si>
    <t>A206640</t>
  </si>
  <si>
    <t>Boditech Med, Inc.</t>
  </si>
  <si>
    <t>바디텍메드</t>
  </si>
  <si>
    <t>면역진단기기 및 카트리지</t>
  </si>
  <si>
    <t>www.boditech.co.kr</t>
  </si>
  <si>
    <t>425040 KS Equity</t>
  </si>
  <si>
    <t>A425040</t>
  </si>
  <si>
    <t>TEMC Co., Ltd.</t>
  </si>
  <si>
    <t>티이엠씨</t>
  </si>
  <si>
    <t>반도체용 특수가스</t>
  </si>
  <si>
    <t xml:space="preserve">www.temc.co.kr         </t>
  </si>
  <si>
    <t>338220 KS Equity</t>
  </si>
  <si>
    <t>A338220</t>
  </si>
  <si>
    <t>VUNO Inc.</t>
  </si>
  <si>
    <t>뷰노</t>
  </si>
  <si>
    <t>뷰노메드 음성솔루션, 뷰노메드 영상솔루션, 기타 솔루션 등</t>
  </si>
  <si>
    <t>www.vuno.co</t>
  </si>
  <si>
    <t>183190 KS Equity</t>
  </si>
  <si>
    <t>A183190</t>
  </si>
  <si>
    <t>ASIACEMENT</t>
  </si>
  <si>
    <t>아세아시멘트</t>
  </si>
  <si>
    <t>시멘트, 레미콘, 몰탈</t>
  </si>
  <si>
    <t>www.asiacement.co.kr</t>
  </si>
  <si>
    <t>003920 KS Equity</t>
  </si>
  <si>
    <t>A003920</t>
  </si>
  <si>
    <t>NamyangDairyProducts</t>
  </si>
  <si>
    <t>남양유업</t>
  </si>
  <si>
    <t>시유,조제분유,발효유,이유밀,치즈,프렌치까페 제조,도매</t>
  </si>
  <si>
    <t>www.namyangi.com</t>
  </si>
  <si>
    <t>101730 KS Equity</t>
  </si>
  <si>
    <t>A101730</t>
  </si>
  <si>
    <t>Wemade Max Co., Ltd.</t>
  </si>
  <si>
    <t>위메이드맥스</t>
  </si>
  <si>
    <t>실크로드 온라인</t>
  </si>
  <si>
    <t>www.joymax.co.kr</t>
  </si>
  <si>
    <t>199800 KS Equity</t>
  </si>
  <si>
    <t>A199800</t>
  </si>
  <si>
    <t>ToolGen Incorporated</t>
  </si>
  <si>
    <t>툴젠</t>
  </si>
  <si>
    <t>유전자교정 플랫폼 관련 제품</t>
  </si>
  <si>
    <t>www.toolgen.com</t>
  </si>
  <si>
    <t>101160 KS Equity</t>
  </si>
  <si>
    <t>A101160</t>
  </si>
  <si>
    <t>WORLDEX INDUSTRY&amp;TRADING Co.,Ltd.</t>
  </si>
  <si>
    <t>월덱스</t>
  </si>
  <si>
    <t>반도체용링및전극</t>
  </si>
  <si>
    <t>www.worldexint.com</t>
  </si>
  <si>
    <t>102120 KS Equity</t>
  </si>
  <si>
    <t>A102120</t>
  </si>
  <si>
    <t>ABOV Semiconductor Co.,Ltd.</t>
  </si>
  <si>
    <t>어보브반도체</t>
  </si>
  <si>
    <t>반도체,전자제품,마이크로컨트롤라</t>
  </si>
  <si>
    <t>www.abov.co.kr</t>
  </si>
  <si>
    <t>082920 KS Equity</t>
  </si>
  <si>
    <t>A082920</t>
  </si>
  <si>
    <t>VITZROCELL Co.,Ltd.</t>
  </si>
  <si>
    <t>비츠로셀</t>
  </si>
  <si>
    <t>일차전지 제조업</t>
  </si>
  <si>
    <t>리튬1차전지</t>
  </si>
  <si>
    <t>www.vitzrocell.com</t>
  </si>
  <si>
    <t>453340 KS Equity</t>
  </si>
  <si>
    <t>A453340</t>
  </si>
  <si>
    <t>HYUNDAI GREEN FOOD</t>
  </si>
  <si>
    <t>현대그린푸드</t>
  </si>
  <si>
    <t>종합 소매업</t>
  </si>
  <si>
    <t>푸드서비스(단체급식), 식자재유통서비스, 공산품/생식품 유통서비스</t>
  </si>
  <si>
    <t>010690 KS Equity</t>
  </si>
  <si>
    <t>A010690</t>
  </si>
  <si>
    <t>Hwashin</t>
  </si>
  <si>
    <t>화신</t>
  </si>
  <si>
    <t>자동차엔진부품(ARM류,C/MBR류),자동차부품 제조</t>
  </si>
  <si>
    <t>www.hwashin.co.kr</t>
  </si>
  <si>
    <t>348340 KS Equity</t>
  </si>
  <si>
    <t>A348340</t>
  </si>
  <si>
    <t>Neuromeka Co., Ltd.</t>
  </si>
  <si>
    <t>뉴로메카</t>
  </si>
  <si>
    <t>협동로봇, 협동로봇 자동화 플랫폼, 로봇제어기 등</t>
  </si>
  <si>
    <t>www.neuromeka.com</t>
  </si>
  <si>
    <t>206650 KS Equity</t>
  </si>
  <si>
    <t>A206650</t>
  </si>
  <si>
    <t>EuBiologics Co., Ltd.</t>
  </si>
  <si>
    <t>유바이오로직스</t>
  </si>
  <si>
    <t>경구용 콜레라 백신, 바이오의약품 수탁 연구 및 제조</t>
  </si>
  <si>
    <t>www.eubiologics.com</t>
  </si>
  <si>
    <t>123890 KS Equity</t>
  </si>
  <si>
    <t>A123890</t>
  </si>
  <si>
    <t>KAIT</t>
  </si>
  <si>
    <t>한국자산신탁</t>
  </si>
  <si>
    <t>신탁업 및 집합투자업</t>
  </si>
  <si>
    <t>부동산 신탁 서비스, REITs</t>
  </si>
  <si>
    <t>www.kait.com</t>
  </si>
  <si>
    <t>011930 KS Equity</t>
  </si>
  <si>
    <t>A011930</t>
  </si>
  <si>
    <t>SHINSUNG E&amp;G</t>
  </si>
  <si>
    <t>신성이엔지</t>
  </si>
  <si>
    <t>태양전지, 태양광모듈 제조 및 판매, 태양광 발전설치공사, 클린룸, 자동화장비</t>
  </si>
  <si>
    <t>www.shinsungeng.com</t>
  </si>
  <si>
    <t>151860 KS Equity</t>
  </si>
  <si>
    <t>A151860</t>
  </si>
  <si>
    <t>집단에너지(스팀), 산화동, 폐기물 소각</t>
  </si>
  <si>
    <t>www.kgets.co.kr</t>
  </si>
  <si>
    <t>017810 KS Equity</t>
  </si>
  <si>
    <t>A017810</t>
  </si>
  <si>
    <t>Pulmuone Corporate</t>
  </si>
  <si>
    <t>풀무원</t>
  </si>
  <si>
    <t>두부류,생면류,나물류,냉동류,조미류,김치류,묵류,녹즙,과채음료,건강보조식품 판매,제조,생식품 수출</t>
  </si>
  <si>
    <t>www.pulmuone.kr</t>
  </si>
  <si>
    <t>001940 KS Equity</t>
  </si>
  <si>
    <t>A001940</t>
  </si>
  <si>
    <t>KISCO Holdings</t>
  </si>
  <si>
    <t>KISCO홀딩스</t>
  </si>
  <si>
    <t>www.kiscoholdings.co.kr</t>
  </si>
  <si>
    <t>118990 KS Equity</t>
  </si>
  <si>
    <t>A118990</t>
  </si>
  <si>
    <t>MOTREX CO.,LTD.</t>
  </si>
  <si>
    <t>모트렉스</t>
  </si>
  <si>
    <t>차량용 인포테인먼트</t>
  </si>
  <si>
    <t>www.motrex.co.kr</t>
  </si>
  <si>
    <t>050890 KS Equity</t>
  </si>
  <si>
    <t>A050890</t>
  </si>
  <si>
    <t>SOLiD, Inc.</t>
  </si>
  <si>
    <t>쏠리드</t>
  </si>
  <si>
    <t>이동통신중계기,위성DMB용중계기</t>
  </si>
  <si>
    <t>www.solid.co.kr</t>
  </si>
  <si>
    <t>402030 KS Equity</t>
  </si>
  <si>
    <t>A402030</t>
  </si>
  <si>
    <t>KONAN TECHNOLOGY INCORPORATION</t>
  </si>
  <si>
    <t>코난테크놀로지</t>
  </si>
  <si>
    <t>소프트웨어(인공지능,빅데이터,자연어처리,검색엔진,대화형챗봇,음성합성,음성인식) 연구개발 및 공급, 정보통신서비스</t>
  </si>
  <si>
    <t>www.konantech.com</t>
  </si>
  <si>
    <t>004690 KS Equity</t>
  </si>
  <si>
    <t>A004690</t>
  </si>
  <si>
    <t>Samchully</t>
  </si>
  <si>
    <t>삼천리</t>
  </si>
  <si>
    <t>도시가스 공급/부동산 임대</t>
  </si>
  <si>
    <t>www.samchully.co.kr</t>
  </si>
  <si>
    <t>448280 KS Equity</t>
  </si>
  <si>
    <t>A448280</t>
  </si>
  <si>
    <t>ECOEYE CO., LTD.</t>
  </si>
  <si>
    <t>에코아이</t>
  </si>
  <si>
    <t>기타 전문 서비스업</t>
  </si>
  <si>
    <t>탄소배출권 및 탄소배출권 관련 컨설팅</t>
  </si>
  <si>
    <t>www.ecoeye.com</t>
  </si>
  <si>
    <t>095610 KS Equity</t>
  </si>
  <si>
    <t>A095610</t>
  </si>
  <si>
    <t>TES Co.,Ltd.</t>
  </si>
  <si>
    <t>테스</t>
  </si>
  <si>
    <t>반도체장비(화학증착장비)</t>
  </si>
  <si>
    <t>www.hites.co.kr</t>
  </si>
  <si>
    <t>056080 KS Equity</t>
  </si>
  <si>
    <t>A056080</t>
  </si>
  <si>
    <t>Yujin Robot Co., Ltd.</t>
  </si>
  <si>
    <t>유진로봇</t>
  </si>
  <si>
    <t>청소로봇, 완구류외</t>
  </si>
  <si>
    <t>www.yujinrobot.com</t>
  </si>
  <si>
    <t>002310 KS Equity</t>
  </si>
  <si>
    <t>A002310</t>
  </si>
  <si>
    <t>AsiaPaperManufacturing</t>
  </si>
  <si>
    <t>아세아제지</t>
  </si>
  <si>
    <t>골판지, 종이 상자 및 종이 용기 제조업</t>
  </si>
  <si>
    <t>코스피 종이,목재</t>
  </si>
  <si>
    <t>골판지원지,석고보드원지,크라프트원지,라이나원지,라이너지 제조,판매</t>
  </si>
  <si>
    <t>www.asiapaper.co.kr</t>
  </si>
  <si>
    <t>093050 KS Equity</t>
  </si>
  <si>
    <t>A093050</t>
  </si>
  <si>
    <t>LF</t>
  </si>
  <si>
    <t>기성복, 의류, 잡화, 제조</t>
  </si>
  <si>
    <t>www.lfcorp.com</t>
  </si>
  <si>
    <t>319400 KS Equity</t>
  </si>
  <si>
    <t>A319400</t>
  </si>
  <si>
    <t>HUYNDAI MOVEX Co., Ltd.</t>
  </si>
  <si>
    <t>현대무벡스</t>
  </si>
  <si>
    <t>물류자동화, IT서비스</t>
  </si>
  <si>
    <t>www.hyundaimovex.com</t>
  </si>
  <si>
    <t>136480 KS Equity</t>
  </si>
  <si>
    <t>A136480</t>
  </si>
  <si>
    <t>HARIM Co., Ltd.</t>
  </si>
  <si>
    <t>하림</t>
  </si>
  <si>
    <t>육류 가공 및 저장 처리업</t>
  </si>
  <si>
    <t>육류 기타 가공 및 저장처리업 (가금류 제외)</t>
  </si>
  <si>
    <t>육계, 육계가공식품</t>
  </si>
  <si>
    <t>www.harim.com</t>
  </si>
  <si>
    <t>378340 KS Equity</t>
  </si>
  <si>
    <t>A378340</t>
  </si>
  <si>
    <t>Philenergy Co., Ltd.</t>
  </si>
  <si>
    <t>필에너지</t>
  </si>
  <si>
    <t>2차전지 제조장비</t>
  </si>
  <si>
    <t>www.philenergy.co.kr</t>
  </si>
  <si>
    <t>009290 KS Equity</t>
  </si>
  <si>
    <t>A009290</t>
  </si>
  <si>
    <t>KwangdongPharmaceutical</t>
  </si>
  <si>
    <t>광동제약</t>
  </si>
  <si>
    <t>한의약품 제조업</t>
  </si>
  <si>
    <t>의약품,식음료 제조,도매</t>
  </si>
  <si>
    <t>www.ekdp.com</t>
  </si>
  <si>
    <t>439090 KS Equity</t>
  </si>
  <si>
    <t>A439090</t>
  </si>
  <si>
    <t>Manyo Factory Co., Ltd.</t>
  </si>
  <si>
    <t>마녀공장</t>
  </si>
  <si>
    <t>자연주의 기능성 화장품</t>
  </si>
  <si>
    <t>www.manyo.co.kr</t>
  </si>
  <si>
    <t>001200 KS Equity</t>
  </si>
  <si>
    <t>A001200</t>
  </si>
  <si>
    <t>EUGENE INVESTMENT &amp; SECURITIES</t>
  </si>
  <si>
    <t>유진투자증권</t>
  </si>
  <si>
    <t>유가증권 매매,중개,인수</t>
  </si>
  <si>
    <t>www.eugenefn.com</t>
  </si>
  <si>
    <t>360070 KS Equity</t>
  </si>
  <si>
    <t>A360070</t>
  </si>
  <si>
    <t>TOP MATERIAL Co., Ltd.</t>
  </si>
  <si>
    <t>탑머티리얼</t>
  </si>
  <si>
    <t>이차전지 시스템 엔지니어링, 전극소재, 양극소재</t>
  </si>
  <si>
    <t>071320 KS Equity</t>
  </si>
  <si>
    <t>A071320</t>
  </si>
  <si>
    <t>Korea District Heating</t>
  </si>
  <si>
    <t>지역난방공사</t>
  </si>
  <si>
    <t>집단에너지공급 및 전기,증기 생산,판매</t>
  </si>
  <si>
    <t>www.kdhc.co.kr</t>
  </si>
  <si>
    <t>003520 KS Equity</t>
  </si>
  <si>
    <t>A003520</t>
  </si>
  <si>
    <t>YUNGJIN PHARM</t>
  </si>
  <si>
    <t>영진약품</t>
  </si>
  <si>
    <t>의약품(드링크제,항생제,영양수액제),의약부외품 제조,판매</t>
  </si>
  <si>
    <t>www.yungjin.co.kr</t>
  </si>
  <si>
    <t>004430 KS Equity</t>
  </si>
  <si>
    <t>A004430</t>
  </si>
  <si>
    <t>SongwonIndustrial</t>
  </si>
  <si>
    <t>송원산업</t>
  </si>
  <si>
    <t>폴리머첨가제(PVC안정제,산화방지제),폴리우레탄수지,프라스틱첨가제 제조</t>
  </si>
  <si>
    <t>www.songwon.com</t>
  </si>
  <si>
    <t>372320 KS Equity</t>
  </si>
  <si>
    <t>A372320</t>
  </si>
  <si>
    <t>CUROCELL INC.</t>
  </si>
  <si>
    <t>큐로셀</t>
  </si>
  <si>
    <t>CAR-T 세포치료제</t>
  </si>
  <si>
    <t>www.curocellbtx.com</t>
  </si>
  <si>
    <t>263720 KS Equity</t>
  </si>
  <si>
    <t>A263720</t>
  </si>
  <si>
    <t>D&amp;C MEDIA CO.,LTD.</t>
  </si>
  <si>
    <t>디앤씨미디어</t>
  </si>
  <si>
    <t>서적, 잡지 및 기타 인쇄물 출판업</t>
  </si>
  <si>
    <t>웹소설 콘텐츠</t>
  </si>
  <si>
    <t>www.dncmedia.co.kr</t>
  </si>
  <si>
    <t>432720 KS Equity</t>
  </si>
  <si>
    <t>A432720</t>
  </si>
  <si>
    <t>Qualitas Semiconductor</t>
  </si>
  <si>
    <t>퀄리타스반도체</t>
  </si>
  <si>
    <t>초고속 통신용 반도체 IP</t>
  </si>
  <si>
    <t>www.q-semi.com</t>
  </si>
  <si>
    <t>104830 KS Equity</t>
  </si>
  <si>
    <t>A104830</t>
  </si>
  <si>
    <t>WONIK Materials Co.,Ltd.</t>
  </si>
  <si>
    <t>원익머트리얼즈</t>
  </si>
  <si>
    <t>저메인가스,디실란,아산화질소,암모니아 등</t>
  </si>
  <si>
    <t>www.wimco.co.kr</t>
  </si>
  <si>
    <t>000490 KS Equity</t>
  </si>
  <si>
    <t>A000490</t>
  </si>
  <si>
    <t>DAEDONG CORPORATION</t>
  </si>
  <si>
    <t>대동</t>
  </si>
  <si>
    <t>농업 및 임업용 기계 제조업</t>
  </si>
  <si>
    <t>경운기,트랙터,이앙기,바인더,수확기(콤바인),농업용엔진 및 부품 제조,판매</t>
  </si>
  <si>
    <t>www.daedong.co.kr</t>
  </si>
  <si>
    <t>200710 KS Equity</t>
  </si>
  <si>
    <t>A200710</t>
  </si>
  <si>
    <t>ADTechnology.Co., Ltd.</t>
  </si>
  <si>
    <t>에이디테크놀로지</t>
  </si>
  <si>
    <t>주문형 반도체</t>
  </si>
  <si>
    <t>www.adtek.co.kr</t>
  </si>
  <si>
    <t>001820 KS Equity</t>
  </si>
  <si>
    <t>A001820</t>
  </si>
  <si>
    <t>SamwhaCapacitor</t>
  </si>
  <si>
    <t>삼화콘덴서</t>
  </si>
  <si>
    <t>콘덴서(축전기) 제조</t>
  </si>
  <si>
    <t>www.samwha.co.kr/capacitor</t>
  </si>
  <si>
    <t>064290 KS Equity</t>
  </si>
  <si>
    <t>A064290</t>
  </si>
  <si>
    <t>INTEKPLUS. Co., Ltd.</t>
  </si>
  <si>
    <t>인텍플러스</t>
  </si>
  <si>
    <t>LED 외관검사장비, 반도체 외관검사장비, 태양전지 외관검사장비등</t>
  </si>
  <si>
    <t>www.intekplus.com</t>
  </si>
  <si>
    <t>252990 KS Equity</t>
  </si>
  <si>
    <t>A252990</t>
  </si>
  <si>
    <t>SEMCNS Co., Ltd.</t>
  </si>
  <si>
    <t>샘씨엔에스</t>
  </si>
  <si>
    <t>세라믹 STF(다층 세라믹 기판)</t>
  </si>
  <si>
    <t>www.semcns.com</t>
  </si>
  <si>
    <t>095700 KS Equity</t>
  </si>
  <si>
    <t>A095700</t>
  </si>
  <si>
    <t>Genexine, Inc.</t>
  </si>
  <si>
    <t>제넥신</t>
  </si>
  <si>
    <t>항체융합단백질 치료제 및 유전자치료 백신개발</t>
  </si>
  <si>
    <t>www.genexine.com</t>
  </si>
  <si>
    <t>005810 KS Equity</t>
  </si>
  <si>
    <t>A005810</t>
  </si>
  <si>
    <t>POONGSAN HOLDINGS</t>
  </si>
  <si>
    <t>풍산홀딩스</t>
  </si>
  <si>
    <t>동판제,대,관,봉,선,소전,동파이프 제조,도매,무역</t>
  </si>
  <si>
    <t>www.poongsanhc.co.kr</t>
  </si>
  <si>
    <t>025860 KS Equity</t>
  </si>
  <si>
    <t>A025860</t>
  </si>
  <si>
    <t>NamhaeChemical</t>
  </si>
  <si>
    <t>남해화학</t>
  </si>
  <si>
    <t>비료 및 질소화합물 제조업</t>
  </si>
  <si>
    <t>복합비료 및 기타 화학비료 제조업</t>
  </si>
  <si>
    <t>비료(요소,복합비료),공업제품원료 제조,도매</t>
  </si>
  <si>
    <t>www.nhchem.co.kr</t>
  </si>
  <si>
    <t>306200 KS Equity</t>
  </si>
  <si>
    <t>A306200</t>
  </si>
  <si>
    <t>SeAH Steel Corporation</t>
  </si>
  <si>
    <t>세아제강</t>
  </si>
  <si>
    <t>강관</t>
  </si>
  <si>
    <t>www.seahsteel.co.kr</t>
  </si>
  <si>
    <t>041020 KS Equity</t>
  </si>
  <si>
    <t>A041020</t>
  </si>
  <si>
    <t>Polaris Office Corp.</t>
  </si>
  <si>
    <t>폴라리스오피스</t>
  </si>
  <si>
    <t>시스템 소프트웨어</t>
  </si>
  <si>
    <t>www.infraware-global.com</t>
  </si>
  <si>
    <t>002320 KS Equity</t>
  </si>
  <si>
    <t>A002320</t>
  </si>
  <si>
    <t>HanjinTransportation</t>
  </si>
  <si>
    <t>한진</t>
  </si>
  <si>
    <t>기타 도로화물 운송업</t>
  </si>
  <si>
    <t>포장화물,택배산업,항만하역,고속버스사업,운수보관</t>
  </si>
  <si>
    <t>www.hanjin.co.kr</t>
  </si>
  <si>
    <t>054950 KS Equity</t>
  </si>
  <si>
    <t>A054950</t>
  </si>
  <si>
    <t>JVM Co., Ltd.</t>
  </si>
  <si>
    <t>제이브이엠</t>
  </si>
  <si>
    <t>기타 일반 목적용 기계 제조업</t>
  </si>
  <si>
    <t>용기 세척, 포장 및 충전기 제조업</t>
  </si>
  <si>
    <t>전자동 정제,분류 및 포장시스템</t>
  </si>
  <si>
    <t>www.myjvm.com</t>
  </si>
  <si>
    <t>110990 KS Equity</t>
  </si>
  <si>
    <t>A110990</t>
  </si>
  <si>
    <t>디아이티</t>
  </si>
  <si>
    <t>평판디스플레이 검사장비</t>
  </si>
  <si>
    <t>www.okdit.co.kr</t>
  </si>
  <si>
    <t>119610 KS Equity</t>
  </si>
  <si>
    <t>A119610</t>
  </si>
  <si>
    <t>INTEROJO INC.</t>
  </si>
  <si>
    <t>인터로조</t>
  </si>
  <si>
    <t>콘텍트렌즈(소프트렌즈, 원데이렌즈, 하드렌즈 등)</t>
  </si>
  <si>
    <t>www.interojo.com</t>
  </si>
  <si>
    <t>083310 KS Equity</t>
  </si>
  <si>
    <t>A083310</t>
  </si>
  <si>
    <t>LOT VACUUM Co., Ltd.</t>
  </si>
  <si>
    <t>엘오티베큠</t>
  </si>
  <si>
    <t>반도체제조용진공펌프</t>
  </si>
  <si>
    <t>www.lotvacuum.com</t>
  </si>
  <si>
    <t>084690 KS Equity</t>
  </si>
  <si>
    <t>A084690</t>
  </si>
  <si>
    <t>Daesang Holdings</t>
  </si>
  <si>
    <t>대상홀딩스</t>
  </si>
  <si>
    <t>www.daesangholdings.com</t>
  </si>
  <si>
    <t>425420 KS Equity</t>
  </si>
  <si>
    <t>A425420</t>
  </si>
  <si>
    <t>TFE Co., Ltd.</t>
  </si>
  <si>
    <t>티에프이</t>
  </si>
  <si>
    <t>COK, Board, Test Socket</t>
  </si>
  <si>
    <t>www.tfe.co.kr</t>
  </si>
  <si>
    <t>099320 KS Equity</t>
  </si>
  <si>
    <t>A099320</t>
  </si>
  <si>
    <t>Satrec Initiative Co.,Ltd.</t>
  </si>
  <si>
    <t>쎄트렉아이</t>
  </si>
  <si>
    <t>인공위성시스템, 위성지상국, 위성부분품 개발 및 제조</t>
  </si>
  <si>
    <t>www.satreci.com</t>
  </si>
  <si>
    <t>007690 KS Equity</t>
  </si>
  <si>
    <t>A007690</t>
  </si>
  <si>
    <t>KukdoChemical</t>
  </si>
  <si>
    <t>국도화학</t>
  </si>
  <si>
    <t>에폭시수지,폴리아마이드수지,아염소산소다 제조,도소매</t>
  </si>
  <si>
    <t>www.kukdo.com</t>
  </si>
  <si>
    <t>027410 KS Equity</t>
  </si>
  <si>
    <t>A027410</t>
  </si>
  <si>
    <t>BGF</t>
  </si>
  <si>
    <t>www.bgf.co.kr</t>
  </si>
  <si>
    <t>000680 KS Equity</t>
  </si>
  <si>
    <t>A000680</t>
  </si>
  <si>
    <t>LSNetworks</t>
  </si>
  <si>
    <t>LS네트웍스</t>
  </si>
  <si>
    <t>혁화,의류,등산용품 도매,제조/부동산 임대</t>
  </si>
  <si>
    <t>www.lsnetworks.co.kr</t>
  </si>
  <si>
    <t>029530 KS Equity</t>
  </si>
  <si>
    <t>A029530</t>
  </si>
  <si>
    <t>SINDOH</t>
  </si>
  <si>
    <t>신도리코</t>
  </si>
  <si>
    <t>컴퓨터 및 주변장치 제조업</t>
  </si>
  <si>
    <t>복사기, 3D프린터, 프린터, 주변기기 제조,판매</t>
  </si>
  <si>
    <t>www.sindoh.com</t>
  </si>
  <si>
    <t>016800 KS Equity</t>
  </si>
  <si>
    <t>A016800</t>
  </si>
  <si>
    <t>Fursys</t>
  </si>
  <si>
    <t>퍼시스</t>
  </si>
  <si>
    <t>목재가구 제조업</t>
  </si>
  <si>
    <t>기타 목재가구 제조업</t>
  </si>
  <si>
    <t>사무용 가구,의자,책상,캐비넷 제조</t>
  </si>
  <si>
    <t>www.fursys.com</t>
  </si>
  <si>
    <t>093230 KS Equity</t>
  </si>
  <si>
    <t>A093230</t>
  </si>
  <si>
    <t>E Investment&amp;Development</t>
  </si>
  <si>
    <t>이아이디</t>
  </si>
  <si>
    <t>무선통신기기부품,전시용 핸드폰모형기(ADM) 제조</t>
  </si>
  <si>
    <t>www.eid21.co.kr</t>
  </si>
  <si>
    <t>102710 KS Equity</t>
  </si>
  <si>
    <t>A102710</t>
  </si>
  <si>
    <t>ENF Technology Co., Ltd.</t>
  </si>
  <si>
    <t>이엔에프테크놀로지</t>
  </si>
  <si>
    <t>LCD/반도체용 케미칼</t>
  </si>
  <si>
    <t>www.enftech.com</t>
  </si>
  <si>
    <t>061970 KS Equity</t>
  </si>
  <si>
    <t>A061970</t>
  </si>
  <si>
    <t>LB SEMICON., Ltd.</t>
  </si>
  <si>
    <t>LB세미콘</t>
  </si>
  <si>
    <t>골드범핑, 솔더범핑 등</t>
  </si>
  <si>
    <t>www.lbsemicon.com</t>
  </si>
  <si>
    <t>298690 KS Equity</t>
  </si>
  <si>
    <t>A298690</t>
  </si>
  <si>
    <t>AirBusan</t>
  </si>
  <si>
    <t>에어부산</t>
  </si>
  <si>
    <t>항공 여객 및 화물 운송</t>
  </si>
  <si>
    <t>www.airbusan.com</t>
  </si>
  <si>
    <t>034950 KS Equity</t>
  </si>
  <si>
    <t>A034950</t>
  </si>
  <si>
    <t>Korea Ratings Corporation</t>
  </si>
  <si>
    <t>한국기업평가</t>
  </si>
  <si>
    <t>그 외 기타 사업지원 서비스업</t>
  </si>
  <si>
    <t>신용 조사 및 추심 대행업</t>
  </si>
  <si>
    <t>신용평가, 컨설팅, 위험관리솔루션</t>
  </si>
  <si>
    <t>www.korearatings.com</t>
  </si>
  <si>
    <t>041830 KS Equity</t>
  </si>
  <si>
    <t>A041830</t>
  </si>
  <si>
    <t>InBody Co., Ltd.</t>
  </si>
  <si>
    <t>인바디</t>
  </si>
  <si>
    <t>그 외 기타 의료용 기기 제조업</t>
  </si>
  <si>
    <t>정밀 체성분 분석기</t>
  </si>
  <si>
    <t>www.inbody.com</t>
  </si>
  <si>
    <t>108670 KS Equity</t>
  </si>
  <si>
    <t>A108670</t>
  </si>
  <si>
    <t>LX HAUSYS, LTD.</t>
  </si>
  <si>
    <t>LX하우시스</t>
  </si>
  <si>
    <t>건축용 플라스틱제품 제조업</t>
  </si>
  <si>
    <t>창호재, 자동차부품 등</t>
  </si>
  <si>
    <t>www.lghausys.co.kr</t>
  </si>
  <si>
    <t>084680 KS Equity</t>
  </si>
  <si>
    <t>A084680</t>
  </si>
  <si>
    <t>E-WORLD</t>
  </si>
  <si>
    <t>이월드</t>
  </si>
  <si>
    <t>귀금속 및 관련제품 제조업</t>
  </si>
  <si>
    <t>놀이시설 운영,입장료,식음료 소매,부동산 임대</t>
  </si>
  <si>
    <t>www.eworld.kr</t>
  </si>
  <si>
    <t>001340 KS Equity</t>
  </si>
  <si>
    <t>A001340</t>
  </si>
  <si>
    <t>PaikkwangIndustrial</t>
  </si>
  <si>
    <t>백광산업</t>
  </si>
  <si>
    <t>무기안료, 염료, 유연제 및 기타 착색제 제조업</t>
  </si>
  <si>
    <t>무기안료용 금속 산화물 및 관련 제품 제조업</t>
  </si>
  <si>
    <t>가성소다,합성염산 제조,판매</t>
  </si>
  <si>
    <t>www.pkic.co.kr</t>
  </si>
  <si>
    <t>108490 KS Equity</t>
  </si>
  <si>
    <t>A108490</t>
  </si>
  <si>
    <t>ROBOTIS CO., LTD.</t>
  </si>
  <si>
    <t>로보티즈</t>
  </si>
  <si>
    <t>솔루션(로봇 엑츄에이터 모듈과 구동 소프트웨어), 에듀테인먼트 로봇, 로봇 플랫폼</t>
  </si>
  <si>
    <t>www.robotis.com</t>
  </si>
  <si>
    <t>126560 KS Equity</t>
  </si>
  <si>
    <t>A126560</t>
  </si>
  <si>
    <t>Hyundai Futurenet</t>
  </si>
  <si>
    <t>현대퓨처넷</t>
  </si>
  <si>
    <t>기타 전기 통신업</t>
  </si>
  <si>
    <t>그 외 기타 전기 통신업</t>
  </si>
  <si>
    <t>디지털 사이니지, 기업 메시징 등</t>
  </si>
  <si>
    <t xml:space="preserve">www.hyundaifuturenet.co.kr     </t>
  </si>
  <si>
    <t>035600 KS Equity</t>
  </si>
  <si>
    <t>A035600</t>
  </si>
  <si>
    <t>KGINICIS Co., Ltd.</t>
  </si>
  <si>
    <t>KG이니시스</t>
  </si>
  <si>
    <t>전자지불서비스</t>
  </si>
  <si>
    <t>www.inicis.com</t>
  </si>
  <si>
    <t>441270 KS Equity</t>
  </si>
  <si>
    <t>A441270</t>
  </si>
  <si>
    <t>Fine M-Tec Co.,Ltd.</t>
  </si>
  <si>
    <t>파인엠텍</t>
  </si>
  <si>
    <t>IT부품</t>
  </si>
  <si>
    <t>www.finemtec.com</t>
  </si>
  <si>
    <t>005090 KS Equity</t>
  </si>
  <si>
    <t>A005090</t>
  </si>
  <si>
    <t>SGC Energy</t>
  </si>
  <si>
    <t>SGC에너지</t>
  </si>
  <si>
    <t>전기업</t>
  </si>
  <si>
    <t>증기, 전기, REC(신재생에너지공급인증서)</t>
  </si>
  <si>
    <t>www.sgcenergy.co.kr</t>
  </si>
  <si>
    <t>005690 KS Equity</t>
  </si>
  <si>
    <t>A005690</t>
  </si>
  <si>
    <t>Pharmicell</t>
  </si>
  <si>
    <t>파미셀</t>
  </si>
  <si>
    <t>줄기세포치료제,화장품</t>
  </si>
  <si>
    <t>www.pharmicell.com</t>
  </si>
  <si>
    <t>004700 KS Equity</t>
  </si>
  <si>
    <t>A004700</t>
  </si>
  <si>
    <t>ChokwangLeather</t>
  </si>
  <si>
    <t>조광피혁</t>
  </si>
  <si>
    <t>모피 및 가죽 제조업</t>
  </si>
  <si>
    <t>가죽(피혁원단,제화용원단,카시트용원단),가방,신발 제조,도매</t>
  </si>
  <si>
    <t>www.chokwang.co.kr</t>
  </si>
  <si>
    <t>003300 KS Equity</t>
  </si>
  <si>
    <t>A003300</t>
  </si>
  <si>
    <t>HANILHOLDINGS</t>
  </si>
  <si>
    <t>한일홀딩스</t>
  </si>
  <si>
    <t>www.hanil.com</t>
  </si>
  <si>
    <t>094480 KS Equity</t>
  </si>
  <si>
    <t>A094480</t>
  </si>
  <si>
    <t>GalaxiaMoneytree Co.,Ltd.</t>
  </si>
  <si>
    <t>갤럭시아머니트리</t>
  </si>
  <si>
    <t>전자결제</t>
  </si>
  <si>
    <t>www.galaxiamoneytree.co.kr</t>
  </si>
  <si>
    <t>033500 KS Equity</t>
  </si>
  <si>
    <t>A033500</t>
  </si>
  <si>
    <t>DONGSUNG FINETEC Co., Ltd.</t>
  </si>
  <si>
    <t>동성화인텍</t>
  </si>
  <si>
    <t>초저온 보냉재</t>
  </si>
  <si>
    <t>www.dsfinetec.co.kr</t>
  </si>
  <si>
    <t>340570 KS Equity</t>
  </si>
  <si>
    <t>A340570</t>
  </si>
  <si>
    <t>T&amp;L CO.,LTD.</t>
  </si>
  <si>
    <t>티앤엘</t>
  </si>
  <si>
    <t>창상치료재, 정형외과용 고정재</t>
  </si>
  <si>
    <t>www.tnl.co.kr</t>
  </si>
  <si>
    <t>060980 KS Equity</t>
  </si>
  <si>
    <t>A060980</t>
  </si>
  <si>
    <t>HL Holdings Corporation</t>
  </si>
  <si>
    <t>HL홀딩스</t>
  </si>
  <si>
    <t>지주회사 및 경영컨설팅 서비스업</t>
  </si>
  <si>
    <t>www.halla.com</t>
  </si>
  <si>
    <t>114190 KS Equity</t>
  </si>
  <si>
    <t>A114190</t>
  </si>
  <si>
    <t>KANGWON ENERGY Co., Ltd.</t>
  </si>
  <si>
    <t>강원에너지</t>
  </si>
  <si>
    <t>핵반응기 및 증기 보일러 제조업</t>
  </si>
  <si>
    <t>핵반응기 및 증기보일러 제조업</t>
  </si>
  <si>
    <t>플랜트설비(산업용 보일러)</t>
  </si>
  <si>
    <t>www.kwb21.com</t>
  </si>
  <si>
    <t>317330 KS Equity</t>
  </si>
  <si>
    <t>A317330</t>
  </si>
  <si>
    <t>Duksan Techopia Co., Ltd.</t>
  </si>
  <si>
    <t>덕산테코피아</t>
  </si>
  <si>
    <t>OLED 소재, 반도체 소재</t>
  </si>
  <si>
    <t>www.dstp.co.kr</t>
  </si>
  <si>
    <t>092040 KS Equity</t>
  </si>
  <si>
    <t>A092040</t>
  </si>
  <si>
    <t>Amicogen, Inc.</t>
  </si>
  <si>
    <t>아미코젠</t>
  </si>
  <si>
    <t>제약용 특수효소 및 효소기반 바이오신소재</t>
  </si>
  <si>
    <t>www.amicogen.com</t>
  </si>
  <si>
    <t>060150 KS Equity</t>
  </si>
  <si>
    <t>A060150</t>
  </si>
  <si>
    <t>INSUN Environmental New Technology Co., Ltd.</t>
  </si>
  <si>
    <t>인선이엔티</t>
  </si>
  <si>
    <t>건설 폐기물 처리업</t>
  </si>
  <si>
    <t>건축폐기물처리</t>
  </si>
  <si>
    <t>www.insun.com</t>
  </si>
  <si>
    <t>077360 KS Equity</t>
  </si>
  <si>
    <t>A077360</t>
  </si>
  <si>
    <t>DUKSAN HI METAL CO.,LTD.</t>
  </si>
  <si>
    <t>덕산하이메탈</t>
  </si>
  <si>
    <t>솔더볼(Solderball)</t>
  </si>
  <si>
    <t>www.dshm.co.kr</t>
  </si>
  <si>
    <t>089970 KS Equity</t>
  </si>
  <si>
    <t>A089970</t>
  </si>
  <si>
    <t>300mm Poly Etch System</t>
  </si>
  <si>
    <t>www.iaptc.com</t>
  </si>
  <si>
    <t>243840 KS Equity</t>
  </si>
  <si>
    <t>A243840</t>
  </si>
  <si>
    <t>SHIN HEUNG ENERGY &amp; ELECTRONICS CO., LTD.</t>
  </si>
  <si>
    <t>신흥에스이씨</t>
  </si>
  <si>
    <t>2차전지용 안전 부품(Cap Assembly, CID)</t>
  </si>
  <si>
    <t>www.shsec.co.kr</t>
  </si>
  <si>
    <t>023160 KS Equity</t>
  </si>
  <si>
    <t>A023160</t>
  </si>
  <si>
    <t>TAE KWANG CORPORATION</t>
  </si>
  <si>
    <t>태광</t>
  </si>
  <si>
    <t>각종 배관자재, 관이음쇠류 제조 및 판매</t>
  </si>
  <si>
    <t>www.tkbend.co.kr</t>
  </si>
  <si>
    <t>101360 KS Equity</t>
  </si>
  <si>
    <t>A101360</t>
  </si>
  <si>
    <t>Eco&amp;Dream Co., Ltd.</t>
  </si>
  <si>
    <t>에코앤드림</t>
  </si>
  <si>
    <t>배출가스 저감용 촉매 및 이차전지 양극활물질 전구체</t>
  </si>
  <si>
    <t>www.endss.com</t>
  </si>
  <si>
    <t>052020 KS Equity</t>
  </si>
  <si>
    <t>A052020</t>
  </si>
  <si>
    <t>STCUBE, Inc.</t>
  </si>
  <si>
    <t>에스티큐브</t>
  </si>
  <si>
    <t>전자부품, 정보통신기기, 지능형로봇외</t>
  </si>
  <si>
    <t>www.stcube.com</t>
  </si>
  <si>
    <t>089010 KS Equity</t>
  </si>
  <si>
    <t>A089010</t>
  </si>
  <si>
    <t>Chemtronics Co., Ltd.</t>
  </si>
  <si>
    <t>켐트로닉스</t>
  </si>
  <si>
    <t>Touch IC 및 PBA, TG, EMC</t>
  </si>
  <si>
    <t>www.chemtronics.co.kr</t>
  </si>
  <si>
    <t>092220 KS Equity</t>
  </si>
  <si>
    <t>A092220</t>
  </si>
  <si>
    <t>KEC Corporation</t>
  </si>
  <si>
    <t>KEC</t>
  </si>
  <si>
    <t>289220 KS Equity</t>
  </si>
  <si>
    <t>A289220</t>
  </si>
  <si>
    <t>GIANTSTEP Inc.</t>
  </si>
  <si>
    <t>자이언트스텝</t>
  </si>
  <si>
    <t>광고 영화 및 비디오물 제작업</t>
  </si>
  <si>
    <t>광고VFX, 영상VFX 및 리얼타임 콘텐츠 제작</t>
  </si>
  <si>
    <t>www.giantstep.co.kr</t>
  </si>
  <si>
    <t>001880 KS Equity</t>
  </si>
  <si>
    <t>A001880</t>
  </si>
  <si>
    <t>DLConstruction</t>
  </si>
  <si>
    <t>DL건설</t>
  </si>
  <si>
    <t>비상장</t>
  </si>
  <si>
    <t>www.dlconstruction.co.kr</t>
  </si>
  <si>
    <t>100790 KS Equity</t>
  </si>
  <si>
    <t>A100790</t>
  </si>
  <si>
    <t>Mirae Asset Venture Investment Co.,Ltd.</t>
  </si>
  <si>
    <t>미래에셋벤처투자</t>
  </si>
  <si>
    <t>그 외 기타 분류 안된 금융업</t>
  </si>
  <si>
    <t>중소기업 창업투자 관련 고유계정/투자조합 관련 수익</t>
  </si>
  <si>
    <t>venture.miraeasset.co.kr</t>
  </si>
  <si>
    <t>003220 KS Equity</t>
  </si>
  <si>
    <t>A003220</t>
  </si>
  <si>
    <t>DaewonPharmaceutical</t>
  </si>
  <si>
    <t>대원제약</t>
  </si>
  <si>
    <t>의약품(해열소염진통제,진해거담제,동맥경화용제,혈압강하제 등), 건강기능식품(프로바이오틱스 등)</t>
  </si>
  <si>
    <t>www.daewonpharm.com</t>
  </si>
  <si>
    <t>025770 KS Equity</t>
  </si>
  <si>
    <t>A025770</t>
  </si>
  <si>
    <t>Korea Information &amp; Communications Co., Ltd.</t>
  </si>
  <si>
    <t>한국정보통신</t>
  </si>
  <si>
    <t>신용카드부가통신업(VAN),전자지급결제대행업(PG)</t>
  </si>
  <si>
    <t>www.kicc.co.kr</t>
  </si>
  <si>
    <t>089890 KS Equity</t>
  </si>
  <si>
    <t>A089890</t>
  </si>
  <si>
    <t>KOSES Co.,Ltd.</t>
  </si>
  <si>
    <t>코세스</t>
  </si>
  <si>
    <t>반도체SolderBall부착장비등</t>
  </si>
  <si>
    <t>www.koses.co.kr</t>
  </si>
  <si>
    <t>235980 KS Equity</t>
  </si>
  <si>
    <t>A235980</t>
  </si>
  <si>
    <t>MedPacto,Inc.</t>
  </si>
  <si>
    <t>메드팩토</t>
  </si>
  <si>
    <t>항암제 신약개발</t>
  </si>
  <si>
    <t>www.medpacto.com</t>
  </si>
  <si>
    <t>033100 KS Equity</t>
  </si>
  <si>
    <t>A033100</t>
  </si>
  <si>
    <t>CHERYONG ELECTRIC Co., Ltd.</t>
  </si>
  <si>
    <t>제룡전기</t>
  </si>
  <si>
    <t>송배전용금구류,변압기</t>
  </si>
  <si>
    <t>www.cheryongelec.com</t>
  </si>
  <si>
    <t>027360 KS Equity</t>
  </si>
  <si>
    <t>A027360</t>
  </si>
  <si>
    <t>AJU IB INVESTMENT Co., Ltd.</t>
  </si>
  <si>
    <t>아주IB투자</t>
  </si>
  <si>
    <t>www.ajuib.co.kr</t>
  </si>
  <si>
    <t>000430 KS Equity</t>
  </si>
  <si>
    <t>A000430</t>
  </si>
  <si>
    <t>DaewonKangup</t>
  </si>
  <si>
    <t>대원강업</t>
  </si>
  <si>
    <t>www.daewonspring.com</t>
  </si>
  <si>
    <t>039840 KS Equity</t>
  </si>
  <si>
    <t>A039840</t>
  </si>
  <si>
    <t>DIO Corporation</t>
  </si>
  <si>
    <t>디오</t>
  </si>
  <si>
    <t>정형외과용 및 신체보정용 기기 제조업</t>
  </si>
  <si>
    <t>자동포장기계</t>
  </si>
  <si>
    <t>www.dio.co.kr</t>
  </si>
  <si>
    <t>117730 KS Equity</t>
  </si>
  <si>
    <t>A117730</t>
  </si>
  <si>
    <t>T-ROBOTICS Co., Ltd.</t>
  </si>
  <si>
    <t>티로보틱스</t>
  </si>
  <si>
    <t>중대형 시스템, 중대형 로봇</t>
  </si>
  <si>
    <t>www.t-robotics.net</t>
  </si>
  <si>
    <t>029960 KS Equity</t>
  </si>
  <si>
    <t>A029960</t>
  </si>
  <si>
    <t>KOENTEC Co., Ltd.</t>
  </si>
  <si>
    <t>코엔텍</t>
  </si>
  <si>
    <t>산업폐기물 소각/매립처리</t>
  </si>
  <si>
    <t>www.koentec.co.kr</t>
  </si>
  <si>
    <t>297890 KS Equity</t>
  </si>
  <si>
    <t>A297890</t>
  </si>
  <si>
    <t>HB SOLUTION CO.,LTD.</t>
  </si>
  <si>
    <t>HB솔루션</t>
  </si>
  <si>
    <t>디스플레이 제조용 장비(도포기, 조립기, 검사기)</t>
  </si>
  <si>
    <t>038500 KS Equity</t>
  </si>
  <si>
    <t>A038500</t>
  </si>
  <si>
    <t>SAMPYO Cement Co., Ltd.</t>
  </si>
  <si>
    <t>삼표시멘트</t>
  </si>
  <si>
    <t>기타 비금속 광물제품 제조업</t>
  </si>
  <si>
    <t>www.sampyocement.co.kr</t>
  </si>
  <si>
    <t>190510 KS Equity</t>
  </si>
  <si>
    <t>A190510</t>
  </si>
  <si>
    <t>NAMUGA CO., LTD.</t>
  </si>
  <si>
    <t>나무가</t>
  </si>
  <si>
    <t>스마트폰 카메라모듈, 노트북 카메라모듈</t>
  </si>
  <si>
    <t>www.namuga.co.kr</t>
  </si>
  <si>
    <t>001780 KS Equity</t>
  </si>
  <si>
    <t>A001780</t>
  </si>
  <si>
    <t>ALUKO CO.,LTD.</t>
  </si>
  <si>
    <t>알루코</t>
  </si>
  <si>
    <t>알루미늄제품,샷시 제조</t>
  </si>
  <si>
    <t>www.alusash.co.kr</t>
  </si>
  <si>
    <t>089980 KS Equity</t>
  </si>
  <si>
    <t>A089980</t>
  </si>
  <si>
    <t>SANG-A  FLONTEC Co., Ltd.</t>
  </si>
  <si>
    <t>상아프론테크</t>
  </si>
  <si>
    <t>LCD부품,사무기기부품,PCB부품,2차전지부품</t>
  </si>
  <si>
    <t>www.sftc.co.kr</t>
  </si>
  <si>
    <t>080160 KS Equity</t>
  </si>
  <si>
    <t>A080160</t>
  </si>
  <si>
    <t>Modetournetwork.Inc.</t>
  </si>
  <si>
    <t>모두투어</t>
  </si>
  <si>
    <t>항공권판매수수료,해외여행알선</t>
  </si>
  <si>
    <t>www.modetour.com</t>
  </si>
  <si>
    <t>012030 KS Equity</t>
  </si>
  <si>
    <t>A012030</t>
  </si>
  <si>
    <t>DB Inc.</t>
  </si>
  <si>
    <t>DB</t>
  </si>
  <si>
    <t>컴퓨터 프로그래밍, 시스템 통합 및 관리</t>
  </si>
  <si>
    <t>www.dbinc.co.kr</t>
  </si>
  <si>
    <t>008490 KS Equity</t>
  </si>
  <si>
    <t>A008490</t>
  </si>
  <si>
    <t>SUHEUNG</t>
  </si>
  <si>
    <t>서흥</t>
  </si>
  <si>
    <t>의약품(하드캅셀,건강보조식품,소프트캅셀),건강보조식품,인삼제품 제조,판매</t>
  </si>
  <si>
    <t>www.suheung.com</t>
  </si>
  <si>
    <t>123860 KS Equity</t>
  </si>
  <si>
    <t>A123860</t>
  </si>
  <si>
    <t>Anapass, Inc.</t>
  </si>
  <si>
    <t>아나패스</t>
  </si>
  <si>
    <t>Timing Controller(TCON)</t>
  </si>
  <si>
    <t>www.anapass.com</t>
  </si>
  <si>
    <t>265520 KS Equity</t>
  </si>
  <si>
    <t>A265520</t>
  </si>
  <si>
    <t>Advanced Process Systems Corporation</t>
  </si>
  <si>
    <t>AP시스템</t>
  </si>
  <si>
    <t>디스플레이 제조 장비</t>
  </si>
  <si>
    <t>www.apsystems.co.kr</t>
  </si>
  <si>
    <t>217270 KS Equity</t>
  </si>
  <si>
    <t>A217270</t>
  </si>
  <si>
    <t>Neptune Company</t>
  </si>
  <si>
    <t>넵튠</t>
  </si>
  <si>
    <t>www.neptunegames.co.kr</t>
  </si>
  <si>
    <t>006220 KS Equity</t>
  </si>
  <si>
    <t>A006220</t>
  </si>
  <si>
    <t>Jeju Bank</t>
  </si>
  <si>
    <t>제주은행</t>
  </si>
  <si>
    <t>은행업무,외국환업무,신탁업무</t>
  </si>
  <si>
    <t>www.e-jejubank.com</t>
  </si>
  <si>
    <t>053030 KS Equity</t>
  </si>
  <si>
    <t>A053030</t>
  </si>
  <si>
    <t>Binex.Co.,Ltd.</t>
  </si>
  <si>
    <t>바이넥스</t>
  </si>
  <si>
    <t>정장제, 소화제</t>
  </si>
  <si>
    <t>www.bi-nex.com</t>
  </si>
  <si>
    <t>267980 KS Equity</t>
  </si>
  <si>
    <t>A267980</t>
  </si>
  <si>
    <t>Maeil Dairies Co., Ltd.</t>
  </si>
  <si>
    <t>매일유업</t>
  </si>
  <si>
    <t>유제품(우유, 분유, 발효유, 치즈, 음료 등)</t>
  </si>
  <si>
    <t>www.maeil.com</t>
  </si>
  <si>
    <t>217330 KS Equity</t>
  </si>
  <si>
    <t>A217330</t>
  </si>
  <si>
    <t>Cytogen, Inc.</t>
  </si>
  <si>
    <t>싸이토젠</t>
  </si>
  <si>
    <t>CTC 기반 Liquid Biopsy 응용사업 및 플랫폼</t>
  </si>
  <si>
    <t>www.cytogenlab.com</t>
  </si>
  <si>
    <t>330860 KS Equity</t>
  </si>
  <si>
    <t>A330860</t>
  </si>
  <si>
    <t>Nepes Ark Corporation</t>
  </si>
  <si>
    <t>네패스아크</t>
  </si>
  <si>
    <t>반도체 테스트 서비스</t>
  </si>
  <si>
    <t>www.nepesark.co.kr</t>
  </si>
  <si>
    <t>102940 KS Equity</t>
  </si>
  <si>
    <t>A102940</t>
  </si>
  <si>
    <t>KOLON LIFE SCIENCE Inc.</t>
  </si>
  <si>
    <t>코오롱생명과학</t>
  </si>
  <si>
    <t>항균제, 수처리제, 원료의약 등</t>
  </si>
  <si>
    <t>www.kolonls.co.kr</t>
  </si>
  <si>
    <t>230360 KS Equity</t>
  </si>
  <si>
    <t>A230360</t>
  </si>
  <si>
    <t>ECHOMARKETING Co.,Ltd.</t>
  </si>
  <si>
    <t>에코마케팅</t>
  </si>
  <si>
    <t>온라인, 모바일 광고 종합대행업</t>
  </si>
  <si>
    <t>www.echomarketing.co.kr</t>
  </si>
  <si>
    <t>058820 KS Equity</t>
  </si>
  <si>
    <t>A058820</t>
  </si>
  <si>
    <t>CMG Pharmaceutical Co., Ltd.</t>
  </si>
  <si>
    <t>CMG제약</t>
  </si>
  <si>
    <t>www.cmgpharma.co.kr</t>
  </si>
  <si>
    <t>013030 KS Equity</t>
  </si>
  <si>
    <t>A013030</t>
  </si>
  <si>
    <t>Hy-Lok Corporation, Ltd.</t>
  </si>
  <si>
    <t>하이록코리아</t>
  </si>
  <si>
    <t>관이음쇠</t>
  </si>
  <si>
    <t>www.hy-lok.com</t>
  </si>
  <si>
    <t>083450 KS Equity</t>
  </si>
  <si>
    <t>A083450</t>
  </si>
  <si>
    <t>Global Standard Technology, Limited</t>
  </si>
  <si>
    <t>GST</t>
  </si>
  <si>
    <t>GasScrubber,Chiller</t>
  </si>
  <si>
    <t>www.gst-in.com</t>
  </si>
  <si>
    <t>200670 KS Equity</t>
  </si>
  <si>
    <t>A200670</t>
  </si>
  <si>
    <t>Humedix Co., Ltd.</t>
  </si>
  <si>
    <t>휴메딕스</t>
  </si>
  <si>
    <t>히알루론산 관절염치료제, 히알루론산 더말필러</t>
  </si>
  <si>
    <t>www.humedix.com</t>
  </si>
  <si>
    <t>060720 KS Equity</t>
  </si>
  <si>
    <t>A060720</t>
  </si>
  <si>
    <t>KHVATEC Co., Ltd.</t>
  </si>
  <si>
    <t>KH바텍</t>
  </si>
  <si>
    <t>휴대폰부품(SHIELD, BRACKET)</t>
  </si>
  <si>
    <t>www.khvatec.com</t>
  </si>
  <si>
    <t>084010 KS Equity</t>
  </si>
  <si>
    <t>A084010</t>
  </si>
  <si>
    <t>Daehan Steel Co. Ltd.</t>
  </si>
  <si>
    <t>대한제강</t>
  </si>
  <si>
    <t>제강,철재,철근,환봉,마환봉,빌레트 제조</t>
  </si>
  <si>
    <t>www.idaehan.com</t>
  </si>
  <si>
    <t>036530 KS Equity</t>
  </si>
  <si>
    <t>A036530</t>
  </si>
  <si>
    <t>SNT Holdings</t>
  </si>
  <si>
    <t>SNT홀딩스</t>
  </si>
  <si>
    <t>지배,경영지도,정리,육성</t>
  </si>
  <si>
    <t>www.hisntholdings.com</t>
  </si>
  <si>
    <t>314930 KS Equity</t>
  </si>
  <si>
    <t>A314930</t>
  </si>
  <si>
    <t>BIODYNE CO.,LTD.</t>
  </si>
  <si>
    <t>바이오다인</t>
  </si>
  <si>
    <t>액상세포검사 장비 및 소모품</t>
  </si>
  <si>
    <t>www.biodyne.asia</t>
  </si>
  <si>
    <t>041960 KS Equity</t>
  </si>
  <si>
    <t>A041960</t>
  </si>
  <si>
    <t>Komipharm International Co., Ltd.</t>
  </si>
  <si>
    <t>코미팜</t>
  </si>
  <si>
    <t>동물용 의약품 제조업</t>
  </si>
  <si>
    <t>동물약품</t>
  </si>
  <si>
    <t>www.komipharm.com</t>
  </si>
  <si>
    <t>304100 KS Equity</t>
  </si>
  <si>
    <t>A304100</t>
  </si>
  <si>
    <t>SALTLUX Inc.</t>
  </si>
  <si>
    <t>솔트룩스</t>
  </si>
  <si>
    <t>인공지능 및 빅데이터 소프트웨어</t>
  </si>
  <si>
    <t>www.saltlux.com</t>
  </si>
  <si>
    <t>011810 KS Equity</t>
  </si>
  <si>
    <t>A011810</t>
  </si>
  <si>
    <t>STX</t>
  </si>
  <si>
    <t>에너지 원료(석탄,석유),산업기자재(기계부품) 도매</t>
  </si>
  <si>
    <t>www.stx.co.kr</t>
  </si>
  <si>
    <t>298830 KS Equity</t>
  </si>
  <si>
    <t>A298830</t>
  </si>
  <si>
    <t>Suresofttech Inc.</t>
  </si>
  <si>
    <t>슈어소프트테크</t>
  </si>
  <si>
    <t>소프트웨어 자동화 검증 플랫폼</t>
  </si>
  <si>
    <t>www.suresofttech.com</t>
  </si>
  <si>
    <t>085670 KS Equity</t>
  </si>
  <si>
    <t>A085670</t>
  </si>
  <si>
    <t>Newflex Technolgy Co., Ltd.</t>
  </si>
  <si>
    <t>뉴프렉스</t>
  </si>
  <si>
    <t>연성인쇄회로기판</t>
  </si>
  <si>
    <t>www.newflex.co.kr</t>
  </si>
  <si>
    <t>014620 KS Equity</t>
  </si>
  <si>
    <t>A014620</t>
  </si>
  <si>
    <t>SUNG KWANG BEND Co., Ltd.</t>
  </si>
  <si>
    <t>성광벤드</t>
  </si>
  <si>
    <t>강관 가공품 및 관 연결구류 제조업</t>
  </si>
  <si>
    <t>www.skbend.com</t>
  </si>
  <si>
    <t>071970 KS Equity</t>
  </si>
  <si>
    <t>A071970</t>
  </si>
  <si>
    <t>조선기자재, 기계부품</t>
  </si>
  <si>
    <t>www.stxhi.co.kr</t>
  </si>
  <si>
    <t>251970 KS Equity</t>
  </si>
  <si>
    <t>A251970</t>
  </si>
  <si>
    <t>PUM-TECH KOREA CO., LTD.</t>
  </si>
  <si>
    <t>펌텍코리아</t>
  </si>
  <si>
    <t>포장용 플라스틱 성형용기 제조업</t>
  </si>
  <si>
    <t>화장품 용기</t>
  </si>
  <si>
    <t>www.pum-tech.co.kr</t>
  </si>
  <si>
    <t>254490 KS Equity</t>
  </si>
  <si>
    <t>A254490</t>
  </si>
  <si>
    <t>MIRAI SEMICONDUCTORS CO., LTD.</t>
  </si>
  <si>
    <t>미래반도체</t>
  </si>
  <si>
    <t>반도체</t>
  </si>
  <si>
    <t>www.miraisemi.co.kr</t>
  </si>
  <si>
    <t>042600 KS Equity</t>
  </si>
  <si>
    <t>A042600</t>
  </si>
  <si>
    <t>Seronics. Co., Ltd.</t>
  </si>
  <si>
    <t>새로닉스</t>
  </si>
  <si>
    <t>광학시트, FFC</t>
  </si>
  <si>
    <t>www.seronics.co.kr</t>
  </si>
  <si>
    <t>228670 KS Equity</t>
  </si>
  <si>
    <t>A228670</t>
  </si>
  <si>
    <t>Ray Co.,Ltd.</t>
  </si>
  <si>
    <t>레이</t>
  </si>
  <si>
    <t>방사선 장치 제조업</t>
  </si>
  <si>
    <t>디지털 치료솔루션(CT scan 장비, 3D 프린터), 디지털 진단시스템(X-ray, CT 등)</t>
  </si>
  <si>
    <t xml:space="preserve">www.raymedical.com </t>
  </si>
  <si>
    <t>044490 KS Equity</t>
  </si>
  <si>
    <t>A044490</t>
  </si>
  <si>
    <t>Taewoong Co., Ltd.</t>
  </si>
  <si>
    <t>태웅</t>
  </si>
  <si>
    <t>금속 단조, 압형 및 분말야금 제품 제조업</t>
  </si>
  <si>
    <t>금속 단조제품 제조업</t>
  </si>
  <si>
    <t>자유형단조품</t>
  </si>
  <si>
    <t>www.taewoong.com</t>
  </si>
  <si>
    <t>059090 KS Equity</t>
  </si>
  <si>
    <t>A059090</t>
  </si>
  <si>
    <t>MiCo., Ltd.</t>
  </si>
  <si>
    <t>미코</t>
  </si>
  <si>
    <t>반도체 및 디스플레이 부품 제조</t>
  </si>
  <si>
    <t>www.mico.kr</t>
  </si>
  <si>
    <t>090360 KS Equity</t>
  </si>
  <si>
    <t>A090360</t>
  </si>
  <si>
    <t>ROBOSTAR Co., Ltd.</t>
  </si>
  <si>
    <t>로보스타</t>
  </si>
  <si>
    <t>제조용 로봇, FPD 장비, IT부품 제조장비</t>
  </si>
  <si>
    <t>www.robostar.co.kr</t>
  </si>
  <si>
    <t>001630 KS Equity</t>
  </si>
  <si>
    <t>A001630</t>
  </si>
  <si>
    <t>CHONGKUNDANG HOLDINGS CORP.</t>
  </si>
  <si>
    <t>종근당홀딩스</t>
  </si>
  <si>
    <t>의약품(항생제,위궤양치료제,장기이식면역억제제,고지혈증치료제(로바이드)) 제조,도매</t>
  </si>
  <si>
    <t>www.ckd-holdings.com</t>
  </si>
  <si>
    <t>086390 KS Equity</t>
  </si>
  <si>
    <t>A086390</t>
  </si>
  <si>
    <t>UniTest Incorporation</t>
  </si>
  <si>
    <t>유니테스트</t>
  </si>
  <si>
    <t>반도체메모리주검사장비생산(메모리컴포넌트테스터,메모리모듈테스트)</t>
  </si>
  <si>
    <t>www.uni-test.com</t>
  </si>
  <si>
    <t>037560 KS Equity</t>
  </si>
  <si>
    <t>A037560</t>
  </si>
  <si>
    <t>LG HelloVision</t>
  </si>
  <si>
    <t>LG헬로비전</t>
  </si>
  <si>
    <t>유선, 위성 및 기타 방송업</t>
  </si>
  <si>
    <t>유선 방송업</t>
  </si>
  <si>
    <t>케이블TV, 인터넷서비스 등</t>
  </si>
  <si>
    <t>www.cjhello.com</t>
  </si>
  <si>
    <t>051500 KS Equity</t>
  </si>
  <si>
    <t>A051500</t>
  </si>
  <si>
    <t>CJ Freshway Corporation</t>
  </si>
  <si>
    <t>CJ프레시웨이</t>
  </si>
  <si>
    <t>식자재유통, 단체급식</t>
  </si>
  <si>
    <t>www.cjfreshway.com</t>
  </si>
  <si>
    <t>075580 KS Equity</t>
  </si>
  <si>
    <t>A075580</t>
  </si>
  <si>
    <t>SEJIN HEAVY INDUSTRIES CO., LTD.</t>
  </si>
  <si>
    <t>세진중공업</t>
  </si>
  <si>
    <t>선박 Deck House, LPG Tank, Upper Deck Unit, 해양플랜트 Living Quarter</t>
  </si>
  <si>
    <t>www.sejinheavy.com</t>
  </si>
  <si>
    <t>003120 KS Equity</t>
  </si>
  <si>
    <t>A003120</t>
  </si>
  <si>
    <t>의약품(항생제,화학료법제,항바이러스,근이완제,영양액륜) 제조,판매</t>
  </si>
  <si>
    <t>www.ilsung-ph.co.kr</t>
  </si>
  <si>
    <t>122640 KS Equity</t>
  </si>
  <si>
    <t>A122640</t>
  </si>
  <si>
    <t>YEST Co.,Ltd.</t>
  </si>
  <si>
    <t>예스티</t>
  </si>
  <si>
    <t>반도체 및 디스플레이 제조 장비</t>
  </si>
  <si>
    <t>www.yest.co.kr</t>
  </si>
  <si>
    <t>072710 KS Equity</t>
  </si>
  <si>
    <t>A072710</t>
  </si>
  <si>
    <t>NongshimHoldings</t>
  </si>
  <si>
    <t>농심홀딩스</t>
  </si>
  <si>
    <t>지주회사,투자자문,경영컨설팅 서비스</t>
  </si>
  <si>
    <t>www.nongshimholdings.co.kr</t>
  </si>
  <si>
    <t>017390 KS Equity</t>
  </si>
  <si>
    <t>A017390</t>
  </si>
  <si>
    <t>SeoulCityGas</t>
  </si>
  <si>
    <t>서울가스</t>
  </si>
  <si>
    <t>도시가스공급,가스공급설비공사</t>
  </si>
  <si>
    <t>www.seoulgas.co.kr</t>
  </si>
  <si>
    <t>397030 KS Equity</t>
  </si>
  <si>
    <t>A397030</t>
  </si>
  <si>
    <t>AprilBio Co., Ltd.</t>
  </si>
  <si>
    <t>에이프릴바이오</t>
  </si>
  <si>
    <t>항체의약품 및 재조합 단백질 의약품</t>
  </si>
  <si>
    <t>www.aprilbio.com</t>
  </si>
  <si>
    <t>950130 KS Equity</t>
  </si>
  <si>
    <t>A950130</t>
  </si>
  <si>
    <t>Access Bio, Inc.</t>
  </si>
  <si>
    <t>엑세스바이오</t>
  </si>
  <si>
    <t>말라리아 진단키트(RDT), HIV 진단키트(RDT)</t>
  </si>
  <si>
    <t>www.accessbio.net</t>
  </si>
  <si>
    <t>036030 KS Equity</t>
  </si>
  <si>
    <t>A036030</t>
  </si>
  <si>
    <t>Kt alpha Co., Ltd.</t>
  </si>
  <si>
    <t>케이티알파</t>
  </si>
  <si>
    <t>커머스, 콘텐츠, ICT</t>
  </si>
  <si>
    <t>www.kthcorp.com</t>
  </si>
  <si>
    <t>058430 KS Equity</t>
  </si>
  <si>
    <t>A058430</t>
  </si>
  <si>
    <t>POSCO STEELEON</t>
  </si>
  <si>
    <t>포스코스틸리온</t>
  </si>
  <si>
    <t>용융아연도금강판,용융알루미늄도금강판,칼라도장강판,냉연강판 가공,제조,도매</t>
  </si>
  <si>
    <t>003960 KS Equity</t>
  </si>
  <si>
    <t>A003960</t>
  </si>
  <si>
    <t>SAJODAERIM</t>
  </si>
  <si>
    <t>사조대림</t>
  </si>
  <si>
    <t>수산동물 가공 및 저장 처리업</t>
  </si>
  <si>
    <t>수산동물 훈제, 조리 및 유사 조제식품 제조업</t>
  </si>
  <si>
    <t>게맛살,어육연제품,식용류,배합사료 제조</t>
  </si>
  <si>
    <t>146320 KS Equity</t>
  </si>
  <si>
    <t>A146320</t>
  </si>
  <si>
    <t>BCnC Co., Ltd.</t>
  </si>
  <si>
    <t>비씨엔씨</t>
  </si>
  <si>
    <t>반도체용 합성쿼츠 포커스링</t>
  </si>
  <si>
    <t>www.bcnc.co.kr</t>
  </si>
  <si>
    <t>001510 KS Equity</t>
  </si>
  <si>
    <t>A001510</t>
  </si>
  <si>
    <t>SKSecurities</t>
  </si>
  <si>
    <t>SK증권</t>
  </si>
  <si>
    <t>증권업,부동산 임대</t>
  </si>
  <si>
    <t>www.sks.co.kr</t>
  </si>
  <si>
    <t>278650 KS Equity</t>
  </si>
  <si>
    <t>A278650</t>
  </si>
  <si>
    <t>HLB bioStep Co.,Ltd.</t>
  </si>
  <si>
    <t>HLB바이오스텝</t>
  </si>
  <si>
    <t>비임상실험 유효성(약리)평가</t>
  </si>
  <si>
    <t>002960 KS Equity</t>
  </si>
  <si>
    <t>A002960</t>
  </si>
  <si>
    <t>HankookShellOil</t>
  </si>
  <si>
    <t>한국쉘석유</t>
  </si>
  <si>
    <t>석유 정제물 재처리업</t>
  </si>
  <si>
    <t>윤활유 및 그리스 제조업</t>
  </si>
  <si>
    <t>윤활유,그리스 제조,도매</t>
  </si>
  <si>
    <t>www.shell.co.kr</t>
  </si>
  <si>
    <t>001790 KS Equity</t>
  </si>
  <si>
    <t>A001790</t>
  </si>
  <si>
    <t>TS</t>
  </si>
  <si>
    <t>대한제당</t>
  </si>
  <si>
    <t>곡물가공품, 전분 및 전분제품 제조업</t>
  </si>
  <si>
    <t>제당,가축용 배합사료,설탕,기능성감미료(자일로올리고당),외식산 제조,도소매/부동산 임대</t>
  </si>
  <si>
    <t>www.ts.co.kr</t>
  </si>
  <si>
    <t>045100 KS Equity</t>
  </si>
  <si>
    <t>A045100</t>
  </si>
  <si>
    <t>Hanyang ENG Co., Ltd.</t>
  </si>
  <si>
    <t>한양이엔지</t>
  </si>
  <si>
    <t>반도체배관설비</t>
  </si>
  <si>
    <t>www.hanyangeng.co.kr</t>
  </si>
  <si>
    <t>035890 KS Equity</t>
  </si>
  <si>
    <t>A035890</t>
  </si>
  <si>
    <t>Seohee Construction Co., Ltd.</t>
  </si>
  <si>
    <t>서희건설</t>
  </si>
  <si>
    <t>비주거용 건물 건설업</t>
  </si>
  <si>
    <t>코스닥 건설</t>
  </si>
  <si>
    <t>토목, 건축, 부동산임대업</t>
  </si>
  <si>
    <t>www.seohee.co.kr</t>
  </si>
  <si>
    <t>126340 KS Equity</t>
  </si>
  <si>
    <t>A126340</t>
  </si>
  <si>
    <t>VINA TECH Co.,Ltd.</t>
  </si>
  <si>
    <t>비나텍</t>
  </si>
  <si>
    <t>초고용량 커패시터(슈퍼커패시터)</t>
  </si>
  <si>
    <t>www.vina.co.kr</t>
  </si>
  <si>
    <t>006390 KS Equity</t>
  </si>
  <si>
    <t>A006390</t>
  </si>
  <si>
    <t>HANIL HYUNDAI CEMENT</t>
  </si>
  <si>
    <t>한일현대시멘트</t>
  </si>
  <si>
    <t>시멘트,시멘트반제품 제조,판매/콘도미니엄,스키장,종합레저관광산업,체육진흥사업,사업서비스</t>
  </si>
  <si>
    <t>www.hanilhdcement.com</t>
  </si>
  <si>
    <t>097230 KS Equity</t>
  </si>
  <si>
    <t>A097230</t>
  </si>
  <si>
    <t>HJ SHIPBUILDING &amp; CONSTRUCTION</t>
  </si>
  <si>
    <t>HJ중공업</t>
  </si>
  <si>
    <t>선박건조,기계플랜트 제조/토목공사,건축공사,조경공사,전기공사,가스공사,준설공사,기계설비공사</t>
  </si>
  <si>
    <t>126700 KS Equity</t>
  </si>
  <si>
    <t>A126700</t>
  </si>
  <si>
    <t>HyVISION SYSTEM. Inc.</t>
  </si>
  <si>
    <t>하이비젼시스템</t>
  </si>
  <si>
    <t>사진장비 및 광학기기 제조업</t>
  </si>
  <si>
    <t>카메라모듈 제조검사용 장비</t>
  </si>
  <si>
    <t>www.hyvision.co.kr</t>
  </si>
  <si>
    <t>114810 KS Equity</t>
  </si>
  <si>
    <t>A114810</t>
  </si>
  <si>
    <t>Hansol IONES Co., Ltd.</t>
  </si>
  <si>
    <t>한솔아이원스</t>
  </si>
  <si>
    <t>반도체 장비 부품 제조 및 세정, LCD 장비 부품 제조</t>
  </si>
  <si>
    <t>029460 KS Equity</t>
  </si>
  <si>
    <t>A029460</t>
  </si>
  <si>
    <t>KC</t>
  </si>
  <si>
    <t>케이씨</t>
  </si>
  <si>
    <t>산업처리공정 제어장비 제조업</t>
  </si>
  <si>
    <t>가스/Chemical 공급 장치 등 제조 및 판매</t>
  </si>
  <si>
    <t>www.kct.co.kr</t>
  </si>
  <si>
    <t>214680 KS Equity</t>
  </si>
  <si>
    <t>A214680</t>
  </si>
  <si>
    <t>DRTECH Corporation</t>
  </si>
  <si>
    <t>디알텍</t>
  </si>
  <si>
    <t>X-ray Detector, X-ray System</t>
  </si>
  <si>
    <t>www.drtech.co.kr</t>
  </si>
  <si>
    <t>095720 KS Equity</t>
  </si>
  <si>
    <t>A095720</t>
  </si>
  <si>
    <t>WOONGJIN THINKBIG CO., LTD.</t>
  </si>
  <si>
    <t>웅진씽크빅</t>
  </si>
  <si>
    <t>초등학교</t>
  </si>
  <si>
    <t>기타출판 제조/서적,교구,통신판매 도소매/부동산 임대/교구렌탈,컴퓨터운용관련서비스</t>
  </si>
  <si>
    <t>www.wjthinkbig.com</t>
  </si>
  <si>
    <t>033160 KS Equity</t>
  </si>
  <si>
    <t>A033160</t>
  </si>
  <si>
    <t>MK Electron Co., Ltd.</t>
  </si>
  <si>
    <t>엠케이전자</t>
  </si>
  <si>
    <t>반도체용세금선</t>
  </si>
  <si>
    <t>www.mke.co.kr</t>
  </si>
  <si>
    <t>084110 KS Equity</t>
  </si>
  <si>
    <t>A084110</t>
  </si>
  <si>
    <t>Huons Global Co., Ltd.</t>
  </si>
  <si>
    <t>휴온스글로벌</t>
  </si>
  <si>
    <t>의약품제조업</t>
  </si>
  <si>
    <t>www.huonsglobal.com</t>
  </si>
  <si>
    <t>104700 KS Equity</t>
  </si>
  <si>
    <t>A104700</t>
  </si>
  <si>
    <t>KISCO Corp.</t>
  </si>
  <si>
    <t>한국철강</t>
  </si>
  <si>
    <t>철근. 단조강. 파이프</t>
  </si>
  <si>
    <t>www.kisco.co.kr</t>
  </si>
  <si>
    <t>102460 KS Equity</t>
  </si>
  <si>
    <t>A102460</t>
  </si>
  <si>
    <t>REYON PHARMACEUTICAL</t>
  </si>
  <si>
    <t>이연제약</t>
  </si>
  <si>
    <t>항생제,순환기제</t>
  </si>
  <si>
    <t>www.reyonpharm.co.kr</t>
  </si>
  <si>
    <t>307750 KS Equity</t>
  </si>
  <si>
    <t>A307750</t>
  </si>
  <si>
    <t>KUKJEON PHARMACEUTICAL Co.,Ltd.</t>
  </si>
  <si>
    <t>국전약품</t>
  </si>
  <si>
    <t>www.kukjeon.co.kr</t>
  </si>
  <si>
    <t>005500 KS Equity</t>
  </si>
  <si>
    <t>A005500</t>
  </si>
  <si>
    <t>SamjinPharmaceutical</t>
  </si>
  <si>
    <t>삼진제약</t>
  </si>
  <si>
    <t>의약품(게보린,세트라졸,염산나록손) 제조,판매,수출입,약초재배</t>
  </si>
  <si>
    <t>www.samjinpharm.co.kr</t>
  </si>
  <si>
    <t>005160 KS Equity</t>
  </si>
  <si>
    <t>A005160</t>
  </si>
  <si>
    <t>DONGKUK INDUSTRIES CO., LTD.</t>
  </si>
  <si>
    <t>동국산업</t>
  </si>
  <si>
    <t>철강무역,강판제품제조</t>
  </si>
  <si>
    <t>www.dkis.co.kr</t>
  </si>
  <si>
    <t>322310 KS Equity</t>
  </si>
  <si>
    <t>A322310</t>
  </si>
  <si>
    <t>AUROS TECHNOLOGY INC.</t>
  </si>
  <si>
    <t>오로스테크놀로지</t>
  </si>
  <si>
    <t>반도체 Overlay 계측 장비</t>
  </si>
  <si>
    <t>www.aurostech.com</t>
  </si>
  <si>
    <t>013890 KS Equity</t>
  </si>
  <si>
    <t>A013890</t>
  </si>
  <si>
    <t>ZINUS</t>
  </si>
  <si>
    <t>지누스</t>
  </si>
  <si>
    <t>가구 제조업</t>
  </si>
  <si>
    <t>매트리스 및 가구제품</t>
  </si>
  <si>
    <t>www.zinus.com</t>
  </si>
  <si>
    <t>405100 KS Equity</t>
  </si>
  <si>
    <t>A405100</t>
  </si>
  <si>
    <t>Quality Reliability Technology Inc.</t>
  </si>
  <si>
    <t>큐알티</t>
  </si>
  <si>
    <t>반도체 신뢰성 검사 및 종합분석</t>
  </si>
  <si>
    <t>qrtkr.com</t>
  </si>
  <si>
    <t>003800 KS Equity</t>
  </si>
  <si>
    <t>A003800</t>
  </si>
  <si>
    <t>Ace Bed Co., Ltd.</t>
  </si>
  <si>
    <t>에이스침대</t>
  </si>
  <si>
    <t>침대</t>
  </si>
  <si>
    <t>www.acebed.com</t>
  </si>
  <si>
    <t>354320 KS Equity</t>
  </si>
  <si>
    <t>A354320</t>
  </si>
  <si>
    <t>ALMAC.CO.,LTD.</t>
  </si>
  <si>
    <t>알멕</t>
  </si>
  <si>
    <t>알루미늄 압출 제품</t>
  </si>
  <si>
    <t>www.almac.co.kr</t>
  </si>
  <si>
    <t>079810 KS Equity</t>
  </si>
  <si>
    <t>A079810</t>
  </si>
  <si>
    <t>DE&amp;T Co., Ltd.</t>
  </si>
  <si>
    <t>디이엔티</t>
  </si>
  <si>
    <t>FPD공정검사장비</t>
  </si>
  <si>
    <t>www.i-det.com</t>
  </si>
  <si>
    <t>107600 KS Equity</t>
  </si>
  <si>
    <t>A107600</t>
  </si>
  <si>
    <t>Sebitchem Co., Ltd.</t>
  </si>
  <si>
    <t>새빗켐</t>
  </si>
  <si>
    <t>폐전지재활용소재, 폐산재활용</t>
  </si>
  <si>
    <t>www.sebitchem.com</t>
  </si>
  <si>
    <t>024720 KS Equity</t>
  </si>
  <si>
    <t>A024720</t>
  </si>
  <si>
    <t>경영컨설팅,무역,과학및기술서비스업,도매</t>
  </si>
  <si>
    <t>064260 KS Equity</t>
  </si>
  <si>
    <t>A064260</t>
  </si>
  <si>
    <t>Danal Co., Ltd.</t>
  </si>
  <si>
    <t>다날</t>
  </si>
  <si>
    <t>모바일콘텐츠 및 유무선전화결제</t>
  </si>
  <si>
    <t>www.danal.co.kr</t>
  </si>
  <si>
    <t>005950 KS Equity</t>
  </si>
  <si>
    <t>A005950</t>
  </si>
  <si>
    <t>IsuChemical</t>
  </si>
  <si>
    <t>이수화학</t>
  </si>
  <si>
    <t>등유,알킬벤젠,윤활유,노말파라핀 제조,도매</t>
  </si>
  <si>
    <t>www.isuchemical.co.kr</t>
  </si>
  <si>
    <t>005010 KS Equity</t>
  </si>
  <si>
    <t>A005010</t>
  </si>
  <si>
    <t>HUSTEEL</t>
  </si>
  <si>
    <t>휴스틸</t>
  </si>
  <si>
    <t>강관(배관용,구조용,유정용) 제조,도매</t>
  </si>
  <si>
    <t>www.husteel.com</t>
  </si>
  <si>
    <t>950140 KS Equity</t>
  </si>
  <si>
    <t>A950140</t>
  </si>
  <si>
    <t>ENGLEWOOD LAB, INC.</t>
  </si>
  <si>
    <t>잉글우드랩</t>
  </si>
  <si>
    <t>화장품OEM·ODM</t>
  </si>
  <si>
    <t>www.englewoodlab.com</t>
  </si>
  <si>
    <t>084650 KS Equity</t>
  </si>
  <si>
    <t>A084650</t>
  </si>
  <si>
    <t>LabGenomics Co., Ltd.</t>
  </si>
  <si>
    <t>랩지노믹스</t>
  </si>
  <si>
    <t>체외진단 서비스 및 제품</t>
  </si>
  <si>
    <t>www.labgenomics.co.kr</t>
  </si>
  <si>
    <t>298000 KS Equity</t>
  </si>
  <si>
    <t>A298000</t>
  </si>
  <si>
    <t>HYOSUNG CHEMICAL</t>
  </si>
  <si>
    <t>효성화학</t>
  </si>
  <si>
    <t>www.hyosungchemical.com</t>
  </si>
  <si>
    <t>100120 KS Equity</t>
  </si>
  <si>
    <t>A100120</t>
  </si>
  <si>
    <t>Vieworks Co., Ltd.</t>
  </si>
  <si>
    <t>뷰웍스</t>
  </si>
  <si>
    <t>X-Ray Detector</t>
  </si>
  <si>
    <t>www.vieworks.com</t>
  </si>
  <si>
    <t>008350 KS Equity</t>
  </si>
  <si>
    <t>A008350</t>
  </si>
  <si>
    <t>NamsunAluminium</t>
  </si>
  <si>
    <t>남선알미늄</t>
  </si>
  <si>
    <t>알미늄샷시 제조/환경사업</t>
  </si>
  <si>
    <t>www.namsun.co.kr</t>
  </si>
  <si>
    <t>122900 KS Equity</t>
  </si>
  <si>
    <t>A122900</t>
  </si>
  <si>
    <t>iMarketKorea Inc.</t>
  </si>
  <si>
    <t>아이마켓코리아</t>
  </si>
  <si>
    <t>B2B 전자상거래</t>
  </si>
  <si>
    <t>www.imarketkorea.com</t>
  </si>
  <si>
    <t>013120 KS Equity</t>
  </si>
  <si>
    <t>A013120</t>
  </si>
  <si>
    <t>DongWon Development Co., Ltd.</t>
  </si>
  <si>
    <t>동원개발</t>
  </si>
  <si>
    <t>도급공사</t>
  </si>
  <si>
    <t>www.dongwonapt.co.kr</t>
  </si>
  <si>
    <t>114840 KS Equity</t>
  </si>
  <si>
    <t>A114840</t>
  </si>
  <si>
    <t>iFamilySC Co., Ltd.</t>
  </si>
  <si>
    <t>아이패밀리에스씨</t>
  </si>
  <si>
    <t>색조화장품 브랜드 `롬앤(Rom&amp;nd)', IT기반 웨딩서비스 브랜드 `아이웨딩`</t>
  </si>
  <si>
    <t>www.ifamily.co.kr</t>
  </si>
  <si>
    <t>000480 KS Equity</t>
  </si>
  <si>
    <t>A000480</t>
  </si>
  <si>
    <t>CR Holdings</t>
  </si>
  <si>
    <t>CR홀딩스</t>
  </si>
  <si>
    <t>내화 요업제품 제조업</t>
  </si>
  <si>
    <t>내화연와(정형,부정형,S/N,CCN),단열벽돌,스라이딩노즐,연주용 특수내화물 제조</t>
  </si>
  <si>
    <t>www.chosunref.co.kr</t>
  </si>
  <si>
    <t>357550 KS Equity</t>
  </si>
  <si>
    <t>A357550</t>
  </si>
  <si>
    <t>Sukgyung AT Co., Ltd.</t>
  </si>
  <si>
    <t>석경에이티</t>
  </si>
  <si>
    <t>바이오 및 전기전자 나노 소재</t>
  </si>
  <si>
    <t>www.sukgyung.com</t>
  </si>
  <si>
    <t>007570 KS Equity</t>
  </si>
  <si>
    <t>A007570</t>
  </si>
  <si>
    <t>IlyangPharmaceutical</t>
  </si>
  <si>
    <t>일양약품</t>
  </si>
  <si>
    <t>일반의약품(원비디,영비천,아진탈,디세텔,노루모산),항암제(베타-이뮤난),전문의약품 제조,판매,수출입</t>
  </si>
  <si>
    <t>www.ilyang.co.kr</t>
  </si>
  <si>
    <t>026890 KS Equity</t>
  </si>
  <si>
    <t>A026890</t>
  </si>
  <si>
    <t>STIC Investments, Inc.</t>
  </si>
  <si>
    <t>스틱인베스트먼트</t>
  </si>
  <si>
    <t>사모펀드(PEF)</t>
  </si>
  <si>
    <t xml:space="preserve">www.stic.co.kr                 </t>
  </si>
  <si>
    <t>000020 KS Equity</t>
  </si>
  <si>
    <t>A000020</t>
  </si>
  <si>
    <t>DongwhaPharm</t>
  </si>
  <si>
    <t>동화약품</t>
  </si>
  <si>
    <t>의약품 제조,판매,수출입</t>
  </si>
  <si>
    <t>www.dong-wha.co.kr</t>
  </si>
  <si>
    <t>282880 KS Equity</t>
  </si>
  <si>
    <t>A282880</t>
  </si>
  <si>
    <t>COWINTECH CO., LTD.</t>
  </si>
  <si>
    <t>코윈테크</t>
  </si>
  <si>
    <t>공정자동화설비(2차전지,석유화학,반도체,디스플레이)</t>
  </si>
  <si>
    <t xml:space="preserve">www.cowintech.com </t>
  </si>
  <si>
    <t>089600 KS Equity</t>
  </si>
  <si>
    <t>A089600</t>
  </si>
  <si>
    <t>Nasmedia Co., Ltd.</t>
  </si>
  <si>
    <t>나스미디어</t>
  </si>
  <si>
    <t>광고매체 판매</t>
  </si>
  <si>
    <t>www.nasmedia.co.kr</t>
  </si>
  <si>
    <t>138490 KS Equity</t>
  </si>
  <si>
    <t>A138490</t>
  </si>
  <si>
    <t>합성수지 및 기타 플라스틱 물질 제조업</t>
  </si>
  <si>
    <t>엔지니어링플라스틱</t>
  </si>
  <si>
    <t>www.kolonplastics.com</t>
  </si>
  <si>
    <t>138580 KS Equity</t>
  </si>
  <si>
    <t>A138580</t>
  </si>
  <si>
    <t>비즈니스온</t>
  </si>
  <si>
    <t>www.businesson.co.kr</t>
  </si>
  <si>
    <t>034830 KS Equity</t>
  </si>
  <si>
    <t>A034830</t>
  </si>
  <si>
    <t>KOREIT</t>
  </si>
  <si>
    <t>한국토지신탁</t>
  </si>
  <si>
    <t>부동산신탁 등</t>
  </si>
  <si>
    <t>www.koreit.co.kr</t>
  </si>
  <si>
    <t>124500 KS Equity</t>
  </si>
  <si>
    <t>A124500</t>
  </si>
  <si>
    <t>ITCEN Co.,Ltd.</t>
  </si>
  <si>
    <t>아이티센</t>
  </si>
  <si>
    <t>시스템통합 및 IT서비스</t>
  </si>
  <si>
    <t>www.itcen.co.kr</t>
  </si>
  <si>
    <t>126720 KS Equity</t>
  </si>
  <si>
    <t>A126720</t>
  </si>
  <si>
    <t>Soosan Industries</t>
  </si>
  <si>
    <t>수산인더스트리</t>
  </si>
  <si>
    <t>건물설비 설치 공사업</t>
  </si>
  <si>
    <t>전력발전설비 정비 용역</t>
  </si>
  <si>
    <t>www.soosanind.co.kr</t>
  </si>
  <si>
    <t>004560 KS Equity</t>
  </si>
  <si>
    <t>A004560</t>
  </si>
  <si>
    <t>HYUNDAI BNG STEEL</t>
  </si>
  <si>
    <t>현대비앤지스틸</t>
  </si>
  <si>
    <t>스텐레스냉연강판,특수강 제조</t>
  </si>
  <si>
    <t>www.hyundai-bngsteel.com</t>
  </si>
  <si>
    <t>031330 KS Equity</t>
  </si>
  <si>
    <t>A031330</t>
  </si>
  <si>
    <t>SAMT Co., Ltd.</t>
  </si>
  <si>
    <t>에스에이엠티</t>
  </si>
  <si>
    <t>기타 기계 및 장비 도매업</t>
  </si>
  <si>
    <t>수송용 운송장비 도매업</t>
  </si>
  <si>
    <t>반도체(메모리,비메모리), CPU, TFT-LCD, 네트웍 장비, PC 및 주변기기, 이동통신수탁사업</t>
  </si>
  <si>
    <t>www.isamt.com</t>
  </si>
  <si>
    <t>016580 KS Equity</t>
  </si>
  <si>
    <t>A016580</t>
  </si>
  <si>
    <t>WhaninPharm</t>
  </si>
  <si>
    <t>환인제약</t>
  </si>
  <si>
    <t>의약품(신경정신질환치료제,소화기관용약제,연고) 제조,도매</t>
  </si>
  <si>
    <t>www.whanin.com</t>
  </si>
  <si>
    <t>445680 KS Equity</t>
  </si>
  <si>
    <t>A445680</t>
  </si>
  <si>
    <t>Curiox BioSystems Co.,Ltd.</t>
  </si>
  <si>
    <t>큐리옥스바이오시스템즈</t>
  </si>
  <si>
    <t>세포 전처리 자동화기기 등</t>
  </si>
  <si>
    <t>curiox.co.kr</t>
  </si>
  <si>
    <t>182360 KS Equity</t>
  </si>
  <si>
    <t>A182360</t>
  </si>
  <si>
    <t>CUBE ENTERTAINMENT, INC.</t>
  </si>
  <si>
    <t>큐브엔터</t>
  </si>
  <si>
    <t>음반음원, 콘서트, 아티스트매니지먼트</t>
  </si>
  <si>
    <t>www.cubeent.co.kr</t>
  </si>
  <si>
    <t>217820 KS Equity</t>
  </si>
  <si>
    <t>A217820</t>
  </si>
  <si>
    <t>WONIK PNE CO., LTD.</t>
  </si>
  <si>
    <t>원익피앤이</t>
  </si>
  <si>
    <t>2차전지 자동화 설비</t>
  </si>
  <si>
    <t>www.wonikpne.com</t>
  </si>
  <si>
    <t>001500 KS Equity</t>
  </si>
  <si>
    <t>A001500</t>
  </si>
  <si>
    <t>HYUNDAI MOTOR SECURITIES</t>
  </si>
  <si>
    <t>현대차증권</t>
  </si>
  <si>
    <t>유가증권의매매,위탁매매,유가증권의 중개,대리/부동산 임대</t>
  </si>
  <si>
    <t>www.hmsec.com</t>
  </si>
  <si>
    <t>322510 KS Equity</t>
  </si>
  <si>
    <t>A322510</t>
  </si>
  <si>
    <t>JLK, Inc.</t>
  </si>
  <si>
    <t>제이엘케이</t>
  </si>
  <si>
    <t>인공지능 기반 의료영상 진단 플랫폼, 인공지능 기반 산업용 X-ray 판독시스템</t>
  </si>
  <si>
    <t>www.jlk-inspection.com</t>
  </si>
  <si>
    <t>009680 KS Equity</t>
  </si>
  <si>
    <t>A009680</t>
  </si>
  <si>
    <t>MOTONIC</t>
  </si>
  <si>
    <t>모토닉</t>
  </si>
  <si>
    <t>자동차용 부품(연료펌프,LPI SYSTEM, FCEV) 제조,판매</t>
  </si>
  <si>
    <t>www.motonic.com</t>
  </si>
  <si>
    <t>053210 KS Equity</t>
  </si>
  <si>
    <t>A053210</t>
  </si>
  <si>
    <t>KT Skylife Co., Ltd.</t>
  </si>
  <si>
    <t>스카이라이프</t>
  </si>
  <si>
    <t>위성 및 기타 방송업</t>
  </si>
  <si>
    <t>위성방송서비스</t>
  </si>
  <si>
    <t>www.ktskylife.co.kr</t>
  </si>
  <si>
    <t>272550 KS Equity</t>
  </si>
  <si>
    <t>A272550</t>
  </si>
  <si>
    <t>SAMYANG PACKAGING</t>
  </si>
  <si>
    <t>삼양패키징</t>
  </si>
  <si>
    <t>PET 용기 및 아셉틱 OEM</t>
  </si>
  <si>
    <t>www.samyangpackaging.co.kr</t>
  </si>
  <si>
    <t>023410 KS Equity</t>
  </si>
  <si>
    <t>A023410</t>
  </si>
  <si>
    <t>Eugene Corporation</t>
  </si>
  <si>
    <t>유진기업</t>
  </si>
  <si>
    <t>레미콘 제조업</t>
  </si>
  <si>
    <t>레미콘</t>
  </si>
  <si>
    <t>www.eugenes.co.kr</t>
  </si>
  <si>
    <t>077970 KS Equity</t>
  </si>
  <si>
    <t>A077970</t>
  </si>
  <si>
    <t>STXEngineCo.,Ltd</t>
  </si>
  <si>
    <t>STX엔진</t>
  </si>
  <si>
    <t>엔진,터빈,내연기관 제조,도매</t>
  </si>
  <si>
    <t>www.stxengine.co.kr</t>
  </si>
  <si>
    <t>270660 KS Equity</t>
  </si>
  <si>
    <t>A270660</t>
  </si>
  <si>
    <t>EVERYBOT Inc.</t>
  </si>
  <si>
    <t>에브리봇</t>
  </si>
  <si>
    <t>물걸레 로봇청소기, 흡입형 로봇청소기</t>
  </si>
  <si>
    <t>www.everybot.co.kr</t>
  </si>
  <si>
    <t>037270 KS Equity</t>
  </si>
  <si>
    <t>A037270</t>
  </si>
  <si>
    <t>YG PLUS</t>
  </si>
  <si>
    <t>광고대행,광고물 제작</t>
  </si>
  <si>
    <t>www.ygplus.com</t>
  </si>
  <si>
    <t>030530 KS Equity</t>
  </si>
  <si>
    <t>A030530</t>
  </si>
  <si>
    <t>WONIK HOLDINGS CO.,LTD.</t>
  </si>
  <si>
    <t>원익홀딩스</t>
  </si>
  <si>
    <t>가스캐비닛</t>
  </si>
  <si>
    <t>www.wonikholdings.kr</t>
  </si>
  <si>
    <t>171090 KS Equity</t>
  </si>
  <si>
    <t>A171090</t>
  </si>
  <si>
    <t>Sunic System. Ltd.</t>
  </si>
  <si>
    <t>선익시스템</t>
  </si>
  <si>
    <t>OLED 증착장비</t>
  </si>
  <si>
    <t>www.sunic.co.kr</t>
  </si>
  <si>
    <t>060370 KS Equity</t>
  </si>
  <si>
    <t>A060370</t>
  </si>
  <si>
    <t>LS Marine Solution Co., Ltd.</t>
  </si>
  <si>
    <t>LS마린솔루션</t>
  </si>
  <si>
    <t>통신 공사업</t>
  </si>
  <si>
    <t>일반 통신 공사업</t>
  </si>
  <si>
    <t>해저케이블등의 건설 및 유지보수 업무</t>
  </si>
  <si>
    <t>www.ktsubmarine.co.kr</t>
  </si>
  <si>
    <t>322000 KS Equity</t>
  </si>
  <si>
    <t>A322000</t>
  </si>
  <si>
    <t>HD HYUNDAI ENERGY SOLUTIONS CO.,LTD.</t>
  </si>
  <si>
    <t>HD현대에너지솔루션</t>
  </si>
  <si>
    <t>태양광 셀·모듈, PV시스템, ESS</t>
  </si>
  <si>
    <t>032620 KS Equity</t>
  </si>
  <si>
    <t>A032620</t>
  </si>
  <si>
    <t>UBcare Co., Ltd.</t>
  </si>
  <si>
    <t>유비케어</t>
  </si>
  <si>
    <t>의사랑,유팜,미소몰</t>
  </si>
  <si>
    <t>www.ubcare.co.kr</t>
  </si>
  <si>
    <t>226320 KS Equity</t>
  </si>
  <si>
    <t>A226320</t>
  </si>
  <si>
    <t>ITSHANBUL</t>
  </si>
  <si>
    <t>잇츠한불</t>
  </si>
  <si>
    <t>스킨케어 베이직, 포인트 메이크업, 스킨케어 스페셜, 베이스 메이크업 등</t>
  </si>
  <si>
    <t>www.itshanbul.com</t>
  </si>
  <si>
    <t>334970 KS Equity</t>
  </si>
  <si>
    <t>A334970</t>
  </si>
  <si>
    <t>Prestige Biologics Co.. Ltd.</t>
  </si>
  <si>
    <t>프레스티지바이오로직스</t>
  </si>
  <si>
    <t>바이오시밀러 제조</t>
  </si>
  <si>
    <t>www.pbpharma.co.kr</t>
  </si>
  <si>
    <t>105760 KS Equity</t>
  </si>
  <si>
    <t>A105760</t>
  </si>
  <si>
    <t>POSBANK CO., LTD.</t>
  </si>
  <si>
    <t>포스뱅크</t>
  </si>
  <si>
    <t>POS 단말기, KIOSK 단말기</t>
  </si>
  <si>
    <t>www.posbank.co.kr</t>
  </si>
  <si>
    <t>452260 KS Equity</t>
  </si>
  <si>
    <t>A452260</t>
  </si>
  <si>
    <t>HANWHA GALLERIA</t>
  </si>
  <si>
    <t>한화갤러리아</t>
  </si>
  <si>
    <t>www.hanwhagalleria.co.kr</t>
  </si>
  <si>
    <t>005390 KS Equity</t>
  </si>
  <si>
    <t>A005390</t>
  </si>
  <si>
    <t>ShinsungTongsang</t>
  </si>
  <si>
    <t>신성통상</t>
  </si>
  <si>
    <t>의류,악세사리(모자,벨트,가방) 도매/의류 제조</t>
  </si>
  <si>
    <t>www.ssts.co.kr</t>
  </si>
  <si>
    <t>001460 KS Equity</t>
  </si>
  <si>
    <t>A001460</t>
  </si>
  <si>
    <t>BYC</t>
  </si>
  <si>
    <t>속옷 및 잠옷 제조업</t>
  </si>
  <si>
    <t>메리야스,란제리 제조,도매/건축공사/부동산 임대,분양,공급</t>
  </si>
  <si>
    <t xml:space="preserve">home.byc.co.kr            </t>
  </si>
  <si>
    <t>389260 KS Equity</t>
  </si>
  <si>
    <t>A389260</t>
  </si>
  <si>
    <t>Dae Myoung Energy Co.,Ltd.</t>
  </si>
  <si>
    <t>대명에너지</t>
  </si>
  <si>
    <t>신재생에너지 발전 공사 및 용역</t>
  </si>
  <si>
    <t>www.daemyoung-eng.com</t>
  </si>
  <si>
    <t>131370 KS Equity</t>
  </si>
  <si>
    <t>A131370</t>
  </si>
  <si>
    <t>Rsupport Co., Ltd.</t>
  </si>
  <si>
    <t>알서포트</t>
  </si>
  <si>
    <t>원격지원,제어 솔루션</t>
  </si>
  <si>
    <t>www.rsupport.com</t>
  </si>
  <si>
    <t>382840 KS Equity</t>
  </si>
  <si>
    <t>A382840</t>
  </si>
  <si>
    <t>ONEJOON Co., Ltd.</t>
  </si>
  <si>
    <t>원준</t>
  </si>
  <si>
    <t>2차전지용 열처리 장비</t>
  </si>
  <si>
    <t>onejoon.co.kr</t>
  </si>
  <si>
    <t>016790 KS Equity</t>
  </si>
  <si>
    <t>A016790</t>
  </si>
  <si>
    <t>동물용 사료 및 조제식품 제조업</t>
  </si>
  <si>
    <t>양계, 양돈 배합사료</t>
  </si>
  <si>
    <t>www.canariabio.co.kr</t>
  </si>
  <si>
    <t>356860 KS Equity</t>
  </si>
  <si>
    <t>A356860</t>
  </si>
  <si>
    <t>TLB Co., Ltd.</t>
  </si>
  <si>
    <t>티엘비</t>
  </si>
  <si>
    <t>SSD Module / DRAM Module PCB</t>
  </si>
  <si>
    <t>www.tlbpcb.com</t>
  </si>
  <si>
    <t>002150 KS Equity</t>
  </si>
  <si>
    <t>A002150</t>
  </si>
  <si>
    <t>DOHWA ENGINEERING</t>
  </si>
  <si>
    <t>도화엔지니어링</t>
  </si>
  <si>
    <t>건물 및 토목 엔지니어링 서비스업</t>
  </si>
  <si>
    <t>토목설계,건축설계,종합감리전문업,종합기술용역,엔지니어링</t>
  </si>
  <si>
    <t>www.dohwa.co.kr</t>
  </si>
  <si>
    <t>126600 KS Equity</t>
  </si>
  <si>
    <t>A126600</t>
  </si>
  <si>
    <t>BGFecomaterials CO., LTD.</t>
  </si>
  <si>
    <t>BGF에코머티리얼즈</t>
  </si>
  <si>
    <t>엔지니어링 플라스틱 칩</t>
  </si>
  <si>
    <t>216080 KS Equity</t>
  </si>
  <si>
    <t>A216080</t>
  </si>
  <si>
    <t>JETEMA Co., Ltd.</t>
  </si>
  <si>
    <t>제테마</t>
  </si>
  <si>
    <t>히알루론산 필러(조직수복용생체재료), 피부과용 레이저 의료기기, 리프팅실 등</t>
  </si>
  <si>
    <t>jetema.com</t>
  </si>
  <si>
    <t>121800 KS Equity</t>
  </si>
  <si>
    <t>A121800</t>
  </si>
  <si>
    <t>Vidente Co., Ltd.</t>
  </si>
  <si>
    <t>비덴트</t>
  </si>
  <si>
    <t>방송장비 제조업</t>
  </si>
  <si>
    <t>방송용 LCD모니터</t>
  </si>
  <si>
    <t>108230 KS Equity</t>
  </si>
  <si>
    <t>A108230</t>
  </si>
  <si>
    <t>TOPTEC Co., Ltd.</t>
  </si>
  <si>
    <t>톱텍</t>
  </si>
  <si>
    <t>디스플레이 자동화설비</t>
  </si>
  <si>
    <t>www.toptec.co.kr</t>
  </si>
  <si>
    <t>148150 KS Equity</t>
  </si>
  <si>
    <t>A148150</t>
  </si>
  <si>
    <t>Se Gyung Hi Tech Co.,Ltd.</t>
  </si>
  <si>
    <t>세경하이테크</t>
  </si>
  <si>
    <t>DECO Film 및 기타 TAPE 제조</t>
  </si>
  <si>
    <t xml:space="preserve">www.sghitech.co.kr </t>
  </si>
  <si>
    <t>001270 KS Equity</t>
  </si>
  <si>
    <t>A001270</t>
  </si>
  <si>
    <t>BookookSecurities</t>
  </si>
  <si>
    <t>부국증권</t>
  </si>
  <si>
    <t>유가증권 매매,위탁매매,인수,주선</t>
  </si>
  <si>
    <t>www.bookook.co.kr</t>
  </si>
  <si>
    <t>034810 KS Equity</t>
  </si>
  <si>
    <t>A034810</t>
  </si>
  <si>
    <t>Haesung Industrial Co., Ltd.</t>
  </si>
  <si>
    <t>해성산업</t>
  </si>
  <si>
    <t>시설관리 용역 및 부동산 임대</t>
  </si>
  <si>
    <t>www.haesungind.co.kr</t>
  </si>
  <si>
    <t>213500 KS Equity</t>
  </si>
  <si>
    <t>A213500</t>
  </si>
  <si>
    <t>Hansol Paper Co., Ltd.</t>
  </si>
  <si>
    <t>한솔제지</t>
  </si>
  <si>
    <t>인쇄용 및 필기용 원지 제조업</t>
  </si>
  <si>
    <t>인쇄용지, 산업용지, 특수지 제조 및 판매</t>
  </si>
  <si>
    <t>www.hansolpaper.co.kr</t>
  </si>
  <si>
    <t>018470 KS Equity</t>
  </si>
  <si>
    <t>A018470</t>
  </si>
  <si>
    <t>CHOILALUMINUM</t>
  </si>
  <si>
    <t>조일알미늄</t>
  </si>
  <si>
    <t>알루미늄판 제조,도매</t>
  </si>
  <si>
    <t>www.choilal.co.kr</t>
  </si>
  <si>
    <t>182400 KS Equity</t>
  </si>
  <si>
    <t>A182400</t>
  </si>
  <si>
    <t>NKMAX CO., Ltd.</t>
  </si>
  <si>
    <t>엔케이맥스</t>
  </si>
  <si>
    <t>연구용 시약, NK Vue® KIT, SuperNK</t>
  </si>
  <si>
    <t>www.nkmax.com</t>
  </si>
  <si>
    <t>009160 KS Equity</t>
  </si>
  <si>
    <t>A009160</t>
  </si>
  <si>
    <t>SIMPACInc</t>
  </si>
  <si>
    <t>SIMPAC</t>
  </si>
  <si>
    <t>합금철 제조업</t>
  </si>
  <si>
    <t>프레스, 합금철</t>
  </si>
  <si>
    <t>www.simpac.co.kr</t>
  </si>
  <si>
    <t>063080 KS Equity</t>
  </si>
  <si>
    <t>A063080</t>
  </si>
  <si>
    <t>Com2uS Holdings Corporation</t>
  </si>
  <si>
    <t>컴투스홀딩스</t>
  </si>
  <si>
    <t>002900 KS Equity</t>
  </si>
  <si>
    <t>A002900</t>
  </si>
  <si>
    <t>TYM CORPORATION</t>
  </si>
  <si>
    <t>TYM</t>
  </si>
  <si>
    <t>농기계,연초용필터,금속제양식기,철강압연 제조,도매,수출입/신문서적 수출입,판매</t>
  </si>
  <si>
    <t>www.tym.co.kr</t>
  </si>
  <si>
    <t>117580 KS Equity</t>
  </si>
  <si>
    <t>A117580</t>
  </si>
  <si>
    <t>DAESUNG ENERGY</t>
  </si>
  <si>
    <t>대성에너지</t>
  </si>
  <si>
    <t>천연가스</t>
  </si>
  <si>
    <t>www.daesungenergy.com</t>
  </si>
  <si>
    <t>256840 KS Equity</t>
  </si>
  <si>
    <t>A256840</t>
  </si>
  <si>
    <t>BNC Korea Co., Ltd.</t>
  </si>
  <si>
    <t>한국비엔씨</t>
  </si>
  <si>
    <t>필러 등 생체재료의료물질 개발</t>
  </si>
  <si>
    <t>www.bnckorea.co.kr</t>
  </si>
  <si>
    <t>297090 KS Equity</t>
  </si>
  <si>
    <t>A297090</t>
  </si>
  <si>
    <t>CS BEARING Co., Ltd.</t>
  </si>
  <si>
    <t>씨에스베어링</t>
  </si>
  <si>
    <t>베어링, 기어 및 동력전달장치 제조업</t>
  </si>
  <si>
    <t>구름베어링 제조업</t>
  </si>
  <si>
    <t>풍력용 선회베어링, 산업용 선회베어링</t>
  </si>
  <si>
    <t>www.cs-bearing.co.kr</t>
  </si>
  <si>
    <t>036200 KS Equity</t>
  </si>
  <si>
    <t>A036200</t>
  </si>
  <si>
    <t>Unisem Co., Ltd.</t>
  </si>
  <si>
    <t>유니셈</t>
  </si>
  <si>
    <t>반도체장비(DryGasScrubber)</t>
  </si>
  <si>
    <t>www.unisem.co.kr</t>
  </si>
  <si>
    <t>060570 KS Equity</t>
  </si>
  <si>
    <t>A060570</t>
  </si>
  <si>
    <t>Dreamus Company</t>
  </si>
  <si>
    <t>드림어스컴퍼니</t>
  </si>
  <si>
    <t>온라인 음악 서비스</t>
  </si>
  <si>
    <t>www.dreamuscompany.com</t>
  </si>
  <si>
    <t>048530 KS Equity</t>
  </si>
  <si>
    <t>A048530</t>
  </si>
  <si>
    <t>iNtRON Biotechnology Inc.</t>
  </si>
  <si>
    <t>인트론바이오</t>
  </si>
  <si>
    <t>바이오 신약, 분자진단제품, 동물용항생제대체재</t>
  </si>
  <si>
    <t>www.intron.co.kr</t>
  </si>
  <si>
    <t>093640 KS Equity</t>
  </si>
  <si>
    <t>A093640</t>
  </si>
  <si>
    <t>Korea Robot Manufacturing Co.,Ltd.</t>
  </si>
  <si>
    <t>케이알엠</t>
  </si>
  <si>
    <t>멀티미디어반도체</t>
  </si>
  <si>
    <t>www.krman.co.kr</t>
  </si>
  <si>
    <t>115390 KS Equity</t>
  </si>
  <si>
    <t>A115390</t>
  </si>
  <si>
    <t>LOCK&amp;LOCK CO.,LTD.</t>
  </si>
  <si>
    <t>락앤락</t>
  </si>
  <si>
    <t>그 외 기타 플라스틱 제품 제조업</t>
  </si>
  <si>
    <t>플라스틱 밀폐용기</t>
  </si>
  <si>
    <t>www.locknlock.com</t>
  </si>
  <si>
    <t>271980 KS Equity</t>
  </si>
  <si>
    <t>A271980</t>
  </si>
  <si>
    <t>JEIL PHARM</t>
  </si>
  <si>
    <t>제일약품</t>
  </si>
  <si>
    <t>www.jeilpharm.co.kr</t>
  </si>
  <si>
    <t>003580 KS Equity</t>
  </si>
  <si>
    <t>A003580</t>
  </si>
  <si>
    <t>HLB GLOBAL Co., Ltd.</t>
  </si>
  <si>
    <t>HLB글로벌</t>
  </si>
  <si>
    <t>모래 및 자갈 채취업,콤부차,그린월,화장품,신약개발 등</t>
  </si>
  <si>
    <t>092070 KS Equity</t>
  </si>
  <si>
    <t>A092070</t>
  </si>
  <si>
    <t>DNF Co., Ltd.</t>
  </si>
  <si>
    <t>디엔에프</t>
  </si>
  <si>
    <t>반도체배선박막재료(알루미늄전구체)</t>
  </si>
  <si>
    <t>www.dnfsolution.com</t>
  </si>
  <si>
    <t>294570 KS Equity</t>
  </si>
  <si>
    <t>A294570</t>
  </si>
  <si>
    <t>Coocon Corporation</t>
  </si>
  <si>
    <t>쿠콘</t>
  </si>
  <si>
    <t>페이먼트서비스(65.2%), 데이터서비스(29.1%) 등</t>
  </si>
  <si>
    <t>www.coocon.net</t>
  </si>
  <si>
    <t>204620 KS Equity</t>
  </si>
  <si>
    <t>A204620</t>
  </si>
  <si>
    <t>Global Tax Free Co., Ltd.</t>
  </si>
  <si>
    <t>글로벌텍스프리</t>
  </si>
  <si>
    <t>금융 지원 서비스업</t>
  </si>
  <si>
    <t>환급창구운영사업</t>
  </si>
  <si>
    <t>www.global-taxfree.com</t>
  </si>
  <si>
    <t>194370 KS Equity</t>
  </si>
  <si>
    <t>A194370</t>
  </si>
  <si>
    <t>JS Corporation</t>
  </si>
  <si>
    <t>제이에스코퍼레이션</t>
  </si>
  <si>
    <t>핸드백, 가방 및 기타 보호용 케이스 제조업</t>
  </si>
  <si>
    <t>핸드백 및 지갑 제조업</t>
  </si>
  <si>
    <t>핸드백 및 지갑</t>
  </si>
  <si>
    <t>www.jskor.com</t>
  </si>
  <si>
    <t>078350 KS Equity</t>
  </si>
  <si>
    <t>A078350</t>
  </si>
  <si>
    <t>Hanyang Digitech Co., Ltd.</t>
  </si>
  <si>
    <t>한양디지텍</t>
  </si>
  <si>
    <t>메모리 모듈</t>
  </si>
  <si>
    <t>www.hanyangdgt.com</t>
  </si>
  <si>
    <t>096040 KS Equity</t>
  </si>
  <si>
    <t>A096040</t>
  </si>
  <si>
    <t>E-TRON Co., Ltd.</t>
  </si>
  <si>
    <t>이트론</t>
  </si>
  <si>
    <t>컴퓨터 및 주변장치 제조</t>
  </si>
  <si>
    <t>www.e-trons.co.kr</t>
  </si>
  <si>
    <t>268600 KS Equity</t>
  </si>
  <si>
    <t>A268600</t>
  </si>
  <si>
    <t>Cellivery Therapeutics, Inc.</t>
  </si>
  <si>
    <t>셀리버리</t>
  </si>
  <si>
    <t>바이오의약품[iCP-Parkin(파킨슨병 치료제)]및 연구용 시약</t>
  </si>
  <si>
    <t>www.cellivery.com</t>
  </si>
  <si>
    <t>078020 KS Equity</t>
  </si>
  <si>
    <t>A078020</t>
  </si>
  <si>
    <t>유가증권위탁매매</t>
  </si>
  <si>
    <t>www.ebestsec.co.kr</t>
  </si>
  <si>
    <t>036620 KS Equity</t>
  </si>
  <si>
    <t>A036620</t>
  </si>
  <si>
    <t>GAMSUNG Corporation Co., Ltd.</t>
  </si>
  <si>
    <t>감성코퍼레이션</t>
  </si>
  <si>
    <t>의류, 의류디자인, 휴대폰 주변기기</t>
  </si>
  <si>
    <t>www.virtualtek.co.kr</t>
  </si>
  <si>
    <t>285490 KS Equity</t>
  </si>
  <si>
    <t>A285490</t>
  </si>
  <si>
    <t>NOVATECH Co., Ltd.</t>
  </si>
  <si>
    <t>노바텍</t>
  </si>
  <si>
    <t>그 외 기타 제품 제조업</t>
  </si>
  <si>
    <t>Magnet, Shield Magnet, 심재</t>
  </si>
  <si>
    <t>www.mynovatech.com</t>
  </si>
  <si>
    <t>037710 KS Equity</t>
  </si>
  <si>
    <t>A037710</t>
  </si>
  <si>
    <t>GwangjuShinsegae</t>
  </si>
  <si>
    <t>광주신세계</t>
  </si>
  <si>
    <t>www.gjshinsegae.co.kr</t>
  </si>
  <si>
    <t>017890 KS Equity</t>
  </si>
  <si>
    <t>A017890</t>
  </si>
  <si>
    <t>Korea Alcohol Industrial Co., Ltd.</t>
  </si>
  <si>
    <t>한국알콜</t>
  </si>
  <si>
    <t>주정</t>
  </si>
  <si>
    <t>www.ka.co.kr</t>
  </si>
  <si>
    <t>078070 KS Equity</t>
  </si>
  <si>
    <t>A078070</t>
  </si>
  <si>
    <t>Ubiquoss Holdings Inc.</t>
  </si>
  <si>
    <t>유비쿼스홀딩스</t>
  </si>
  <si>
    <t>지주회사, 자회사관리, 부동산임대</t>
  </si>
  <si>
    <t>www.ubiquoss.com</t>
  </si>
  <si>
    <t>900290 KS Equity</t>
  </si>
  <si>
    <t>A900290</t>
  </si>
  <si>
    <t>Great Rich Technologies Limited</t>
  </si>
  <si>
    <t>GRT</t>
  </si>
  <si>
    <t>광학필름, 포장필름</t>
  </si>
  <si>
    <t>www.grt-tongli.co.kr</t>
  </si>
  <si>
    <t>104460 KS Equity</t>
  </si>
  <si>
    <t>A104460</t>
  </si>
  <si>
    <t>DYPNF CO.,LTD.</t>
  </si>
  <si>
    <t>디와이피엔에프</t>
  </si>
  <si>
    <t>컨베이어장치 제조업</t>
  </si>
  <si>
    <t>뉴메틱 컨베잉 시스템(분체이송시스템)</t>
  </si>
  <si>
    <t>www.dypnf.com</t>
  </si>
  <si>
    <t>049950 KS Equity</t>
  </si>
  <si>
    <t>A049950</t>
  </si>
  <si>
    <t>MeereCompany Incorporated</t>
  </si>
  <si>
    <t>미래컴퍼니</t>
  </si>
  <si>
    <t>EdgeGrinder</t>
  </si>
  <si>
    <t>www.meerecompany.com</t>
  </si>
  <si>
    <t>078160 KS Equity</t>
  </si>
  <si>
    <t>A078160</t>
  </si>
  <si>
    <t>Medipost Co., Ltd.</t>
  </si>
  <si>
    <t>메디포스트</t>
  </si>
  <si>
    <t>제대혈은행</t>
  </si>
  <si>
    <t>www.medi-post.co.kr</t>
  </si>
  <si>
    <t>130660 KS Equity</t>
  </si>
  <si>
    <t>A130660</t>
  </si>
  <si>
    <t>Korea Electric Power Industrial Development</t>
  </si>
  <si>
    <t>한전산업</t>
  </si>
  <si>
    <t>발전설비 운전·정비, 전기검침</t>
  </si>
  <si>
    <t>www.kepid.co.kr</t>
  </si>
  <si>
    <t>032300 KS Equity</t>
  </si>
  <si>
    <t>A032300</t>
  </si>
  <si>
    <t>KOREA PHARMA Co., Ltd.</t>
  </si>
  <si>
    <t>한국파마</t>
  </si>
  <si>
    <t>완제의약품(정신신경계, 소화기계, 순환기계, 항생항균, 기타)</t>
  </si>
  <si>
    <t>www.koreapharma.co.kr</t>
  </si>
  <si>
    <t>161580 KS Equity</t>
  </si>
  <si>
    <t>A161580</t>
  </si>
  <si>
    <t>PHILOPTICS CO., LTD.</t>
  </si>
  <si>
    <t>필옵틱스</t>
  </si>
  <si>
    <t>디스플레이 및 반도체 제조공정용 제작</t>
  </si>
  <si>
    <t>www.philoptics.com</t>
  </si>
  <si>
    <t>054210 KS Equity</t>
  </si>
  <si>
    <t>A054210</t>
  </si>
  <si>
    <t>Elentec Co., Ltd.</t>
  </si>
  <si>
    <t>이랜텍</t>
  </si>
  <si>
    <t>Battery Pack</t>
  </si>
  <si>
    <t>www.elentec.co.kr</t>
  </si>
  <si>
    <t>083650 KS Equity</t>
  </si>
  <si>
    <t>A083650</t>
  </si>
  <si>
    <t>BHI Co., Ltd.</t>
  </si>
  <si>
    <t>비에이치아이</t>
  </si>
  <si>
    <t>증류기, 열교환기 및 가스발생기 제조업</t>
  </si>
  <si>
    <t>보일러,열교환기등</t>
  </si>
  <si>
    <t>www.bhi.co.kr</t>
  </si>
  <si>
    <t>011760 KS Equity</t>
  </si>
  <si>
    <t>A011760</t>
  </si>
  <si>
    <t>HYUNDAI CORPORATION</t>
  </si>
  <si>
    <t>현대코퍼레이션</t>
  </si>
  <si>
    <t>자동차,철강,기계,선박,플랜트,컴퓨터,전자제품 수출,수출입대행/자원(탄광,유전) 개발</t>
  </si>
  <si>
    <t>www.hyundaicorp.co.kr</t>
  </si>
  <si>
    <t>036420 KS Equity</t>
  </si>
  <si>
    <t>A036420</t>
  </si>
  <si>
    <t>ContentreeJoongAng corp.</t>
  </si>
  <si>
    <t>콘텐트리중앙</t>
  </si>
  <si>
    <t>영화, 비디오물, 방송프로그램 제작 및 배급업</t>
  </si>
  <si>
    <t>영화 및 방송프로그램 제작, 유통, 광고</t>
  </si>
  <si>
    <t>www.jcontentree.com</t>
  </si>
  <si>
    <t>417010 KS Equity</t>
  </si>
  <si>
    <t>A417010</t>
  </si>
  <si>
    <t>NanoTIM Co., Ltd.</t>
  </si>
  <si>
    <t>나노팀</t>
  </si>
  <si>
    <t>전기차용 방열제품</t>
  </si>
  <si>
    <t>www.nanotim.co.kr</t>
  </si>
  <si>
    <t>270520 KS Equity</t>
  </si>
  <si>
    <t>A270520</t>
  </si>
  <si>
    <t>Geolit Energy Co.,Ltd.</t>
  </si>
  <si>
    <t>지오릿에너지</t>
  </si>
  <si>
    <t>지열냉난방시스템</t>
  </si>
  <si>
    <t>www.genone.co.kr</t>
  </si>
  <si>
    <t>007460 KS Equity</t>
  </si>
  <si>
    <t>A007460</t>
  </si>
  <si>
    <t>Aprogen</t>
  </si>
  <si>
    <t>에이프로젠</t>
  </si>
  <si>
    <t>기타 금속 가공제품 제조업</t>
  </si>
  <si>
    <t>단열장치,철구조물,가열로,특수단열재(금속표면경화육성,원자로용) 제조/단열공사/부동산 임대</t>
  </si>
  <si>
    <t>051360 KS Equity</t>
  </si>
  <si>
    <t>A051360</t>
  </si>
  <si>
    <t>Tovis Co., Ltd.</t>
  </si>
  <si>
    <t>토비스</t>
  </si>
  <si>
    <t>영상 및 음향기기 제조업</t>
  </si>
  <si>
    <t>Gaming모니터</t>
  </si>
  <si>
    <t>www.tovism.com</t>
  </si>
  <si>
    <t>052400 KS Equity</t>
  </si>
  <si>
    <t>A052400</t>
  </si>
  <si>
    <t>KONA I Co., Ltd.</t>
  </si>
  <si>
    <t>코나아이</t>
  </si>
  <si>
    <t>전자화폐, 단말기, 수집/정산시스템</t>
  </si>
  <si>
    <t>www.konai.co.kr</t>
  </si>
  <si>
    <t>051980 KS Equity</t>
  </si>
  <si>
    <t>A051980</t>
  </si>
  <si>
    <t>JOONGANG ADVANCED MATERIALS Co., Ltd.</t>
  </si>
  <si>
    <t>중앙첨단소재</t>
  </si>
  <si>
    <t>PVC샤시</t>
  </si>
  <si>
    <t>004360 KS Equity</t>
  </si>
  <si>
    <t>A004360</t>
  </si>
  <si>
    <t>SEBANG</t>
  </si>
  <si>
    <t>세방</t>
  </si>
  <si>
    <t>일반 화물자동차 운송업</t>
  </si>
  <si>
    <t>도로운송,항만하역,창고,지게차 임대</t>
  </si>
  <si>
    <t>www.sebang.com</t>
  </si>
  <si>
    <t>001230 KS Equity</t>
  </si>
  <si>
    <t>A001230</t>
  </si>
  <si>
    <t>DONGKUK HOLDINGS</t>
  </si>
  <si>
    <t>동국홀딩스</t>
  </si>
  <si>
    <t>후판,철근,강판,형강,앵글,찬넬,평철 제조,판매</t>
  </si>
  <si>
    <t>www.dongkuk.com</t>
  </si>
  <si>
    <t>293480 KS Equity</t>
  </si>
  <si>
    <t>A293480</t>
  </si>
  <si>
    <t>Hana Pharm</t>
  </si>
  <si>
    <t>하나제약</t>
  </si>
  <si>
    <t>완제의약품</t>
  </si>
  <si>
    <t>www.hanaph.co.kr</t>
  </si>
  <si>
    <t>071840 KS Equity</t>
  </si>
  <si>
    <t>A071840</t>
  </si>
  <si>
    <t>LOTTE Himart</t>
  </si>
  <si>
    <t>롯데하이마트</t>
  </si>
  <si>
    <t>가전제품 소매업</t>
  </si>
  <si>
    <t>가전제품,잡화 도소매/부동산 임대</t>
  </si>
  <si>
    <t>www.himart.co.kr/index.jsp</t>
  </si>
  <si>
    <t>093520 KS Equity</t>
  </si>
  <si>
    <t>A093520</t>
  </si>
  <si>
    <t>MAKUS Inc.</t>
  </si>
  <si>
    <t>매커스</t>
  </si>
  <si>
    <t>자일링스(Xilinx)비메모리반도체(PLDchip)유통</t>
  </si>
  <si>
    <t>www.makus.co.kr</t>
  </si>
  <si>
    <t>090710 KS Equity</t>
  </si>
  <si>
    <t>A090710</t>
  </si>
  <si>
    <t>Hyulim ROBOT Co.,Ltd.</t>
  </si>
  <si>
    <t>휴림로봇</t>
  </si>
  <si>
    <t>제조업용로봇및서비스로봇</t>
  </si>
  <si>
    <t>www.dstrobot.com</t>
  </si>
  <si>
    <t>018310 KS Equity</t>
  </si>
  <si>
    <t>A018310</t>
  </si>
  <si>
    <t>SAMMOK S-FORM Co., Ltd.</t>
  </si>
  <si>
    <t>삼목에스폼</t>
  </si>
  <si>
    <t>갱폼,알루미늄폼,특수폼,알루미늄압출재</t>
  </si>
  <si>
    <t>www.sammok.co.kr</t>
  </si>
  <si>
    <t>045390 KS Equity</t>
  </si>
  <si>
    <t>A045390</t>
  </si>
  <si>
    <t>Daea TI Co., Ltd.</t>
  </si>
  <si>
    <t>대아티아이</t>
  </si>
  <si>
    <t>기타 전기장비 제조업</t>
  </si>
  <si>
    <t>EDMS(Enterprise Document Management System)-전사적문서관리시스템,KMS-지식경영시스템</t>
  </si>
  <si>
    <t>www.daeati.co.kr</t>
  </si>
  <si>
    <t>101670 KS Equity</t>
  </si>
  <si>
    <t>A101670</t>
  </si>
  <si>
    <t>Hydro Lithium Inc.</t>
  </si>
  <si>
    <t>하이드로리튬</t>
  </si>
  <si>
    <t>영구앵커,교량용케이블,타이케이블</t>
  </si>
  <si>
    <t>www.hydroli.co.kr</t>
  </si>
  <si>
    <t>002810 KS Equity</t>
  </si>
  <si>
    <t>A002810</t>
  </si>
  <si>
    <t>SamyungTrading</t>
  </si>
  <si>
    <t>삼영무역</t>
  </si>
  <si>
    <t>화학물질 및 화학제품 도매업</t>
  </si>
  <si>
    <t>기타 화학물질 및 화학제품 도매업</t>
  </si>
  <si>
    <t>화공약품, 안경렌즈</t>
  </si>
  <si>
    <t>www.samyung.co.kr</t>
  </si>
  <si>
    <t>226950 KS Equity</t>
  </si>
  <si>
    <t>A226950</t>
  </si>
  <si>
    <t>OliX Pharmaceuticals, Inc.</t>
  </si>
  <si>
    <t>올릭스</t>
  </si>
  <si>
    <t>siRNA 신약 개발</t>
  </si>
  <si>
    <t>www.olixpharma.com</t>
  </si>
  <si>
    <t>396270 KS Equity</t>
  </si>
  <si>
    <t>A396270</t>
  </si>
  <si>
    <t>Nextchip Co.,Ltd.</t>
  </si>
  <si>
    <t>넥스트칩</t>
  </si>
  <si>
    <t>차량 및 자율주행차용 비메모리 반도체(ISP, AHD, ADAS/AD)</t>
  </si>
  <si>
    <t>www.nextchip.com</t>
  </si>
  <si>
    <t>038290 KS Equity</t>
  </si>
  <si>
    <t>A038290</t>
  </si>
  <si>
    <t>Macrogen, Inc.</t>
  </si>
  <si>
    <t>마크로젠</t>
  </si>
  <si>
    <t>DNA Sequencing, Microarray, Genetically Engineered Mouse</t>
  </si>
  <si>
    <t>www.macrogen.com</t>
  </si>
  <si>
    <t>040300 KS Equity</t>
  </si>
  <si>
    <t>A040300</t>
  </si>
  <si>
    <t>YTN</t>
  </si>
  <si>
    <t>광고/협찬 및 프로그램 제작</t>
  </si>
  <si>
    <t>www.ytn.co.kr</t>
  </si>
  <si>
    <t>048870 KS Equity</t>
  </si>
  <si>
    <t>A048870</t>
  </si>
  <si>
    <t>Synergy Innovation Co., Ltd.</t>
  </si>
  <si>
    <t>시너지이노베이션</t>
  </si>
  <si>
    <t>카메라 어플리케이션 프로세서(CAP)</t>
  </si>
  <si>
    <t>www.synergyinno.com</t>
  </si>
  <si>
    <t>035510 KS Equity</t>
  </si>
  <si>
    <t>A035510</t>
  </si>
  <si>
    <t>SHINSEGAE INFORMATION &amp; COMMUNICATION Co</t>
  </si>
  <si>
    <t>신세계 I&amp;C</t>
  </si>
  <si>
    <t>IT시스템 개발, 운영 및 유지보수, IT 컨설팅, IT장비솔루션 총판, 아웃소싱, IDC, IT기기 및 휴대폰 유통, 전자상품권</t>
  </si>
  <si>
    <t>www.shinsegae-inc.com</t>
  </si>
  <si>
    <t>016590 KS Equity</t>
  </si>
  <si>
    <t>A016590</t>
  </si>
  <si>
    <t>ShindaeyangPaper</t>
  </si>
  <si>
    <t>신대양제지</t>
  </si>
  <si>
    <t>골판지용 골심지,라이너지 제조,수출입</t>
  </si>
  <si>
    <t>www.dygroup.co.kr</t>
  </si>
  <si>
    <t>230240 KS Equity</t>
  </si>
  <si>
    <t>A230240</t>
  </si>
  <si>
    <t>HFR,Inc.</t>
  </si>
  <si>
    <t>에치에프알</t>
  </si>
  <si>
    <t>유선 및 무선통신장비 제조 및 제조서비스</t>
  </si>
  <si>
    <t>www.hfrnet.com</t>
  </si>
  <si>
    <t>290690 KS Equity</t>
  </si>
  <si>
    <t>A290690</t>
  </si>
  <si>
    <t>SOLUX.CO.,LTD.</t>
  </si>
  <si>
    <t>소룩스</t>
  </si>
  <si>
    <t>조명장치 제조업</t>
  </si>
  <si>
    <t>일반용 전기 조명장치 제조업</t>
  </si>
  <si>
    <t>실내등(형광등, LED등), 실외등, 특수등</t>
  </si>
  <si>
    <t>www.solux.co.kr</t>
  </si>
  <si>
    <t>079940 KS Equity</t>
  </si>
  <si>
    <t>A079940</t>
  </si>
  <si>
    <t>Gabia Inc.</t>
  </si>
  <si>
    <t>가비아</t>
  </si>
  <si>
    <t>도메인,호스팅</t>
  </si>
  <si>
    <t>ir.gabia.com</t>
  </si>
  <si>
    <t>451760 KS Equity</t>
  </si>
  <si>
    <t>A451760</t>
  </si>
  <si>
    <t>CONTEC CO.,LTD.</t>
  </si>
  <si>
    <t>컨텍</t>
  </si>
  <si>
    <t>컴퓨터 프로그래밍, 시스템 통합 및 관리업</t>
  </si>
  <si>
    <t>지상국 시스템 엔지니어링 솔루션, 위성영상 생성을 위한 데이터처리 솔루션</t>
  </si>
  <si>
    <t>www.contec.kr</t>
  </si>
  <si>
    <t>418420 KS Equity</t>
  </si>
  <si>
    <t>A418420</t>
  </si>
  <si>
    <t>RAONTECH INC.</t>
  </si>
  <si>
    <t>라온텍</t>
  </si>
  <si>
    <t>마이크로디스플레이, 컨트롤러 IC</t>
  </si>
  <si>
    <t>www.raon.io</t>
  </si>
  <si>
    <t>024850 KS Equity</t>
  </si>
  <si>
    <t>A024850</t>
  </si>
  <si>
    <t>HLB innoVation Co., Ltd.</t>
  </si>
  <si>
    <t>HLB이노베이션</t>
  </si>
  <si>
    <t>리드프레임</t>
  </si>
  <si>
    <t>www.psmc.kr</t>
  </si>
  <si>
    <t>000050 KS Equity</t>
  </si>
  <si>
    <t>A000050</t>
  </si>
  <si>
    <t>Kyungbang</t>
  </si>
  <si>
    <t>경방</t>
  </si>
  <si>
    <t>섬유류(면사,면혼방사,면직물,면혼방직물,화섬사,화섬직물) 제조,도매,수출입</t>
  </si>
  <si>
    <t>www.kyungbang.co.kr</t>
  </si>
  <si>
    <t>205470 KS Equity</t>
  </si>
  <si>
    <t>A205470</t>
  </si>
  <si>
    <t>HUMASIS CO., LTD.</t>
  </si>
  <si>
    <t>휴마시스</t>
  </si>
  <si>
    <t>체외진단키트</t>
  </si>
  <si>
    <t>www.humasis.com</t>
  </si>
  <si>
    <t>389500 KS Equity</t>
  </si>
  <si>
    <t>A389500</t>
  </si>
  <si>
    <t>SBB TECH Co., Ltd.</t>
  </si>
  <si>
    <t>에스비비테크</t>
  </si>
  <si>
    <t>베어링, 감속기</t>
  </si>
  <si>
    <t>www.sbb.co.kr</t>
  </si>
  <si>
    <t>042420 KS Equity</t>
  </si>
  <si>
    <t>A042420</t>
  </si>
  <si>
    <t>Neowiz Holdings Corporation</t>
  </si>
  <si>
    <t>네오위즈홀딩스</t>
  </si>
  <si>
    <t>www.neowiz.com</t>
  </si>
  <si>
    <t>096760 KS Equity</t>
  </si>
  <si>
    <t>A096760</t>
  </si>
  <si>
    <t>JW HOLDINGS CORPORATION</t>
  </si>
  <si>
    <t>JW홀딩스</t>
  </si>
  <si>
    <t>의약품 수출입업</t>
  </si>
  <si>
    <t>www.jw-holdings.co.kr</t>
  </si>
  <si>
    <t>150840 KS Equity</t>
  </si>
  <si>
    <t>A150840</t>
  </si>
  <si>
    <t>IntroMedic Co., Ltd.</t>
  </si>
  <si>
    <t>인트로메딕</t>
  </si>
  <si>
    <t>캡슐내시경, 일회용 연성내시경</t>
  </si>
  <si>
    <t>www.intromedic.co.kr</t>
  </si>
  <si>
    <t>452190 KS Equity</t>
  </si>
  <si>
    <t>A452190</t>
  </si>
  <si>
    <t>HBL Corporation</t>
  </si>
  <si>
    <t>한빛레이저</t>
  </si>
  <si>
    <t>전자 응용 절삭기계 제조업</t>
  </si>
  <si>
    <t>산업용 레이저 가공장비</t>
  </si>
  <si>
    <t>www.hblaser.co.kr</t>
  </si>
  <si>
    <t>384470 KS Equity</t>
  </si>
  <si>
    <t>A384470</t>
  </si>
  <si>
    <t>Coreline Soft co.,Ltd.</t>
  </si>
  <si>
    <t>코어라인소프트</t>
  </si>
  <si>
    <t>의료영상 진단보조 솔루션</t>
  </si>
  <si>
    <t>www.corelinesoft.com</t>
  </si>
  <si>
    <t>300080 KS Equity</t>
  </si>
  <si>
    <t>A300080</t>
  </si>
  <si>
    <t>Flitto Inc.</t>
  </si>
  <si>
    <t>플리토</t>
  </si>
  <si>
    <t>언어 데이터 구축 및 판매</t>
  </si>
  <si>
    <t>www.flitto.com</t>
  </si>
  <si>
    <t>123040 KS Equity</t>
  </si>
  <si>
    <t>A123040</t>
  </si>
  <si>
    <t>MS AUTOTECH Co., Ltd.</t>
  </si>
  <si>
    <t>엠에스오토텍</t>
  </si>
  <si>
    <t>자동차 차체 부품</t>
  </si>
  <si>
    <t>www.ms-global.com</t>
  </si>
  <si>
    <t>318020 KS Equity</t>
  </si>
  <si>
    <t>A318020</t>
  </si>
  <si>
    <t>POINT MOBILE CO., LTD.</t>
  </si>
  <si>
    <t>포인트모바일</t>
  </si>
  <si>
    <t>산업용 PDA</t>
  </si>
  <si>
    <t>www.pointmobile.co.kr</t>
  </si>
  <si>
    <t>011500 KS Equity</t>
  </si>
  <si>
    <t>A011500</t>
  </si>
  <si>
    <t>HANNONGCHEMICALSINC.</t>
  </si>
  <si>
    <t>한농화성</t>
  </si>
  <si>
    <t>계면활성제 제조업</t>
  </si>
  <si>
    <t>계면활성제,글리콜에테르 제조,판매</t>
  </si>
  <si>
    <t>www.hannong.co.kr</t>
  </si>
  <si>
    <t>298540 KS Equity</t>
  </si>
  <si>
    <t>A298540</t>
  </si>
  <si>
    <t>THE NATURE HOLDINGS CO., LTD.</t>
  </si>
  <si>
    <t>더네이쳐홀딩스</t>
  </si>
  <si>
    <t>의복 액세서리 제조업</t>
  </si>
  <si>
    <t>의류, 여행용 가방 및 잡화류</t>
  </si>
  <si>
    <t>www.thenatureholdings.co.kr</t>
  </si>
  <si>
    <t>416180 KS Equity</t>
  </si>
  <si>
    <t>A416180</t>
  </si>
  <si>
    <t>Shinsung ST Co., Ltd.</t>
  </si>
  <si>
    <t>신성에스티</t>
  </si>
  <si>
    <t>전기차/2차전지 Busbar 및 배터리모듈 보호 부품 등</t>
  </si>
  <si>
    <t>www.shinsungst.co.kr</t>
  </si>
  <si>
    <t>144960 KS Equity</t>
  </si>
  <si>
    <t>A144960</t>
  </si>
  <si>
    <t>New Power Plasma Co.,Ltd.</t>
  </si>
  <si>
    <t>뉴파워프라즈마</t>
  </si>
  <si>
    <t>플라즈마 세정기(Remote Plasma Cleaning Generator)</t>
  </si>
  <si>
    <t>www.newpower.co.kr</t>
  </si>
  <si>
    <t>005720 KS Equity</t>
  </si>
  <si>
    <t>A005720</t>
  </si>
  <si>
    <t>NEXEN</t>
  </si>
  <si>
    <t>넥센</t>
  </si>
  <si>
    <t>고무제품 제조업</t>
  </si>
  <si>
    <t>자동차용 재생타이어튜브,솔리드타이어,고무부품,골프볼,와이어로프소재,특수강선,열처리도금선,건자재 제조,판매,수출입</t>
  </si>
  <si>
    <t>www.nexencorp.co.kr</t>
  </si>
  <si>
    <t>389020 KS Equity</t>
  </si>
  <si>
    <t>A389020</t>
  </si>
  <si>
    <t>Zaram Technology,Inc.</t>
  </si>
  <si>
    <t>자람테크놀로지</t>
  </si>
  <si>
    <t>XGSPON, 기가와이어, 광트랜시버 등</t>
  </si>
  <si>
    <t>zaram.com</t>
  </si>
  <si>
    <t>080580 KS Equity</t>
  </si>
  <si>
    <t>A080580</t>
  </si>
  <si>
    <t>OKins Electronics Co., Ltd.</t>
  </si>
  <si>
    <t>오킨스전자</t>
  </si>
  <si>
    <t>반도체 검사용 소켓</t>
  </si>
  <si>
    <t>www.okins.co.kr</t>
  </si>
  <si>
    <t>063570 KS Equity</t>
  </si>
  <si>
    <t>A063570</t>
  </si>
  <si>
    <t>NICE Total Cash Management Co., Ltd.</t>
  </si>
  <si>
    <t>한국전자금융</t>
  </si>
  <si>
    <t>기타 사업지원 서비스업</t>
  </si>
  <si>
    <t>ATM관리사업,CD-VAN사업</t>
  </si>
  <si>
    <t>www.nicetcm.co.kr</t>
  </si>
  <si>
    <t>211270 KS Equity</t>
  </si>
  <si>
    <t>A211270</t>
  </si>
  <si>
    <t>Asia Pacific Satellite Inc.</t>
  </si>
  <si>
    <t>AP위성</t>
  </si>
  <si>
    <t>항공기, 우주선 및 부품 제조업</t>
  </si>
  <si>
    <t>위성통신 단말기</t>
  </si>
  <si>
    <t>www.apsi.co.kr</t>
  </si>
  <si>
    <t>092230 KS Equity</t>
  </si>
  <si>
    <t>A092230</t>
  </si>
  <si>
    <t>KPXHOLDINGS</t>
  </si>
  <si>
    <t>KPX홀딩스</t>
  </si>
  <si>
    <t>www.kpxholdings.com</t>
  </si>
  <si>
    <t>020120 KS Equity</t>
  </si>
  <si>
    <t>A020120</t>
  </si>
  <si>
    <t>KidariStudio</t>
  </si>
  <si>
    <t>키다리스튜디오</t>
  </si>
  <si>
    <t>만화, 소설 등 콘텐츠 제작 및 유통, 판매, 컴퓨터 프로그래밍, 시스템 통합 및 관리업</t>
  </si>
  <si>
    <t>www.kidaristudio.com</t>
  </si>
  <si>
    <t>067000 KS Equity</t>
  </si>
  <si>
    <t>A067000</t>
  </si>
  <si>
    <t>JoyCity Corporation</t>
  </si>
  <si>
    <t>조이시티</t>
  </si>
  <si>
    <t>온라인게임(프리스타일농구)</t>
  </si>
  <si>
    <t>www.joycity.com</t>
  </si>
  <si>
    <t>001520 KS Equity</t>
  </si>
  <si>
    <t>A001520</t>
  </si>
  <si>
    <t>TONGYANG</t>
  </si>
  <si>
    <t>동양</t>
  </si>
  <si>
    <t>레미콘/건설공사/산업용 송풍기</t>
  </si>
  <si>
    <t>www.tongyanginc.co.kr</t>
  </si>
  <si>
    <t>206560 KS Equity</t>
  </si>
  <si>
    <t>A206560</t>
  </si>
  <si>
    <t>Dexter studios Co.,Ltd.</t>
  </si>
  <si>
    <t>덱스터</t>
  </si>
  <si>
    <t>시각효과(Visual Effect, VFX)</t>
  </si>
  <si>
    <t>www.dexterstudios.com</t>
  </si>
  <si>
    <t>450140 KS Equity</t>
  </si>
  <si>
    <t>A450140</t>
  </si>
  <si>
    <t>KOLON MOBILITY GROUP</t>
  </si>
  <si>
    <t>코오롱모빌리티그룹</t>
  </si>
  <si>
    <t>자동차 신품 판매업</t>
  </si>
  <si>
    <t>수입자동차 유통 및 정비업</t>
  </si>
  <si>
    <t>www.kolonmobilitygroup.com</t>
  </si>
  <si>
    <t>019680 KS Equity</t>
  </si>
  <si>
    <t>A019680</t>
  </si>
  <si>
    <t>DAEKYO</t>
  </si>
  <si>
    <t>대교</t>
  </si>
  <si>
    <t>초등 교육기관</t>
  </si>
  <si>
    <t>학습지,참고서 출판/건설업/종합유선방송 프로그램공급,디지털학원</t>
  </si>
  <si>
    <t>www.daekyo.com</t>
  </si>
  <si>
    <t>143160 KS Equity</t>
  </si>
  <si>
    <t>A143160</t>
  </si>
  <si>
    <t>Intelligent Digital Integrated Security Co., Ltd.</t>
  </si>
  <si>
    <t>아이디스</t>
  </si>
  <si>
    <t>영상보안장치(DVR,NVR,IP-Camera 등)</t>
  </si>
  <si>
    <t>www.idis.co.kr</t>
  </si>
  <si>
    <t>073490 KS Equity</t>
  </si>
  <si>
    <t>A073490</t>
  </si>
  <si>
    <t>Innowireless Co., Ltd.</t>
  </si>
  <si>
    <t>이노와이어리스</t>
  </si>
  <si>
    <t>통신용 시험 및 계측장비</t>
  </si>
  <si>
    <t>www.innowireless.com</t>
  </si>
  <si>
    <t>122450 KS Equity</t>
  </si>
  <si>
    <t>A122450</t>
  </si>
  <si>
    <t>KX Innovation Co., Ltd.</t>
  </si>
  <si>
    <t>KX</t>
  </si>
  <si>
    <t>프로그램 공급업</t>
  </si>
  <si>
    <t>방송채널사업 및 방송송출서비스</t>
  </si>
  <si>
    <t>053300 KS Equity</t>
  </si>
  <si>
    <t>A053300</t>
  </si>
  <si>
    <t>KOREA INFORMATION CERTIFICATE AUTHORITY, INCORPORATED</t>
  </si>
  <si>
    <t>한국정보인증</t>
  </si>
  <si>
    <t>공인인증서, PKI솔루션 등</t>
  </si>
  <si>
    <t>083790 KS Equity</t>
  </si>
  <si>
    <t>A083790</t>
  </si>
  <si>
    <t>CG인바이츠</t>
  </si>
  <si>
    <t>아셀렉스</t>
  </si>
  <si>
    <t>035150 KS Equity</t>
  </si>
  <si>
    <t>A035150</t>
  </si>
  <si>
    <t>Baiksan</t>
  </si>
  <si>
    <t>백산</t>
  </si>
  <si>
    <t>플라스틱 합성피혁 제조업</t>
  </si>
  <si>
    <t>P.U.인조피혁,부직포인공피혁 제조,무역</t>
  </si>
  <si>
    <t>www.baiksan.co.kr</t>
  </si>
  <si>
    <t>060590 KS Equity</t>
  </si>
  <si>
    <t>A060590</t>
  </si>
  <si>
    <t>CTCBIO Inc.</t>
  </si>
  <si>
    <t>씨티씨바이오</t>
  </si>
  <si>
    <t>동물용항병원성제품, 생균효소제</t>
  </si>
  <si>
    <t>www.ctcbio.com</t>
  </si>
  <si>
    <t>166480 KS Equity</t>
  </si>
  <si>
    <t>A166480</t>
  </si>
  <si>
    <t>CORESTEMCHEMON Inc.</t>
  </si>
  <si>
    <t>코아스템켐온</t>
  </si>
  <si>
    <t>줄기세포 치료제</t>
  </si>
  <si>
    <t>www.corestem.com</t>
  </si>
  <si>
    <t>462520 KS Equity</t>
  </si>
  <si>
    <t>A462520</t>
  </si>
  <si>
    <t>Chosun Refractories</t>
  </si>
  <si>
    <t>조선내화</t>
  </si>
  <si>
    <t>내화 요업제품</t>
  </si>
  <si>
    <t>044450 KS Equity</t>
  </si>
  <si>
    <t>A044450</t>
  </si>
  <si>
    <t>KSS LINE</t>
  </si>
  <si>
    <t>KSS해운</t>
  </si>
  <si>
    <t>특수화물해상운송(액화가스,LPG,암모니아,VCM,석유화학제품 등), 선박대여</t>
  </si>
  <si>
    <t>www.kssline.com</t>
  </si>
  <si>
    <t>086980 KS Equity</t>
  </si>
  <si>
    <t>A086980</t>
  </si>
  <si>
    <t>SHOWBOX Corp.</t>
  </si>
  <si>
    <t>쇼박스</t>
  </si>
  <si>
    <t>영화, 비디오물 및 방송프로그램 배급업</t>
  </si>
  <si>
    <t>영화투자및배급</t>
  </si>
  <si>
    <t>www.showbox.co.kr</t>
  </si>
  <si>
    <t>102260 KS Equity</t>
  </si>
  <si>
    <t>A102260</t>
  </si>
  <si>
    <t>DONGSUNG CHEMICAL Co., Ltd.</t>
  </si>
  <si>
    <t>동성케미컬</t>
  </si>
  <si>
    <t>www.dongsungchemical.co.kr</t>
  </si>
  <si>
    <t>088390 KS Equity</t>
  </si>
  <si>
    <t>A088390</t>
  </si>
  <si>
    <t>Innox Corporation</t>
  </si>
  <si>
    <t>이녹스</t>
  </si>
  <si>
    <t>FPCB소재,반도체PKG소재,디스플레이소재,OLED소재</t>
  </si>
  <si>
    <t>www.innoxcorp.com</t>
  </si>
  <si>
    <t>053080 KS Equity</t>
  </si>
  <si>
    <t>A053080</t>
  </si>
  <si>
    <t>K-ENSOL CO., LTD.</t>
  </si>
  <si>
    <t>케이엔솔</t>
  </si>
  <si>
    <t>클린룸 설비</t>
  </si>
  <si>
    <t>www.wonbangtech.com</t>
  </si>
  <si>
    <t>092730 KS Equity</t>
  </si>
  <si>
    <t>A092730</t>
  </si>
  <si>
    <t>Neopharm Co., Ltd.</t>
  </si>
  <si>
    <t>네오팜</t>
  </si>
  <si>
    <t>생체기능성(아토피)보습제</t>
  </si>
  <si>
    <t>www.neopharm.co.kr</t>
  </si>
  <si>
    <t>290670 KS Equity</t>
  </si>
  <si>
    <t>A290670</t>
  </si>
  <si>
    <t>DAEBO MAGNETIC CO.,LTD.</t>
  </si>
  <si>
    <t>대보마그네틱</t>
  </si>
  <si>
    <t>그 외 기타 전기장비 제조업</t>
  </si>
  <si>
    <t>전자석탈철기, 자력선별기</t>
  </si>
  <si>
    <t>www.daebo.com</t>
  </si>
  <si>
    <t>001130 KS Equity</t>
  </si>
  <si>
    <t>A001130</t>
  </si>
  <si>
    <t>DaehanFlourMill</t>
  </si>
  <si>
    <t>대한제분</t>
  </si>
  <si>
    <t>소맥분,토코밀,프리믹스,밀가루조제품,제분부산물 제조/파스타 수입,판매</t>
  </si>
  <si>
    <t>www.dhflour.co.kr</t>
  </si>
  <si>
    <t>004710 KS Equity</t>
  </si>
  <si>
    <t>A004710</t>
  </si>
  <si>
    <t>HansolTechnics</t>
  </si>
  <si>
    <t>한솔테크닉스</t>
  </si>
  <si>
    <t>백라이트유닛,인버터,폴리바리콘,모니터,통신장비 제조</t>
  </si>
  <si>
    <t>www.hansoltechnics.com</t>
  </si>
  <si>
    <t>036800 KS Equity</t>
  </si>
  <si>
    <t>A036800</t>
  </si>
  <si>
    <t>Nice Information &amp; Telecommunication Inc.</t>
  </si>
  <si>
    <t>나이스정보통신</t>
  </si>
  <si>
    <t>카드 VAN사업</t>
  </si>
  <si>
    <t>www.nicevan.co.kr</t>
  </si>
  <si>
    <t>004380 KS Equity</t>
  </si>
  <si>
    <t>A004380</t>
  </si>
  <si>
    <t>SAMICK THK</t>
  </si>
  <si>
    <t>삼익THK</t>
  </si>
  <si>
    <t>직선운동시스템,메카트로시스템,기타정밀 자동화기기 제조,판매/전자상거래,인터넷 관련 s/w,h/w 개발,판매,유지보수</t>
  </si>
  <si>
    <t>www.samickthk.co.kr</t>
  </si>
  <si>
    <t>388720 KS Equity</t>
  </si>
  <si>
    <t>A388720</t>
  </si>
  <si>
    <t>Yuilrobotics. co., Ltd.</t>
  </si>
  <si>
    <t>유일로보틱스</t>
  </si>
  <si>
    <t>주형 및 금형 제조업</t>
  </si>
  <si>
    <t>취출로봇, 사출장비 및 자동화시스템</t>
  </si>
  <si>
    <t>www.yuilrobotics.com</t>
  </si>
  <si>
    <t>095570 KS Equity</t>
  </si>
  <si>
    <t>A095570</t>
  </si>
  <si>
    <t>AJ Networks Co.,Ltd.</t>
  </si>
  <si>
    <t>AJ네트웍스</t>
  </si>
  <si>
    <t>산업용 기계 및 장비 임대업</t>
  </si>
  <si>
    <t>렌탈(파렛트, OA장비, 건설장비)</t>
  </si>
  <si>
    <t>www.ajnetworks.co.kr</t>
  </si>
  <si>
    <t>030210 KS Equity</t>
  </si>
  <si>
    <t>A030210</t>
  </si>
  <si>
    <t>Daol Investment &amp; Securities</t>
  </si>
  <si>
    <t>다올투자증권</t>
  </si>
  <si>
    <t>금융업, 서비스, 부동산</t>
  </si>
  <si>
    <t>www.daolsecurities.com</t>
  </si>
  <si>
    <t>065510 KS Equity</t>
  </si>
  <si>
    <t>A065510</t>
  </si>
  <si>
    <t>Huvitz Co., Ltd.</t>
  </si>
  <si>
    <t>휴비츠</t>
  </si>
  <si>
    <t>자동검안기, 자동렌즈미터</t>
  </si>
  <si>
    <t>www.huvitz.com</t>
  </si>
  <si>
    <t>109070 KS Equity</t>
  </si>
  <si>
    <t>A109070</t>
  </si>
  <si>
    <t>주성코퍼레이션</t>
  </si>
  <si>
    <t>ICS중계기, 블랙박스</t>
  </si>
  <si>
    <t>www.conbuzz.co.kr</t>
  </si>
  <si>
    <t>418470 KS Equity</t>
  </si>
  <si>
    <t>A418470</t>
  </si>
  <si>
    <t>밀리의서재</t>
  </si>
  <si>
    <t>전자책 정기구독 서비스</t>
  </si>
  <si>
    <t>www.millie.co.kr</t>
  </si>
  <si>
    <t>008060 KS Equity</t>
  </si>
  <si>
    <t>A008060</t>
  </si>
  <si>
    <t>DAEDUCK Co.,LTD</t>
  </si>
  <si>
    <t>대덕</t>
  </si>
  <si>
    <t>산업용 인쇄회로기판,다층 인쇄회로기판,빌드업기판,반도체패키지기판,메모리모듈기판 제조</t>
  </si>
  <si>
    <t>www.daeduckholdings.com</t>
  </si>
  <si>
    <t>267850 KS Equity</t>
  </si>
  <si>
    <t>A267850</t>
  </si>
  <si>
    <t>AsianaIDT</t>
  </si>
  <si>
    <t>아시아나IDT</t>
  </si>
  <si>
    <t>IT 서비스, IT 솔루션</t>
  </si>
  <si>
    <t>www.asianaidt.com</t>
  </si>
  <si>
    <t>122990 KS Equity</t>
  </si>
  <si>
    <t>A122990</t>
  </si>
  <si>
    <t>WiISoL Co., Ltd.</t>
  </si>
  <si>
    <t>와이솔</t>
  </si>
  <si>
    <t>SAW Filter, Wafer Chip, Duplexer</t>
  </si>
  <si>
    <t>www.wisol.co.kr</t>
  </si>
  <si>
    <t>036890 KS Equity</t>
  </si>
  <si>
    <t>A036890</t>
  </si>
  <si>
    <t>Jinsung T.E.C.</t>
  </si>
  <si>
    <t>진성티이씨</t>
  </si>
  <si>
    <t>트랙롤라. 플로팅 씰</t>
  </si>
  <si>
    <t>www.jinsungtec.com</t>
  </si>
  <si>
    <t>402490 KS Equity</t>
  </si>
  <si>
    <t>A402490</t>
  </si>
  <si>
    <t>Green Resource Co., Ltd.</t>
  </si>
  <si>
    <t>그린리소스</t>
  </si>
  <si>
    <t>반도체 및 디스플레이 장비 보호코팅 및 소재</t>
  </si>
  <si>
    <t>www.greenresource.kr</t>
  </si>
  <si>
    <t>424960 KS Equity</t>
  </si>
  <si>
    <t>A424960</t>
  </si>
  <si>
    <t>Smart Radar System, Inc.</t>
  </si>
  <si>
    <t>스마트레이더시스템</t>
  </si>
  <si>
    <t>모빌리티 및 비모빌리티용 4D이미징레이다</t>
  </si>
  <si>
    <t>www.smartradarsystem.com</t>
  </si>
  <si>
    <t>003200 KS Equity</t>
  </si>
  <si>
    <t>A003200</t>
  </si>
  <si>
    <t>IlshinSpinning</t>
  </si>
  <si>
    <t>일신방직</t>
  </si>
  <si>
    <t>방적 및 가공사 제조업</t>
  </si>
  <si>
    <t>면 방적업</t>
  </si>
  <si>
    <t>면사,P/C혼방사,P/C혼방직물,화섬사 제조,수출</t>
  </si>
  <si>
    <t>www.ilshin.co.kr</t>
  </si>
  <si>
    <t>001250 KS Equity</t>
  </si>
  <si>
    <t>A001250</t>
  </si>
  <si>
    <t>GS Global Corp.</t>
  </si>
  <si>
    <t>GS글로벌</t>
  </si>
  <si>
    <t>수출입업(시멘트,철강금속,전기전자,섬유,기계화학),상품중개,광업,채석업/하수처리 서비스/부동산 임대</t>
  </si>
  <si>
    <t>www.gsgcorp.com</t>
  </si>
  <si>
    <t>074610 KS Equity</t>
  </si>
  <si>
    <t>A074610</t>
  </si>
  <si>
    <t>ENPLUS</t>
  </si>
  <si>
    <t>이엔플러스</t>
  </si>
  <si>
    <t>분사기 및 소화기 제조업</t>
  </si>
  <si>
    <t>소방자동차 제조</t>
  </si>
  <si>
    <t>www.en3.co.kr</t>
  </si>
  <si>
    <t>007160 KS Equity</t>
  </si>
  <si>
    <t>A007160</t>
  </si>
  <si>
    <t>SajoIndustries</t>
  </si>
  <si>
    <t>사조산업</t>
  </si>
  <si>
    <t>해수면 어업</t>
  </si>
  <si>
    <t>원양 어업</t>
  </si>
  <si>
    <t>원양어업(참치,명태,오징어),육가공,참치통조림,장류 제조/냉동냉장 창고운영/부동산 임대/컴퓨터,소프트웨어 개발,도매/팝콘,구운김 도매</t>
  </si>
  <si>
    <t>ind.sajo.co.kr</t>
  </si>
  <si>
    <t>006840 KS Equity</t>
  </si>
  <si>
    <t>A006840</t>
  </si>
  <si>
    <t>AK Holdings, Inc.</t>
  </si>
  <si>
    <t>AK홀딩스</t>
  </si>
  <si>
    <t>www.aekyunggroup.co.kr</t>
  </si>
  <si>
    <t>370090 KS Equity</t>
  </si>
  <si>
    <t>A370090</t>
  </si>
  <si>
    <t>Furonteer Inc.</t>
  </si>
  <si>
    <t>퓨런티어</t>
  </si>
  <si>
    <t>물질 검사, 측정 및 분석기구 제조업</t>
  </si>
  <si>
    <t>전장카메라모듈장비, 모바일카메라모듈장비, PC및 광원</t>
  </si>
  <si>
    <t>www.furonteer.com</t>
  </si>
  <si>
    <t>365590 KS Equity</t>
  </si>
  <si>
    <t>A365590</t>
  </si>
  <si>
    <t>HiDeep Inc.</t>
  </si>
  <si>
    <t>하이딥</t>
  </si>
  <si>
    <t>UIUX Solution</t>
  </si>
  <si>
    <t>www.hideep.com</t>
  </si>
  <si>
    <t>080420 KS Equity</t>
  </si>
  <si>
    <t>A080420</t>
  </si>
  <si>
    <t>Moda-InnoChips Co., Ltd.</t>
  </si>
  <si>
    <t>모다이노칩</t>
  </si>
  <si>
    <t>ESD필터,칩바리스터</t>
  </si>
  <si>
    <t>www.moda-innochips.com</t>
  </si>
  <si>
    <t>172670 KS Equity</t>
  </si>
  <si>
    <t>A172670</t>
  </si>
  <si>
    <t>ALT CO.,LTD.</t>
  </si>
  <si>
    <t>에이엘티</t>
  </si>
  <si>
    <t>반도체 테스트 및 패키징(반도체 후공정)</t>
  </si>
  <si>
    <t>www.alt-s.kr</t>
  </si>
  <si>
    <t>214430 KS Equity</t>
  </si>
  <si>
    <t>A214430</t>
  </si>
  <si>
    <t>i3system, Inc.</t>
  </si>
  <si>
    <t>아이쓰리시스템</t>
  </si>
  <si>
    <t>적외선 영상센서, 엑스레이 영상센서</t>
  </si>
  <si>
    <t>www.i3system.com</t>
  </si>
  <si>
    <t>315640 KS Equity</t>
  </si>
  <si>
    <t>A315640</t>
  </si>
  <si>
    <t>DEEP NOID INC.</t>
  </si>
  <si>
    <t>딥노이드</t>
  </si>
  <si>
    <t>의료 인공지능플랫폼, 인공지능 임상의사결정 시스템</t>
  </si>
  <si>
    <t>www.deepnoid.com</t>
  </si>
  <si>
    <t>000540 KS Equity</t>
  </si>
  <si>
    <t>A000540</t>
  </si>
  <si>
    <t>HeungkukFire&amp;MarineInsurance</t>
  </si>
  <si>
    <t>흥국화재</t>
  </si>
  <si>
    <t>www.heungkukfire.co.kr</t>
  </si>
  <si>
    <t>067280 KS Equity</t>
  </si>
  <si>
    <t>A067280</t>
  </si>
  <si>
    <t>Multicampus Corporation</t>
  </si>
  <si>
    <t>멀티캠퍼스</t>
  </si>
  <si>
    <t>직원훈련기관</t>
  </si>
  <si>
    <t>성인/기업전문 교육서비스</t>
  </si>
  <si>
    <t>www.multicampus.com</t>
  </si>
  <si>
    <t>091580 KS Equity</t>
  </si>
  <si>
    <t>A091580</t>
  </si>
  <si>
    <t>SANGSIN ENERGY DISPLAY PRECISION Co., Ltd.</t>
  </si>
  <si>
    <t>상신이디피</t>
  </si>
  <si>
    <t>2차전지부품</t>
  </si>
  <si>
    <t>www.ssedp.co.kr</t>
  </si>
  <si>
    <t>028100 KS Equity</t>
  </si>
  <si>
    <t>A028100</t>
  </si>
  <si>
    <t>Dong-Ah Geological Engineering Company</t>
  </si>
  <si>
    <t>동아지질</t>
  </si>
  <si>
    <t>기반조성 관련 전문공사업</t>
  </si>
  <si>
    <t>보링, 그라우팅 및 관정 공사업</t>
  </si>
  <si>
    <t>보링그라우팅공사,토공사,철근콘크리트공사,상하수도공사,비계구조물해체공사,수중공사/지질조사,시공감리</t>
  </si>
  <si>
    <t>www.dage.co.kr</t>
  </si>
  <si>
    <t>002020 KS Equity</t>
  </si>
  <si>
    <t>A002020</t>
  </si>
  <si>
    <t>KOLON CORPORATION</t>
  </si>
  <si>
    <t>코오롱</t>
  </si>
  <si>
    <t>www.kolon.com</t>
  </si>
  <si>
    <t>025000 KS Equity</t>
  </si>
  <si>
    <t>A025000</t>
  </si>
  <si>
    <t>KPXCHEMICAL</t>
  </si>
  <si>
    <t>KPX케미칼</t>
  </si>
  <si>
    <t>PPG,PU RESIN,우레탄수지,대향막박리재,반도체 CM PAD,Polyether Polyol,산업용기초화학제품,화공약품 제조,판매</t>
  </si>
  <si>
    <t>www.kpxchemical.com</t>
  </si>
  <si>
    <t>950170 KS Equity</t>
  </si>
  <si>
    <t>A950170</t>
  </si>
  <si>
    <t>JTC Inc.</t>
  </si>
  <si>
    <t>JTC</t>
  </si>
  <si>
    <t>식품류, 생활용품류, 화장품류 (사후면세업)</t>
  </si>
  <si>
    <t>www.groupjtc.com/korean/</t>
  </si>
  <si>
    <t>011280 KS Equity</t>
  </si>
  <si>
    <t>A011280</t>
  </si>
  <si>
    <t>Tailim Packaging</t>
  </si>
  <si>
    <t>태림포장</t>
  </si>
  <si>
    <t>골판지 및 골판지 가공제품 제조업</t>
  </si>
  <si>
    <t>골판지,골판지상자,수출용박스 제조,도매/인쇄</t>
  </si>
  <si>
    <t>www.tailim.com</t>
  </si>
  <si>
    <t>179290 KS Equity</t>
  </si>
  <si>
    <t>A179290</t>
  </si>
  <si>
    <t>M.I.TECH CO., LTD.</t>
  </si>
  <si>
    <t>엠아이텍</t>
  </si>
  <si>
    <t>비혈관 스텐트 및 체외충격파 쇄석기</t>
  </si>
  <si>
    <t>www.mitech.co.kr</t>
  </si>
  <si>
    <t>053690 KS Equity</t>
  </si>
  <si>
    <t>A053690</t>
  </si>
  <si>
    <t>HanmiGlobal Co., Ltd</t>
  </si>
  <si>
    <t>한미글로벌</t>
  </si>
  <si>
    <t>건축 및 조경 설계 서비스업</t>
  </si>
  <si>
    <t>건축설계 및 관련 서비스업</t>
  </si>
  <si>
    <t>건축 설계,감리/건축공사,토목공사,설비공사,전기공사,안전공사</t>
  </si>
  <si>
    <t>www.hanmiglobal.com</t>
  </si>
  <si>
    <t>445180 KS Equity</t>
  </si>
  <si>
    <t>A445180</t>
  </si>
  <si>
    <t>Purit Co.,Ltd.</t>
  </si>
  <si>
    <t>퓨릿</t>
  </si>
  <si>
    <t>반도체용 케미컬, 디스플레이용 케미컬, 산업용 케미컬</t>
  </si>
  <si>
    <t>purit.co.kr</t>
  </si>
  <si>
    <t>234340 KS Equity</t>
  </si>
  <si>
    <t>A234340</t>
  </si>
  <si>
    <t>Hecto Financial Co., Ltd.</t>
  </si>
  <si>
    <t>헥토파이낸셜</t>
  </si>
  <si>
    <t>가상계좌중계, 간편현금결제</t>
  </si>
  <si>
    <t>143240 KS Equity</t>
  </si>
  <si>
    <t>A143240</t>
  </si>
  <si>
    <t>Saramin Co., Ltd.</t>
  </si>
  <si>
    <t>사람인</t>
  </si>
  <si>
    <t>온라인 채용광고(취업포털), 인재파견, 취업지원 등</t>
  </si>
  <si>
    <t>043370 KS Equity</t>
  </si>
  <si>
    <t>A043370</t>
  </si>
  <si>
    <t>PHA Co., Ltd.</t>
  </si>
  <si>
    <t>피에이치에이</t>
  </si>
  <si>
    <t>자동차용 도어랫치, 도어힌지</t>
  </si>
  <si>
    <t>www.phakr.com</t>
  </si>
  <si>
    <t>057880 KS Equity</t>
  </si>
  <si>
    <t>A057880</t>
  </si>
  <si>
    <t>www.philosyshealthcare.co.kr</t>
  </si>
  <si>
    <t>174900 KS Equity</t>
  </si>
  <si>
    <t>A174900</t>
  </si>
  <si>
    <t>AbClon Inc.</t>
  </si>
  <si>
    <t>앱클론</t>
  </si>
  <si>
    <t>항체의약품</t>
  </si>
  <si>
    <t>www.abclon.com</t>
  </si>
  <si>
    <t>321820 KS Equity</t>
  </si>
  <si>
    <t>A321820</t>
  </si>
  <si>
    <t>빅데이터/인공지능 마케팅플랫폼 및 데이터플랫폼</t>
  </si>
  <si>
    <t>www.widerplanet.com</t>
  </si>
  <si>
    <t>109610 KS Equity</t>
  </si>
  <si>
    <t>A109610</t>
  </si>
  <si>
    <t>SY CO., LTD.</t>
  </si>
  <si>
    <t>에스와이</t>
  </si>
  <si>
    <t>구조용 금속 판제품 및 공작물 제조업</t>
  </si>
  <si>
    <t>샌드위치 패널</t>
  </si>
  <si>
    <t>www.sypanel.com</t>
  </si>
  <si>
    <t>015360 KS Equity</t>
  </si>
  <si>
    <t>A015360</t>
  </si>
  <si>
    <t>Yesco Holdings</t>
  </si>
  <si>
    <t>예스코홀딩스</t>
  </si>
  <si>
    <t>www.yescoholdings.com</t>
  </si>
  <si>
    <t>033340 KS Equity</t>
  </si>
  <si>
    <t>A033340</t>
  </si>
  <si>
    <t>GOODPEOPLE Co., Ltd.</t>
  </si>
  <si>
    <t>좋은사람들</t>
  </si>
  <si>
    <t>패션내의</t>
  </si>
  <si>
    <t>www.gpin.co.kr</t>
  </si>
  <si>
    <t>207760 KS Equity</t>
  </si>
  <si>
    <t>A207760</t>
  </si>
  <si>
    <t>Mr. Blue Corporation</t>
  </si>
  <si>
    <t>미스터블루</t>
  </si>
  <si>
    <t>온라인 만화 콘텐츠 서비스 및 제공, 만화 출판</t>
  </si>
  <si>
    <t>www.mrbluecorp.com</t>
  </si>
  <si>
    <t>078150 KS Equity</t>
  </si>
  <si>
    <t>A078150</t>
  </si>
  <si>
    <t>HB Technology Co., Ltd.</t>
  </si>
  <si>
    <t>HB테크놀러지</t>
  </si>
  <si>
    <t>TFT-LCD검사장비</t>
  </si>
  <si>
    <t>www.hbtechnology.co.kr</t>
  </si>
  <si>
    <t>194700 KS Equity</t>
  </si>
  <si>
    <t>A194700</t>
  </si>
  <si>
    <t>NOVAREX Co.,Ltd.</t>
  </si>
  <si>
    <t>노바렉스</t>
  </si>
  <si>
    <t>건강기능식품 제조</t>
  </si>
  <si>
    <t>www.novarex.co.kr</t>
  </si>
  <si>
    <t>088800 KS Equity</t>
  </si>
  <si>
    <t>A088800</t>
  </si>
  <si>
    <t>Ace Technologies Corp.</t>
  </si>
  <si>
    <t>에이스테크</t>
  </si>
  <si>
    <t>단말기용안테나,기지국용안테나</t>
  </si>
  <si>
    <t>www.aceteq.co.kr</t>
  </si>
  <si>
    <t>081000 KS Equity</t>
  </si>
  <si>
    <t>A081000</t>
  </si>
  <si>
    <t>ILJIN DIAMOND CO., LTD</t>
  </si>
  <si>
    <t>일진다이아</t>
  </si>
  <si>
    <t>공업용 합성다이아몬드 제조,도매,수출입</t>
  </si>
  <si>
    <t>www.iljindiamond.co.kr</t>
  </si>
  <si>
    <t>068290 KS Equity</t>
  </si>
  <si>
    <t>A068290</t>
  </si>
  <si>
    <t>SAMSUNG PUBLISHING</t>
  </si>
  <si>
    <t>삼성출판사</t>
  </si>
  <si>
    <t>서적 출판업</t>
  </si>
  <si>
    <t>서적 출판,인쇄,소매/부동산 임대</t>
  </si>
  <si>
    <t>www.samsungbooks.com</t>
  </si>
  <si>
    <t>192440 KS Equity</t>
  </si>
  <si>
    <t>A192440</t>
  </si>
  <si>
    <t>Spigen Korea Co., Ltd.</t>
  </si>
  <si>
    <t>슈피겐코리아</t>
  </si>
  <si>
    <t>핸드폰 케이스, 액정보호필름</t>
  </si>
  <si>
    <t>www.spigen.co.kr</t>
  </si>
  <si>
    <t>011000 KS Equity</t>
  </si>
  <si>
    <t>A011000</t>
  </si>
  <si>
    <t>GeneOneLifeScience</t>
  </si>
  <si>
    <t>진원생명과학</t>
  </si>
  <si>
    <t>플라스미드</t>
  </si>
  <si>
    <t>www.genels.com</t>
  </si>
  <si>
    <t>321550 KS Equity</t>
  </si>
  <si>
    <t>A321550</t>
  </si>
  <si>
    <t>TiumBio Co.,Ltd.</t>
  </si>
  <si>
    <t>티움바이오</t>
  </si>
  <si>
    <t>특발성폐섬유증 치료제, 면역항암제, 자궁내막증치료제, 혈우병치료제</t>
  </si>
  <si>
    <t>www.tiumbio.com</t>
  </si>
  <si>
    <t>363280 KS Equity</t>
  </si>
  <si>
    <t>A363280</t>
  </si>
  <si>
    <t>TY HOLDINGS</t>
  </si>
  <si>
    <t>티와이홀딩스</t>
  </si>
  <si>
    <t>ty-holdings.co.kr</t>
  </si>
  <si>
    <t>027970 KS Equity</t>
  </si>
  <si>
    <t>A027970</t>
  </si>
  <si>
    <t>Hankuk Paper MFG.</t>
  </si>
  <si>
    <t>한국제지</t>
  </si>
  <si>
    <t>백판지,마니라판지,지류,하수처리기계 제조/상하수도설비공사,수질오염방지시설공사</t>
  </si>
  <si>
    <t>www.seha.co.kr</t>
  </si>
  <si>
    <t>239890 KS Equity</t>
  </si>
  <si>
    <t>A239890</t>
  </si>
  <si>
    <t>P&amp;H TECH Co., Ltd.</t>
  </si>
  <si>
    <t>피엔에이치테크</t>
  </si>
  <si>
    <t>OLED 소재</t>
  </si>
  <si>
    <t>www.phtech.co.kr</t>
  </si>
  <si>
    <t>046440 KS Equity</t>
  </si>
  <si>
    <t>A046440</t>
  </si>
  <si>
    <t>KGMobilians Co., Ltd.</t>
  </si>
  <si>
    <t>KG모빌리언스</t>
  </si>
  <si>
    <t>유무선전화결제서비스</t>
  </si>
  <si>
    <t>www.mobilians.co.kr</t>
  </si>
  <si>
    <t>149950 KS Equity</t>
  </si>
  <si>
    <t>A149950</t>
  </si>
  <si>
    <t>AVATEC CO.,LTD.</t>
  </si>
  <si>
    <t>아바텍</t>
  </si>
  <si>
    <t>Glass Slimming &amp; ITO코팅 제품, PDP필터</t>
  </si>
  <si>
    <t>www.avatec.co.kr</t>
  </si>
  <si>
    <t>042370 KS Equity</t>
  </si>
  <si>
    <t>A042370</t>
  </si>
  <si>
    <t>VITZRO TECH Co., Ltd.</t>
  </si>
  <si>
    <t>비츠로테크</t>
  </si>
  <si>
    <t>차단기, 개폐기</t>
  </si>
  <si>
    <t>www.vitzrotech.com</t>
  </si>
  <si>
    <t>019210 KS Equity</t>
  </si>
  <si>
    <t>A019210</t>
  </si>
  <si>
    <t>YG-1 Co., Ltd.</t>
  </si>
  <si>
    <t>와이지-원</t>
  </si>
  <si>
    <t>날붙이, 수공구 및 일반철물 제조업</t>
  </si>
  <si>
    <t>톱 및 호환성 공구 제조업</t>
  </si>
  <si>
    <t>엔드밀, 탭, 드릴</t>
  </si>
  <si>
    <t>www.yg1.co.kr</t>
  </si>
  <si>
    <t>010100 KS Equity</t>
  </si>
  <si>
    <t>A010100</t>
  </si>
  <si>
    <t>KOREA MOVENEX CO., LTD.</t>
  </si>
  <si>
    <t>한국무브넥스</t>
  </si>
  <si>
    <t>자동차부품(제동,구동장치),프랜지(관이음쇠),철구조물,산업기계 제조</t>
  </si>
  <si>
    <t>www.kofco.com</t>
  </si>
  <si>
    <t>004980 KS Equity</t>
  </si>
  <si>
    <t>A004980</t>
  </si>
  <si>
    <t>SungshinCement</t>
  </si>
  <si>
    <t>성신양회</t>
  </si>
  <si>
    <t>시멘트,레미콘 제조</t>
  </si>
  <si>
    <t>www.sungshincement.co.kr</t>
  </si>
  <si>
    <t>226330 KS Equity</t>
  </si>
  <si>
    <t>A226330</t>
  </si>
  <si>
    <t>Syntekabio,Inc.</t>
  </si>
  <si>
    <t>신테카바이오</t>
  </si>
  <si>
    <t>유전체 빅데이터 기반의 AI신약개발 및 정밀의료서비스</t>
  </si>
  <si>
    <t>www.syntekabio.com</t>
  </si>
  <si>
    <t>005680 KS Equity</t>
  </si>
  <si>
    <t>A005680</t>
  </si>
  <si>
    <t>SamyoungElectronics</t>
  </si>
  <si>
    <t>삼영전자</t>
  </si>
  <si>
    <t>전자부품(알루미늄 전해콘덴서),전기이중층콘덴서,센서 제조,도매</t>
  </si>
  <si>
    <t>www.samyoung.co.kr</t>
  </si>
  <si>
    <t>037070 KS Equity</t>
  </si>
  <si>
    <t>A037070</t>
  </si>
  <si>
    <t>Paseco Co., Ltd.</t>
  </si>
  <si>
    <t>파세코</t>
  </si>
  <si>
    <t>창문형에어컨,석유스토브</t>
  </si>
  <si>
    <t>www.paseco.co.kr</t>
  </si>
  <si>
    <t>453860 KS Equity</t>
  </si>
  <si>
    <t>A453860</t>
  </si>
  <si>
    <t>AS Tech Co., Ltd.</t>
  </si>
  <si>
    <t>에이에스텍</t>
  </si>
  <si>
    <t>자외선 차단제 유기 원료</t>
  </si>
  <si>
    <t>www.astech.co.kr</t>
  </si>
  <si>
    <t>460850 KS Equity</t>
  </si>
  <si>
    <t>A460850</t>
  </si>
  <si>
    <t>DONGKUK COATED METAL</t>
  </si>
  <si>
    <t>동국씨엠</t>
  </si>
  <si>
    <t>냉연강판, 칼라강판</t>
  </si>
  <si>
    <t>000140 KS Equity</t>
  </si>
  <si>
    <t>A000140</t>
  </si>
  <si>
    <t>HITEJINROHOLDINGS</t>
  </si>
  <si>
    <t>하이트진로홀딩스</t>
  </si>
  <si>
    <t>www.hitejinroholdings.com</t>
  </si>
  <si>
    <t>036560 KS Equity</t>
  </si>
  <si>
    <t>A036560</t>
  </si>
  <si>
    <t>Young Poong Precision Corporation</t>
  </si>
  <si>
    <t>영풍정밀</t>
  </si>
  <si>
    <t>유압기기 제조업</t>
  </si>
  <si>
    <t>펌프, 밸브, 주물</t>
  </si>
  <si>
    <t>www.yppc.co.kr</t>
  </si>
  <si>
    <t>039570 KS Equity</t>
  </si>
  <si>
    <t>A039570</t>
  </si>
  <si>
    <t>HDCLABS</t>
  </si>
  <si>
    <t>HDC랩스</t>
  </si>
  <si>
    <t>내부 전기배선 공사업</t>
  </si>
  <si>
    <t>기계설비공사, 스마트홈, 지능형 빌딩, SOC, 인테리어, 조경, 시설관리</t>
  </si>
  <si>
    <t>www.hdc-labs.com</t>
  </si>
  <si>
    <t>009580 KS Equity</t>
  </si>
  <si>
    <t>A009580</t>
  </si>
  <si>
    <t>Moorim P&amp;P</t>
  </si>
  <si>
    <t>무림P&amp;P</t>
  </si>
  <si>
    <t>펄프 제조업</t>
  </si>
  <si>
    <t>표백화학펄프(B.K.P) 제조,목재가공,조림사업</t>
  </si>
  <si>
    <t>www.moorim.co.kr</t>
  </si>
  <si>
    <t>032820 KS Equity</t>
  </si>
  <si>
    <t>A032820</t>
  </si>
  <si>
    <t>Woori Technology, Incorporation</t>
  </si>
  <si>
    <t>우리기술</t>
  </si>
  <si>
    <t>배전반 및 전기 자동제어반 제조업</t>
  </si>
  <si>
    <t>시스템사업, 정보통신사업</t>
  </si>
  <si>
    <t>www.wooritg.com</t>
  </si>
  <si>
    <t>411080 KS Equity</t>
  </si>
  <si>
    <t>A411080</t>
  </si>
  <si>
    <t>SANDS LAB Inc.</t>
  </si>
  <si>
    <t>샌즈랩</t>
  </si>
  <si>
    <t>사이버 위협 인텔리전스(CTI)</t>
  </si>
  <si>
    <t>www.sandslab.io</t>
  </si>
  <si>
    <t>001080 KS Equity</t>
  </si>
  <si>
    <t>A001080</t>
  </si>
  <si>
    <t>ManhoRope&amp;Wire</t>
  </si>
  <si>
    <t>만호제강</t>
  </si>
  <si>
    <t>철강선 제조업</t>
  </si>
  <si>
    <t>와이어로프,합성섬유로프,특수강선 제조,수출,임대</t>
  </si>
  <si>
    <t>www.manhorope.com</t>
  </si>
  <si>
    <t>043610 KS Equity</t>
  </si>
  <si>
    <t>A043610</t>
  </si>
  <si>
    <t>GENIE Music Corporation</t>
  </si>
  <si>
    <t>지니뮤직</t>
  </si>
  <si>
    <t>디지털 음악 서비스 및 음원유통</t>
  </si>
  <si>
    <t>www.geniemusic.co.kr</t>
  </si>
  <si>
    <t>234080 KS Equity</t>
  </si>
  <si>
    <t>A234080</t>
  </si>
  <si>
    <t>JW LIFESCIENCE</t>
  </si>
  <si>
    <t>JW생명과학</t>
  </si>
  <si>
    <t>기초수액, TPN, 특수수액, HEMO, 영양수액 등</t>
  </si>
  <si>
    <t>www.jw-lifescience.co.kr</t>
  </si>
  <si>
    <t>382800 KS Equity</t>
  </si>
  <si>
    <t>A382800</t>
  </si>
  <si>
    <t>GnBS eco Co., Ltd.</t>
  </si>
  <si>
    <t>지앤비에스 에코</t>
  </si>
  <si>
    <t>스크러버, 트랩, 백연제거장치 등</t>
  </si>
  <si>
    <t>www.gnbseng.com</t>
  </si>
  <si>
    <t>131400 KS Equity</t>
  </si>
  <si>
    <t>A131400</t>
  </si>
  <si>
    <t>EV ADVANCED MATERIAL Co., Ltd.</t>
  </si>
  <si>
    <t>이브이첨단소재</t>
  </si>
  <si>
    <t>연성회로기판</t>
  </si>
  <si>
    <t>002100 KS Equity</t>
  </si>
  <si>
    <t>A002100</t>
  </si>
  <si>
    <t>Kyungnong</t>
  </si>
  <si>
    <t>경농</t>
  </si>
  <si>
    <t>완제농약(잡초약,살충제,살균제) 제조</t>
  </si>
  <si>
    <t>www.knco.co.kr</t>
  </si>
  <si>
    <t>011330 KS Equity</t>
  </si>
  <si>
    <t>A011330</t>
  </si>
  <si>
    <t>UNI CHEM.CO.,LTD</t>
  </si>
  <si>
    <t>유니켐</t>
  </si>
  <si>
    <t>피혁 제조,도매,무역,부동산임대</t>
  </si>
  <si>
    <t>www.uni-chem.net</t>
  </si>
  <si>
    <t>001360 KS Equity</t>
  </si>
  <si>
    <t>A001360</t>
  </si>
  <si>
    <t>SAMSUNG PHARMACEUTICAL</t>
  </si>
  <si>
    <t>삼성제약</t>
  </si>
  <si>
    <t>의약품(까스명수,쓸기담,에프킬라에어졸,액체우황청심원) 제조,도매</t>
  </si>
  <si>
    <t>www.sspharm.co.kr</t>
  </si>
  <si>
    <t>086890 KS Equity</t>
  </si>
  <si>
    <t>A086890</t>
  </si>
  <si>
    <t>ISU Abxis Co., Ltd.</t>
  </si>
  <si>
    <t>이수앱지스</t>
  </si>
  <si>
    <t>항체치료제,효소치료제</t>
  </si>
  <si>
    <t>www.abxis.com</t>
  </si>
  <si>
    <t>002390 KS Equity</t>
  </si>
  <si>
    <t>A002390</t>
  </si>
  <si>
    <t>HANDOK Inc.</t>
  </si>
  <si>
    <t>한독</t>
  </si>
  <si>
    <t>의약품(소화제,크라포란,라식스)제조,도매,부동산 임대</t>
  </si>
  <si>
    <t>www.handok.co.kr</t>
  </si>
  <si>
    <t>339770 KS Equity</t>
  </si>
  <si>
    <t>A339770</t>
  </si>
  <si>
    <t>KYOCHON FOOD&amp;BEVERAGE</t>
  </si>
  <si>
    <t>교촌에프앤비</t>
  </si>
  <si>
    <t>신선식품 및 단순 가공식품 도매업</t>
  </si>
  <si>
    <t>육류 도매업</t>
  </si>
  <si>
    <t>치킨 프랜차이즈</t>
  </si>
  <si>
    <t>www.kyochonfnb.com</t>
  </si>
  <si>
    <t>002990 KS Equity</t>
  </si>
  <si>
    <t>A002990</t>
  </si>
  <si>
    <t>KUMHOE&amp;C</t>
  </si>
  <si>
    <t>금호건설</t>
  </si>
  <si>
    <t>종합건설/여객운송,관광/부동산 임대,분양</t>
  </si>
  <si>
    <t>www.kumhoenc.com</t>
  </si>
  <si>
    <t>451220 KS Equity</t>
  </si>
  <si>
    <t>A451220</t>
  </si>
  <si>
    <t>IMT CO.,LTD.</t>
  </si>
  <si>
    <t>아이엠티</t>
  </si>
  <si>
    <t>건식세정 장비 및 EUV Mask Baking Laser</t>
  </si>
  <si>
    <t>www.imt-c.co.kr</t>
  </si>
  <si>
    <t>220100 KS Equity</t>
  </si>
  <si>
    <t>A220100</t>
  </si>
  <si>
    <t>FutureChem. Co.,Ltd.</t>
  </si>
  <si>
    <t>퓨쳐켐</t>
  </si>
  <si>
    <t>PET 방사성의약품, 자동합성장치, 합성시약 및 전구체</t>
  </si>
  <si>
    <t>www.futurechem.co.kr</t>
  </si>
  <si>
    <t>011040 KS Equity</t>
  </si>
  <si>
    <t>A011040</t>
  </si>
  <si>
    <t>Kyungdong Pharmaceutical Co., Ltd.</t>
  </si>
  <si>
    <t>경동제약</t>
  </si>
  <si>
    <t>듀오로반정, 발디핀정, 아트로반정 등</t>
  </si>
  <si>
    <t>www.kdpharma.co.kr</t>
  </si>
  <si>
    <t>063170 KS Equity</t>
  </si>
  <si>
    <t>A063170</t>
  </si>
  <si>
    <t>Seoul Auction Co.,Ltd.</t>
  </si>
  <si>
    <t>서울옥션</t>
  </si>
  <si>
    <t>미술품경매</t>
  </si>
  <si>
    <t>www.seoulauction.com</t>
  </si>
  <si>
    <t>236200 KS Equity</t>
  </si>
  <si>
    <t>A236200</t>
  </si>
  <si>
    <t>Suprema Inc.</t>
  </si>
  <si>
    <t>슈프리마</t>
  </si>
  <si>
    <t>유선 통신장비 제조업</t>
  </si>
  <si>
    <t>바이오인식 관련 제품</t>
  </si>
  <si>
    <t>www.supremainc.com</t>
  </si>
  <si>
    <t>035080 KS Equity</t>
  </si>
  <si>
    <t>A035080</t>
  </si>
  <si>
    <t>Gradiant Corporation</t>
  </si>
  <si>
    <t>그래디언트</t>
  </si>
  <si>
    <t>무점포 소매업</t>
  </si>
  <si>
    <t>전자상거래</t>
  </si>
  <si>
    <t>www.gradiant.co.kr</t>
  </si>
  <si>
    <t>030960 KS Equity</t>
  </si>
  <si>
    <t>A030960</t>
  </si>
  <si>
    <t>Yangjisa Co., Ltd.</t>
  </si>
  <si>
    <t>양지사</t>
  </si>
  <si>
    <t>인쇄업</t>
  </si>
  <si>
    <t>기타 인쇄업</t>
  </si>
  <si>
    <t>다이어리</t>
  </si>
  <si>
    <t>www.yangjisa.com</t>
  </si>
  <si>
    <t>439580 KS Equity</t>
  </si>
  <si>
    <t>A439580</t>
  </si>
  <si>
    <t>BLUEMTEC CO., LTD.</t>
  </si>
  <si>
    <t>블루엠텍</t>
  </si>
  <si>
    <t>의약품 유통업</t>
  </si>
  <si>
    <t>www.bluemtec.com</t>
  </si>
  <si>
    <t>065560 KS Equity</t>
  </si>
  <si>
    <t>A065560</t>
  </si>
  <si>
    <t>Nokwon Commercials &amp; Industries, Inc.</t>
  </si>
  <si>
    <t>녹원씨엔아이</t>
  </si>
  <si>
    <t>인쇄 및 인쇄관련 산업</t>
  </si>
  <si>
    <t>www.nokwoncni.co.kr</t>
  </si>
  <si>
    <t>083930 KS Equity</t>
  </si>
  <si>
    <t>A083930</t>
  </si>
  <si>
    <t>Avaco Co., Ltd.</t>
  </si>
  <si>
    <t>아바코</t>
  </si>
  <si>
    <t>평판디스플레이제조용장비</t>
  </si>
  <si>
    <t>www.avaco.co.kr</t>
  </si>
  <si>
    <t>078520 KS Equity</t>
  </si>
  <si>
    <t>A078520</t>
  </si>
  <si>
    <t>ABLE C&amp;C</t>
  </si>
  <si>
    <t>에이블씨엔씨</t>
  </si>
  <si>
    <t>화장품 제조,도소매/소프트웨어 자문,개발,공급/전자상거래</t>
  </si>
  <si>
    <t>www.able-cnc.com</t>
  </si>
  <si>
    <t>004250 KS Equity</t>
  </si>
  <si>
    <t>A004250</t>
  </si>
  <si>
    <t>NPC</t>
  </si>
  <si>
    <t>산업용기프라스틱제품(플라스틱 파렛트,시트 파렛트) 제조,판매</t>
  </si>
  <si>
    <t>www.npc.co.kr</t>
  </si>
  <si>
    <t>035810 KS Equity</t>
  </si>
  <si>
    <t>A035810</t>
  </si>
  <si>
    <t>Easy Holdings Co.,Ltd.</t>
  </si>
  <si>
    <t>이지홀딩스</t>
  </si>
  <si>
    <t>www.easybio.co.kr</t>
  </si>
  <si>
    <t>348150 KS Equity</t>
  </si>
  <si>
    <t>A348150</t>
  </si>
  <si>
    <t>KoBioLabs,Inc.</t>
  </si>
  <si>
    <t>고바이오랩</t>
  </si>
  <si>
    <t>마이크로바이옴 치료제 및 건강기능식품</t>
  </si>
  <si>
    <t>www.kobiolabs.com</t>
  </si>
  <si>
    <t>038540 KS Equity</t>
  </si>
  <si>
    <t>A038540</t>
  </si>
  <si>
    <t>Sangsangin Co., Ltd.</t>
  </si>
  <si>
    <t>상상인</t>
  </si>
  <si>
    <t>IT 통합 솔루션</t>
  </si>
  <si>
    <t>www.sangsanginworld.co.kr</t>
  </si>
  <si>
    <t>006060 KS Equity</t>
  </si>
  <si>
    <t>A006060</t>
  </si>
  <si>
    <t>HSIndustries</t>
  </si>
  <si>
    <t>화승인더</t>
  </si>
  <si>
    <t>포장용 합성수지 제조/신발,필름 판매/부동산 임대</t>
  </si>
  <si>
    <t>www.hsi.co.kr</t>
  </si>
  <si>
    <t>168360 KS Equity</t>
  </si>
  <si>
    <t>A168360</t>
  </si>
  <si>
    <t>PEMTRON Corporation</t>
  </si>
  <si>
    <t>펨트론</t>
  </si>
  <si>
    <t>3D 정밀측정 검사장비</t>
  </si>
  <si>
    <t>www.pemtron.com</t>
  </si>
  <si>
    <t>211050 KS Equity</t>
  </si>
  <si>
    <t>A211050</t>
  </si>
  <si>
    <t>INCAR FINANCE SERVICE CO., LTD.</t>
  </si>
  <si>
    <t>인카금융서비스</t>
  </si>
  <si>
    <t>보험 및 연금관련 서비스업</t>
  </si>
  <si>
    <t>보험 대리 및 중개업</t>
  </si>
  <si>
    <t>보험 판매</t>
  </si>
  <si>
    <t>www.incar.co.kr</t>
  </si>
  <si>
    <t>376190 KS Equity</t>
  </si>
  <si>
    <t>A376190</t>
  </si>
  <si>
    <t>LB Lusem Co., Ltd.</t>
  </si>
  <si>
    <t>LB루셈</t>
  </si>
  <si>
    <t>디스플레이 구동 반도체(Driver IC)</t>
  </si>
  <si>
    <t>www.lblusem.com</t>
  </si>
  <si>
    <t>092870 KS Equity</t>
  </si>
  <si>
    <t>A092870</t>
  </si>
  <si>
    <t>Exicon Co.,Ltd.</t>
  </si>
  <si>
    <t>엑시콘</t>
  </si>
  <si>
    <t>www.exicon.co.kr</t>
  </si>
  <si>
    <t>046210 KS Equity</t>
  </si>
  <si>
    <t>A046210</t>
  </si>
  <si>
    <t>HLB PANAGENE Co., LTD.</t>
  </si>
  <si>
    <t>HLB파나진</t>
  </si>
  <si>
    <t>의료용품및 기타 의약관련 제품 제조업</t>
  </si>
  <si>
    <t>www.panagene.com</t>
  </si>
  <si>
    <t>077500 KS Equity</t>
  </si>
  <si>
    <t>A077500</t>
  </si>
  <si>
    <t>Uniquest Corporation</t>
  </si>
  <si>
    <t>유니퀘스트</t>
  </si>
  <si>
    <t>반도체직접회로 도매,무역,제조</t>
  </si>
  <si>
    <t>www.uniquest.co.kr</t>
  </si>
  <si>
    <t>214180 KS Equity</t>
  </si>
  <si>
    <t>A214180</t>
  </si>
  <si>
    <t>Hecto Innovation Co., Ltd.</t>
  </si>
  <si>
    <t>헥토이노베이션</t>
  </si>
  <si>
    <t>휴대폰부가서비스</t>
  </si>
  <si>
    <t>214390 KS Equity</t>
  </si>
  <si>
    <t>A214390</t>
  </si>
  <si>
    <t>KYONGBO PHARMACEUTICAL CO., LTD.</t>
  </si>
  <si>
    <t>경보제약</t>
  </si>
  <si>
    <t>아토르바스타틴, 세프티족심, 세프트리약손</t>
  </si>
  <si>
    <t>www.kbpharma.co.kr</t>
  </si>
  <si>
    <t>096240 KS Equity</t>
  </si>
  <si>
    <t>A096240</t>
  </si>
  <si>
    <t>Creverse, Inc.</t>
  </si>
  <si>
    <t>크레버스</t>
  </si>
  <si>
    <t>방문 교육 학원</t>
  </si>
  <si>
    <t>청담어학원</t>
  </si>
  <si>
    <t>246710 KS Equity</t>
  </si>
  <si>
    <t>A246710</t>
  </si>
  <si>
    <t>T&amp;R Biofab Co., Ltd.</t>
  </si>
  <si>
    <t>티앤알바이오팹</t>
  </si>
  <si>
    <t>생분해성 의료기기, 3D 바이오프린팅 시스템, 바이오잉크, 3D 오가노이드, 3D 세포치료제</t>
  </si>
  <si>
    <t>www.tnrbiofab.com</t>
  </si>
  <si>
    <t>038110 KS Equity</t>
  </si>
  <si>
    <t>A038110</t>
  </si>
  <si>
    <t>Ecoplastic Corporation</t>
  </si>
  <si>
    <t>에코플라스틱</t>
  </si>
  <si>
    <t>BUMPER 및 자동차TRIM류</t>
  </si>
  <si>
    <t>www.eco-plastic.com</t>
  </si>
  <si>
    <t>016450 KS Equity</t>
  </si>
  <si>
    <t>A016450</t>
  </si>
  <si>
    <t>HansaeYes24Holdings</t>
  </si>
  <si>
    <t>한세예스24홀딩스</t>
  </si>
  <si>
    <t>의류(니트) 제조,도소매,원단 제조,부동산 임대</t>
  </si>
  <si>
    <t>www.hansaeyes24.com</t>
  </si>
  <si>
    <t>091440 KS Equity</t>
  </si>
  <si>
    <t>A091440</t>
  </si>
  <si>
    <t>한울소재과학</t>
  </si>
  <si>
    <t>광전송장비</t>
  </si>
  <si>
    <t>www.telefield.com</t>
  </si>
  <si>
    <t>110790 KS Equity</t>
  </si>
  <si>
    <t>A110790</t>
  </si>
  <si>
    <t>Creas F&amp;C Co., Ltd.</t>
  </si>
  <si>
    <t>크리스에프앤씨</t>
  </si>
  <si>
    <t>골프웨어</t>
  </si>
  <si>
    <t>www.creas.co.kr</t>
  </si>
  <si>
    <t>005860 KS Equity</t>
  </si>
  <si>
    <t>A005860</t>
  </si>
  <si>
    <t>HanilFeed Co., Ltd.</t>
  </si>
  <si>
    <t>한일사료</t>
  </si>
  <si>
    <t>배합사료</t>
  </si>
  <si>
    <t>www.hanilfeed.com</t>
  </si>
  <si>
    <t>337930 KS Equity</t>
  </si>
  <si>
    <t>A337930</t>
  </si>
  <si>
    <t>Brand X Co.,Ltd.</t>
  </si>
  <si>
    <t>브랜드엑스코퍼레이션</t>
  </si>
  <si>
    <t>애슬레저의류, 생활/청결 용품</t>
  </si>
  <si>
    <t>www.brandxcorp.com</t>
  </si>
  <si>
    <t>205100 KS Equity</t>
  </si>
  <si>
    <t>A205100</t>
  </si>
  <si>
    <t>EXEM Co., Ltd.</t>
  </si>
  <si>
    <t>엑셈</t>
  </si>
  <si>
    <t>DB, E2E 성능관리 SW</t>
  </si>
  <si>
    <t>www.ex-em.com</t>
  </si>
  <si>
    <t>003070 KS Equity</t>
  </si>
  <si>
    <t>A003070</t>
  </si>
  <si>
    <t>KolonGlobalCorporation</t>
  </si>
  <si>
    <t>코오롱글로벌</t>
  </si>
  <si>
    <t>토목공사,일반건설,주택건설,해외건설,소각로설비공사/환경플랜트,폐처리기 제조</t>
  </si>
  <si>
    <t>www.kolonglobal.com</t>
  </si>
  <si>
    <t>111380 KS Equity</t>
  </si>
  <si>
    <t>A111380</t>
  </si>
  <si>
    <t>DONG IN ENTECH</t>
  </si>
  <si>
    <t>동인기연</t>
  </si>
  <si>
    <t>가죽, 가방 및 유사제품 제조업</t>
  </si>
  <si>
    <t>스포츠용품(등산용가방,골프백),금속압형제품,유아용품 제조,도소매,통신 판매/부동산 임대</t>
  </si>
  <si>
    <t>www.dong-in.com</t>
  </si>
  <si>
    <t>107590 KS Equity</t>
  </si>
  <si>
    <t>A107590</t>
  </si>
  <si>
    <t>Miwon Holdings Co.,Ltd.</t>
  </si>
  <si>
    <t>미원홀딩스</t>
  </si>
  <si>
    <t>도료첨가제</t>
  </si>
  <si>
    <t>015860 KS Equity</t>
  </si>
  <si>
    <t>A015860</t>
  </si>
  <si>
    <t>ILJINHOLDINGS</t>
  </si>
  <si>
    <t>일진홀딩스</t>
  </si>
  <si>
    <t>전기산업용기기(개폐기,차단기,배전반),자동화시스템,자동차엔진부품,절연전선,금구류,고압선,저압선 제조,판매/전기공사,가스절연차단기</t>
  </si>
  <si>
    <t>www.iljin.co.kr</t>
  </si>
  <si>
    <t>139990 KS Equity</t>
  </si>
  <si>
    <t>A139990</t>
  </si>
  <si>
    <t>AJUSTEEL</t>
  </si>
  <si>
    <t>아주스틸</t>
  </si>
  <si>
    <t>프리미엄 가전용 고품질 컬러강판, 건자재 등</t>
  </si>
  <si>
    <t>ajusteel.co.kr</t>
  </si>
  <si>
    <t>015590 KS Equity</t>
  </si>
  <si>
    <t>A015590</t>
  </si>
  <si>
    <t>Kib plug energy</t>
  </si>
  <si>
    <t>KIB플러그에너지</t>
  </si>
  <si>
    <t>열교환기,압력용기,저장탱크,산업용보일러 제조</t>
  </si>
  <si>
    <t>138610 KS Equity</t>
  </si>
  <si>
    <t>A138610</t>
  </si>
  <si>
    <t>NIBEC Co., Ltd.</t>
  </si>
  <si>
    <t>나이벡</t>
  </si>
  <si>
    <t>치아미백제,치과용 골이식재</t>
  </si>
  <si>
    <t>www.nibec.co.kr</t>
  </si>
  <si>
    <t>225530 KS Equity</t>
  </si>
  <si>
    <t>A225530</t>
  </si>
  <si>
    <t>BoKwang Industry Co.,Ltd.</t>
  </si>
  <si>
    <t>보광산업</t>
  </si>
  <si>
    <t>콘크리트용 부순골재, 아스콘, 레미콘</t>
  </si>
  <si>
    <t>www.bokwangindustry.co.kr</t>
  </si>
  <si>
    <t>457550 KS Equity</t>
  </si>
  <si>
    <t>A457550</t>
  </si>
  <si>
    <t>WOOJIN Ntec Inc.</t>
  </si>
  <si>
    <t>우진엔텍</t>
  </si>
  <si>
    <t>발전소 계측제어설비 정비 서비스</t>
  </si>
  <si>
    <t>www.woojinntec.com</t>
  </si>
  <si>
    <t>317400 KS Equity</t>
  </si>
  <si>
    <t>A317400</t>
  </si>
  <si>
    <t>XI S&amp;D</t>
  </si>
  <si>
    <t>자이에스앤디</t>
  </si>
  <si>
    <t>부동산 임대 및 공급업</t>
  </si>
  <si>
    <t>부동산 관리, 정보통신 공사, 아파트 AS 및 옵션 제품 공급, 건축물 시공 및 분양</t>
  </si>
  <si>
    <t>www.xisnd.com</t>
  </si>
  <si>
    <t>023760 KS Equity</t>
  </si>
  <si>
    <t>A023760</t>
  </si>
  <si>
    <t>Han Kook Capital Co., Ltd.</t>
  </si>
  <si>
    <t>한국캐피탈</t>
  </si>
  <si>
    <t>금융리스업</t>
  </si>
  <si>
    <t>리스수수료</t>
  </si>
  <si>
    <t>www.hankookcapital.co.kr</t>
  </si>
  <si>
    <t>950190 KS Equity</t>
  </si>
  <si>
    <t>A950190</t>
  </si>
  <si>
    <t>GHOST STUDIO CO., LTD.</t>
  </si>
  <si>
    <t>고스트스튜디오</t>
  </si>
  <si>
    <t>캐주얼게임, 소셜카지노게임</t>
  </si>
  <si>
    <t>www.me2zen.com</t>
  </si>
  <si>
    <t>203650 KS Equity</t>
  </si>
  <si>
    <t>A203650</t>
  </si>
  <si>
    <t>Dream Security Co.,Ltd.</t>
  </si>
  <si>
    <t>드림시큐리티</t>
  </si>
  <si>
    <t>정보보안솔루션</t>
  </si>
  <si>
    <t>www.dreamsecurity.com</t>
  </si>
  <si>
    <t>092790 KS Equity</t>
  </si>
  <si>
    <t>A092790</t>
  </si>
  <si>
    <t>NEXTEEL</t>
  </si>
  <si>
    <t>넥스틸</t>
  </si>
  <si>
    <t>OCTG Pipe, Line Pipe, Standard Pipe, 일반관</t>
  </si>
  <si>
    <t>www.nexteel.co.kr</t>
  </si>
  <si>
    <t>024810 KS Equity</t>
  </si>
  <si>
    <t>A024810</t>
  </si>
  <si>
    <t>Ehwa Technologies Information Co., Ltd.</t>
  </si>
  <si>
    <t>이화전기</t>
  </si>
  <si>
    <t>무정전전원공급장치</t>
  </si>
  <si>
    <t>www.eti21.com</t>
  </si>
  <si>
    <t>388870 KS Equity</t>
  </si>
  <si>
    <t>A388870</t>
  </si>
  <si>
    <t>Pharos iBio Co., Ltd.</t>
  </si>
  <si>
    <t>파로스아이바이오</t>
  </si>
  <si>
    <t>PHI-101 급성골수성백혈병 치료제 및 재발성난소암 치료제</t>
  </si>
  <si>
    <t>www.pharosibio.com</t>
  </si>
  <si>
    <t>222810 KS Equity</t>
  </si>
  <si>
    <t>A222810</t>
  </si>
  <si>
    <t>Setopia Co.,Ltd.</t>
  </si>
  <si>
    <t>세토피아</t>
  </si>
  <si>
    <t>보안솔루션 개발 외</t>
  </si>
  <si>
    <t>www.se-topia.com</t>
  </si>
  <si>
    <t>156100 KS Equity</t>
  </si>
  <si>
    <t>A156100</t>
  </si>
  <si>
    <t>L&amp;K BIOMED Co., Ltd.</t>
  </si>
  <si>
    <t>엘앤케이바이오</t>
  </si>
  <si>
    <t>척추 임플란트</t>
  </si>
  <si>
    <t>www.lnkbiomed.com</t>
  </si>
  <si>
    <t>044340 KS Equity</t>
  </si>
  <si>
    <t>A044340</t>
  </si>
  <si>
    <t>Winix Inc.</t>
  </si>
  <si>
    <t>위닉스</t>
  </si>
  <si>
    <t>일반목적용 기계제조업</t>
  </si>
  <si>
    <t>www.winix.com</t>
  </si>
  <si>
    <t>100130 KS Equity</t>
  </si>
  <si>
    <t>A100130</t>
  </si>
  <si>
    <t>DONGKUK STRUCTURES &amp; CONSTRUCTION COMPANY LIMITED</t>
  </si>
  <si>
    <t>동국S&amp;C</t>
  </si>
  <si>
    <t>Wind-Tower</t>
  </si>
  <si>
    <t>www.dongkuksnc.co.kr</t>
  </si>
  <si>
    <t>084730 KS Equity</t>
  </si>
  <si>
    <t>A084730</t>
  </si>
  <si>
    <t>Thinkware Corporation</t>
  </si>
  <si>
    <t>팅크웨어</t>
  </si>
  <si>
    <t>내비게이션,블랙박스,태블릿 및 위치정보서비스</t>
  </si>
  <si>
    <t>www.thinkware.co.kr</t>
  </si>
  <si>
    <t>027710 KS Equity</t>
  </si>
  <si>
    <t>A027710</t>
  </si>
  <si>
    <t>FARMSTORY CO., LTD.</t>
  </si>
  <si>
    <t>팜스토리</t>
  </si>
  <si>
    <t>사료</t>
  </si>
  <si>
    <t>www.dodrambnf.co.kr</t>
  </si>
  <si>
    <t>092190 KS Equity</t>
  </si>
  <si>
    <t>A092190</t>
  </si>
  <si>
    <t>SEOUL VIOSYS CO., LTD.</t>
  </si>
  <si>
    <t>서울바이오시스</t>
  </si>
  <si>
    <t>Visible LED, UV LED</t>
  </si>
  <si>
    <t>www.seoulviosys.com</t>
  </si>
  <si>
    <t>015890 KS Equity</t>
  </si>
  <si>
    <t>A015890</t>
  </si>
  <si>
    <t>TaekyungIndustrial</t>
  </si>
  <si>
    <t>태경산업</t>
  </si>
  <si>
    <t>제강용 정련제(프락스),카바이드,중질탈산칼슘 제조,판매/고속도로휴게소 운영</t>
  </si>
  <si>
    <t>www.taekyung.co.kr</t>
  </si>
  <si>
    <t>136540 KS Equity</t>
  </si>
  <si>
    <t>A136540</t>
  </si>
  <si>
    <t>Wins Co., Ltd.</t>
  </si>
  <si>
    <t>윈스</t>
  </si>
  <si>
    <t>네크워크보안장비(IPS, 안티 DDoS)</t>
  </si>
  <si>
    <t>www.wins21.co.kr</t>
  </si>
  <si>
    <t>125210 KS Equity</t>
  </si>
  <si>
    <t>A125210</t>
  </si>
  <si>
    <t>AMOGREENTECH CO.,LTD.</t>
  </si>
  <si>
    <t>아모그린텍</t>
  </si>
  <si>
    <t>비정질 및 나노결정립을 이용한 자성부품 및 전류센서</t>
  </si>
  <si>
    <t>www.amogreentech.co.kr</t>
  </si>
  <si>
    <t>007860 KS Equity</t>
  </si>
  <si>
    <t>A007860</t>
  </si>
  <si>
    <t>SEOYON</t>
  </si>
  <si>
    <t>서연</t>
  </si>
  <si>
    <t>자동차부품(승용차내장품-도어트림,헤드라이닝,승용차시트) 제조,도매</t>
  </si>
  <si>
    <t>www.seo-yon.com</t>
  </si>
  <si>
    <t>010580 KS Equity</t>
  </si>
  <si>
    <t>A010580</t>
  </si>
  <si>
    <t>SM BEXEL CO.,LTD.</t>
  </si>
  <si>
    <t>에스엠벡셀</t>
  </si>
  <si>
    <t>자동차부품(워터펌프,오일펌프,엔진헤드(GV6),프론트케이스) 제조</t>
  </si>
  <si>
    <t>www.smbexel.com</t>
  </si>
  <si>
    <t>090350 KS Equity</t>
  </si>
  <si>
    <t>A090350</t>
  </si>
  <si>
    <t>NOROO PAINT</t>
  </si>
  <si>
    <t>노루페인트</t>
  </si>
  <si>
    <t>페인트 제조</t>
  </si>
  <si>
    <t>www.noroopaint.com</t>
  </si>
  <si>
    <t>005430 KS Equity</t>
  </si>
  <si>
    <t>A005430</t>
  </si>
  <si>
    <t>KoreaAirportService</t>
  </si>
  <si>
    <t>한국공항</t>
  </si>
  <si>
    <t>항공 운송지원 서비스업</t>
  </si>
  <si>
    <t>기타 항공 운송지원 서비스업</t>
  </si>
  <si>
    <t>항공기 지상조업,항공화물 상하역,장비대여,항공용역사업,항공기급유,항공화물 취급,보관,부정기헬기운송,여행알선,광업,먹는샘물 제조,농축산업</t>
  </si>
  <si>
    <t>www.kas.co.kr</t>
  </si>
  <si>
    <t>045970 KS Equity</t>
  </si>
  <si>
    <t>A045970</t>
  </si>
  <si>
    <t>CoAsia Corporation</t>
  </si>
  <si>
    <t>코아시아</t>
  </si>
  <si>
    <t>LED패키지</t>
  </si>
  <si>
    <t>www.coasiaholdings.com</t>
  </si>
  <si>
    <t>003160 KS Equity</t>
  </si>
  <si>
    <t>A003160</t>
  </si>
  <si>
    <t>DI</t>
  </si>
  <si>
    <t>디아이</t>
  </si>
  <si>
    <t>반도체검사장비,전자부품,레저용품,석제품 제조,판매,오파,부동산임대업</t>
  </si>
  <si>
    <t>www.di.co.kr</t>
  </si>
  <si>
    <t>377450 KS Equity</t>
  </si>
  <si>
    <t>A377450</t>
  </si>
  <si>
    <t>REFINE Co., Ltd.</t>
  </si>
  <si>
    <t>리파인</t>
  </si>
  <si>
    <t>권리조사</t>
  </si>
  <si>
    <t>www.refine.co.kr</t>
  </si>
  <si>
    <t>013990 KS Equity</t>
  </si>
  <si>
    <t>A013990</t>
  </si>
  <si>
    <t>AGABANG&amp;COMPANY</t>
  </si>
  <si>
    <t>아가방컴퍼니</t>
  </si>
  <si>
    <t>생활용 섬유제품, 의복, 의복 액세 서리 및 모피제품 도매업</t>
  </si>
  <si>
    <t>유아용 의류 도매업</t>
  </si>
  <si>
    <t>유아용 의류 및 용품</t>
  </si>
  <si>
    <t>www.agabangncompany.com</t>
  </si>
  <si>
    <t>115960 KS Equity</t>
  </si>
  <si>
    <t>A115960</t>
  </si>
  <si>
    <t>YONWOO CO., LTD</t>
  </si>
  <si>
    <t>연우</t>
  </si>
  <si>
    <t>www.yonwookorea.com</t>
  </si>
  <si>
    <t>100250 KS Equity</t>
  </si>
  <si>
    <t>A100250</t>
  </si>
  <si>
    <t>Chinyang Holdings Corporation</t>
  </si>
  <si>
    <t>진양홀딩스</t>
  </si>
  <si>
    <t>투자,경영컨설팅</t>
  </si>
  <si>
    <t>www.cyholdings.kr</t>
  </si>
  <si>
    <t>094820 KS Equity</t>
  </si>
  <si>
    <t>A094820</t>
  </si>
  <si>
    <t>ILJIN Power Co., Ltd.</t>
  </si>
  <si>
    <t>일진파워</t>
  </si>
  <si>
    <t>전기 및 통신 공사업</t>
  </si>
  <si>
    <t>열교환기,압력용기</t>
  </si>
  <si>
    <t>www.ijeng.com</t>
  </si>
  <si>
    <t>347860 KS Equity</t>
  </si>
  <si>
    <t>A347860</t>
  </si>
  <si>
    <t>Alchera inc.</t>
  </si>
  <si>
    <t>알체라</t>
  </si>
  <si>
    <t>얼굴인식 AI, 이상상황 감지 AI 등</t>
  </si>
  <si>
    <t>www.alcherainc.com</t>
  </si>
  <si>
    <t>014280 KS Equity</t>
  </si>
  <si>
    <t>A014280</t>
  </si>
  <si>
    <t>KUMKANG KIND</t>
  </si>
  <si>
    <t>금강공업</t>
  </si>
  <si>
    <t>건설가설재,강관,거푸집 제조,판매</t>
  </si>
  <si>
    <t>www.kumkangkind.com</t>
  </si>
  <si>
    <t>419080 KS Equity</t>
  </si>
  <si>
    <t>A419080</t>
  </si>
  <si>
    <t>ENJET Co.,LTD.</t>
  </si>
  <si>
    <t>엔젯</t>
  </si>
  <si>
    <t>EHD 잉크젯 프린터, EHD 코터</t>
  </si>
  <si>
    <t>www.enjet.co.kr</t>
  </si>
  <si>
    <t>048550 KS Equity</t>
  </si>
  <si>
    <t>A048550</t>
  </si>
  <si>
    <t>SM Culture &amp; Contents Co., Ltd.</t>
  </si>
  <si>
    <t>SM C&amp;C</t>
  </si>
  <si>
    <t>광고업</t>
  </si>
  <si>
    <t>영상콘텐츠 제작 및 매니지먼트, 광고, 여행</t>
  </si>
  <si>
    <t>www.smcultureandcontents.com</t>
  </si>
  <si>
    <t>128820 KS Equity</t>
  </si>
  <si>
    <t>A128820</t>
  </si>
  <si>
    <t>DAESUNG INDUSTRIAL</t>
  </si>
  <si>
    <t>대성산업</t>
  </si>
  <si>
    <t>연료 소매업</t>
  </si>
  <si>
    <t>주요소운영,기계판매 등</t>
  </si>
  <si>
    <t>www.daesung.co.kr</t>
  </si>
  <si>
    <t>011700 KS Equity</t>
  </si>
  <si>
    <t>A011700</t>
  </si>
  <si>
    <t>HanshinMachinery</t>
  </si>
  <si>
    <t>한신기계</t>
  </si>
  <si>
    <t>펌프 및 압축기 제조업; 탭, 밸브 및 유사장치 제조 포함</t>
  </si>
  <si>
    <t>기체 펌프 및 압축기 제조업</t>
  </si>
  <si>
    <t>공기압축기,공구류 제조,판매/오파</t>
  </si>
  <si>
    <t>www.hanshin.co.kr</t>
  </si>
  <si>
    <t>262260 KS Equity</t>
  </si>
  <si>
    <t>A262260</t>
  </si>
  <si>
    <t>APRO Co., Ltd.</t>
  </si>
  <si>
    <t>에이프로</t>
  </si>
  <si>
    <t>2차전지 장비 등(일반충방전기, 고온가압 충방전기 등)</t>
  </si>
  <si>
    <t>www.aproele.com</t>
  </si>
  <si>
    <t>357230 KS Equity</t>
  </si>
  <si>
    <t>A357230</t>
  </si>
  <si>
    <t>H.PIO Co., Ltd.</t>
  </si>
  <si>
    <t>에이치피오</t>
  </si>
  <si>
    <t>건강기능식품(유산균, 비타민 등)</t>
  </si>
  <si>
    <t>denps.com/kor</t>
  </si>
  <si>
    <t>105840 KS Equity</t>
  </si>
  <si>
    <t>A105840</t>
  </si>
  <si>
    <t>WOOJIN INC</t>
  </si>
  <si>
    <t>우진</t>
  </si>
  <si>
    <t>원전용계측기</t>
  </si>
  <si>
    <t>www.woojininc.com</t>
  </si>
  <si>
    <t>432470 KS Equity</t>
  </si>
  <si>
    <t>A432470</t>
  </si>
  <si>
    <t>KOREA NANO SYSTEM CO.,LTD.</t>
  </si>
  <si>
    <t>케이엔에스</t>
  </si>
  <si>
    <t>이차전지 자동화 설비</t>
  </si>
  <si>
    <t>www.knssystem.com</t>
  </si>
  <si>
    <t>067080 KS Equity</t>
  </si>
  <si>
    <t>A067080</t>
  </si>
  <si>
    <t>DAEHWA PHARM CO.,LTD.</t>
  </si>
  <si>
    <t>대화제약</t>
  </si>
  <si>
    <t>후로스판, 세파메칠 등</t>
  </si>
  <si>
    <t>www.dhpharm.co.kr</t>
  </si>
  <si>
    <t>023910 KS Equity</t>
  </si>
  <si>
    <t>A023910</t>
  </si>
  <si>
    <t>Daihan Pharmaceutical Co., Ltd.</t>
  </si>
  <si>
    <t>대한약품</t>
  </si>
  <si>
    <t>수액제</t>
  </si>
  <si>
    <t>www.daihan.com</t>
  </si>
  <si>
    <t>072770 KS Equity</t>
  </si>
  <si>
    <t>A072770</t>
  </si>
  <si>
    <t>Yulho Co., LTD.</t>
  </si>
  <si>
    <t>율호</t>
  </si>
  <si>
    <t>무선인터넷플랫폼</t>
  </si>
  <si>
    <t>www.neodian.co.kr</t>
  </si>
  <si>
    <t>002620 KS Equity</t>
  </si>
  <si>
    <t>A002620</t>
  </si>
  <si>
    <t>JEIL PHARMA HOLDINGS INC.</t>
  </si>
  <si>
    <t>제일파마홀딩스</t>
  </si>
  <si>
    <t>의약품(타리비드,제일파프,노엘,푸라솔) 제조,도매</t>
  </si>
  <si>
    <t>388050 KS Equity</t>
  </si>
  <si>
    <t>A388050</t>
  </si>
  <si>
    <t>G2Power Co.,Ltd.</t>
  </si>
  <si>
    <t>지투파워</t>
  </si>
  <si>
    <t>수·배전반, 태양광발전시스템, 인버터(PCS)</t>
  </si>
  <si>
    <t>www.g2p.co.kr</t>
  </si>
  <si>
    <t>251370 KS Equity</t>
  </si>
  <si>
    <t>A251370</t>
  </si>
  <si>
    <t>YMT CO., LTD.</t>
  </si>
  <si>
    <t>와이엠티</t>
  </si>
  <si>
    <t>PCB, 반도체 및 디스플레이 제조용 화학소재 등</t>
  </si>
  <si>
    <t>www.ymtechnology.com</t>
  </si>
  <si>
    <t>033230 KS Equity</t>
  </si>
  <si>
    <t>A033230</t>
  </si>
  <si>
    <t>Insung Information Co., Ltd.</t>
  </si>
  <si>
    <t>인성정보</t>
  </si>
  <si>
    <t>넷트워크 관련 장비 및 솔루션</t>
  </si>
  <si>
    <t>www.insunginfo.co.kr</t>
  </si>
  <si>
    <t>006620 KS Equity</t>
  </si>
  <si>
    <t>A006620</t>
  </si>
  <si>
    <t>DongKoo Bio &amp; Pharma Co., Ltd.</t>
  </si>
  <si>
    <t>동구바이오제약</t>
  </si>
  <si>
    <t>피부, 비뇨기과 완제의약품</t>
  </si>
  <si>
    <t>www.dongkoo.com</t>
  </si>
  <si>
    <t>083420 KS Equity</t>
  </si>
  <si>
    <t>A083420</t>
  </si>
  <si>
    <t>GREEN CHEMICAL</t>
  </si>
  <si>
    <t>그린케미칼</t>
  </si>
  <si>
    <t>비이온계면활성제 제조,도매</t>
  </si>
  <si>
    <t>www.korgc.com</t>
  </si>
  <si>
    <t>290550 KS Equity</t>
  </si>
  <si>
    <t>A290550</t>
  </si>
  <si>
    <t>DK TECH CO.,LTD.</t>
  </si>
  <si>
    <t>디케이티</t>
  </si>
  <si>
    <t>전자부품 실장기판 제조업</t>
  </si>
  <si>
    <t>스마트폰용 FPCA</t>
  </si>
  <si>
    <t>www.dtktech.co.kr</t>
  </si>
  <si>
    <t>104480 KS Equity</t>
  </si>
  <si>
    <t>A104480</t>
  </si>
  <si>
    <t>TK CHEMICAL CORPORATION</t>
  </si>
  <si>
    <t>티케이케미칼</t>
  </si>
  <si>
    <t>수지, 폴리에스터, 스판덱스</t>
  </si>
  <si>
    <t>www.tkchemi.co.kr</t>
  </si>
  <si>
    <t>362320 KS Equity</t>
  </si>
  <si>
    <t>A362320</t>
  </si>
  <si>
    <t>CHUNGDAMGLOBAL CO.,LTD.</t>
  </si>
  <si>
    <t>청담글로벌</t>
  </si>
  <si>
    <t>의약품, 의료용품 및 화장품 도매업</t>
  </si>
  <si>
    <t>화장품 및 화장용품 도매업</t>
  </si>
  <si>
    <t>글로벌 화장품 유통</t>
  </si>
  <si>
    <t>www.chungdamgroup.com</t>
  </si>
  <si>
    <t>220260 KS Equity</t>
  </si>
  <si>
    <t>A220260</t>
  </si>
  <si>
    <t>Chemtros Co., Ltd.</t>
  </si>
  <si>
    <t>켐트로스</t>
  </si>
  <si>
    <t>기타화학제품 제조업</t>
  </si>
  <si>
    <t>chemtros.com</t>
  </si>
  <si>
    <t>024060 KS Equity</t>
  </si>
  <si>
    <t>A024060</t>
  </si>
  <si>
    <t>Hung-Gu Oil Ltd.</t>
  </si>
  <si>
    <t>흥구석유</t>
  </si>
  <si>
    <t>액체연료 및 관련제품 도매업</t>
  </si>
  <si>
    <t>휘발유등</t>
  </si>
  <si>
    <t>www.hunggu.kr</t>
  </si>
  <si>
    <t>170920 KS Equity</t>
  </si>
  <si>
    <t>A170920</t>
  </si>
  <si>
    <t>LTC Co.,Ltd.</t>
  </si>
  <si>
    <t>엘티씨</t>
  </si>
  <si>
    <t>FPD(LCD/OLED) 및 반도체용 박리액</t>
  </si>
  <si>
    <t>www.l-tech.co.kr</t>
  </si>
  <si>
    <t>000500 KS Equity</t>
  </si>
  <si>
    <t>A000500</t>
  </si>
  <si>
    <t>GAONCABLE</t>
  </si>
  <si>
    <t>가온전선</t>
  </si>
  <si>
    <t>전력선,통신케이블 제조,도매,수출입</t>
  </si>
  <si>
    <t>www.gaoncable.com</t>
  </si>
  <si>
    <t>016610 KS Equity</t>
  </si>
  <si>
    <t>A016610</t>
  </si>
  <si>
    <t>DB Financial Investment Co., LTD.</t>
  </si>
  <si>
    <t>DB금융투자</t>
  </si>
  <si>
    <t>유가증권,위탁매매,인수,자기매매</t>
  </si>
  <si>
    <t>www.db-fi.com</t>
  </si>
  <si>
    <t>007210 KS Equity</t>
  </si>
  <si>
    <t>A007210</t>
  </si>
  <si>
    <t>Byuksan</t>
  </si>
  <si>
    <t>벽산</t>
  </si>
  <si>
    <t>단열재, 천장재, 외장재, 내장재, 외단열, 바닥재 등</t>
  </si>
  <si>
    <t>www.byucksan.com</t>
  </si>
  <si>
    <t>950220 KS Equity</t>
  </si>
  <si>
    <t>A950220</t>
  </si>
  <si>
    <t>NeoImmuneTech,Inc.</t>
  </si>
  <si>
    <t>네오이뮨텍</t>
  </si>
  <si>
    <t>자연과학 및 공학 융합 연구개발업</t>
  </si>
  <si>
    <t>면역항암제</t>
  </si>
  <si>
    <t>neoimmunetech.com</t>
  </si>
  <si>
    <t>382900 KS Equity</t>
  </si>
  <si>
    <t>A382900</t>
  </si>
  <si>
    <t>Bumhan Fuel Cell Co., Ltd.</t>
  </si>
  <si>
    <t>범한퓨얼셀</t>
  </si>
  <si>
    <t>잠수함용 연료전지모듈, 건물용 연료전지 시스템, 수소충전소 구축</t>
  </si>
  <si>
    <t>www.bumhanfuelcell.com</t>
  </si>
  <si>
    <t>291230 KS Equity</t>
  </si>
  <si>
    <t>A291230</t>
  </si>
  <si>
    <t>NP Inc.</t>
  </si>
  <si>
    <t>엔피</t>
  </si>
  <si>
    <t>브랜드 익스피어리언스, XR 콘텐츠, 메타버스</t>
  </si>
  <si>
    <t>www.anpcomm.com</t>
  </si>
  <si>
    <t>008700 KS Equity</t>
  </si>
  <si>
    <t>A008700</t>
  </si>
  <si>
    <t>AnamElectronics</t>
  </si>
  <si>
    <t>아남전자</t>
  </si>
  <si>
    <t>칼라TV,오디오,비디오 제조,도매</t>
  </si>
  <si>
    <t>www.aname.co.kr</t>
  </si>
  <si>
    <t>023600 KS Equity</t>
  </si>
  <si>
    <t>A023600</t>
  </si>
  <si>
    <t>SAMBO CORRUGATED BOARD Co.,Ltd.</t>
  </si>
  <si>
    <t>삼보판지</t>
  </si>
  <si>
    <t>펄프, 종이 및 판지 제조업</t>
  </si>
  <si>
    <t>골판지,골판지상자</t>
  </si>
  <si>
    <t>www.isambo.com</t>
  </si>
  <si>
    <t>039560 KS Equity</t>
  </si>
  <si>
    <t>A039560</t>
  </si>
  <si>
    <t>DASAN Networks, Inc.</t>
  </si>
  <si>
    <t>다산네트웍스</t>
  </si>
  <si>
    <t>네트워크 통신장비</t>
  </si>
  <si>
    <t>www.dasannetworks.com</t>
  </si>
  <si>
    <t>000390 KS Equity</t>
  </si>
  <si>
    <t>A000390</t>
  </si>
  <si>
    <t>SamhwaPaintIndustrial</t>
  </si>
  <si>
    <t>삼화페인트</t>
  </si>
  <si>
    <t>건축용페인트,공업용페인트,분체도료 등 제조</t>
  </si>
  <si>
    <t>www.samhwa.com</t>
  </si>
  <si>
    <t>006490 KS Equity</t>
  </si>
  <si>
    <t>A006490</t>
  </si>
  <si>
    <t>Inscobee</t>
  </si>
  <si>
    <t>인스코비</t>
  </si>
  <si>
    <t>시계,스마트그리드,도소매,소프트웨어개발</t>
  </si>
  <si>
    <t>www.inscobee.co.kr</t>
  </si>
  <si>
    <t>060310 KS Equity</t>
  </si>
  <si>
    <t>A060310</t>
  </si>
  <si>
    <t>3S Korea Co., Ltd.</t>
  </si>
  <si>
    <t>3S</t>
  </si>
  <si>
    <t>반도체 웨이퍼 캐리어</t>
  </si>
  <si>
    <t>www.3sref.com</t>
  </si>
  <si>
    <t>408900 KS Equity</t>
  </si>
  <si>
    <t>A408900</t>
  </si>
  <si>
    <t>Studio Mir Co., Ltd.</t>
  </si>
  <si>
    <t>스튜디오미르</t>
  </si>
  <si>
    <t>애니메이션 영화 및 비디오물 제작업</t>
  </si>
  <si>
    <t>애니메이션 제작</t>
  </si>
  <si>
    <t>www.studiomir.co.kr</t>
  </si>
  <si>
    <t>026150 KS Equity</t>
  </si>
  <si>
    <t>A026150</t>
  </si>
  <si>
    <t>Tuksu Engineering &amp; Construction. Ltd.</t>
  </si>
  <si>
    <t>특수건설</t>
  </si>
  <si>
    <t>보링</t>
  </si>
  <si>
    <t>www.tuksu.co.kr</t>
  </si>
  <si>
    <t>356680 KS Equity</t>
  </si>
  <si>
    <t>A356680</t>
  </si>
  <si>
    <t>AXGATE Co., Ltd.</t>
  </si>
  <si>
    <t>엑스게이트</t>
  </si>
  <si>
    <t>통합 네트워크 보안 솔루션</t>
  </si>
  <si>
    <t>www.axgate.com</t>
  </si>
  <si>
    <t>432430 KS Equity</t>
  </si>
  <si>
    <t>A432430</t>
  </si>
  <si>
    <t>YLAB CORPORATION</t>
  </si>
  <si>
    <t>와이랩</t>
  </si>
  <si>
    <t>만화출판물의 제작 및 영상물 제작</t>
  </si>
  <si>
    <t>www.ylabcomics.com</t>
  </si>
  <si>
    <t>084990 KS Equity</t>
  </si>
  <si>
    <t>A084990</t>
  </si>
  <si>
    <t>Helixmith Co., Ltd.</t>
  </si>
  <si>
    <t>헬릭스미스</t>
  </si>
  <si>
    <t>바이오신약, 천연물신약 연구개발</t>
  </si>
  <si>
    <t>282690 KS Equity</t>
  </si>
  <si>
    <t>A282690</t>
  </si>
  <si>
    <t>DONG AH TIRE</t>
  </si>
  <si>
    <t>동아타이어</t>
  </si>
  <si>
    <t>www.dongahtire.co.kr</t>
  </si>
  <si>
    <t>014580 KS Equity</t>
  </si>
  <si>
    <t>A014580</t>
  </si>
  <si>
    <t>TAEKYUNG BK</t>
  </si>
  <si>
    <t>태경비케이</t>
  </si>
  <si>
    <t>석회 및 플라스터 제조업</t>
  </si>
  <si>
    <t>생석회,소석회,석회비료 제조,판매/비금속광물 광업/산업폐기물 재생처리/휴게소 운영</t>
  </si>
  <si>
    <t>www.bkmp.co.kr</t>
  </si>
  <si>
    <t>443250 KS Equity</t>
  </si>
  <si>
    <t>A443250</t>
  </si>
  <si>
    <t>RevuCorporation Inc.</t>
  </si>
  <si>
    <t>레뷰코퍼레이션</t>
  </si>
  <si>
    <t>REVU 서비스(컨텐츠마케팅, 로컬, 에이전시)</t>
  </si>
  <si>
    <t>www.revu.net</t>
  </si>
  <si>
    <t>054620 KS Equity</t>
  </si>
  <si>
    <t>A054620</t>
  </si>
  <si>
    <t>APS Inc.</t>
  </si>
  <si>
    <t>APS</t>
  </si>
  <si>
    <t>인터넷 트래픽 솔루션</t>
  </si>
  <si>
    <t>036010 KS Equity</t>
  </si>
  <si>
    <t>A036010</t>
  </si>
  <si>
    <t>ABCO ELECTRONICS Co., Ltd.</t>
  </si>
  <si>
    <t>아비코전자</t>
  </si>
  <si>
    <t>전자코일, 변성기 및 기타 전자 유도자 제조업</t>
  </si>
  <si>
    <t>인덕터, 저항기</t>
  </si>
  <si>
    <t>www.abco.co.kr</t>
  </si>
  <si>
    <t>040910 KS Equity</t>
  </si>
  <si>
    <t>A040910</t>
  </si>
  <si>
    <t>Innovation for Creative Devices Co., Ltd.</t>
  </si>
  <si>
    <t>아이씨디</t>
  </si>
  <si>
    <t>건식세정기,LCD,반도체 장비,광정보통신 부품,장비 제조,연구개발,용역 서비스,수출입</t>
  </si>
  <si>
    <t>www.icd.co.kr</t>
  </si>
  <si>
    <t>377480 KS Equity</t>
  </si>
  <si>
    <t>A377480</t>
  </si>
  <si>
    <t>MAUM.AI, INC.</t>
  </si>
  <si>
    <t>마음AI</t>
  </si>
  <si>
    <t>종합 인공지능 엔진 및 플랫폼</t>
  </si>
  <si>
    <t>www.mindslab.ai</t>
  </si>
  <si>
    <t>208370 KS Equity</t>
  </si>
  <si>
    <t>A208370</t>
  </si>
  <si>
    <t>SELVAS Healthcare, Inc.</t>
  </si>
  <si>
    <t>셀바스헬스케어</t>
  </si>
  <si>
    <t>체성분측정기, 혈압계, 점자정보단말기</t>
  </si>
  <si>
    <t>www.selvashealthcare.com</t>
  </si>
  <si>
    <t>015230 KS Equity</t>
  </si>
  <si>
    <t>A015230</t>
  </si>
  <si>
    <t>DaechangForging</t>
  </si>
  <si>
    <t>대창단조</t>
  </si>
  <si>
    <t>자동차,중장비 부품(크랭크샤프트,트랙링크조립체,커넥팅로드,중장비롤러류),기어,동력전달장치,단조가공품,단조품 제조</t>
  </si>
  <si>
    <t>www.dcf.co.kr</t>
  </si>
  <si>
    <t>200470 KS Equity</t>
  </si>
  <si>
    <t>A200470</t>
  </si>
  <si>
    <t>APACT Co., Ltd.</t>
  </si>
  <si>
    <t>에이팩트</t>
  </si>
  <si>
    <t>메모리 반도체 테스트</t>
  </si>
  <si>
    <t>www.hisem.co.kr</t>
  </si>
  <si>
    <t>090470 KS Equity</t>
  </si>
  <si>
    <t>A090470</t>
  </si>
  <si>
    <t>JASTECH, Ltd.</t>
  </si>
  <si>
    <t>제이스텍</t>
  </si>
  <si>
    <t>기계장비(디스플레이장비)</t>
  </si>
  <si>
    <t>www.jastech.co.kr</t>
  </si>
  <si>
    <t>264450 KS Equity</t>
  </si>
  <si>
    <t>A264450</t>
  </si>
  <si>
    <t>Ubiquoss Inc.</t>
  </si>
  <si>
    <t>유비쿼스</t>
  </si>
  <si>
    <t>스위치, FTTH</t>
  </si>
  <si>
    <t>092200 KS Equity</t>
  </si>
  <si>
    <t>A092200</t>
  </si>
  <si>
    <t>DAE-IL Corporation</t>
  </si>
  <si>
    <t>디아이씨</t>
  </si>
  <si>
    <t>자동차부품(트란스밋숀,프런트액슬,기어,전동축),변속동력전달장치,특수공구,농기계 및 산업기계부품 제조,무역</t>
  </si>
  <si>
    <t>www.dicorp.co.kr</t>
  </si>
  <si>
    <t>001020 KS Equity</t>
  </si>
  <si>
    <t>A001020</t>
  </si>
  <si>
    <t>PaperCorea Inc.</t>
  </si>
  <si>
    <t>페이퍼코리아</t>
  </si>
  <si>
    <t>신문용지 제조업</t>
  </si>
  <si>
    <t>제지(신문용지,중질지),합판 제조,건설,석유류 판매</t>
  </si>
  <si>
    <t>www.papercorea.co.kr</t>
  </si>
  <si>
    <t>068790 KS Equity</t>
  </si>
  <si>
    <t>A068790</t>
  </si>
  <si>
    <t>DMS Co., Ltd.</t>
  </si>
  <si>
    <t>DMS</t>
  </si>
  <si>
    <t>LCD 제조장비</t>
  </si>
  <si>
    <t>www.dms21.co.kr</t>
  </si>
  <si>
    <t>013310 KS Equity</t>
  </si>
  <si>
    <t>A013310</t>
  </si>
  <si>
    <t>A-JIN INDUSTRY CO.,LTD.</t>
  </si>
  <si>
    <t>아진산업</t>
  </si>
  <si>
    <t>www.wamc.co.kr</t>
  </si>
  <si>
    <t>277880 KS Equity</t>
  </si>
  <si>
    <t>A277880</t>
  </si>
  <si>
    <t>TSI CO., LTD.</t>
  </si>
  <si>
    <t>티에스아이</t>
  </si>
  <si>
    <t>2차전지 장비(믹싱시스템, 믹싱제작품, 믹싱 공사, 코터건조시스템)</t>
  </si>
  <si>
    <t>www.taesungind.co.kr</t>
  </si>
  <si>
    <t>234690 KS Equity</t>
  </si>
  <si>
    <t>A234690</t>
  </si>
  <si>
    <t>GREEN CROSS WellBeing Corporation</t>
  </si>
  <si>
    <t>녹십자웰빙</t>
  </si>
  <si>
    <t>전문의약품, 건강기능식품</t>
  </si>
  <si>
    <t>www.greencrosswb.com</t>
  </si>
  <si>
    <t>293780 KS Equity</t>
  </si>
  <si>
    <t>A293780</t>
  </si>
  <si>
    <t>Aptabio Therapeutics Inc.</t>
  </si>
  <si>
    <t>압타바이오</t>
  </si>
  <si>
    <t>용역매출, 유전자전달체, 압타머연구용시약</t>
  </si>
  <si>
    <t xml:space="preserve">www.aptabio.com </t>
  </si>
  <si>
    <t>082850 KS Equity</t>
  </si>
  <si>
    <t>A082850</t>
  </si>
  <si>
    <t>WooreeBIO Co., Ltd.</t>
  </si>
  <si>
    <t>우리바이오</t>
  </si>
  <si>
    <t>전구 및 램프 제조업</t>
  </si>
  <si>
    <t>건강기능식품 개발 제조 및 스마트팜 연구개발</t>
  </si>
  <si>
    <t>www.wooreeeti.co.kr</t>
  </si>
  <si>
    <t>079430 KS Equity</t>
  </si>
  <si>
    <t>A079430</t>
  </si>
  <si>
    <t>HYUNDAILIVART</t>
  </si>
  <si>
    <t>현대리바트</t>
  </si>
  <si>
    <t>일반목재가구(책상,침실가구),주방가구,목창호,사무용가구,선실가구 제조</t>
  </si>
  <si>
    <t>www.hyundailivart.co.kr</t>
  </si>
  <si>
    <t>025950 KS Equity</t>
  </si>
  <si>
    <t>A025950</t>
  </si>
  <si>
    <t>DONGSHIN CONSTRUCTION INDUTSTRIAL CO., LTD.</t>
  </si>
  <si>
    <t>동신건설</t>
  </si>
  <si>
    <t>토목</t>
  </si>
  <si>
    <t>www.dongsin.biz</t>
  </si>
  <si>
    <t>121440 KS Equity</t>
  </si>
  <si>
    <t>A121440</t>
  </si>
  <si>
    <t>GOLFZON NEWDIN HOLDINGS Co., Ltd.</t>
  </si>
  <si>
    <t>골프존뉴딘홀딩스</t>
  </si>
  <si>
    <t>www.golfzonnewdin.com</t>
  </si>
  <si>
    <t>311320 KS Equity</t>
  </si>
  <si>
    <t>A311320</t>
  </si>
  <si>
    <t>GO Element Co.,Ltd.</t>
  </si>
  <si>
    <t>지오엘리먼트</t>
  </si>
  <si>
    <t>센서, 캐니스터</t>
  </si>
  <si>
    <t>www.goelement.co.kr</t>
  </si>
  <si>
    <t>048910 KS Equity</t>
  </si>
  <si>
    <t>A048910</t>
  </si>
  <si>
    <t>Daewon Media Co., Ltd.</t>
  </si>
  <si>
    <t>대원미디어</t>
  </si>
  <si>
    <t>캐릭터 사업, 만화영화 제작</t>
  </si>
  <si>
    <t>www.daewonmedia.com</t>
  </si>
  <si>
    <t>274090 KS Equity</t>
  </si>
  <si>
    <t>A274090</t>
  </si>
  <si>
    <t>Kencoa Aerospace Corporation</t>
  </si>
  <si>
    <t>켄코아에어로스페이스</t>
  </si>
  <si>
    <t>항공기용 부품 제조업</t>
  </si>
  <si>
    <t>항공가공품 및 조립품</t>
  </si>
  <si>
    <t>www.kencoa.com</t>
  </si>
  <si>
    <t>024900 KS Equity</t>
  </si>
  <si>
    <t>A024900</t>
  </si>
  <si>
    <t>DuckYangIndustry</t>
  </si>
  <si>
    <t>덕양산업</t>
  </si>
  <si>
    <t>자동차부품(CRASH PAD,TRIM PANEL) 제조,판매</t>
  </si>
  <si>
    <t>www.dyauto.kr</t>
  </si>
  <si>
    <t>419050 KS Equity</t>
  </si>
  <si>
    <t>A419050</t>
  </si>
  <si>
    <t>SAMKEE EV CO., LTD.</t>
  </si>
  <si>
    <t>삼기이브이</t>
  </si>
  <si>
    <t>배터리(이차전지) 부품 (엔드플레이트)</t>
  </si>
  <si>
    <t>ev.samkee.com</t>
  </si>
  <si>
    <t>162300 KS Equity</t>
  </si>
  <si>
    <t>A162300</t>
  </si>
  <si>
    <t>SHIN STEEL CO.,LTD.</t>
  </si>
  <si>
    <t>신스틸</t>
  </si>
  <si>
    <t>컬러강판, 아연도금강판 등 강판류</t>
  </si>
  <si>
    <t>www.shin-steel.com</t>
  </si>
  <si>
    <t>010820 KS Equity</t>
  </si>
  <si>
    <t>A010820</t>
  </si>
  <si>
    <t>FIRSTEC</t>
  </si>
  <si>
    <t>퍼스텍</t>
  </si>
  <si>
    <t>방위산업제품,프린터,불소화합물,자동차용 매트 제조/얼굴인식시스템 개발</t>
  </si>
  <si>
    <t>www.firsteccom.co.kr</t>
  </si>
  <si>
    <t>180400 KS Equity</t>
  </si>
  <si>
    <t>A180400</t>
  </si>
  <si>
    <t>Dx &amp; Vx Co., Ltd.</t>
  </si>
  <si>
    <t>DXVX</t>
  </si>
  <si>
    <t>기타 과학기술 서비스업</t>
  </si>
  <si>
    <t>BAC DNA CHIP</t>
  </si>
  <si>
    <t>009730 KS Equity</t>
  </si>
  <si>
    <t>A009730</t>
  </si>
  <si>
    <t>스테인리스파이프, 선박용배관제작</t>
  </si>
  <si>
    <t>www.kossen.co.kr</t>
  </si>
  <si>
    <t>092130 KS Equity</t>
  </si>
  <si>
    <t>A092130</t>
  </si>
  <si>
    <t>e-Credible Co., Ltd.</t>
  </si>
  <si>
    <t>이크레더블</t>
  </si>
  <si>
    <t>전자신용인증서비스(정보),소프트웨어 개발</t>
  </si>
  <si>
    <t>www.ecredible.co.kr</t>
  </si>
  <si>
    <t>068930 KS Equity</t>
  </si>
  <si>
    <t>A068930</t>
  </si>
  <si>
    <t>Digital Daesung Co., Ltd.</t>
  </si>
  <si>
    <t>디지털대성</t>
  </si>
  <si>
    <t>대성N스쿨 (교육 프랜차이즈)</t>
  </si>
  <si>
    <t>www.digitaldaesung.com</t>
  </si>
  <si>
    <t>136490 KS Equity</t>
  </si>
  <si>
    <t>A136490</t>
  </si>
  <si>
    <t>SUNJIN Co., Ltd</t>
  </si>
  <si>
    <t>선진</t>
  </si>
  <si>
    <t>조제동물사료</t>
  </si>
  <si>
    <t>www.sj.co.kr</t>
  </si>
  <si>
    <t>004090 KS Equity</t>
  </si>
  <si>
    <t>A004090</t>
  </si>
  <si>
    <t>KOREA PETROLEUM INDUSTRIES</t>
  </si>
  <si>
    <t>한국석유</t>
  </si>
  <si>
    <t>석유류제품(솔벤트,부로운아스팔트,방수시트몰터프라스,메타놀,빙초산) 제조,도소매/부동산 임대</t>
  </si>
  <si>
    <t>www.koreapetroleum.com</t>
  </si>
  <si>
    <t>119830 KS Equity</t>
  </si>
  <si>
    <t>A119830</t>
  </si>
  <si>
    <t>ITEK, Inc.</t>
  </si>
  <si>
    <t>아이텍</t>
  </si>
  <si>
    <t>비메모리 반도체 테스트</t>
  </si>
  <si>
    <t>www.iteksemi.com</t>
  </si>
  <si>
    <t>058850 KS Equity</t>
  </si>
  <si>
    <t>A058850</t>
  </si>
  <si>
    <t>ktcs corporation</t>
  </si>
  <si>
    <t>KTcs</t>
  </si>
  <si>
    <t>전화번호검색 데이타제공/콜센터 운영</t>
  </si>
  <si>
    <t>www.ktcs.co.kr</t>
  </si>
  <si>
    <t>251630 KS Equity</t>
  </si>
  <si>
    <t>A251630</t>
  </si>
  <si>
    <t>V-ONE TECH CO., LTD.</t>
  </si>
  <si>
    <t>브이원텍</t>
  </si>
  <si>
    <t>LCD/OLED 압흔검사기, 2차전지 검사장비</t>
  </si>
  <si>
    <t>www.v-one.co.kr</t>
  </si>
  <si>
    <t>219130 KS Equity</t>
  </si>
  <si>
    <t>A219130</t>
  </si>
  <si>
    <t>TigerElec Co.,Ltd.</t>
  </si>
  <si>
    <t>타이거일렉</t>
  </si>
  <si>
    <t>인쇄회로기판 제조업</t>
  </si>
  <si>
    <t>www.tigerelec.com</t>
  </si>
  <si>
    <t>033530 KS Equity</t>
  </si>
  <si>
    <t>A033530</t>
  </si>
  <si>
    <t>자동차부품,자동차소음기(머플러),배기가스정화기,배기계통부품 제조</t>
  </si>
  <si>
    <t>www.sjku.co.kr</t>
  </si>
  <si>
    <t>355390 KS Equity</t>
  </si>
  <si>
    <t>A355390</t>
  </si>
  <si>
    <t>크라우드웍스</t>
  </si>
  <si>
    <t>인공지능 데이터 구축 서비스</t>
  </si>
  <si>
    <t>www.crowdworks.kr</t>
  </si>
  <si>
    <t>000320 KS Equity</t>
  </si>
  <si>
    <t>A000320</t>
  </si>
  <si>
    <t>NorooHoldings</t>
  </si>
  <si>
    <t>노루홀딩스</t>
  </si>
  <si>
    <t xml:space="preserve">www.norooholdings.com   </t>
  </si>
  <si>
    <t>214420 KS Equity</t>
  </si>
  <si>
    <t>A214420</t>
  </si>
  <si>
    <t>TONYMOLY Co., Ltd.</t>
  </si>
  <si>
    <t>토니모리</t>
  </si>
  <si>
    <t>www.etonymoly.com</t>
  </si>
  <si>
    <t>195990 KS Equity</t>
  </si>
  <si>
    <t>A195990</t>
  </si>
  <si>
    <t>Abpro Bio Co.,Ltd.</t>
  </si>
  <si>
    <t>에이비프로바이오</t>
  </si>
  <si>
    <t>금속 절삭기계 제조업</t>
  </si>
  <si>
    <t>소형 머시닝센터</t>
  </si>
  <si>
    <t>www.ugint.co.kr</t>
  </si>
  <si>
    <t>273640 KS Equity</t>
  </si>
  <si>
    <t>A273640</t>
  </si>
  <si>
    <t>Y.M.Tech Co.,Ltd.</t>
  </si>
  <si>
    <t>와이엠텍</t>
  </si>
  <si>
    <t>계전기(EV Relay)</t>
  </si>
  <si>
    <t>www.goodymt.com</t>
  </si>
  <si>
    <t>003830 KS Equity</t>
  </si>
  <si>
    <t>A003830</t>
  </si>
  <si>
    <t>DaehanSyntheticFibrer</t>
  </si>
  <si>
    <t>대한화섬</t>
  </si>
  <si>
    <t>화학섬유원사(FY,PTY,S.FIBER)제조</t>
  </si>
  <si>
    <t>www.daehansf.co.kr</t>
  </si>
  <si>
    <t>073570 KS Equity</t>
  </si>
  <si>
    <t>A073570</t>
  </si>
  <si>
    <t>Lithium-for-earth Inc.</t>
  </si>
  <si>
    <t>리튬포어스</t>
  </si>
  <si>
    <t>휴대폰액세서리의 제조, 판매</t>
  </si>
  <si>
    <t>www.lithium-for-earth.com</t>
  </si>
  <si>
    <t>006910 KS Equity</t>
  </si>
  <si>
    <t>A006910</t>
  </si>
  <si>
    <t>Bosung  Power Technology  Co., Ltd.</t>
  </si>
  <si>
    <t>보성파워텍</t>
  </si>
  <si>
    <t>송배전용자재</t>
  </si>
  <si>
    <t>www.bosungpower.co.kr</t>
  </si>
  <si>
    <t>417500 KS Equity</t>
  </si>
  <si>
    <t>A417500</t>
  </si>
  <si>
    <t>JI-TECH Co., Ltd.</t>
  </si>
  <si>
    <t>제이아이테크</t>
  </si>
  <si>
    <t>반도체 프리커서 및 쿼츠/블랭크/포토마스크용 케이스</t>
  </si>
  <si>
    <t>www.ji-tech.co.kr</t>
  </si>
  <si>
    <t>042520 KS Equity</t>
  </si>
  <si>
    <t>A042520</t>
  </si>
  <si>
    <t>HANS BIOMED CORPORATION</t>
  </si>
  <si>
    <t>한스바이오메드</t>
  </si>
  <si>
    <t>인체이식용조직(인조피부,인조뼈),의료용시술재료(가슴보형물)</t>
  </si>
  <si>
    <t>www.hansbiomed.com</t>
  </si>
  <si>
    <t>086960 KS Equity</t>
  </si>
  <si>
    <t>A086960</t>
  </si>
  <si>
    <t>MDS Tech Inc.</t>
  </si>
  <si>
    <t>MDS테크</t>
  </si>
  <si>
    <t>임베디드개발솔루션,임베디드소프트웨어</t>
  </si>
  <si>
    <t>002170 KS Equity</t>
  </si>
  <si>
    <t>A002170</t>
  </si>
  <si>
    <t>SamyangTongsang</t>
  </si>
  <si>
    <t>삼양통상</t>
  </si>
  <si>
    <t>피혁원단,혁제운동화,혁제장갑,혁제스포츠용품 제조,상품중개,무역</t>
  </si>
  <si>
    <t>www.samyangts.com</t>
  </si>
  <si>
    <t>000700 KS Equity</t>
  </si>
  <si>
    <t>A000700</t>
  </si>
  <si>
    <t>EUSU HOLDINGS</t>
  </si>
  <si>
    <t>유수홀딩스</t>
  </si>
  <si>
    <t>www.eusu-holdings.com</t>
  </si>
  <si>
    <t>160980 KS Equity</t>
  </si>
  <si>
    <t>A160980</t>
  </si>
  <si>
    <t>CYMECHS Inc.</t>
  </si>
  <si>
    <t>싸이맥스</t>
  </si>
  <si>
    <t>웨이퍼 이송장치(Cluster Tool, EFEM, LPM 등)</t>
  </si>
  <si>
    <t>www.cymechs.com</t>
  </si>
  <si>
    <t>203400 KS Equity</t>
  </si>
  <si>
    <t>A203400</t>
  </si>
  <si>
    <t>ABION Inc.</t>
  </si>
  <si>
    <t>에이비온</t>
  </si>
  <si>
    <t>표적 항암제, 바이오 베터 신약</t>
  </si>
  <si>
    <t>www.abionbio.com</t>
  </si>
  <si>
    <t>042510 KS Equity</t>
  </si>
  <si>
    <t>A042510</t>
  </si>
  <si>
    <t>RaonSecure Co., Ltd.</t>
  </si>
  <si>
    <t>라온시큐어</t>
  </si>
  <si>
    <t>소프트웨어 개발 및 공급</t>
  </si>
  <si>
    <t>www.raonsecure.com</t>
  </si>
  <si>
    <t>101530 KS Equity</t>
  </si>
  <si>
    <t>A101530</t>
  </si>
  <si>
    <t>Haitai Confectionery and Foods Co., Ltd.</t>
  </si>
  <si>
    <t>해태제과식품</t>
  </si>
  <si>
    <t>홈런볼, 오예스, 맛동산, 부라보콘 등</t>
  </si>
  <si>
    <t>www.ht.co.kr</t>
  </si>
  <si>
    <t>008260 KS Equity</t>
  </si>
  <si>
    <t>A008260</t>
  </si>
  <si>
    <t>NI STEEL</t>
  </si>
  <si>
    <t>NI스틸</t>
  </si>
  <si>
    <t>스틸파이프,철강재임가공 제조,도매</t>
  </si>
  <si>
    <t>ni.hcrst.com</t>
  </si>
  <si>
    <t>100840 KS Equity</t>
  </si>
  <si>
    <t>A100840</t>
  </si>
  <si>
    <t>SNTEnergy Co.,Ltd.</t>
  </si>
  <si>
    <t>SNT에너지</t>
  </si>
  <si>
    <t>공냉식 열교환장치,폐열회수장치 제조</t>
  </si>
  <si>
    <t>www.hisnt.com</t>
  </si>
  <si>
    <t>149980 KS Equity</t>
  </si>
  <si>
    <t>A149980</t>
  </si>
  <si>
    <t>Hironic Co., Ltd.</t>
  </si>
  <si>
    <t>하이로닉</t>
  </si>
  <si>
    <t>피부미용 의료기기</t>
  </si>
  <si>
    <t>www.hironic.com</t>
  </si>
  <si>
    <t>099440 KS Equity</t>
  </si>
  <si>
    <t>A099440</t>
  </si>
  <si>
    <t>SMEC Co.,Ltd.</t>
  </si>
  <si>
    <t>스맥</t>
  </si>
  <si>
    <t>공작기계 및 산업용로봇제조</t>
  </si>
  <si>
    <t>www.esmec.com</t>
  </si>
  <si>
    <t>049720 KS Equity</t>
  </si>
  <si>
    <t>A049720</t>
  </si>
  <si>
    <t>Koryo Credit Information Co., Ltd.</t>
  </si>
  <si>
    <t>고려신용정보</t>
  </si>
  <si>
    <t>채권추심, 신용조사</t>
  </si>
  <si>
    <t>www.koryoinfo.co.kr</t>
  </si>
  <si>
    <t>036190 KS Equity</t>
  </si>
  <si>
    <t>A036190</t>
  </si>
  <si>
    <t>GEUMHWA PLANT SERVICE &amp; CONSTRUCTION Co., Ltd.</t>
  </si>
  <si>
    <t>금화피에스시</t>
  </si>
  <si>
    <t>설비,철물,전기,강구조물</t>
  </si>
  <si>
    <t>www.geumhwa.co.kr</t>
  </si>
  <si>
    <t>067990 KS Equity</t>
  </si>
  <si>
    <t>A067990</t>
  </si>
  <si>
    <t>DEUTSCH MOTORS INC.</t>
  </si>
  <si>
    <t>도이치모터스</t>
  </si>
  <si>
    <t>수입자동차</t>
  </si>
  <si>
    <t>www.deutschmotors.com</t>
  </si>
  <si>
    <t>012700 KS Equity</t>
  </si>
  <si>
    <t>A012700</t>
  </si>
  <si>
    <t>The Leadcorp, Inc.</t>
  </si>
  <si>
    <t>리드코프</t>
  </si>
  <si>
    <t>화공약품운반</t>
  </si>
  <si>
    <t>www.leadcorp.co.kr</t>
  </si>
  <si>
    <t>134380 KS Equity</t>
  </si>
  <si>
    <t>A134380</t>
  </si>
  <si>
    <t>Miwon Chemicals</t>
  </si>
  <si>
    <t>미원화학</t>
  </si>
  <si>
    <t>계면활성제, 황산및분황</t>
  </si>
  <si>
    <t>www.miwonchemicals.com</t>
  </si>
  <si>
    <t>002780 KS Equity</t>
  </si>
  <si>
    <t>A002780</t>
  </si>
  <si>
    <t>ChinhungInternational</t>
  </si>
  <si>
    <t>진흥기업</t>
  </si>
  <si>
    <t>아파트건설,토목공사,건축공사,국내도급공사</t>
  </si>
  <si>
    <t>www.chinhung.co.kr</t>
  </si>
  <si>
    <t>078940 KS Equity</t>
  </si>
  <si>
    <t>A078940</t>
  </si>
  <si>
    <t>QUANTAPIA INC.</t>
  </si>
  <si>
    <t>퀀타피아</t>
  </si>
  <si>
    <t>전기공사업</t>
  </si>
  <si>
    <t>www.ilkyung.com</t>
  </si>
  <si>
    <t>138080 KS Equity</t>
  </si>
  <si>
    <t>A138080</t>
  </si>
  <si>
    <t>OE Solutions Co., Ltd.</t>
  </si>
  <si>
    <t>오이솔루션</t>
  </si>
  <si>
    <t>광트랜시버</t>
  </si>
  <si>
    <t>www.oesolutions.com</t>
  </si>
  <si>
    <t>006890 KS Equity</t>
  </si>
  <si>
    <t>A006890</t>
  </si>
  <si>
    <t>TAEKYUNGCHEMICALCO.,LTD</t>
  </si>
  <si>
    <t>태경케미컬</t>
  </si>
  <si>
    <t>드라이아이스,액체탄산,고체탄산 제조</t>
  </si>
  <si>
    <t>www.taekyungchem.co.kr</t>
  </si>
  <si>
    <t>065680 KS Equity</t>
  </si>
  <si>
    <t>A065680</t>
  </si>
  <si>
    <t>Uju Electronics Co., Ltd.</t>
  </si>
  <si>
    <t>우주일렉트로</t>
  </si>
  <si>
    <t>정보통신용 초정밀커넥터</t>
  </si>
  <si>
    <t>www.uju.com</t>
  </si>
  <si>
    <t>263600 KS Equity</t>
  </si>
  <si>
    <t>A263600</t>
  </si>
  <si>
    <t>DERKWOO ELECTRONICS CO.,LTD.</t>
  </si>
  <si>
    <t>덕우전자</t>
  </si>
  <si>
    <t>카메라 모듈 부품</t>
  </si>
  <si>
    <t>www.derkwoo.com</t>
  </si>
  <si>
    <t>137950 KS Equity</t>
  </si>
  <si>
    <t>A137950</t>
  </si>
  <si>
    <t>JC CHEMICAL Co., Ltd.</t>
  </si>
  <si>
    <t>제이씨케미칼</t>
  </si>
  <si>
    <t>바이오디젤, 바이오중유 등</t>
  </si>
  <si>
    <t>www.jcchemical.co.kr</t>
  </si>
  <si>
    <t>300120 KS Equity</t>
  </si>
  <si>
    <t>A300120</t>
  </si>
  <si>
    <t>LaonPeople Inc.</t>
  </si>
  <si>
    <t>라온피플</t>
  </si>
  <si>
    <t>카메라 모듈 검사기, AI 머신비전, 골프센서</t>
  </si>
  <si>
    <t>www.laonpeople.com</t>
  </si>
  <si>
    <t>389140 KS Equity</t>
  </si>
  <si>
    <t>A389140</t>
  </si>
  <si>
    <t>4by4 Inc.</t>
  </si>
  <si>
    <t>포바이포</t>
  </si>
  <si>
    <t>광고영화 및 비디오물 제작업</t>
  </si>
  <si>
    <t>www.4by4inc.com</t>
  </si>
  <si>
    <t>228850 KS Equity</t>
  </si>
  <si>
    <t>A228850</t>
  </si>
  <si>
    <t>RAYENCE CO.,LTD.</t>
  </si>
  <si>
    <t>레이언스</t>
  </si>
  <si>
    <t>TFT Detector, CMOS Detector, I/O Sensor</t>
  </si>
  <si>
    <t>www.rayence.com</t>
  </si>
  <si>
    <t>031440 KS Equity</t>
  </si>
  <si>
    <t>A031440</t>
  </si>
  <si>
    <t>SHINSEGAE FOOD</t>
  </si>
  <si>
    <t>신세계푸드</t>
  </si>
  <si>
    <t>기관 구내식당업</t>
  </si>
  <si>
    <t>단체급식, 식자재유통, 외식</t>
  </si>
  <si>
    <t>www.shinsegaefood.com</t>
  </si>
  <si>
    <t>014470 KS Equity</t>
  </si>
  <si>
    <t>A014470</t>
  </si>
  <si>
    <t>Bubang CO.,LTD.</t>
  </si>
  <si>
    <t>부방</t>
  </si>
  <si>
    <t>자회사관리, 부동산임대</t>
  </si>
  <si>
    <t>www.bubang.com</t>
  </si>
  <si>
    <t>013570 KS Equity</t>
  </si>
  <si>
    <t>A013570</t>
  </si>
  <si>
    <t>DY Corporation</t>
  </si>
  <si>
    <t>디와이</t>
  </si>
  <si>
    <t>자동차부품,유공압기기,소각로,자동세차기,하훼유통,발효기,모터 제조</t>
  </si>
  <si>
    <t>www.dy.co.kr</t>
  </si>
  <si>
    <t>052260 KS Equity</t>
  </si>
  <si>
    <t>A052260</t>
  </si>
  <si>
    <t>HYUNDAI BIOLAND Co.,Ltd.</t>
  </si>
  <si>
    <t>현대바이오랜드</t>
  </si>
  <si>
    <t>천연물질 추출물, 미생물 배양제품</t>
  </si>
  <si>
    <t>377030 KS Equity</t>
  </si>
  <si>
    <t>A377030</t>
  </si>
  <si>
    <t>MAXST Co., Ltd.</t>
  </si>
  <si>
    <t>맥스트</t>
  </si>
  <si>
    <t>AR 개발 플랫폼/AR솔루션</t>
  </si>
  <si>
    <t>www.maxst.com</t>
  </si>
  <si>
    <t>036630 KS Equity</t>
  </si>
  <si>
    <t>A036630</t>
  </si>
  <si>
    <t>Sejong Telecom, Inc.</t>
  </si>
  <si>
    <t>세종텔레콤</t>
  </si>
  <si>
    <t>유선 통신업</t>
  </si>
  <si>
    <t>WLL/GPS/위성DMB/VoIP 단말기</t>
  </si>
  <si>
    <t>www.sejongtelecom.net</t>
  </si>
  <si>
    <t>016710 KS Equity</t>
  </si>
  <si>
    <t>A016710</t>
  </si>
  <si>
    <t>DAESUNG HOLDINGS</t>
  </si>
  <si>
    <t>대성홀딩스</t>
  </si>
  <si>
    <t>도시가스,일반가스 공급/가스기기,차량용 연료 판매/해외자원개발,부동산 임대</t>
  </si>
  <si>
    <t>www.daesung-holdings.com</t>
  </si>
  <si>
    <t>396470 KS Equity</t>
  </si>
  <si>
    <t>A396470</t>
  </si>
  <si>
    <t>WOT.CO.,LTD.</t>
  </si>
  <si>
    <t>워트</t>
  </si>
  <si>
    <t>초정밀 온습도 제어장비</t>
  </si>
  <si>
    <t>www.wot.co.kr</t>
  </si>
  <si>
    <t>310200 KS Equity</t>
  </si>
  <si>
    <t>A310200</t>
  </si>
  <si>
    <t>ANIPLUS INC.</t>
  </si>
  <si>
    <t>애니플러스</t>
  </si>
  <si>
    <t>방송통신사업</t>
  </si>
  <si>
    <t>www.aniplustv.com</t>
  </si>
  <si>
    <t>104540 KS Equity</t>
  </si>
  <si>
    <t>A104540</t>
  </si>
  <si>
    <t>Corentec Co., Ltd.</t>
  </si>
  <si>
    <t>코렌텍</t>
  </si>
  <si>
    <t>인공고관절, 인공슬관절 등</t>
  </si>
  <si>
    <t>www.corentec.com</t>
  </si>
  <si>
    <t>314130 KS Equity</t>
  </si>
  <si>
    <t>A314130</t>
  </si>
  <si>
    <t>GENOME AND COMPANY</t>
  </si>
  <si>
    <t>지놈앤컴퍼니</t>
  </si>
  <si>
    <t>마이크로바이옴 기반 치료제, 화장품, 건강기능식품</t>
  </si>
  <si>
    <t>www.genomecom.co.kr</t>
  </si>
  <si>
    <t>021080 KS Equity</t>
  </si>
  <si>
    <t>A021080</t>
  </si>
  <si>
    <t>Atinum Investment Co., Ltd.</t>
  </si>
  <si>
    <t>에이티넘인베스트</t>
  </si>
  <si>
    <t>기타 금융 투자업</t>
  </si>
  <si>
    <t>벤처캐피탈</t>
  </si>
  <si>
    <t>www.atinuminvest.co.kr</t>
  </si>
  <si>
    <t>365270 KS Equity</t>
  </si>
  <si>
    <t>A365270</t>
  </si>
  <si>
    <t>Curacle Co., Ltd.</t>
  </si>
  <si>
    <t>큐라클</t>
  </si>
  <si>
    <t>혈관질환치료제 등</t>
  </si>
  <si>
    <t>www.curacle.com</t>
  </si>
  <si>
    <t>142210 KS Equity</t>
  </si>
  <si>
    <t>A142210</t>
  </si>
  <si>
    <t>Unitrontech Co., Ltd.</t>
  </si>
  <si>
    <t>유니트론텍</t>
  </si>
  <si>
    <t>가전제품, 통신장비 및 부품 도매업</t>
  </si>
  <si>
    <t>메모리/비메모리반도체, 디스플레이 모듈</t>
  </si>
  <si>
    <t>www.unitrontech.com</t>
  </si>
  <si>
    <t>140070 KS Equity</t>
  </si>
  <si>
    <t>A140070</t>
  </si>
  <si>
    <t>SurplusGLOBAL, Inc.</t>
  </si>
  <si>
    <t>서플러스글로벌</t>
  </si>
  <si>
    <t>산업용 기계 및 장비 도매업</t>
  </si>
  <si>
    <t>기타 산업용 기계 및 장비 도매업</t>
  </si>
  <si>
    <t>반도체 제조용 장비, 유휴기계설비 도소매</t>
  </si>
  <si>
    <t>www.surplusglobal.com</t>
  </si>
  <si>
    <t>017900 KS Equity</t>
  </si>
  <si>
    <t>A017900</t>
  </si>
  <si>
    <t>AUK</t>
  </si>
  <si>
    <t>광전자</t>
  </si>
  <si>
    <t>트랜지스터,SMD TR,발광소자,리모콘모듈,발광다이오드(L.E.D),다이오드용웨이퍼팹(Fab) 제조,판매</t>
  </si>
  <si>
    <t>www.auk.co.kr</t>
  </si>
  <si>
    <t>018000 KS Equity</t>
  </si>
  <si>
    <t>A018000</t>
  </si>
  <si>
    <t>Unison Co., Ltd.</t>
  </si>
  <si>
    <t>유니슨</t>
  </si>
  <si>
    <t>풍력발전기, 풍력타워</t>
  </si>
  <si>
    <t>www.unison.co.kr</t>
  </si>
  <si>
    <t>023900 KS Equity</t>
  </si>
  <si>
    <t>A023900</t>
  </si>
  <si>
    <t>Pungguk Ethanol Co.,Ltd.</t>
  </si>
  <si>
    <t>풍국주정</t>
  </si>
  <si>
    <t>주정 제조업</t>
  </si>
  <si>
    <t>발효주정</t>
  </si>
  <si>
    <t>www.pungguk.com</t>
  </si>
  <si>
    <t>338840 KS Equity</t>
  </si>
  <si>
    <t>A338840</t>
  </si>
  <si>
    <t>Y-Biologics Inc.</t>
  </si>
  <si>
    <t>와이바이오로직스</t>
  </si>
  <si>
    <t>항체의약품 및 항체후보물질 연구개발</t>
  </si>
  <si>
    <t>ybiologics.com</t>
  </si>
  <si>
    <t>017370 KS Equity</t>
  </si>
  <si>
    <t>A017370</t>
  </si>
  <si>
    <t>WooshinSystems</t>
  </si>
  <si>
    <t>우신시스템</t>
  </si>
  <si>
    <t>자동차차체자동화용접조립라인,용접설비,자동용접장비 제조,판매</t>
  </si>
  <si>
    <t>www.wooshinsys.co.kr</t>
  </si>
  <si>
    <t>060560 KS Equity</t>
  </si>
  <si>
    <t>A060560</t>
  </si>
  <si>
    <t>Home Center Holdings Co.,Ltd.</t>
  </si>
  <si>
    <t>홈센타홀딩스</t>
  </si>
  <si>
    <t>건축자재,레미콘</t>
  </si>
  <si>
    <t>www.homecenterholdings.com</t>
  </si>
  <si>
    <t>419530 KS Equity</t>
  </si>
  <si>
    <t>A419530</t>
  </si>
  <si>
    <t>SAMG Entertainment Co., Ltd.</t>
  </si>
  <si>
    <t>SAMG엔터</t>
  </si>
  <si>
    <t>애니메이션 IP 기획 및 관련 제품 제작</t>
  </si>
  <si>
    <t>www.samg.net</t>
  </si>
  <si>
    <t>012610 KS Equity</t>
  </si>
  <si>
    <t>A012610</t>
  </si>
  <si>
    <t>KyunginSynthetic</t>
  </si>
  <si>
    <t>경인양행</t>
  </si>
  <si>
    <t>염료, 조제 무기안료, 유연제 및 기타 착색제 제조업</t>
  </si>
  <si>
    <t>반응성염료,직접염료,산성염료,삼원색원료 제조,수출입</t>
  </si>
  <si>
    <t>www.kisco.co/ko/</t>
  </si>
  <si>
    <t>183490 KS Equity</t>
  </si>
  <si>
    <t>A183490</t>
  </si>
  <si>
    <t>ENZYCHEM LIFESCIENCES CORPORATION</t>
  </si>
  <si>
    <t>엔지켐생명과학</t>
  </si>
  <si>
    <t>EC-18(신약), 원료의약품</t>
  </si>
  <si>
    <t>www.enzychem.com</t>
  </si>
  <si>
    <t>000970 KS Equity</t>
  </si>
  <si>
    <t>A000970</t>
  </si>
  <si>
    <t>KoreaCastIronPipeInd</t>
  </si>
  <si>
    <t>한국주철관</t>
  </si>
  <si>
    <t>주철관 제조업</t>
  </si>
  <si>
    <t>수도용주철관,강관 제조</t>
  </si>
  <si>
    <t>www.kcip.co.kr</t>
  </si>
  <si>
    <t>065450 KS Equity</t>
  </si>
  <si>
    <t>A065450</t>
  </si>
  <si>
    <t>Victek Co., Ltd.</t>
  </si>
  <si>
    <t>빅텍</t>
  </si>
  <si>
    <t>레이더, 항행용 무선기기 및 측량기구 제조업</t>
  </si>
  <si>
    <t>전자전시스템 장치류</t>
  </si>
  <si>
    <t>www.victek.co.kr</t>
  </si>
  <si>
    <t>373200 KS Equity</t>
  </si>
  <si>
    <t>A373200</t>
  </si>
  <si>
    <t>모바일 IT응용제품 외</t>
  </si>
  <si>
    <t>www.haainc.co.kr</t>
  </si>
  <si>
    <t>261780 KS Equity</t>
  </si>
  <si>
    <t>A261780</t>
  </si>
  <si>
    <t>CHA Vaccine Research Institute</t>
  </si>
  <si>
    <t>차백신연구소</t>
  </si>
  <si>
    <t>백신 및 면역증강제 등</t>
  </si>
  <si>
    <t>www.chavaccine.com</t>
  </si>
  <si>
    <t>371950 KS Equity</t>
  </si>
  <si>
    <t>A371950</t>
  </si>
  <si>
    <t>POONGWON PRECISION Co.,Ltd.</t>
  </si>
  <si>
    <t>풍원정밀</t>
  </si>
  <si>
    <t>OLED 증착용 Metal Mask</t>
  </si>
  <si>
    <t>www.poongwon.com</t>
  </si>
  <si>
    <t>007540 KS Equity</t>
  </si>
  <si>
    <t>A007540</t>
  </si>
  <si>
    <t>SEMPIO</t>
  </si>
  <si>
    <t>샘표</t>
  </si>
  <si>
    <t>간장,된장,고추장 제조,가공,판매,무역</t>
  </si>
  <si>
    <t>www.sempio.com</t>
  </si>
  <si>
    <t>002210 KS Equity</t>
  </si>
  <si>
    <t>A002210</t>
  </si>
  <si>
    <t>DongsungPharmaceutical</t>
  </si>
  <si>
    <t>동성제약</t>
  </si>
  <si>
    <t>의약품,화장품 제조,도매</t>
  </si>
  <si>
    <t>www.dongsung-pharm.com</t>
  </si>
  <si>
    <t>079960 KS Equity</t>
  </si>
  <si>
    <t>A079960</t>
  </si>
  <si>
    <t>DONGYANG E&amp;P Inc.</t>
  </si>
  <si>
    <t>동양이엔피</t>
  </si>
  <si>
    <t>휴대폰용,OA기기및통신장비용,디지털가전용전원공급장치</t>
  </si>
  <si>
    <t>www.dyenp.com</t>
  </si>
  <si>
    <t>012320 KS Equity</t>
  </si>
  <si>
    <t>A012320</t>
  </si>
  <si>
    <t>KYUNGDONG INVEST</t>
  </si>
  <si>
    <t>경동인베스트</t>
  </si>
  <si>
    <t>www.kdinvest.co.kr</t>
  </si>
  <si>
    <t>264850 KS Equity</t>
  </si>
  <si>
    <t>A264850</t>
  </si>
  <si>
    <t>Elensys Co.,Ltd.</t>
  </si>
  <si>
    <t>이랜시스</t>
  </si>
  <si>
    <t>비데도어락부품</t>
  </si>
  <si>
    <t>www.elensys.co.kr</t>
  </si>
  <si>
    <t>032860 KS Equity</t>
  </si>
  <si>
    <t>A032860</t>
  </si>
  <si>
    <t>The Lamy Co., Ltd.</t>
  </si>
  <si>
    <t>더라미</t>
  </si>
  <si>
    <t>해체, 선별 및 원료 재생업</t>
  </si>
  <si>
    <t>272110 KS Equity</t>
  </si>
  <si>
    <t>A272110</t>
  </si>
  <si>
    <t>KnJ Co., Ltd.</t>
  </si>
  <si>
    <t>케이엔제이</t>
  </si>
  <si>
    <t>Edge Grinder, CVD-SiC Ring</t>
  </si>
  <si>
    <t>www.knj21.com</t>
  </si>
  <si>
    <t>036710 KS Equity</t>
  </si>
  <si>
    <t>A036710</t>
  </si>
  <si>
    <t>SIMMTECH HOLDINGS Co., Ltd.</t>
  </si>
  <si>
    <t>심텍홀딩스</t>
  </si>
  <si>
    <t>www.simmtechholdings.co.kr</t>
  </si>
  <si>
    <t>033920 KS Equity</t>
  </si>
  <si>
    <t>A033920</t>
  </si>
  <si>
    <t>Muhak</t>
  </si>
  <si>
    <t>무학</t>
  </si>
  <si>
    <t>www.muhak.co.kr</t>
  </si>
  <si>
    <t>019550 KS Equity</t>
  </si>
  <si>
    <t>A019550</t>
  </si>
  <si>
    <t>SBI Investment Korea Co., Ltd.</t>
  </si>
  <si>
    <t>SBI인베스트먼트</t>
  </si>
  <si>
    <t>www.sbik.co.kr</t>
  </si>
  <si>
    <t>236810 KS Equity</t>
  </si>
  <si>
    <t>A236810</t>
  </si>
  <si>
    <t>NBT Inc.</t>
  </si>
  <si>
    <t>엔비티</t>
  </si>
  <si>
    <t>모바일 포인트 광고 플랫폼</t>
  </si>
  <si>
    <t>www.cashslide.co.kr</t>
  </si>
  <si>
    <t>321370 KS Equity</t>
  </si>
  <si>
    <t>A321370</t>
  </si>
  <si>
    <t>SENSORVIEW CO., LTD.</t>
  </si>
  <si>
    <t>센서뷰</t>
  </si>
  <si>
    <t>T&amp;M 케이블, 초소형 전송선로</t>
  </si>
  <si>
    <t>www.sensor-view.com</t>
  </si>
  <si>
    <t>102370 KS Equity</t>
  </si>
  <si>
    <t>A102370</t>
  </si>
  <si>
    <t>K-auction.Inc.</t>
  </si>
  <si>
    <t>케이옥션</t>
  </si>
  <si>
    <t>미술품 경매 및 판매</t>
  </si>
  <si>
    <t>www.k-auction.com</t>
  </si>
  <si>
    <t>366030 KS Equity</t>
  </si>
  <si>
    <t>A366030</t>
  </si>
  <si>
    <t>09women Co., Ltd.</t>
  </si>
  <si>
    <t>공구우먼</t>
  </si>
  <si>
    <t>플러스사이즈 여성용 의류 및 잡화</t>
  </si>
  <si>
    <t>www.09women.net</t>
  </si>
  <si>
    <t>012860 KS Equity</t>
  </si>
  <si>
    <t>A012860</t>
  </si>
  <si>
    <t>MOBASE ELECTRONICS CO.,LTD.</t>
  </si>
  <si>
    <t>모베이스전자</t>
  </si>
  <si>
    <t>자동차용 신품 제동장치 제조업</t>
  </si>
  <si>
    <t>스마트키,스위치</t>
  </si>
  <si>
    <t>www.seoyonelec.com</t>
  </si>
  <si>
    <t>214260 KS Equity</t>
  </si>
  <si>
    <t>A214260</t>
  </si>
  <si>
    <t>RAPHAS CO., LTD.</t>
  </si>
  <si>
    <t>라파스</t>
  </si>
  <si>
    <t>마이크로니들 패치 제품(의약품패치, 의료기기패치, 미용패치 등)</t>
  </si>
  <si>
    <t>www.raphas.co.kr</t>
  </si>
  <si>
    <t>094280 KS Equity</t>
  </si>
  <si>
    <t>A094280</t>
  </si>
  <si>
    <t>HYOSUNG ITX Co., Ltd.</t>
  </si>
  <si>
    <t>효성ITX</t>
  </si>
  <si>
    <t>컨택센터서비스, Cloud솔루션, CDN, 프로젝터판매</t>
  </si>
  <si>
    <t>www.hyosungitx.com</t>
  </si>
  <si>
    <t>082800 KS Equity</t>
  </si>
  <si>
    <t>A082800</t>
  </si>
  <si>
    <t>VIVOZON PHARMACEUTICAL CO., LTD.</t>
  </si>
  <si>
    <t>비보존 제약</t>
  </si>
  <si>
    <t>완제의약품제조</t>
  </si>
  <si>
    <t>www.vivozonhc.com</t>
  </si>
  <si>
    <t>089470 KS Equity</t>
  </si>
  <si>
    <t>A089470</t>
  </si>
  <si>
    <t>HDC Hyundai Engineering Plastics</t>
  </si>
  <si>
    <t>HDC현대EP</t>
  </si>
  <si>
    <t>합성수지(PP컴파운딩가공,자동차범퍼,내장제) 제조,도소매</t>
  </si>
  <si>
    <t>www.hdc-hyundaiep.com</t>
  </si>
  <si>
    <t>124560 KS Equity</t>
  </si>
  <si>
    <t>A124560</t>
  </si>
  <si>
    <t>Taewoong Logistics Co., Ltd.</t>
  </si>
  <si>
    <t>태웅로직스</t>
  </si>
  <si>
    <t>코스닥 운송</t>
  </si>
  <si>
    <t>3자물류주선 (복합운송, 프로젝트운송, CIS운송 등)</t>
  </si>
  <si>
    <t>www.e-tgl.com</t>
  </si>
  <si>
    <t>039340 KS Equity</t>
  </si>
  <si>
    <t>A039340</t>
  </si>
  <si>
    <t>The Korea Economic Broadcasting Co., Ltd.</t>
  </si>
  <si>
    <t>한국경제TV</t>
  </si>
  <si>
    <t>광고수입, 협찬수입</t>
  </si>
  <si>
    <t>www.wowtv.co.kr</t>
  </si>
  <si>
    <t>216050 KS Equity</t>
  </si>
  <si>
    <t>A216050</t>
  </si>
  <si>
    <t>Incross Co.,Ltd.</t>
  </si>
  <si>
    <t>인크로스</t>
  </si>
  <si>
    <t>미디어렙서비스</t>
  </si>
  <si>
    <t>www.incross.com</t>
  </si>
  <si>
    <t>070960 KS Equity</t>
  </si>
  <si>
    <t>A070960</t>
  </si>
  <si>
    <t>휴양콘도 운영업</t>
  </si>
  <si>
    <t>리조트 운영, 콘도 분양</t>
  </si>
  <si>
    <t>www.yongpyong.co.kr</t>
  </si>
  <si>
    <t>164060 KS Equity</t>
  </si>
  <si>
    <t>A164060</t>
  </si>
  <si>
    <t>이루다</t>
  </si>
  <si>
    <t>www.ilooda.com</t>
  </si>
  <si>
    <t>267320 KS Equity</t>
  </si>
  <si>
    <t>A267320</t>
  </si>
  <si>
    <t>Naintech. CO.,LTD.</t>
  </si>
  <si>
    <t>나인테크</t>
  </si>
  <si>
    <t>이차전지 제조 장비</t>
  </si>
  <si>
    <t>www.naintec.co.kr</t>
  </si>
  <si>
    <t>261200 KS Equity</t>
  </si>
  <si>
    <t>A261200</t>
  </si>
  <si>
    <t>DENTIS CO.,LTD.</t>
  </si>
  <si>
    <t>덴티스</t>
  </si>
  <si>
    <t>임플란트외</t>
  </si>
  <si>
    <t>www.dentis.co.kr</t>
  </si>
  <si>
    <t>347890 KS Equity</t>
  </si>
  <si>
    <t>A347890</t>
  </si>
  <si>
    <t>M2I Corporation</t>
  </si>
  <si>
    <t>엠투아이</t>
  </si>
  <si>
    <t>스마트HMI, 스마트SCADA, 스마트팩토리솔루션</t>
  </si>
  <si>
    <t>www.m2i.co.kr</t>
  </si>
  <si>
    <t>065660 KS Equity</t>
  </si>
  <si>
    <t>A065660</t>
  </si>
  <si>
    <t>ANTEROGEN CO., LTD.</t>
  </si>
  <si>
    <t>안트로젠</t>
  </si>
  <si>
    <t>줄기세포치료제</t>
  </si>
  <si>
    <t>www.anterogen.com</t>
  </si>
  <si>
    <t>000180 KS Equity</t>
  </si>
  <si>
    <t>A000180</t>
  </si>
  <si>
    <t>SungchangEnterpriseHoldings</t>
  </si>
  <si>
    <t>성창기업지주</t>
  </si>
  <si>
    <t>합판, 마루, 파티클보드, 우드칩, 포르말린 등 제조</t>
  </si>
  <si>
    <t>www.sce.kr</t>
  </si>
  <si>
    <t>079980 KS Equity</t>
  </si>
  <si>
    <t>A079980</t>
  </si>
  <si>
    <t>HUVIS</t>
  </si>
  <si>
    <t>휴비스</t>
  </si>
  <si>
    <t>합성섬유(폴리에스테르원사,원면),재생섬유,폴리에스텔 원사,원면,고상칩 제조,도소매</t>
  </si>
  <si>
    <t>www.huvis.com</t>
  </si>
  <si>
    <t>263860 KS Equity</t>
  </si>
  <si>
    <t>A263860</t>
  </si>
  <si>
    <t>GENIANS, INC.</t>
  </si>
  <si>
    <t>지니언스</t>
  </si>
  <si>
    <t>네트워크 접근 제어 솔루션(NAC), 단말기반 지능형 위협 탐지 대응 솔루션(EDR)</t>
  </si>
  <si>
    <t>www.genians.co.kr</t>
  </si>
  <si>
    <t>372910 KS Equity</t>
  </si>
  <si>
    <t>A372910</t>
  </si>
  <si>
    <t>Hancom Lifecare</t>
  </si>
  <si>
    <t>한컴라이프케어</t>
  </si>
  <si>
    <t>공기호흡기, 방독면, 보호복 등</t>
  </si>
  <si>
    <t>255440 KS Equity</t>
  </si>
  <si>
    <t>A255440</t>
  </si>
  <si>
    <t>YAS Co., Ltd.</t>
  </si>
  <si>
    <t>야스</t>
  </si>
  <si>
    <t>OLED 증착기, OLED 증착원</t>
  </si>
  <si>
    <t>www.yasoled.com</t>
  </si>
  <si>
    <t>383930 KS Equity</t>
  </si>
  <si>
    <t>A383930</t>
  </si>
  <si>
    <t>DT&amp;CRO CO., Ltd.</t>
  </si>
  <si>
    <t>디티앤씨알오</t>
  </si>
  <si>
    <t>비임상 및 임상시험 대체 용역</t>
  </si>
  <si>
    <t>www.dtncro.com</t>
  </si>
  <si>
    <t>210540 KS Equity</t>
  </si>
  <si>
    <t>A210540</t>
  </si>
  <si>
    <t>DY POWER Corporation</t>
  </si>
  <si>
    <t>디와이파워</t>
  </si>
  <si>
    <t>유공압기기 등</t>
  </si>
  <si>
    <t>power.dy.co.kr</t>
  </si>
  <si>
    <t>109740 KS Equity</t>
  </si>
  <si>
    <t>A109740</t>
  </si>
  <si>
    <t>DSK Co.,Ltd.</t>
  </si>
  <si>
    <t>디에스케이</t>
  </si>
  <si>
    <t>FPD(Flat Panel Display 평판디스플레이)용 Bonding System 및 In-line System, 카메라모듈장비, 이차전지장비, 메카트로닉스 사업군</t>
  </si>
  <si>
    <t>www.dsk.co.kr</t>
  </si>
  <si>
    <t>014530 KS Equity</t>
  </si>
  <si>
    <t>A014530</t>
  </si>
  <si>
    <t>KukdongOil&amp;Chem.</t>
  </si>
  <si>
    <t>극동유화</t>
  </si>
  <si>
    <t>윤활유,유동파라핀,왁스,방수용시트,아스팔트 제조/수입자동차,부품 도매/가스충전,산업설비 청소</t>
  </si>
  <si>
    <t>www.kdoc.co.kr</t>
  </si>
  <si>
    <t>004080 KS Equity</t>
  </si>
  <si>
    <t>A004080</t>
  </si>
  <si>
    <t>Shinhung</t>
  </si>
  <si>
    <t>신흥</t>
  </si>
  <si>
    <t>의료기기 도매업</t>
  </si>
  <si>
    <t>치과용기자재(방사선장치,전기진단장치),주사침 도소매,제조/부동산 임대</t>
  </si>
  <si>
    <t>www.shinhung.co.kr</t>
  </si>
  <si>
    <t>037460 KS Equity</t>
  </si>
  <si>
    <t>A037460</t>
  </si>
  <si>
    <t>Samji Electronics Co., Ltd.</t>
  </si>
  <si>
    <t>삼지전자</t>
  </si>
  <si>
    <t>통신기기,정보기기,BACKLIGHTUNIT사업</t>
  </si>
  <si>
    <t>www.samji.com</t>
  </si>
  <si>
    <t>222040 KS Equity</t>
  </si>
  <si>
    <t>A222040</t>
  </si>
  <si>
    <t>COSMAX NBT, INC.</t>
  </si>
  <si>
    <t>코스맥스엔비티</t>
  </si>
  <si>
    <t>www.nutribiotech.co.kr</t>
  </si>
  <si>
    <t>051160 KS Equity</t>
  </si>
  <si>
    <t>A051160</t>
  </si>
  <si>
    <t>GAEASOFT</t>
  </si>
  <si>
    <t>지어소프트</t>
  </si>
  <si>
    <t>Mobile Solution &amp; Platform, Internet GIS, Mobile Service</t>
  </si>
  <si>
    <t>www.gaeasoft.co.kr</t>
  </si>
  <si>
    <t>090850 KS Equity</t>
  </si>
  <si>
    <t>A090850</t>
  </si>
  <si>
    <t>HYUNDAI EZWEL Co.,Ltd.</t>
  </si>
  <si>
    <t>현대이지웰</t>
  </si>
  <si>
    <t>선택적복리후생서비스</t>
  </si>
  <si>
    <t>066700 KS Equity</t>
  </si>
  <si>
    <t>A066700</t>
  </si>
  <si>
    <t>Theragen Etex Co., Ltd.</t>
  </si>
  <si>
    <t>테라젠이텍스</t>
  </si>
  <si>
    <t>Loading/Unloading System, PCB Bonding System</t>
  </si>
  <si>
    <t>www.thera-gen.com</t>
  </si>
  <si>
    <t>159580 KS Equity</t>
  </si>
  <si>
    <t>A159580</t>
  </si>
  <si>
    <t>Zero to Seven Inc.</t>
  </si>
  <si>
    <t>제로투세븐</t>
  </si>
  <si>
    <t>유아동복 및 용품</t>
  </si>
  <si>
    <t>www.zerotoseven.co.kr</t>
  </si>
  <si>
    <t>004970 KS Equity</t>
  </si>
  <si>
    <t>A004970</t>
  </si>
  <si>
    <t>Silla</t>
  </si>
  <si>
    <t>신라교역</t>
  </si>
  <si>
    <t>원양어업(참치,명태,휠레트,연육,명란,새우),어획물 판매/직물 수출</t>
  </si>
  <si>
    <t>www.sla.co.kr</t>
  </si>
  <si>
    <t>112290 KS Equity</t>
  </si>
  <si>
    <t>A112290</t>
  </si>
  <si>
    <t>YCCHEM CO., LTD.</t>
  </si>
  <si>
    <t>와이씨켐</t>
  </si>
  <si>
    <t>감광재료 및 관련 화학제품 제조업</t>
  </si>
  <si>
    <t>반도체 및 디스플레이용 화학소재</t>
  </si>
  <si>
    <t>www.ycchem.co.kr</t>
  </si>
  <si>
    <t>009270 KS Equity</t>
  </si>
  <si>
    <t>A009270</t>
  </si>
  <si>
    <t>Shinwon</t>
  </si>
  <si>
    <t>신원</t>
  </si>
  <si>
    <t>여성,남성의류,스웨터,의복관련 악세사리,사카린,망초 제조,판매,수출입/섬유의류 도매/신용카드업/의류전문 물류대행 및 임대사업</t>
  </si>
  <si>
    <t>www.sw.co.kr</t>
  </si>
  <si>
    <t>417790 KS Equity</t>
  </si>
  <si>
    <t>A417790</t>
  </si>
  <si>
    <t>TRUEN CO.,LTD.</t>
  </si>
  <si>
    <t>트루엔</t>
  </si>
  <si>
    <t>IP 카메라, 영상스트리밍솔루션, IoT기기 및 서비스</t>
  </si>
  <si>
    <t>www.truen.co.kr</t>
  </si>
  <si>
    <t>054780 KS Equity</t>
  </si>
  <si>
    <t>A054780</t>
  </si>
  <si>
    <t>Keyeast Co., Ltd.</t>
  </si>
  <si>
    <t>키이스트</t>
  </si>
  <si>
    <t>멀티미디어 SI</t>
  </si>
  <si>
    <t>www.keyeast.co.kr</t>
  </si>
  <si>
    <t>311690 KS Equity</t>
  </si>
  <si>
    <t>A311690</t>
  </si>
  <si>
    <t>CJ BIOSCIENCE, INC.</t>
  </si>
  <si>
    <t>CJ 바이오사이언스</t>
  </si>
  <si>
    <t>생명정보 플랫폼, 마이크로바이옴 분석 서비스</t>
  </si>
  <si>
    <t>www.cjbioscience.com</t>
  </si>
  <si>
    <t>038390 KS Equity</t>
  </si>
  <si>
    <t>A038390</t>
  </si>
  <si>
    <t>RedcapTour Co., Ltd.</t>
  </si>
  <si>
    <t>레드캡투어</t>
  </si>
  <si>
    <t>여행알선, 렌터카</t>
  </si>
  <si>
    <t>115160 KS Equity</t>
  </si>
  <si>
    <t>A115160</t>
  </si>
  <si>
    <t>HUMAX Co., Ltd.</t>
  </si>
  <si>
    <t>휴맥스</t>
  </si>
  <si>
    <t>셋톱박스</t>
  </si>
  <si>
    <t>kr.humaxdigital.com</t>
  </si>
  <si>
    <t>003720 KS Equity</t>
  </si>
  <si>
    <t>A003720</t>
  </si>
  <si>
    <t>SAMYOUNG</t>
  </si>
  <si>
    <t>삼영</t>
  </si>
  <si>
    <t>합성수지(BOPP,캐파시타),PPC,랩,종이상자(카톤팩) 제조</t>
  </si>
  <si>
    <t>www.sycc.co.kr</t>
  </si>
  <si>
    <t>000520 KS Equity</t>
  </si>
  <si>
    <t>A000520</t>
  </si>
  <si>
    <t>SamilPharmaceutical</t>
  </si>
  <si>
    <t>삼일제약</t>
  </si>
  <si>
    <t>양약(부루펜,액티피드,포리부틴) 제조,도매</t>
  </si>
  <si>
    <t>www.samil-pharm.com</t>
  </si>
  <si>
    <t>250060 KS Equity</t>
  </si>
  <si>
    <t>A250060</t>
  </si>
  <si>
    <t>Mobiis Co., Ltd.</t>
  </si>
  <si>
    <t>모비스</t>
  </si>
  <si>
    <t>핵융합 제어솔루션 및 스마트팩토리 통합솔루션</t>
  </si>
  <si>
    <t>www.mobiis.com</t>
  </si>
  <si>
    <t>276040 KS Equity</t>
  </si>
  <si>
    <t>A276040</t>
  </si>
  <si>
    <t>SKONEC ENTERTAINMENT Co., Ltd.</t>
  </si>
  <si>
    <t>스코넥</t>
  </si>
  <si>
    <t>XR 교육/훈련 시스템, VR 게임 콘텐츠 등</t>
  </si>
  <si>
    <t>www.skonec.com</t>
  </si>
  <si>
    <t>038880 KS Equity</t>
  </si>
  <si>
    <t>A038880</t>
  </si>
  <si>
    <t>iA, Inc.</t>
  </si>
  <si>
    <t>아이에이</t>
  </si>
  <si>
    <t>반도체 및 모듈, 제어기</t>
  </si>
  <si>
    <t>www.ia-inc.kr</t>
  </si>
  <si>
    <t>002700 KS Equity</t>
  </si>
  <si>
    <t>A002700</t>
  </si>
  <si>
    <t>SHINIL ELECTRONICS</t>
  </si>
  <si>
    <t>신일전자</t>
  </si>
  <si>
    <t>가전제품 및 부품 도매업</t>
  </si>
  <si>
    <t>가정용 전기기구(선풍기,난로,세탁기),전자기구,연구기구 제조,수출입</t>
  </si>
  <si>
    <t>www.shinil.co.kr</t>
  </si>
  <si>
    <t>140670 KS Equity</t>
  </si>
  <si>
    <t>A140670</t>
  </si>
  <si>
    <t>RS AUTOMATION CO.,LTD.</t>
  </si>
  <si>
    <t>알에스오토메이션</t>
  </si>
  <si>
    <t>모션제어기, 드라이브, 에너지제어장치</t>
  </si>
  <si>
    <t>www.rsautomation.co.kr</t>
  </si>
  <si>
    <t>269620 KS Equity</t>
  </si>
  <si>
    <t>A269620</t>
  </si>
  <si>
    <t>SYSWORK CO., LTD.</t>
  </si>
  <si>
    <t>시스웍</t>
  </si>
  <si>
    <t>클린룸 제어시스템, BLDC모터, 공조장치 제어기 등</t>
  </si>
  <si>
    <t>www.syswork.co.kr</t>
  </si>
  <si>
    <t>047820 KS Equity</t>
  </si>
  <si>
    <t>A047820</t>
  </si>
  <si>
    <t>Chorokbaem Media  Co., Ltd.</t>
  </si>
  <si>
    <t>초록뱀미디어</t>
  </si>
  <si>
    <t>방송프로그램 제작 및 공급</t>
  </si>
  <si>
    <t>www.chorokbaem.com</t>
  </si>
  <si>
    <t>159010 KS Equity</t>
  </si>
  <si>
    <t>A159010</t>
  </si>
  <si>
    <t>ASFLOW CO., LTD.</t>
  </si>
  <si>
    <t>아스플로</t>
  </si>
  <si>
    <t>탭, 밸브 및 유사장치 제조업</t>
  </si>
  <si>
    <t>강관, 피팅, 밸브류 등</t>
  </si>
  <si>
    <t>www.asflow.com</t>
  </si>
  <si>
    <t>006580 KS Equity</t>
  </si>
  <si>
    <t>A006580</t>
  </si>
  <si>
    <t>대양제지</t>
  </si>
  <si>
    <t>기타 종이 및 판지 제조업</t>
  </si>
  <si>
    <t>골판지원지</t>
  </si>
  <si>
    <t>452280 KS Equity</t>
  </si>
  <si>
    <t>A452280</t>
  </si>
  <si>
    <t>HANSUN ENGINEERING CO., LTD.</t>
  </si>
  <si>
    <t>한선엔지니어링</t>
  </si>
  <si>
    <t>계장용 피팅 및 밸브, 모듈</t>
  </si>
  <si>
    <t>www.ehansun.co.kr</t>
  </si>
  <si>
    <t>086820 KS Equity</t>
  </si>
  <si>
    <t>A086820</t>
  </si>
  <si>
    <t>Biosolution Co.,Ltd.</t>
  </si>
  <si>
    <t>바이오솔루션</t>
  </si>
  <si>
    <t>세포치료제, 인체조직모델 등</t>
  </si>
  <si>
    <t>www.biosolutions.co.kr</t>
  </si>
  <si>
    <t>003650 KS Equity</t>
  </si>
  <si>
    <t>A003650</t>
  </si>
  <si>
    <t>MichangOilInd</t>
  </si>
  <si>
    <t>미창석유</t>
  </si>
  <si>
    <t>윤활유,고무배합유,전기절연유 제조,판매,수출입</t>
  </si>
  <si>
    <t>www.michang.co.kr</t>
  </si>
  <si>
    <t>248170 KS Equity</t>
  </si>
  <si>
    <t>A248170</t>
  </si>
  <si>
    <t>SEMPIO FOODS</t>
  </si>
  <si>
    <t>샘표식품</t>
  </si>
  <si>
    <t>간장</t>
  </si>
  <si>
    <t>259630 KS Equity</t>
  </si>
  <si>
    <t>A259630</t>
  </si>
  <si>
    <t>mPLUS corp.</t>
  </si>
  <si>
    <t>엠플러스</t>
  </si>
  <si>
    <t>이차전지 자동화 조립설비</t>
  </si>
  <si>
    <t>www.mplusi.co.kr</t>
  </si>
  <si>
    <t>105330 KS Equity</t>
  </si>
  <si>
    <t>A105330</t>
  </si>
  <si>
    <t>KNW Co., Ltd.</t>
  </si>
  <si>
    <t>케이엔더블유</t>
  </si>
  <si>
    <t>Blanket, DOF, 보호필름</t>
  </si>
  <si>
    <t>www.knwkorea.com</t>
  </si>
  <si>
    <t>067900 KS Equity</t>
  </si>
  <si>
    <t>A067900</t>
  </si>
  <si>
    <t>Y-Entec Co., Ltd.</t>
  </si>
  <si>
    <t>와이엔텍</t>
  </si>
  <si>
    <t>지정 폐기물 처리업</t>
  </si>
  <si>
    <t>사업장폐기물중간및최종처리,전문건설,골재제조</t>
  </si>
  <si>
    <t>www.y-entec.co.kr</t>
  </si>
  <si>
    <t>071200 KS Equity</t>
  </si>
  <si>
    <t>A071200</t>
  </si>
  <si>
    <t>INFINITT Healthcare Co., Ltd.</t>
  </si>
  <si>
    <t>인피니트헬스케어</t>
  </si>
  <si>
    <t>의료영상저장전송시스템(PACS)</t>
  </si>
  <si>
    <t>www.infinitt.com</t>
  </si>
  <si>
    <t>008040 KS Equity</t>
  </si>
  <si>
    <t>A008040</t>
  </si>
  <si>
    <t>SAJODONGAONE</t>
  </si>
  <si>
    <t>사조동아원</t>
  </si>
  <si>
    <t>제분, 배합사료 제조</t>
  </si>
  <si>
    <t>www.dongaone.com</t>
  </si>
  <si>
    <t>064820 KS Equity</t>
  </si>
  <si>
    <t>A064820</t>
  </si>
  <si>
    <t>CAPE INDUSTREIS LTD.</t>
  </si>
  <si>
    <t>케이프</t>
  </si>
  <si>
    <t>선박엔진용실린더라이너</t>
  </si>
  <si>
    <t>www.cape.co.kr</t>
  </si>
  <si>
    <t>025820 KS Equity</t>
  </si>
  <si>
    <t>A025820</t>
  </si>
  <si>
    <t>LeekuIndustrial</t>
  </si>
  <si>
    <t>이구산업</t>
  </si>
  <si>
    <t>동 압연, 압출 및 연신제품 제조업</t>
  </si>
  <si>
    <t>동판.조,황동판.조,인청동판.조 제조,임가공/부동산 임대</t>
  </si>
  <si>
    <t>www.leeku.net</t>
  </si>
  <si>
    <t>014160 KS Equity</t>
  </si>
  <si>
    <t>A014160</t>
  </si>
  <si>
    <t>DaeyoungPackaging</t>
  </si>
  <si>
    <t>대영포장</t>
  </si>
  <si>
    <t>골판지원단,골판지상자 제조</t>
  </si>
  <si>
    <t>900250 KS Equity</t>
  </si>
  <si>
    <t>A900250</t>
  </si>
  <si>
    <t>China Crystal New Material Holdings Co.,  Ltd.</t>
  </si>
  <si>
    <t>크리스탈신소재</t>
  </si>
  <si>
    <t>합성운모 플레이크, 파우더, 테이프</t>
  </si>
  <si>
    <t>www.crystalnewmaterial.com</t>
  </si>
  <si>
    <t>282720 KS Equity</t>
  </si>
  <si>
    <t>A282720</t>
  </si>
  <si>
    <t>KUMYANG GREEN POWER CO., LTD.</t>
  </si>
  <si>
    <t>금양그린파워</t>
  </si>
  <si>
    <t>플랜트, 발전소 및 신재생에너지 발전소 공사 및 용역</t>
  </si>
  <si>
    <t>www.kygp.co.kr</t>
  </si>
  <si>
    <t>061040 KS Equity</t>
  </si>
  <si>
    <t>A061040</t>
  </si>
  <si>
    <t>RFTech Co., Ltd.</t>
  </si>
  <si>
    <t>알에프텍</t>
  </si>
  <si>
    <t>핸드폰 충전기, 핸즈프리</t>
  </si>
  <si>
    <t>www.rftech.co.kr</t>
  </si>
  <si>
    <t>032850 KS Equity</t>
  </si>
  <si>
    <t>A032850</t>
  </si>
  <si>
    <t>Bit Computer Co., Ltd.</t>
  </si>
  <si>
    <t>비트컴퓨터</t>
  </si>
  <si>
    <t>의료정보시스템</t>
  </si>
  <si>
    <t>www.bit.kr</t>
  </si>
  <si>
    <t>058400 KS Equity</t>
  </si>
  <si>
    <t>A058400</t>
  </si>
  <si>
    <t>KOREA NEW NETWORK</t>
  </si>
  <si>
    <t>KNN</t>
  </si>
  <si>
    <t>방송프로그램 제작 및 송출</t>
  </si>
  <si>
    <t>www.knn.co.kr</t>
  </si>
  <si>
    <t>036120 KS Equity</t>
  </si>
  <si>
    <t>A036120</t>
  </si>
  <si>
    <t>SCI Information Service Inc.</t>
  </si>
  <si>
    <t>SCI평가정보</t>
  </si>
  <si>
    <t>신용조회,채권추심,신용조사</t>
  </si>
  <si>
    <t>www.sci.co.kr</t>
  </si>
  <si>
    <t>054050 KS Equity</t>
  </si>
  <si>
    <t>A054050</t>
  </si>
  <si>
    <t>Nong Woo Bio Co., Ltd.</t>
  </si>
  <si>
    <t>농우바이오</t>
  </si>
  <si>
    <t>채소, 화훼작물 및 종묘 재배업</t>
  </si>
  <si>
    <t>종자 및 묘목 생산업</t>
  </si>
  <si>
    <t>고추, 수박, 참외(메론), 오이, 호박, 무, 배추 등</t>
  </si>
  <si>
    <t>www.nongwoobio.co.kr</t>
  </si>
  <si>
    <t>096630 KS Equity</t>
  </si>
  <si>
    <t>A096630</t>
  </si>
  <si>
    <t>S Connect Co., Ltd.</t>
  </si>
  <si>
    <t>에스코넥</t>
  </si>
  <si>
    <t>이동전화기 제조업</t>
  </si>
  <si>
    <t>WaferProber</t>
  </si>
  <si>
    <t>www.S-connect.co.kr</t>
  </si>
  <si>
    <t>074430 KS Equity</t>
  </si>
  <si>
    <t>A074430</t>
  </si>
  <si>
    <t>Aminologics Co., Ltd.</t>
  </si>
  <si>
    <t>아미노로직스</t>
  </si>
  <si>
    <t>재생용 재료 및 기타 상품 전문 도매업</t>
  </si>
  <si>
    <t>그 외 기타 상품 전문 도매업</t>
  </si>
  <si>
    <t>DVR용 영상처리 칩</t>
  </si>
  <si>
    <t>www.aminologics.co.kr</t>
  </si>
  <si>
    <t>072870 KS Equity</t>
  </si>
  <si>
    <t>A072870</t>
  </si>
  <si>
    <t>Megastudy Co., Ltd.</t>
  </si>
  <si>
    <t>메가스터디</t>
  </si>
  <si>
    <t>온라인강의,교재판매</t>
  </si>
  <si>
    <t>www.megastudyholdings.com</t>
  </si>
  <si>
    <t>361390 KS Equity</t>
  </si>
  <si>
    <t>A361390</t>
  </si>
  <si>
    <t>Genohco., Inc.</t>
  </si>
  <si>
    <t>제노코</t>
  </si>
  <si>
    <t>위성탑재체, 위성운용국, 항공전자 등</t>
  </si>
  <si>
    <t>www.genohco.com</t>
  </si>
  <si>
    <t>171120 KS Equity</t>
  </si>
  <si>
    <t>A171120</t>
  </si>
  <si>
    <t>Lion Chemtech Co., LTD.</t>
  </si>
  <si>
    <t>라이온켐텍</t>
  </si>
  <si>
    <t>합성왁스, 인조대리석</t>
  </si>
  <si>
    <t>www.lctkorea.com</t>
  </si>
  <si>
    <t>007330 KS Equity</t>
  </si>
  <si>
    <t>A007330</t>
  </si>
  <si>
    <t>Pureun Mutual Savings Bank Co., Ltd.</t>
  </si>
  <si>
    <t>푸른저축은행</t>
  </si>
  <si>
    <t>신용조합 및 저축기관</t>
  </si>
  <si>
    <t>상호저축은행 및 기타 저축기관</t>
  </si>
  <si>
    <t>대출이자</t>
  </si>
  <si>
    <t>www.prsb.co.kr</t>
  </si>
  <si>
    <t>047400 KS Equity</t>
  </si>
  <si>
    <t>A047400</t>
  </si>
  <si>
    <t>Union Materials Corp.</t>
  </si>
  <si>
    <t>유니온머티리얼</t>
  </si>
  <si>
    <t>비내화 일반도자기 제조업</t>
  </si>
  <si>
    <t>위생용 및 산업용 도자기 제조업</t>
  </si>
  <si>
    <t>페라이트,세라믹 제조,도매</t>
  </si>
  <si>
    <t>www.unionmaterials.com</t>
  </si>
  <si>
    <t>013580 KS Equity</t>
  </si>
  <si>
    <t>A013580</t>
  </si>
  <si>
    <t>KyeryongConstructionIndustrial</t>
  </si>
  <si>
    <t>계룡건설</t>
  </si>
  <si>
    <t>건축공사,주택공사,토목공사,포장공사,전기공사</t>
  </si>
  <si>
    <t>www.krcon.co.kr</t>
  </si>
  <si>
    <t>073010 KS Equity</t>
  </si>
  <si>
    <t>A073010</t>
  </si>
  <si>
    <t>KSP Co., Ltd.</t>
  </si>
  <si>
    <t>케이에스피</t>
  </si>
  <si>
    <t>선박용엔진밸브,형단조품</t>
  </si>
  <si>
    <t>www.kspvalve.co.kr</t>
  </si>
  <si>
    <t>173130 KS Equity</t>
  </si>
  <si>
    <t>A173130</t>
  </si>
  <si>
    <t>OPASNET CO.,LTD.</t>
  </si>
  <si>
    <t>오파스넷</t>
  </si>
  <si>
    <t>네트워크 구축 및 유지보수</t>
  </si>
  <si>
    <t>www.opasnet.co.kr</t>
  </si>
  <si>
    <t>357580 KS Equity</t>
  </si>
  <si>
    <t>A357580</t>
  </si>
  <si>
    <t>Amosense Co., Ltd.</t>
  </si>
  <si>
    <t>아모센스</t>
  </si>
  <si>
    <t>무선충전 차폐시트</t>
  </si>
  <si>
    <t>www.amosense.co.kr</t>
  </si>
  <si>
    <t>407400 KS Equity</t>
  </si>
  <si>
    <t>A407400</t>
  </si>
  <si>
    <t>GGUMBI Inc.</t>
  </si>
  <si>
    <t>꿈비</t>
  </si>
  <si>
    <t>기타 가구 제조업</t>
  </si>
  <si>
    <t>그 외 기타 가구 제조업</t>
  </si>
  <si>
    <t>놀이방매트, 유아거실가구 등</t>
  </si>
  <si>
    <t>017550 KS Equity</t>
  </si>
  <si>
    <t>A017550</t>
  </si>
  <si>
    <t>SoosanHeavyIndustries</t>
  </si>
  <si>
    <t>수산중공업</t>
  </si>
  <si>
    <t>유압브레이커,트럭크레인,플라즈마 파암장비,특장차,산업기계,건설기계 제조,도매</t>
  </si>
  <si>
    <t>000860 KS Equity</t>
  </si>
  <si>
    <t>A000860</t>
  </si>
  <si>
    <t>KANGNAM JEVISCO</t>
  </si>
  <si>
    <t>강남제비스코</t>
  </si>
  <si>
    <t>도료(페인트,락카,신나,에나멜,바니쉬),안료 제조,판매</t>
  </si>
  <si>
    <t>www.jevisco.com</t>
  </si>
  <si>
    <t>054670 KS Equity</t>
  </si>
  <si>
    <t>A054670</t>
  </si>
  <si>
    <t>Daehan New Pharm Co., Ltd.</t>
  </si>
  <si>
    <t>대한뉴팜</t>
  </si>
  <si>
    <t>동물약품,인체약품</t>
  </si>
  <si>
    <t>www.dhnp.co.kr</t>
  </si>
  <si>
    <t>010040 KS Equity</t>
  </si>
  <si>
    <t>A010040</t>
  </si>
  <si>
    <t>KOREAREFRACTORIES</t>
  </si>
  <si>
    <t>한국내화</t>
  </si>
  <si>
    <t>내화벽돌,내화몰탈,축로등 제조,판매</t>
  </si>
  <si>
    <t>www.fskrc.co.kr</t>
  </si>
  <si>
    <t>089850 KS Equity</t>
  </si>
  <si>
    <t>A089850</t>
  </si>
  <si>
    <t>UbiVelox Inc.</t>
  </si>
  <si>
    <t>유비벨록스</t>
  </si>
  <si>
    <t>모바일플랫폼 및 모바일솔루션, 스마트카드 등</t>
  </si>
  <si>
    <t>www.ubivelox.com</t>
  </si>
  <si>
    <t>053580 KS Equity</t>
  </si>
  <si>
    <t>A053580</t>
  </si>
  <si>
    <t>WebCash Corporation</t>
  </si>
  <si>
    <t>웹케시</t>
  </si>
  <si>
    <t>에스이알피, 브랜치, 인하우스</t>
  </si>
  <si>
    <t>http://www.webcash.co.kr</t>
  </si>
  <si>
    <t>063160 KS Equity</t>
  </si>
  <si>
    <t>A063160</t>
  </si>
  <si>
    <t>CKDBioCorporation</t>
  </si>
  <si>
    <t>종근당바이오</t>
  </si>
  <si>
    <t>의약품,원료의약품 제조</t>
  </si>
  <si>
    <t>www.ckdbio.com</t>
  </si>
  <si>
    <t>317870 KS Equity</t>
  </si>
  <si>
    <t>A317870</t>
  </si>
  <si>
    <t>ENVIONEER Co., Ltd.</t>
  </si>
  <si>
    <t>엔바이오니아</t>
  </si>
  <si>
    <t>양전하필터(정수기)</t>
  </si>
  <si>
    <t>www.envioneer,com</t>
  </si>
  <si>
    <t>099750 KS Equity</t>
  </si>
  <si>
    <t>A099750</t>
  </si>
  <si>
    <t>ezCaretech Co.,Ltd.</t>
  </si>
  <si>
    <t>이지케어텍</t>
  </si>
  <si>
    <t>www.ezcaretech.com</t>
  </si>
  <si>
    <t>012800 KS Equity</t>
  </si>
  <si>
    <t>A012800</t>
  </si>
  <si>
    <t>DAECHANG</t>
  </si>
  <si>
    <t>대창</t>
  </si>
  <si>
    <t>황동봉,동합금괴 제조,판매</t>
  </si>
  <si>
    <t>www.brassone.com</t>
  </si>
  <si>
    <t>391710 KS Equity</t>
  </si>
  <si>
    <t>A391710</t>
  </si>
  <si>
    <t>Kornic Automation Co., Ltd.</t>
  </si>
  <si>
    <t>코닉오토메이션</t>
  </si>
  <si>
    <t>금융 지원 서비스(SPAC)</t>
  </si>
  <si>
    <t>www.kornic.co.kr</t>
  </si>
  <si>
    <t>003460 KS Equity</t>
  </si>
  <si>
    <t>A003460</t>
  </si>
  <si>
    <t>YuhwaSecurities</t>
  </si>
  <si>
    <t>유화증권</t>
  </si>
  <si>
    <t>www.yhs.co.kr</t>
  </si>
  <si>
    <t>053700 KS Equity</t>
  </si>
  <si>
    <t>A053700</t>
  </si>
  <si>
    <t>Sambo Motos Co., Ltd.</t>
  </si>
  <si>
    <t>삼보모터스</t>
  </si>
  <si>
    <t>증명서 자동발급기</t>
  </si>
  <si>
    <t>www.sambomotors.com</t>
  </si>
  <si>
    <t>003060 KS Equity</t>
  </si>
  <si>
    <t>A003060</t>
  </si>
  <si>
    <t>Aprogen Biologics</t>
  </si>
  <si>
    <t>에이프로젠바이오로직스</t>
  </si>
  <si>
    <t>의약품(항생제,영양수액제,드링크제,철결핍성빈혈예방치료제,경옥동충하초) 제조,판매</t>
  </si>
  <si>
    <t>027580 KS Equity</t>
  </si>
  <si>
    <t>A027580</t>
  </si>
  <si>
    <t>SANGBO Corp.</t>
  </si>
  <si>
    <t>상보</t>
  </si>
  <si>
    <t>광학필름,윈도우필름,미디어필름</t>
  </si>
  <si>
    <t>www.sangbogroup.com</t>
  </si>
  <si>
    <t>214330 KS Equity</t>
  </si>
  <si>
    <t>A214330</t>
  </si>
  <si>
    <t>Kumho HT, Inc.</t>
  </si>
  <si>
    <t>금호에이치티</t>
  </si>
  <si>
    <t>자동차용 전구 및 LED모듈</t>
  </si>
  <si>
    <t>www.kumhoht.co.kr</t>
  </si>
  <si>
    <t>111710 KS Equity</t>
  </si>
  <si>
    <t>A111710</t>
  </si>
  <si>
    <t>Namhwa Industrial Co.,Ltd.</t>
  </si>
  <si>
    <t>남화산업</t>
  </si>
  <si>
    <t>골프장 및 스키장 운영업</t>
  </si>
  <si>
    <t>골프장 운영업</t>
  </si>
  <si>
    <t>골프장 서비스</t>
  </si>
  <si>
    <t>www.muangc.co.kr</t>
  </si>
  <si>
    <t>024090 KS Equity</t>
  </si>
  <si>
    <t>A024090</t>
  </si>
  <si>
    <t>DCMCorp.</t>
  </si>
  <si>
    <t>디씨엠</t>
  </si>
  <si>
    <t>PCM(칼라강판),라미네이트강판,산업용필름 제조,판매</t>
  </si>
  <si>
    <t>www.dcmcorp.co.kr</t>
  </si>
  <si>
    <t>104620 KS Equity</t>
  </si>
  <si>
    <t>A104620</t>
  </si>
  <si>
    <t>Yellow Balloon Tour Co.,Ltd.</t>
  </si>
  <si>
    <t>노랑풍선</t>
  </si>
  <si>
    <t>국내외여행 알선, 항공권 판매</t>
  </si>
  <si>
    <t>http://www.ybtour.co.kr</t>
  </si>
  <si>
    <t>004310 KS Equity</t>
  </si>
  <si>
    <t>A004310</t>
  </si>
  <si>
    <t>Hyundai pharm</t>
  </si>
  <si>
    <t>현대약품</t>
  </si>
  <si>
    <t>타코실, 마이녹실, 테놀민, 미에로화이바 등</t>
  </si>
  <si>
    <t>www.hyundaipharm.co.kr</t>
  </si>
  <si>
    <t>071280 KS Equity</t>
  </si>
  <si>
    <t>A071280</t>
  </si>
  <si>
    <t>Rorze Systems Corporation</t>
  </si>
  <si>
    <t>로체시스템즈</t>
  </si>
  <si>
    <t>LCD 제조용 이송장비</t>
  </si>
  <si>
    <t>www.rorze.co.kr</t>
  </si>
  <si>
    <t>041590 KS Equity</t>
  </si>
  <si>
    <t>A041590</t>
  </si>
  <si>
    <t>Flask Co., Ltd.</t>
  </si>
  <si>
    <t>플래스크</t>
  </si>
  <si>
    <t>실내건축 및 건축마무리 공사업</t>
  </si>
  <si>
    <t>실내건축, 에너지저장시스템</t>
  </si>
  <si>
    <t>www.gemvaxzio.com</t>
  </si>
  <si>
    <t>123420 KS Equity</t>
  </si>
  <si>
    <t>A123420</t>
  </si>
  <si>
    <t>Wemade Play Co., Ltd.</t>
  </si>
  <si>
    <t>위메이드플레이</t>
  </si>
  <si>
    <t>217190 KS Equity</t>
  </si>
  <si>
    <t>A217190</t>
  </si>
  <si>
    <t>GENESEM INC.</t>
  </si>
  <si>
    <t>제너셈</t>
  </si>
  <si>
    <t>반도체 후공정 장비</t>
  </si>
  <si>
    <t>www.genesem.com</t>
  </si>
  <si>
    <t>368770 KS Equity</t>
  </si>
  <si>
    <t>A368770</t>
  </si>
  <si>
    <t>FIBERPRO, Inc.</t>
  </si>
  <si>
    <t>파이버프로</t>
  </si>
  <si>
    <t>광섬유 관성센서 및 관성 측정장치</t>
  </si>
  <si>
    <t>www.fiberpro.com</t>
  </si>
  <si>
    <t>035610 KS Equity</t>
  </si>
  <si>
    <t>A035610</t>
  </si>
  <si>
    <t>Solborn, Inc.</t>
  </si>
  <si>
    <t>솔본</t>
  </si>
  <si>
    <t>경영자문 및 지주사업</t>
  </si>
  <si>
    <t>www.solborn.co.kr</t>
  </si>
  <si>
    <t>005960 KS Equity</t>
  </si>
  <si>
    <t>A005960</t>
  </si>
  <si>
    <t>Dongbu Corporation</t>
  </si>
  <si>
    <t>동부건설</t>
  </si>
  <si>
    <t>건축공사,토목공사,전기공사,기계설비공사/비금속,철구조물 제조,판매/여객,자동차 운송,항만하역</t>
  </si>
  <si>
    <t>dbcon.dongbu.co.kr</t>
  </si>
  <si>
    <t>061250 KS Equity</t>
  </si>
  <si>
    <t>A061250</t>
  </si>
  <si>
    <t>HWAIL PHARM. CO., LTD.</t>
  </si>
  <si>
    <t>화일약품</t>
  </si>
  <si>
    <t>의약품 원료</t>
  </si>
  <si>
    <t>www.hwail.com</t>
  </si>
  <si>
    <t>053280 KS Equity</t>
  </si>
  <si>
    <t>A053280</t>
  </si>
  <si>
    <t>YES24 Co., Ltd.</t>
  </si>
  <si>
    <t>예스24</t>
  </si>
  <si>
    <t>전자상거래 소매 중개업</t>
  </si>
  <si>
    <t>도서,음반/DVD,화장품</t>
  </si>
  <si>
    <t>www.yes24.com</t>
  </si>
  <si>
    <t>009070 KS Equity</t>
  </si>
  <si>
    <t>A009070</t>
  </si>
  <si>
    <t>KCTC</t>
  </si>
  <si>
    <t>화물자동차운송,항만하역,창고보관,컨테이너조작,중량물해상운송</t>
  </si>
  <si>
    <t>www.kctc.co.kr</t>
  </si>
  <si>
    <t>263690 KS Equity</t>
  </si>
  <si>
    <t>A263690</t>
  </si>
  <si>
    <t>DRGEM CORPORATION</t>
  </si>
  <si>
    <t>디알젬</t>
  </si>
  <si>
    <t>진단용 엑스선 촬영장치 및 부분품, X-ray 제너레이터 외</t>
  </si>
  <si>
    <t>www.drgem.co.kr</t>
  </si>
  <si>
    <t>100700 KS Equity</t>
  </si>
  <si>
    <t>A100700</t>
  </si>
  <si>
    <t>SEWOONMEDICAL Co., Ltd.</t>
  </si>
  <si>
    <t>세운메디칼</t>
  </si>
  <si>
    <t>의료용구(체액배출기,도뇨관) 제조,도매,수출입</t>
  </si>
  <si>
    <t>www.sewoonmedical.co.kr</t>
  </si>
  <si>
    <t>003100 KS Equity</t>
  </si>
  <si>
    <t>A003100</t>
  </si>
  <si>
    <t>SUN KWANG Co., Ltd.</t>
  </si>
  <si>
    <t>선광</t>
  </si>
  <si>
    <t>화물 취급업</t>
  </si>
  <si>
    <t>수상 화물 취급업</t>
  </si>
  <si>
    <t>항만하역, 해사(바다모래)</t>
  </si>
  <si>
    <t>www.sun-kwang.co.kr</t>
  </si>
  <si>
    <t>120030 KS Equity</t>
  </si>
  <si>
    <t>A120030</t>
  </si>
  <si>
    <t>CHOSUN WELDING POHANG Co., Ltd</t>
  </si>
  <si>
    <t>조선선재</t>
  </si>
  <si>
    <t>그 외 기타 금속가공제품 제조업</t>
  </si>
  <si>
    <t>그 외 기타 분류 안된 금속 가공 제품 제조업</t>
  </si>
  <si>
    <t>용접재료</t>
  </si>
  <si>
    <t>www.chosunwelding.com</t>
  </si>
  <si>
    <t>012170 KS Equity</t>
  </si>
  <si>
    <t>A012170</t>
  </si>
  <si>
    <t>Ascendio</t>
  </si>
  <si>
    <t>아센디오</t>
  </si>
  <si>
    <t>석탄(점결탄) 판매</t>
  </si>
  <si>
    <t>ascendio.co.kr</t>
  </si>
  <si>
    <t>376930 KS Equity</t>
  </si>
  <si>
    <t>A376930</t>
  </si>
  <si>
    <t>NOUL Co., Ltd.</t>
  </si>
  <si>
    <t>노을</t>
  </si>
  <si>
    <t>융복합 체외진단 플랫폼</t>
  </si>
  <si>
    <t>www.noul.kr</t>
  </si>
  <si>
    <t>215090 KS Equity</t>
  </si>
  <si>
    <t>A215090</t>
  </si>
  <si>
    <t>Hucentech Co., Ltd.</t>
  </si>
  <si>
    <t>휴센텍</t>
  </si>
  <si>
    <t>■ 회로카드조립체(프로세서보드용)</t>
  </si>
  <si>
    <t xml:space="preserve">www.edt21.co.kr               </t>
  </si>
  <si>
    <t>178780 KS Equity</t>
  </si>
  <si>
    <t>A178780</t>
  </si>
  <si>
    <t>ILWOUL GML Co., Ltd.</t>
  </si>
  <si>
    <t>일월지엠엘</t>
  </si>
  <si>
    <t>www.u-tech.co.kr</t>
  </si>
  <si>
    <t>058630 KS Equity</t>
  </si>
  <si>
    <t>A058630</t>
  </si>
  <si>
    <t>MGAME Corp.</t>
  </si>
  <si>
    <t>엠게임</t>
  </si>
  <si>
    <t>온라인 게임 개발 및 퍼블리싱(열혈강호온라인,홀릭2,영웅)</t>
  </si>
  <si>
    <t>www.mgamecorp.com</t>
  </si>
  <si>
    <t>148140 KS Equity</t>
  </si>
  <si>
    <t>A148140</t>
  </si>
  <si>
    <t>비디아이</t>
  </si>
  <si>
    <t>www.bdindustry.co.kr</t>
  </si>
  <si>
    <t>086670 KS Equity</t>
  </si>
  <si>
    <t>A086670</t>
  </si>
  <si>
    <t>BMT Co., Ltd.</t>
  </si>
  <si>
    <t>비엠티</t>
  </si>
  <si>
    <t>정밀계장용피팅및밸브류,전원분배장치(MCPD)</t>
  </si>
  <si>
    <t>www.superlok.com</t>
  </si>
  <si>
    <t>032560 KS Equity</t>
  </si>
  <si>
    <t>A032560</t>
  </si>
  <si>
    <t>Hwang Kum Steel &amp; Technology</t>
  </si>
  <si>
    <t>황금에스티</t>
  </si>
  <si>
    <t>기타 1차 비철금속 제조업</t>
  </si>
  <si>
    <t>스테인레스 냉연, 열연</t>
  </si>
  <si>
    <t>www.hwangkum.com</t>
  </si>
  <si>
    <t>001540 KS Equity</t>
  </si>
  <si>
    <t>A001540</t>
  </si>
  <si>
    <t>AHN-GOOK PHARMACEUTICAL Co., Ltd.</t>
  </si>
  <si>
    <t>안국약품</t>
  </si>
  <si>
    <t>그랑파제, 토비콤-S</t>
  </si>
  <si>
    <t>www.ahn-gook.com</t>
  </si>
  <si>
    <t>080000 KS Equity</t>
  </si>
  <si>
    <t>A080000</t>
  </si>
  <si>
    <t>SNU Precision Co., Ltd.</t>
  </si>
  <si>
    <t>에스엔유</t>
  </si>
  <si>
    <t>OLED증착장비, OLED봉지장비, LCD검사장비 등</t>
  </si>
  <si>
    <t>www.snuprecision.com</t>
  </si>
  <si>
    <t>241790 KS Equity</t>
  </si>
  <si>
    <t>A241790</t>
  </si>
  <si>
    <t>반도체 케미칼 및 특수가스, 반도체 장비</t>
  </si>
  <si>
    <t>www.oceanbridge.co.kr</t>
  </si>
  <si>
    <t>347000 KS Equity</t>
  </si>
  <si>
    <t>A347000</t>
  </si>
  <si>
    <t>SENKO Co.,Ltd.</t>
  </si>
  <si>
    <t>센코</t>
  </si>
  <si>
    <t>가스센서 및 모듈, 휴대용 및 고정형 가스검지기, 악취 &amp; 미세먼지 모니터링 시스템</t>
  </si>
  <si>
    <t>www.senko.co.kr</t>
  </si>
  <si>
    <t>004150 KS Equity</t>
  </si>
  <si>
    <t>A004150</t>
  </si>
  <si>
    <t>Hansol Holdings</t>
  </si>
  <si>
    <t>한솔홀딩스</t>
  </si>
  <si>
    <t>www.hansol.com</t>
  </si>
  <si>
    <t>105550 KS Equity</t>
  </si>
  <si>
    <t>A105550</t>
  </si>
  <si>
    <t>자동차용 센서(APS, TPS, IAPS, SLS)</t>
  </si>
  <si>
    <t>www.truwin.co.kr</t>
  </si>
  <si>
    <t>120240 KS Equity</t>
  </si>
  <si>
    <t>A120240</t>
  </si>
  <si>
    <t>Daejung Chemicals &amp; Metals Co., Ltd.</t>
  </si>
  <si>
    <t>대정화금</t>
  </si>
  <si>
    <t>시약, 원료의약품</t>
  </si>
  <si>
    <t>www.daejung.kr</t>
  </si>
  <si>
    <t>064800 KS Equity</t>
  </si>
  <si>
    <t>A064800</t>
  </si>
  <si>
    <t>의류제품</t>
  </si>
  <si>
    <t>www.feelingk.co.kr</t>
  </si>
  <si>
    <t>041920 KS Equity</t>
  </si>
  <si>
    <t>A041920</t>
  </si>
  <si>
    <t>MEDIANA Co.,Ltd.</t>
  </si>
  <si>
    <t>메디아나</t>
  </si>
  <si>
    <t>환자감시장치, 자동심장 제세동기(AED)</t>
  </si>
  <si>
    <t>www.mediana.co.kr</t>
  </si>
  <si>
    <t>002200 KS Equity</t>
  </si>
  <si>
    <t>A002200</t>
  </si>
  <si>
    <t>KoreaExportPackagingIndustrial</t>
  </si>
  <si>
    <t>한국수출포장</t>
  </si>
  <si>
    <t>골판지상자,골판지원지 제조,판매</t>
  </si>
  <si>
    <t>www.keppack.co.kr</t>
  </si>
  <si>
    <t>001750 KS Equity</t>
  </si>
  <si>
    <t>A001750</t>
  </si>
  <si>
    <t>HanyangSecurities</t>
  </si>
  <si>
    <t>한양증권</t>
  </si>
  <si>
    <t>www.hygood.co.kr</t>
  </si>
  <si>
    <t>052420 KS Equity</t>
  </si>
  <si>
    <t>A052420</t>
  </si>
  <si>
    <t>OSUNG ADVANCED MATERIALS CO.,LTD.</t>
  </si>
  <si>
    <t>오성첨단소재</t>
  </si>
  <si>
    <t>보호, 기능성 필름</t>
  </si>
  <si>
    <t>www.osungam.com</t>
  </si>
  <si>
    <t>014940 KS Equity</t>
  </si>
  <si>
    <t>A014940</t>
  </si>
  <si>
    <t>Oriental Precision &amp; Engineering Co., Ltd.</t>
  </si>
  <si>
    <t>오리엔탈정공</t>
  </si>
  <si>
    <t>선박용 기계제품(크레인 등)</t>
  </si>
  <si>
    <t>www.opco.co.kr</t>
  </si>
  <si>
    <t>332570 KS Equity</t>
  </si>
  <si>
    <t>A332570</t>
  </si>
  <si>
    <t>Wireless Power Amplifier Module Inc.</t>
  </si>
  <si>
    <t>와이팜</t>
  </si>
  <si>
    <t>전력증폭기 모듈(PAM)</t>
  </si>
  <si>
    <t>www.wipam.co.kr</t>
  </si>
  <si>
    <t>023800 KS Equity</t>
  </si>
  <si>
    <t>A023800</t>
  </si>
  <si>
    <t>InziControls</t>
  </si>
  <si>
    <t>인지컨트롤스</t>
  </si>
  <si>
    <t>자동차부품(터머스위치,터머스탯) 제조</t>
  </si>
  <si>
    <t>www.inzi.co.kr</t>
  </si>
  <si>
    <t>382480 KS Equity</t>
  </si>
  <si>
    <t>A382480</t>
  </si>
  <si>
    <t>G.I. Tech Co., Ltd.</t>
  </si>
  <si>
    <t>지아이텍</t>
  </si>
  <si>
    <t>SLOT DIE, SLIT NOZZLE, REPAIR, 기타</t>
  </si>
  <si>
    <t>www.gitec.kr</t>
  </si>
  <si>
    <t>041930 KS Equity</t>
  </si>
  <si>
    <t>A041930</t>
  </si>
  <si>
    <t>Dong-A Hwa Sung Co., Ltd.</t>
  </si>
  <si>
    <t>동아화성</t>
  </si>
  <si>
    <t>기타 고무제품 제조업</t>
  </si>
  <si>
    <t>고무패킹류 제조업</t>
  </si>
  <si>
    <t>자동차용 고무부품</t>
  </si>
  <si>
    <t>www.dacm.com</t>
  </si>
  <si>
    <t>264660 KS Equity</t>
  </si>
  <si>
    <t>A264660</t>
  </si>
  <si>
    <t>C&amp;G HI TECH CO., LTD.</t>
  </si>
  <si>
    <t>씨앤지하이테크</t>
  </si>
  <si>
    <t>약액혼합공급장치, 화학약품재생장치</t>
  </si>
  <si>
    <t>www.cnghitech.com</t>
  </si>
  <si>
    <t>033310 KS Equity</t>
  </si>
  <si>
    <t>A033310</t>
  </si>
  <si>
    <t>M2N Co.,Ltd.</t>
  </si>
  <si>
    <t>엠투엔</t>
  </si>
  <si>
    <t>금속 캔 및 기타 포장용기 제조업</t>
  </si>
  <si>
    <t>산업용자동제어반기기</t>
  </si>
  <si>
    <t>www.dkdni.co.kr</t>
  </si>
  <si>
    <t>054920 KS Equity</t>
  </si>
  <si>
    <t>A054920</t>
  </si>
  <si>
    <t>Hancom WITH Inc.</t>
  </si>
  <si>
    <t>한컴위드</t>
  </si>
  <si>
    <t>전자상거래 보안 솔루션</t>
  </si>
  <si>
    <t>www.hsecure.co.kr</t>
  </si>
  <si>
    <t>049520 KS Equity</t>
  </si>
  <si>
    <t>A049520</t>
  </si>
  <si>
    <t>UIL Co., Ltd.</t>
  </si>
  <si>
    <t>유아이엘</t>
  </si>
  <si>
    <t>스마트폰 기구부품(키버튼,금속부품,부자재,악세서리 등)</t>
  </si>
  <si>
    <t>www.e-uil.com</t>
  </si>
  <si>
    <t>289080 KS Equity</t>
  </si>
  <si>
    <t>A289080</t>
  </si>
  <si>
    <t>SV INVESTMENT CORPORATION</t>
  </si>
  <si>
    <t>SV인베스트먼트</t>
  </si>
  <si>
    <t>중소/벤처기업 투자 및 육성</t>
  </si>
  <si>
    <t>www.svinvest.com</t>
  </si>
  <si>
    <t>052710 KS Equity</t>
  </si>
  <si>
    <t>A052710</t>
  </si>
  <si>
    <t>Amotech Co., Ltd.</t>
  </si>
  <si>
    <t>아모텍</t>
  </si>
  <si>
    <t>칩바리스터, 아몰퍼스코어</t>
  </si>
  <si>
    <t>www.amotech.co.kr</t>
  </si>
  <si>
    <t>055490 KS Equity</t>
  </si>
  <si>
    <t>A055490</t>
  </si>
  <si>
    <t>TAPEX</t>
  </si>
  <si>
    <t>테이팩스</t>
  </si>
  <si>
    <t>OCA, 2차전지용 테이프, 산업용 랩 등</t>
  </si>
  <si>
    <t>www.tapex.co.kr</t>
  </si>
  <si>
    <t>215360 KS Equity</t>
  </si>
  <si>
    <t>A215360</t>
  </si>
  <si>
    <t>WOORY INDUSTRIAL CO.,LTD.</t>
  </si>
  <si>
    <t>우리산업</t>
  </si>
  <si>
    <t>ACTUATOR 등</t>
  </si>
  <si>
    <t>www.woory.com</t>
  </si>
  <si>
    <t>005710 KS Equity</t>
  </si>
  <si>
    <t>A005710</t>
  </si>
  <si>
    <t>DAE WON SAN UP CO., LTD.</t>
  </si>
  <si>
    <t>대원산업</t>
  </si>
  <si>
    <t>자동차시트</t>
  </si>
  <si>
    <t>www.dwsu.co.kr</t>
  </si>
  <si>
    <t>016740 KS Equity</t>
  </si>
  <si>
    <t>A016740</t>
  </si>
  <si>
    <t>DUAL</t>
  </si>
  <si>
    <t>두올</t>
  </si>
  <si>
    <t>시트 커버 및 시트 원단</t>
  </si>
  <si>
    <t>www.idual.co.kr</t>
  </si>
  <si>
    <t>050110 KS Equity</t>
  </si>
  <si>
    <t>A050110</t>
  </si>
  <si>
    <t>CammSys Corp.</t>
  </si>
  <si>
    <t>캠시스</t>
  </si>
  <si>
    <t>휴대폰용 카메라모듈</t>
  </si>
  <si>
    <t>www.cammsys.net</t>
  </si>
  <si>
    <t>054800 KS Equity</t>
  </si>
  <si>
    <t>A054800</t>
  </si>
  <si>
    <t>IDIS Holdings Co., Ltd.</t>
  </si>
  <si>
    <t>아이디스홀딩스</t>
  </si>
  <si>
    <t>www.idisholdings.co.kr</t>
  </si>
  <si>
    <t>126880 KS Equity</t>
  </si>
  <si>
    <t>A126880</t>
  </si>
  <si>
    <t>산업용 오븐, 노 및 노용 버너 제조업</t>
  </si>
  <si>
    <t>산업용가열로, 수소충전소</t>
  </si>
  <si>
    <t>www.jnkheaters.co.kr</t>
  </si>
  <si>
    <t>019440 KS Equity</t>
  </si>
  <si>
    <t>A019440</t>
  </si>
  <si>
    <t>SeAH SPECIAL STEEL</t>
  </si>
  <si>
    <t>세아특수강</t>
  </si>
  <si>
    <t>냉간압조용선재,마봉강,스테인레스봉강 제조</t>
  </si>
  <si>
    <t>www.seahsp.co.kr</t>
  </si>
  <si>
    <t>160550 KS Equity</t>
  </si>
  <si>
    <t>A160550</t>
  </si>
  <si>
    <t>Next Entertainment World Co., Ltd.</t>
  </si>
  <si>
    <t>NEW</t>
  </si>
  <si>
    <t>영화 투자 및 배급</t>
  </si>
  <si>
    <t>www.its-new.co.kr</t>
  </si>
  <si>
    <t>000440 KS Equity</t>
  </si>
  <si>
    <t>A000440</t>
  </si>
  <si>
    <t>Joong Ang Enervis Co., Ltd.</t>
  </si>
  <si>
    <t>중앙에너비스</t>
  </si>
  <si>
    <t>석유류도소매</t>
  </si>
  <si>
    <t>www.enervis.co.kr</t>
  </si>
  <si>
    <t>347770 KS Equity</t>
  </si>
  <si>
    <t>A347770</t>
  </si>
  <si>
    <t>PIMS Inc.</t>
  </si>
  <si>
    <t>핌스</t>
  </si>
  <si>
    <t>유기발광 표시장치 제조업</t>
  </si>
  <si>
    <t>OLED Metal Mask</t>
  </si>
  <si>
    <t>www.pimskorea.com</t>
  </si>
  <si>
    <t>353810 KS Equity</t>
  </si>
  <si>
    <t>A353810</t>
  </si>
  <si>
    <t>EASY BIO,Inc.</t>
  </si>
  <si>
    <t>이지바이오</t>
  </si>
  <si>
    <t>자돈사료, 사료첨가제</t>
  </si>
  <si>
    <t>317770 KS Equity</t>
  </si>
  <si>
    <t>A317770</t>
  </si>
  <si>
    <t>Xperix Inc.</t>
  </si>
  <si>
    <t>엑스페릭스</t>
  </si>
  <si>
    <t>지문인식 등록, 인증 기기 및 솔루션</t>
  </si>
  <si>
    <t>352090 KS Equity</t>
  </si>
  <si>
    <t>A352090</t>
  </si>
  <si>
    <t>STORMTEC CO., LTD.</t>
  </si>
  <si>
    <t>스톰테크</t>
  </si>
  <si>
    <t>정수기 피팅, 밸브, 파우셋 등 부품</t>
  </si>
  <si>
    <t>stormtec.co.kr</t>
  </si>
  <si>
    <t>241840 KS Equity</t>
  </si>
  <si>
    <t>A241840</t>
  </si>
  <si>
    <t>ASTORY Co., Ltd.</t>
  </si>
  <si>
    <t>에이스토리</t>
  </si>
  <si>
    <t>방송프로그램 제작</t>
  </si>
  <si>
    <t>www.astory.co.kr</t>
  </si>
  <si>
    <t>232680 KS Equity</t>
  </si>
  <si>
    <t>A232680</t>
  </si>
  <si>
    <t>RAONTECH Inc.</t>
  </si>
  <si>
    <t>라온테크</t>
  </si>
  <si>
    <t>반도체 및 FPD용 로봇시스템</t>
  </si>
  <si>
    <t>www.raonrobot.com</t>
  </si>
  <si>
    <t>253840 KS Equity</t>
  </si>
  <si>
    <t>A253840</t>
  </si>
  <si>
    <t>Sugentech Inc.</t>
  </si>
  <si>
    <t>수젠텍</t>
  </si>
  <si>
    <t>체외진단 기기 및 시약</t>
  </si>
  <si>
    <t>www.sugentech.com</t>
  </si>
  <si>
    <t>206400 KS Equity</t>
  </si>
  <si>
    <t>A206400</t>
  </si>
  <si>
    <t>BENO TNR, Inc.</t>
  </si>
  <si>
    <t>베노티앤알</t>
  </si>
  <si>
    <t>웹게임, 모바일게임</t>
  </si>
  <si>
    <t>004890 KS Equity</t>
  </si>
  <si>
    <t>A004890</t>
  </si>
  <si>
    <t>DONGILINDUSTRIESCO.,LTD</t>
  </si>
  <si>
    <t>동일산업</t>
  </si>
  <si>
    <t>봉강,합금철,철근,마봉강,냉간압조용선재,주조,지선,주강,다이아몬드공구 제조,도매</t>
  </si>
  <si>
    <t>www.dongil.co.kr</t>
  </si>
  <si>
    <t>053450 KS Equity</t>
  </si>
  <si>
    <t>A053450</t>
  </si>
  <si>
    <t>SEKONIX Co., Ltd.</t>
  </si>
  <si>
    <t>세코닉스</t>
  </si>
  <si>
    <t>모바일용 카메라렌즈, 차량용 카메라 및 광학부품</t>
  </si>
  <si>
    <t>www.sekonix.com</t>
  </si>
  <si>
    <t>023000 KS Equity</t>
  </si>
  <si>
    <t>A023000</t>
  </si>
  <si>
    <t>SAMWONSTEEL Co., Ltd.</t>
  </si>
  <si>
    <t>삼원강재</t>
  </si>
  <si>
    <t>열간압연제품(평강,봉강,특수이형강,환강,자동차용 겹판스프링) 제조,판매</t>
  </si>
  <si>
    <t>www.samwon-steel.co.kr</t>
  </si>
  <si>
    <t>267290 KS Equity</t>
  </si>
  <si>
    <t>A267290</t>
  </si>
  <si>
    <t>KYUNGDONG CITY GAS</t>
  </si>
  <si>
    <t>경동도시가스</t>
  </si>
  <si>
    <t>도시가스</t>
  </si>
  <si>
    <t>www.kdgas.co.kr</t>
  </si>
  <si>
    <t>033170 KS Equity</t>
  </si>
  <si>
    <t>A033170</t>
  </si>
  <si>
    <t>Signetics Corp.</t>
  </si>
  <si>
    <t>시그네틱스</t>
  </si>
  <si>
    <t>반도체 패키징</t>
  </si>
  <si>
    <t>www.signetics.com</t>
  </si>
  <si>
    <t>033180 KS Equity</t>
  </si>
  <si>
    <t>A033180</t>
  </si>
  <si>
    <t>KH FEELUX Co.,Ltd.</t>
  </si>
  <si>
    <t>KH 필룩스</t>
  </si>
  <si>
    <t>전자부품(페라이트코아,트랜스포머,데코램프) 제조/온라인정보 제공/부동산 임대</t>
  </si>
  <si>
    <t>www.feelux.com</t>
  </si>
  <si>
    <t>004140 KS Equity</t>
  </si>
  <si>
    <t>A004140</t>
  </si>
  <si>
    <t>DongbangTransport&amp;Logistics</t>
  </si>
  <si>
    <t>동방</t>
  </si>
  <si>
    <t>기타 운송관련 서비스업</t>
  </si>
  <si>
    <t>육상운송,해상운송,항만화물하역,보관,창고,물류사업</t>
  </si>
  <si>
    <t>www.dongbang.co.kr</t>
  </si>
  <si>
    <t>013520 KS Equity</t>
  </si>
  <si>
    <t>A013520</t>
  </si>
  <si>
    <t>Hwaseung Corporation</t>
  </si>
  <si>
    <t>화승코퍼레이션</t>
  </si>
  <si>
    <t>산업용 고무제품(호스시트,벨트,펜더 등) 제조, 판매</t>
  </si>
  <si>
    <t>www.hsrna.com</t>
  </si>
  <si>
    <t>389470 KS Equity</t>
  </si>
  <si>
    <t>A389470</t>
  </si>
  <si>
    <t>Inventage Lab Inc.</t>
  </si>
  <si>
    <t>인벤티지랩</t>
  </si>
  <si>
    <t>마이크로/나노 입자 기반 약물전달 플랫폼 및 관련 제품</t>
  </si>
  <si>
    <t>www.inventagelab.com</t>
  </si>
  <si>
    <t>284620 KS Equity</t>
  </si>
  <si>
    <t>A284620</t>
  </si>
  <si>
    <t>KAINOS MEDICINE, INC.</t>
  </si>
  <si>
    <t>카이노스메드</t>
  </si>
  <si>
    <t>기업인수합병</t>
  </si>
  <si>
    <t>kainosmedicine.com</t>
  </si>
  <si>
    <t>271830 KS Equity</t>
  </si>
  <si>
    <t>A271830</t>
  </si>
  <si>
    <t>PAMTEK CO., LTD.</t>
  </si>
  <si>
    <t>팸텍</t>
  </si>
  <si>
    <t>카메라모듈 검사장비, 반도체 검사장비</t>
  </si>
  <si>
    <t>www.pamtek.com</t>
  </si>
  <si>
    <t>323280 KS Equity</t>
  </si>
  <si>
    <t>A323280</t>
  </si>
  <si>
    <t>TAESUNG CO.,LTD.</t>
  </si>
  <si>
    <t>태성</t>
  </si>
  <si>
    <t>기업인수 및 합병</t>
  </si>
  <si>
    <t>www.taesung2000.com</t>
  </si>
  <si>
    <t>004840 KS Equity</t>
  </si>
  <si>
    <t>A004840</t>
  </si>
  <si>
    <t>DRB Holding Co.,Ltd</t>
  </si>
  <si>
    <t>DRB동일</t>
  </si>
  <si>
    <t>고무벨트(V벨트,콘베이어벨트,평벨트),프라스틱제품 제조,판매</t>
  </si>
  <si>
    <t>www.drbworld.com</t>
  </si>
  <si>
    <t>115180 KS Equity</t>
  </si>
  <si>
    <t>A115180</t>
  </si>
  <si>
    <t>Qurient Co., Ltd.</t>
  </si>
  <si>
    <t>큐리언트</t>
  </si>
  <si>
    <t>저분자 혁신신약</t>
  </si>
  <si>
    <t>www.qurient.com</t>
  </si>
  <si>
    <t>417970 KS Equity</t>
  </si>
  <si>
    <t>A417970</t>
  </si>
  <si>
    <t>Model Solution Co., Ltd.</t>
  </si>
  <si>
    <t>모델솔루션</t>
  </si>
  <si>
    <t>하이엔드 프로토타입 제조, 다품종 소량생산 서비스</t>
  </si>
  <si>
    <t>www.model-solution.com</t>
  </si>
  <si>
    <t>008830 KS Equity</t>
  </si>
  <si>
    <t>A008830</t>
  </si>
  <si>
    <t>Dae Dong Gear Co., Ltd.</t>
  </si>
  <si>
    <t>대동기어</t>
  </si>
  <si>
    <t>기어, 베벨기어, 축, 엑셀, T/M, 유성감속기, 기타조립품</t>
  </si>
  <si>
    <t>www.daedonggear.com</t>
  </si>
  <si>
    <t>440290 KS Equity</t>
  </si>
  <si>
    <t>A440290</t>
  </si>
  <si>
    <t>HB Investment, Inc.</t>
  </si>
  <si>
    <t>HB인베스트먼트</t>
  </si>
  <si>
    <t>벤처투자조합 등 조합 결성 및 운영</t>
  </si>
  <si>
    <t>www.hbvc.co.kr</t>
  </si>
  <si>
    <t>027050 KS Equity</t>
  </si>
  <si>
    <t>A027050</t>
  </si>
  <si>
    <t>COREANA COSMETICS CO., LTD.</t>
  </si>
  <si>
    <t>코리아나</t>
  </si>
  <si>
    <t>www.coreana.com</t>
  </si>
  <si>
    <t>094850 KS Equity</t>
  </si>
  <si>
    <t>A094850</t>
  </si>
  <si>
    <t>Very Good Tour Co.,Ltd.</t>
  </si>
  <si>
    <t>참좋은여행</t>
  </si>
  <si>
    <t>여행사 및 기타 여행보조 서비스업</t>
  </si>
  <si>
    <t>여행상품</t>
  </si>
  <si>
    <t>www.verygoodtour.com</t>
  </si>
  <si>
    <t>306620 KS Equity</t>
  </si>
  <si>
    <t>A306620</t>
  </si>
  <si>
    <t>Neontech Co., Ltd.</t>
  </si>
  <si>
    <t>네온테크</t>
  </si>
  <si>
    <t>www.neontech.co.kr</t>
  </si>
  <si>
    <t>170030 KS Equity</t>
  </si>
  <si>
    <t>A170030</t>
  </si>
  <si>
    <t>Hyundai Industrial Co.,Ltd.</t>
  </si>
  <si>
    <t>현대공업</t>
  </si>
  <si>
    <t>시트패드, 암레스트, 헤드레스트</t>
  </si>
  <si>
    <t>www.hdi21.co.kr</t>
  </si>
  <si>
    <t>067370 KS Equity</t>
  </si>
  <si>
    <t>A067370</t>
  </si>
  <si>
    <t>SunBio, Inc.</t>
  </si>
  <si>
    <t>선바이오</t>
  </si>
  <si>
    <t>PEG유도체 제품 (62%), 기술료수입 (38%)</t>
  </si>
  <si>
    <t>www.sunbio.com</t>
  </si>
  <si>
    <t>043650 KS Equity</t>
  </si>
  <si>
    <t>A043650</t>
  </si>
  <si>
    <t>Kook Soon Dang Co., Ltd.</t>
  </si>
  <si>
    <t>국순당</t>
  </si>
  <si>
    <t>발효주 제조업</t>
  </si>
  <si>
    <t>탁주 및 약주 제조업</t>
  </si>
  <si>
    <t>탁주 및 약주</t>
  </si>
  <si>
    <t>www.ksdb.co.kr</t>
  </si>
  <si>
    <t>029480 KS Equity</t>
  </si>
  <si>
    <t>A029480</t>
  </si>
  <si>
    <t>Kwangmu Co.,Ltd.</t>
  </si>
  <si>
    <t>광무</t>
  </si>
  <si>
    <t>네트워크 통합사업,네트워크 장비, 光 전송장비, S/W 제조, 네트워크관리</t>
  </si>
  <si>
    <t>www.kwangmu.co.kr</t>
  </si>
  <si>
    <t>217730 KS Equity</t>
  </si>
  <si>
    <t>A217730</t>
  </si>
  <si>
    <t>KANGSTEM BIOTECH CO., LTD.</t>
  </si>
  <si>
    <t>강스템바이오텍</t>
  </si>
  <si>
    <t>www.kangstem.com</t>
  </si>
  <si>
    <t>004830 KS Equity</t>
  </si>
  <si>
    <t>A004830</t>
  </si>
  <si>
    <t>Duksung</t>
  </si>
  <si>
    <t>덕성</t>
  </si>
  <si>
    <t>플라스틱레쟈,합성수지,합성피혁 제조,도매</t>
  </si>
  <si>
    <t>www.duksung21.com</t>
  </si>
  <si>
    <t>004540 KS Equity</t>
  </si>
  <si>
    <t>A004540</t>
  </si>
  <si>
    <t>KleanNara</t>
  </si>
  <si>
    <t>깨끗한나라</t>
  </si>
  <si>
    <t>펄프,판지원지,화장지 제조,수출입</t>
  </si>
  <si>
    <t>www.kleannara.com</t>
  </si>
  <si>
    <t>317830 KS Equity</t>
  </si>
  <si>
    <t>A317830</t>
  </si>
  <si>
    <t>SP SYSTEMS CO.,LTD.</t>
  </si>
  <si>
    <t>에스피시스템스</t>
  </si>
  <si>
    <t>산업용 갠트리 로봇</t>
  </si>
  <si>
    <t xml:space="preserve">www.spsystems.co.kr </t>
  </si>
  <si>
    <t>123410 KS Equity</t>
  </si>
  <si>
    <t>A123410</t>
  </si>
  <si>
    <t>KOREA FUEL-TECH CORPORATION</t>
  </si>
  <si>
    <t>코리아에프티</t>
  </si>
  <si>
    <t>캐니스터,플라스틱필러넥,의장부품</t>
  </si>
  <si>
    <t>www.kftec.com</t>
  </si>
  <si>
    <t>034590 KS Equity</t>
  </si>
  <si>
    <t>A034590</t>
  </si>
  <si>
    <t>INCHEON CITY GAS</t>
  </si>
  <si>
    <t>인천도시가스</t>
  </si>
  <si>
    <t>도시가스 공급/가스설비공사</t>
  </si>
  <si>
    <t>www.icgas.co.kr</t>
  </si>
  <si>
    <t>352910 KS Equity</t>
  </si>
  <si>
    <t>A352910</t>
  </si>
  <si>
    <t>Obigo Inc.</t>
  </si>
  <si>
    <t>오비고</t>
  </si>
  <si>
    <t>스마트카 소프트웨어 플랫폼</t>
  </si>
  <si>
    <t>www.obigo.com</t>
  </si>
  <si>
    <t>066620 KS Equity</t>
  </si>
  <si>
    <t>A066620</t>
  </si>
  <si>
    <t>Kukbo Design Co., Ltd.</t>
  </si>
  <si>
    <t>국보디자인</t>
  </si>
  <si>
    <t>인테리어디자인</t>
  </si>
  <si>
    <t>www.ikukbo.com</t>
  </si>
  <si>
    <t>065530 KS Equity</t>
  </si>
  <si>
    <t>A065530</t>
  </si>
  <si>
    <t>Wiable Corp.</t>
  </si>
  <si>
    <t>와이어블</t>
  </si>
  <si>
    <t>공용기지국건설/관리</t>
  </si>
  <si>
    <t>www.krtnet.co.kr</t>
  </si>
  <si>
    <t>009470 KS Equity</t>
  </si>
  <si>
    <t>A009470</t>
  </si>
  <si>
    <t>SamwhaElectric</t>
  </si>
  <si>
    <t>삼화전기</t>
  </si>
  <si>
    <t>콘덴서 제조,판매</t>
  </si>
  <si>
    <t>www.samwha.co.kr/electric</t>
  </si>
  <si>
    <t>045660 KS Equity</t>
  </si>
  <si>
    <t>A045660</t>
  </si>
  <si>
    <t>Atec Co., Ltd.</t>
  </si>
  <si>
    <t>에이텍</t>
  </si>
  <si>
    <t>컴퓨터 제조업</t>
  </si>
  <si>
    <t>PC,모니터</t>
  </si>
  <si>
    <t>www.atec.kr</t>
  </si>
  <si>
    <t>023450 KS Equity</t>
  </si>
  <si>
    <t>A023450</t>
  </si>
  <si>
    <t>DONGNAMCHEMICALCO,.LTD.</t>
  </si>
  <si>
    <t>동남합성</t>
  </si>
  <si>
    <t>계면활성제,정밀화학품 제조,도매/부동산 임대</t>
  </si>
  <si>
    <t>www.dongnamchem.com</t>
  </si>
  <si>
    <t>309960 KS Equity</t>
  </si>
  <si>
    <t>A309960</t>
  </si>
  <si>
    <t>LB Investment Inc.</t>
  </si>
  <si>
    <t>LB인베스트먼트</t>
  </si>
  <si>
    <t>기금 운영업</t>
  </si>
  <si>
    <t>중소기업 창업투자</t>
  </si>
  <si>
    <t>049960 KS Equity</t>
  </si>
  <si>
    <t>A049960</t>
  </si>
  <si>
    <t>CELLBIOTECH Co., Ltd.</t>
  </si>
  <si>
    <t>쎌바이오텍</t>
  </si>
  <si>
    <t>유산균 원말 및 완제품</t>
  </si>
  <si>
    <t>www.cellbiotech.com</t>
  </si>
  <si>
    <t>109670 KS Equity</t>
  </si>
  <si>
    <t>A109670</t>
  </si>
  <si>
    <t>씨싸이트</t>
  </si>
  <si>
    <t>니트류 OEM</t>
  </si>
  <si>
    <t>www.c-site.co.kr</t>
  </si>
  <si>
    <t>241690 KS Equity</t>
  </si>
  <si>
    <t>A241690</t>
  </si>
  <si>
    <t>UNITEKNO Co., Ltd.</t>
  </si>
  <si>
    <t>유니테크노</t>
  </si>
  <si>
    <t>자동차용 신품 동력전달장치 및 전기장치 제조업</t>
  </si>
  <si>
    <t>자동차용 신품 동력전달장치 제조업</t>
  </si>
  <si>
    <t>자동차 부품, 전기차 부품, 배터리 셀케이스, ESS 배터리 모듈, SBW 및 EPB, EPS 전동화 부품</t>
  </si>
  <si>
    <t>www.unitekno.co.kr</t>
  </si>
  <si>
    <t>066590 KS Equity</t>
  </si>
  <si>
    <t>A066590</t>
  </si>
  <si>
    <t>Woosu AMS Co., Ltd.</t>
  </si>
  <si>
    <t>우수AMS</t>
  </si>
  <si>
    <t>엔진, 조향 및 기아변속기 부품</t>
  </si>
  <si>
    <t>www.woosu.co.kr</t>
  </si>
  <si>
    <t>071670 KS Equity</t>
  </si>
  <si>
    <t>A071670</t>
  </si>
  <si>
    <t>A-Tech Solution Co., Ltd.</t>
  </si>
  <si>
    <t>에이테크솔루션</t>
  </si>
  <si>
    <t>대형정밀금형(가전,자동차용 등)</t>
  </si>
  <si>
    <t>www.atechsolution.co.kr</t>
  </si>
  <si>
    <t>000230 KS Equity</t>
  </si>
  <si>
    <t>A000230</t>
  </si>
  <si>
    <t>ILDONG HOLDINGS</t>
  </si>
  <si>
    <t>일동홀딩스</t>
  </si>
  <si>
    <t>의약품 제조,도매</t>
  </si>
  <si>
    <t xml:space="preserve">www.ildongholdings.co.kr     </t>
  </si>
  <si>
    <t>365330 KS Equity</t>
  </si>
  <si>
    <t>A365330</t>
  </si>
  <si>
    <t>SY STEEL TECH, Inc.</t>
  </si>
  <si>
    <t>에스와이스틸텍</t>
  </si>
  <si>
    <t>데크플레이트</t>
  </si>
  <si>
    <t>systeeltech.com</t>
  </si>
  <si>
    <t>251120 KS Equity</t>
  </si>
  <si>
    <t>A251120</t>
  </si>
  <si>
    <t>BIO-FD&amp;C CO.,LTD.</t>
  </si>
  <si>
    <t>바이오에프디엔씨</t>
  </si>
  <si>
    <t>식물세포 유래 유효물질 및 약리물질</t>
  </si>
  <si>
    <t>www.biofdnc.com</t>
  </si>
  <si>
    <t>330350 KS Equity</t>
  </si>
  <si>
    <t>A330350</t>
  </si>
  <si>
    <t>WITHUS PHARMACEUTICAL CO.,LTD.</t>
  </si>
  <si>
    <t>위더스제약</t>
  </si>
  <si>
    <t>의약품 제조 및 도소매(순환기용제 등)</t>
  </si>
  <si>
    <t>www.withuspharm.com</t>
  </si>
  <si>
    <t>403490 KS Equity</t>
  </si>
  <si>
    <t>A403490</t>
  </si>
  <si>
    <t>WooDeumGeeFarm Co.,Ltd.</t>
  </si>
  <si>
    <t>우듬지팜</t>
  </si>
  <si>
    <t>과실, 채소 가공 및 저장 처리업</t>
  </si>
  <si>
    <t>스테비아 토마토, 대추방울 토마토, 완숙 토마토 등</t>
  </si>
  <si>
    <t>www.wdgfarm.com</t>
  </si>
  <si>
    <t>417840 KS Equity</t>
  </si>
  <si>
    <t>A417840</t>
  </si>
  <si>
    <t>Justem Co., Ltd.</t>
  </si>
  <si>
    <t>저스템</t>
  </si>
  <si>
    <t>반도체 습도제어 System</t>
  </si>
  <si>
    <t>www.justem.co.kr</t>
  </si>
  <si>
    <t>006370 KS Equity</t>
  </si>
  <si>
    <t>A006370</t>
  </si>
  <si>
    <t>DaeguDepartmentStore</t>
  </si>
  <si>
    <t>대구백화점</t>
  </si>
  <si>
    <t>백화점운영,임대사업(백화점 코너)</t>
  </si>
  <si>
    <t>www.debec.co.kr</t>
  </si>
  <si>
    <t>196300 KS Equity</t>
  </si>
  <si>
    <t>A196300</t>
  </si>
  <si>
    <t>ANYGEN CO.,LTD.</t>
  </si>
  <si>
    <t>애니젠</t>
  </si>
  <si>
    <t>펩타이드 바이오소재 및 아미노산 펩타이드 신약</t>
  </si>
  <si>
    <t>www.anygen.com</t>
  </si>
  <si>
    <t>294090 KS Equity</t>
  </si>
  <si>
    <t>A294090</t>
  </si>
  <si>
    <t>EOFLOW Co.,Ltd.</t>
  </si>
  <si>
    <t>이오플로우</t>
  </si>
  <si>
    <t>웨어러블 인슐린펌프</t>
  </si>
  <si>
    <t>www.eoflow.com</t>
  </si>
  <si>
    <t>037950 KS Equity</t>
  </si>
  <si>
    <t>A037950</t>
  </si>
  <si>
    <t>Elcomtec Co., Ltd.</t>
  </si>
  <si>
    <t>엘컴텍</t>
  </si>
  <si>
    <t>BLU(Back Light Unit), CCM(Compact Camera Module), Display용 EL</t>
  </si>
  <si>
    <t>www.elcomtec.co.kr</t>
  </si>
  <si>
    <t>004720 KS Equity</t>
  </si>
  <si>
    <t>A004720</t>
  </si>
  <si>
    <t>PharmGen Science</t>
  </si>
  <si>
    <t>팜젠사이언스</t>
  </si>
  <si>
    <t>의약품 외</t>
  </si>
  <si>
    <t>040420 KS Equity</t>
  </si>
  <si>
    <t>A040420</t>
  </si>
  <si>
    <t>JLS Co., Ltd.</t>
  </si>
  <si>
    <t>정상제이엘에스</t>
  </si>
  <si>
    <t>어학교육업</t>
  </si>
  <si>
    <t>www.gojls.com</t>
  </si>
  <si>
    <t>006740 KS Equity</t>
  </si>
  <si>
    <t>A006740</t>
  </si>
  <si>
    <t>YoungpoongPaperMfg</t>
  </si>
  <si>
    <t>영풍제지</t>
  </si>
  <si>
    <t>골판지원지,지관원지,라이나원지 제조</t>
  </si>
  <si>
    <t>www.yp21.co.kr</t>
  </si>
  <si>
    <t>049080 KS Equity</t>
  </si>
  <si>
    <t>A049080</t>
  </si>
  <si>
    <t>GIGALANE Co., Ltd.</t>
  </si>
  <si>
    <t>기가레인</t>
  </si>
  <si>
    <t>RF통신부품 및 반도체 장비</t>
  </si>
  <si>
    <t>www.gigalane.com</t>
  </si>
  <si>
    <t>052790 KS Equity</t>
  </si>
  <si>
    <t>A052790</t>
  </si>
  <si>
    <t>Actoz Soft Co., Ltd.</t>
  </si>
  <si>
    <t>액토즈소프트</t>
  </si>
  <si>
    <t>온라인 게임 및 모바일 게임</t>
  </si>
  <si>
    <t>www.actoz.com</t>
  </si>
  <si>
    <t>234300 KS Equity</t>
  </si>
  <si>
    <t>A234300</t>
  </si>
  <si>
    <t>STraffic Co.,Ltd.</t>
  </si>
  <si>
    <t>에스트래픽</t>
  </si>
  <si>
    <t>교통관련 솔루션 개발, 시스템통합 S/W 개발</t>
  </si>
  <si>
    <t>www.straffic.co.kr</t>
  </si>
  <si>
    <t>012600 KS Equity</t>
  </si>
  <si>
    <t>A012600</t>
  </si>
  <si>
    <t>CHUNGHO ICT</t>
  </si>
  <si>
    <t>청호ICT</t>
  </si>
  <si>
    <t>사무용 기계 및 장비 제조업</t>
  </si>
  <si>
    <t>금융단말기(현금자동입출금기,온라인단말기),통신기기 제조,판매</t>
  </si>
  <si>
    <t>041440 KS Equity</t>
  </si>
  <si>
    <t>A041440</t>
  </si>
  <si>
    <t>HYUNDAI EVERDIGM Corp.</t>
  </si>
  <si>
    <t>현대에버다임</t>
  </si>
  <si>
    <t>콘크리트펌프트럭, 중장비개량사업</t>
  </si>
  <si>
    <t>www.everdigm.com</t>
  </si>
  <si>
    <t>036580 KS Equity</t>
  </si>
  <si>
    <t>A036580</t>
  </si>
  <si>
    <t>FARMSCO</t>
  </si>
  <si>
    <t>팜스코</t>
  </si>
  <si>
    <t>배합사료 제조,도매</t>
  </si>
  <si>
    <t>www.farmsco.com</t>
  </si>
  <si>
    <t>082210 KS Equity</t>
  </si>
  <si>
    <t>A082210</t>
  </si>
  <si>
    <t>Optrontec Inc.</t>
  </si>
  <si>
    <t>옵트론텍</t>
  </si>
  <si>
    <t>IRFilter,Grating</t>
  </si>
  <si>
    <t>www.optrontec.com</t>
  </si>
  <si>
    <t>257370 KS Equity</t>
  </si>
  <si>
    <t>A257370</t>
  </si>
  <si>
    <t>People &amp; Technology Ms, Inc.</t>
  </si>
  <si>
    <t>피엔티엠에스</t>
  </si>
  <si>
    <t>2차전지 분리막 제조설비, 디스플레이용 생산설비</t>
  </si>
  <si>
    <t>www.ms-mc.co.kr</t>
  </si>
  <si>
    <t>294630 KS Equity</t>
  </si>
  <si>
    <t>A294630</t>
  </si>
  <si>
    <t>SuNAM Co., Ltd.</t>
  </si>
  <si>
    <t>서남</t>
  </si>
  <si>
    <t>고온초전도선재</t>
  </si>
  <si>
    <t>i-sunam.com</t>
  </si>
  <si>
    <t>012690 KS Equity</t>
  </si>
  <si>
    <t>A012690</t>
  </si>
  <si>
    <t>Monalisa</t>
  </si>
  <si>
    <t>모나리자</t>
  </si>
  <si>
    <t>기타 종이 및 판지 제품 제조업</t>
  </si>
  <si>
    <t>위생용 종이제품 제조업</t>
  </si>
  <si>
    <t>화장지,미용티슈 제조,도매</t>
  </si>
  <si>
    <t>www.monalisa.co.kr</t>
  </si>
  <si>
    <t>002460 KS Equity</t>
  </si>
  <si>
    <t>A002460</t>
  </si>
  <si>
    <t>아파트 건설</t>
  </si>
  <si>
    <t>www.hwasung.com</t>
  </si>
  <si>
    <t>361570 KS Equity</t>
  </si>
  <si>
    <t>A361570</t>
  </si>
  <si>
    <t>RBW Inc.</t>
  </si>
  <si>
    <t>알비더블유</t>
  </si>
  <si>
    <t>음반 및 음원 등(콘텐츠)</t>
  </si>
  <si>
    <t>www.rbbridge.com</t>
  </si>
  <si>
    <t>450520 KS Equity</t>
  </si>
  <si>
    <t>A450520</t>
  </si>
  <si>
    <t>Inswave Systems Co., Ltd.</t>
  </si>
  <si>
    <t>인스웨이브시스템즈</t>
  </si>
  <si>
    <t>UI/UX 개발 솔루션, 엔터프라이즈 DX 솔루션, 금융 단말 솔루션 등</t>
  </si>
  <si>
    <t>www.inswave.com</t>
  </si>
  <si>
    <t>067290 KS Equity</t>
  </si>
  <si>
    <t>A067290</t>
  </si>
  <si>
    <t>JW SHINYAK CORPORATION</t>
  </si>
  <si>
    <t>JW신약</t>
  </si>
  <si>
    <t>매니큐어세트, 손톱깎이</t>
  </si>
  <si>
    <t>www.jw-shinyak.co.kr</t>
  </si>
  <si>
    <t>108380 KS Equity</t>
  </si>
  <si>
    <t>A108380</t>
  </si>
  <si>
    <t>DAEYANG ELECTRIC Co., Ltd.</t>
  </si>
  <si>
    <t>대양전기공업</t>
  </si>
  <si>
    <t>해상용 조명등기구, (함정용)전자시스템, 배전반류 등</t>
  </si>
  <si>
    <t>www.daeyang.co.kr</t>
  </si>
  <si>
    <t>160600 KS Equity</t>
  </si>
  <si>
    <t>A160600</t>
  </si>
  <si>
    <t>EQUIPMENTS CELL.CO.,LTD.</t>
  </si>
  <si>
    <t>이큐셀</t>
  </si>
  <si>
    <t>진공합착기, NPS</t>
  </si>
  <si>
    <t>www.sntek.com</t>
  </si>
  <si>
    <t>288620 KS Equity</t>
  </si>
  <si>
    <t>A288620</t>
  </si>
  <si>
    <t>S-Fuelcell Co., Ltd.</t>
  </si>
  <si>
    <t>에스퓨얼셀</t>
  </si>
  <si>
    <t>건물용 연료전지, 발전용 연료전지</t>
  </si>
  <si>
    <t>www.s-fuelcell.com</t>
  </si>
  <si>
    <t>007280 KS Equity</t>
  </si>
  <si>
    <t>A007280</t>
  </si>
  <si>
    <t>KOREA STEEL</t>
  </si>
  <si>
    <t>한국특강</t>
  </si>
  <si>
    <t>열간 압연 및 압출 제품 제조업</t>
  </si>
  <si>
    <t>철강압연제품(앵글,이형형강,평철,환봉) 제조,판매</t>
  </si>
  <si>
    <t>www.ekosco.com</t>
  </si>
  <si>
    <t>290720 KS Equity</t>
  </si>
  <si>
    <t>A290720</t>
  </si>
  <si>
    <t>FOODNAMOO, INC.</t>
  </si>
  <si>
    <t>푸드나무</t>
  </si>
  <si>
    <t>전자상거래 소매업</t>
  </si>
  <si>
    <t>www.foodnamoo.com</t>
  </si>
  <si>
    <t>053050 KS Equity</t>
  </si>
  <si>
    <t>A053050</t>
  </si>
  <si>
    <t>GSE Co., Ltd.</t>
  </si>
  <si>
    <t>지에스이</t>
  </si>
  <si>
    <t>www.yesgse.com</t>
  </si>
  <si>
    <t>127980 KS Equity</t>
  </si>
  <si>
    <t>A127980</t>
  </si>
  <si>
    <t>FINE CIRCUIT CO., LTD.</t>
  </si>
  <si>
    <t>화인써키트</t>
  </si>
  <si>
    <t>인쇄회로기판(PCB)</t>
  </si>
  <si>
    <t>finecircuit.co.kr</t>
  </si>
  <si>
    <t>093920 KS Equity</t>
  </si>
  <si>
    <t>A093920</t>
  </si>
  <si>
    <t>SEOWONINTECH. Co., Ltd.</t>
  </si>
  <si>
    <t>서원인텍</t>
  </si>
  <si>
    <t>휴대폰용키패드및부자재</t>
  </si>
  <si>
    <t>www.seowonintech.co.kr</t>
  </si>
  <si>
    <t>087600 KS Equity</t>
  </si>
  <si>
    <t>A087600</t>
  </si>
  <si>
    <t>Pixelplus. Co., Ltd.</t>
  </si>
  <si>
    <t>픽셀플러스</t>
  </si>
  <si>
    <t>CMOS 이미지센서 및 칩셋</t>
  </si>
  <si>
    <t>www.pixelplus.com</t>
  </si>
  <si>
    <t>005990 KS Equity</t>
  </si>
  <si>
    <t>A005990</t>
  </si>
  <si>
    <t>Maeil Holdings Co., Ltd.</t>
  </si>
  <si>
    <t>매일홀딩스</t>
  </si>
  <si>
    <t>유제품</t>
  </si>
  <si>
    <t>www.maeilholdings.com</t>
  </si>
  <si>
    <t>093190 KS Equity</t>
  </si>
  <si>
    <t>A093190</t>
  </si>
  <si>
    <t>Bixolon Co., Ltd.</t>
  </si>
  <si>
    <t>빅솔론</t>
  </si>
  <si>
    <t>POS용프린터,프린팅메카니즘</t>
  </si>
  <si>
    <t>www.bixolon.com</t>
  </si>
  <si>
    <t>003350 KS Equity</t>
  </si>
  <si>
    <t>A003350</t>
  </si>
  <si>
    <t>HankookCosmeticsManufacturing</t>
  </si>
  <si>
    <t>한국화장품제조</t>
  </si>
  <si>
    <t>화장품(OEM,ODM)</t>
  </si>
  <si>
    <t>www.hkcosm.com</t>
  </si>
  <si>
    <t>010470 KS Equity</t>
  </si>
  <si>
    <t>A010470</t>
  </si>
  <si>
    <t>Oricom Inc.</t>
  </si>
  <si>
    <t>오리콤</t>
  </si>
  <si>
    <t>광고대행</t>
  </si>
  <si>
    <t>www.oricom.com</t>
  </si>
  <si>
    <t>086710 KS Equity</t>
  </si>
  <si>
    <t>A086710</t>
  </si>
  <si>
    <t>SUNJIN BEAUTY SCIENCE CO., LTD.</t>
  </si>
  <si>
    <t>선진뷰티사이언스</t>
  </si>
  <si>
    <t>화장품 원료</t>
  </si>
  <si>
    <t>sunjinbs.co.kr</t>
  </si>
  <si>
    <t>203690 KS Equity</t>
  </si>
  <si>
    <t>A203690</t>
  </si>
  <si>
    <t>Sphere Power Inc.</t>
  </si>
  <si>
    <t>www.prostemics.com</t>
  </si>
  <si>
    <t>009300 KS Equity</t>
  </si>
  <si>
    <t>A009300</t>
  </si>
  <si>
    <t>Sam-A Pharm. Co., Ltd.</t>
  </si>
  <si>
    <t>삼아제약</t>
  </si>
  <si>
    <t>노마에프, 아토크건조시럽, 코데날정, 코코시럽, 스마엘</t>
  </si>
  <si>
    <t>www.samapharm.co.kr</t>
  </si>
  <si>
    <t>011150 KS Equity</t>
  </si>
  <si>
    <t>A011150</t>
  </si>
  <si>
    <t>CJSEAFOODCORPORATION</t>
  </si>
  <si>
    <t>CJ씨푸드</t>
  </si>
  <si>
    <t>수산물(어묵,맛살)가공품 도매,원양수산업,수출입</t>
  </si>
  <si>
    <t>www.cjseafood.net</t>
  </si>
  <si>
    <t>175250 KS Equity</t>
  </si>
  <si>
    <t>A175250</t>
  </si>
  <si>
    <t>Icure Pharmaceutical Incorporation</t>
  </si>
  <si>
    <t>아이큐어</t>
  </si>
  <si>
    <t>플라스타, 의약 및 의약외품 패취등, 마스크팩, 화장품 기초라인</t>
  </si>
  <si>
    <t>www.icure.co.kr</t>
  </si>
  <si>
    <t>274400 KS Equity</t>
  </si>
  <si>
    <t>A274400</t>
  </si>
  <si>
    <t>INNOSIMULATION CO., LTD.</t>
  </si>
  <si>
    <t>이노시뮬레이션</t>
  </si>
  <si>
    <t>스마트 모빌리티 시뮬레이터, XR 가상훈련 시스템 등</t>
  </si>
  <si>
    <t>www.innosim.com</t>
  </si>
  <si>
    <t>067570 KS Equity</t>
  </si>
  <si>
    <t>A067570</t>
  </si>
  <si>
    <t>NVH KOREA INC.</t>
  </si>
  <si>
    <t>엔브이에이치코리아</t>
  </si>
  <si>
    <t>헤드라이너, NVH부품</t>
  </si>
  <si>
    <t>www.nvhkorea.com</t>
  </si>
  <si>
    <t>340930 KS Equity</t>
  </si>
  <si>
    <t>A340930</t>
  </si>
  <si>
    <t>Youil Energy Technology CO.,LTD.</t>
  </si>
  <si>
    <t>유일에너테크</t>
  </si>
  <si>
    <t>youilet.com</t>
  </si>
  <si>
    <t>217500 KS Equity</t>
  </si>
  <si>
    <t>A217500</t>
  </si>
  <si>
    <t>RUSSELL CO., LTD.</t>
  </si>
  <si>
    <t>러셀</t>
  </si>
  <si>
    <t>반도체장비 리퍼비시</t>
  </si>
  <si>
    <t>www.erussell.co.kr</t>
  </si>
  <si>
    <t>199820 KS Equity</t>
  </si>
  <si>
    <t>A199820</t>
  </si>
  <si>
    <t>PCB Assay, 배선기구, 분전반 등</t>
  </si>
  <si>
    <t>www.cheil-wiring.co.kr</t>
  </si>
  <si>
    <t>452160 KS Equity</t>
  </si>
  <si>
    <t>A452160</t>
  </si>
  <si>
    <t>JNB Co.,Ltd.</t>
  </si>
  <si>
    <t>제이엔비</t>
  </si>
  <si>
    <t>진공 펌프용 유틸리티 장치(Stacker 등), 정밀가공 부품</t>
  </si>
  <si>
    <t>www.jnbeng.com</t>
  </si>
  <si>
    <t>073560 KS Equity</t>
  </si>
  <si>
    <t>A073560</t>
  </si>
  <si>
    <t>Woorison F&amp;G CO., LTD.</t>
  </si>
  <si>
    <t>우리손에프앤지</t>
  </si>
  <si>
    <t>도축, 육류 가공 및 저장 처리업</t>
  </si>
  <si>
    <t>양돈업, 도축업</t>
  </si>
  <si>
    <t>www.woorisonfng.co.kr</t>
  </si>
  <si>
    <t>094840 KS Equity</t>
  </si>
  <si>
    <t>A094840</t>
  </si>
  <si>
    <t>Suprema HQ Inc.</t>
  </si>
  <si>
    <t>슈프리마에이치큐</t>
  </si>
  <si>
    <t>지문인식솔루션및시스템</t>
  </si>
  <si>
    <t>021320 KS Equity</t>
  </si>
  <si>
    <t>A021320</t>
  </si>
  <si>
    <t>KCC Engineering &amp; Construction Co., Ltd.</t>
  </si>
  <si>
    <t>KCC건설</t>
  </si>
  <si>
    <t>토목 건축공사, 분양공사</t>
  </si>
  <si>
    <t>www.kccworld.net</t>
  </si>
  <si>
    <t>293580 KS Equity</t>
  </si>
  <si>
    <t>A293580</t>
  </si>
  <si>
    <t>NAU IB CAPITAL</t>
  </si>
  <si>
    <t>나우IB</t>
  </si>
  <si>
    <t>그 외 기타 여신금융업</t>
  </si>
  <si>
    <t>투자조합, PEF 결성 및 투자</t>
  </si>
  <si>
    <t>www.nauib.com</t>
  </si>
  <si>
    <t>950110 KS Equity</t>
  </si>
  <si>
    <t>A950110</t>
  </si>
  <si>
    <t>SBI FinTech Solutions Co., Ltd.</t>
  </si>
  <si>
    <t>SBI핀테크솔루션즈</t>
  </si>
  <si>
    <t>전자결제대행 및 핀테크 비스</t>
  </si>
  <si>
    <t>www.sbi-finsol.co.jp/kr/</t>
  </si>
  <si>
    <t>018120 KS Equity</t>
  </si>
  <si>
    <t>A018120</t>
  </si>
  <si>
    <t>Jinro Distillers Co., Ltd.</t>
  </si>
  <si>
    <t>진로발효</t>
  </si>
  <si>
    <t>www.jrdcl.com</t>
  </si>
  <si>
    <t>408920 KS Equity</t>
  </si>
  <si>
    <t>A408920</t>
  </si>
  <si>
    <t>Messe eSang Co., Ltd.</t>
  </si>
  <si>
    <t>메쎄이상</t>
  </si>
  <si>
    <t>전시주최, 컨벤션 및 행사 대행업</t>
  </si>
  <si>
    <t>www.messeesang.com</t>
  </si>
  <si>
    <t>264900 KS Equity</t>
  </si>
  <si>
    <t>A264900</t>
  </si>
  <si>
    <t>CROWN</t>
  </si>
  <si>
    <t>크라운제과</t>
  </si>
  <si>
    <t>비스킷, 스낵, 당과</t>
  </si>
  <si>
    <t>www.crown.co.kr</t>
  </si>
  <si>
    <t>307930 KS Equity</t>
  </si>
  <si>
    <t>A307930</t>
  </si>
  <si>
    <t>Company K Partners Limited</t>
  </si>
  <si>
    <t>컴퍼니케이</t>
  </si>
  <si>
    <t>중소 벤처기업 투자</t>
  </si>
  <si>
    <t xml:space="preserve">kpartners.co.kr </t>
  </si>
  <si>
    <t>263800 KS Equity</t>
  </si>
  <si>
    <t>A263800</t>
  </si>
  <si>
    <t>Datasolution, Inc.</t>
  </si>
  <si>
    <t>데이타솔루션</t>
  </si>
  <si>
    <t>EMC스토리지, SPSS, SI</t>
  </si>
  <si>
    <t>www.datasolution.kr</t>
  </si>
  <si>
    <t>011690 KS Equity</t>
  </si>
  <si>
    <t>A011690</t>
  </si>
  <si>
    <t>Y2 Solution</t>
  </si>
  <si>
    <t>와이투솔루션</t>
  </si>
  <si>
    <t>혼성직접회로,통신기기 제조/화공약품,케이블 도매</t>
  </si>
  <si>
    <t>002720 KS Equity</t>
  </si>
  <si>
    <t>A002720</t>
  </si>
  <si>
    <t>Kukje Pharma</t>
  </si>
  <si>
    <t>국제약품</t>
  </si>
  <si>
    <t>항생제,안약,제약 제조,도매</t>
  </si>
  <si>
    <t>www.kukjepharm.co.kr</t>
  </si>
  <si>
    <t>256940 KS Equity</t>
  </si>
  <si>
    <t>A256940</t>
  </si>
  <si>
    <t>KPS Corporation</t>
  </si>
  <si>
    <t>케이피에스</t>
  </si>
  <si>
    <t>OLED 마스크 인장기</t>
  </si>
  <si>
    <t>www.kpscorp.co.kr</t>
  </si>
  <si>
    <t>039290 KS Equity</t>
  </si>
  <si>
    <t>A039290</t>
  </si>
  <si>
    <t>InfoBank Corporation</t>
  </si>
  <si>
    <t>인포뱅크</t>
  </si>
  <si>
    <t>모바일메시징서비스,휴대폰단말기용S/W개발용역</t>
  </si>
  <si>
    <t>www.infobank.net</t>
  </si>
  <si>
    <t>058860 KS Equity</t>
  </si>
  <si>
    <t>A058860</t>
  </si>
  <si>
    <t>ktis Corporation</t>
  </si>
  <si>
    <t>KTis</t>
  </si>
  <si>
    <t>114전화번호안내, 고객센터</t>
  </si>
  <si>
    <t>www.ktis.co.kr</t>
  </si>
  <si>
    <t>123690 KS Equity</t>
  </si>
  <si>
    <t>A123690</t>
  </si>
  <si>
    <t>HANKOOKCOSMETICS</t>
  </si>
  <si>
    <t>한국화장품</t>
  </si>
  <si>
    <t>www.ihkcos.co.kr</t>
  </si>
  <si>
    <t>412350 KS Equity</t>
  </si>
  <si>
    <t>A412350</t>
  </si>
  <si>
    <t>Laserssel Co.,Ltd.</t>
  </si>
  <si>
    <t>레이저쎌</t>
  </si>
  <si>
    <t>에어리어 레이저솔루션, LSR, LCB, LSB, BSOM 등</t>
  </si>
  <si>
    <t>www.laserssel.com</t>
  </si>
  <si>
    <t>260930 KS Equity</t>
  </si>
  <si>
    <t>A260930</t>
  </si>
  <si>
    <t>CTK Co., Ltd.</t>
  </si>
  <si>
    <t>씨티케이</t>
  </si>
  <si>
    <t>완제 화장품 (색조 및 기초)</t>
  </si>
  <si>
    <t>www.ctkcometics.com</t>
  </si>
  <si>
    <t>064480 KS Equity</t>
  </si>
  <si>
    <t>A064480</t>
  </si>
  <si>
    <t>BRIDGETEC Corp.</t>
  </si>
  <si>
    <t>브리지텍</t>
  </si>
  <si>
    <t>컨택센터솔루션,BcN솔루션,ASP서비스사업</t>
  </si>
  <si>
    <t>www.bridgetec.co.kr</t>
  </si>
  <si>
    <t>155650 KS Equity</t>
  </si>
  <si>
    <t>A155650</t>
  </si>
  <si>
    <t>YMC Co., Ltd.</t>
  </si>
  <si>
    <t>와이엠씨</t>
  </si>
  <si>
    <t>FPD 패널용 Target, Backing Plate 등</t>
  </si>
  <si>
    <t>www.ymc-inc.com</t>
  </si>
  <si>
    <t>187870 KS Equity</t>
  </si>
  <si>
    <t>A187870</t>
  </si>
  <si>
    <t>Device ENG CO.,LTD.</t>
  </si>
  <si>
    <t>디바이스이엔지</t>
  </si>
  <si>
    <t>OLED용 FM MASK 세정장비</t>
  </si>
  <si>
    <t>www.deviceeng.co.kr</t>
  </si>
  <si>
    <t>141000 KS Equity</t>
  </si>
  <si>
    <t>A141000</t>
  </si>
  <si>
    <t>Viatron Technologies, Inc.</t>
  </si>
  <si>
    <t>비아트론</t>
  </si>
  <si>
    <t>AMOLED 등 제조장비</t>
  </si>
  <si>
    <t>www.viatrontech.com</t>
  </si>
  <si>
    <t>007820 KS Equity</t>
  </si>
  <si>
    <t>A007820</t>
  </si>
  <si>
    <t>SMCore.Inc.</t>
  </si>
  <si>
    <t>에스엠코어</t>
  </si>
  <si>
    <t>기타 물품 취급장비 제조업</t>
  </si>
  <si>
    <t>자동화물류서비스, 자동화공정설비</t>
  </si>
  <si>
    <t>www.smck.com</t>
  </si>
  <si>
    <t>078130 KS Equity</t>
  </si>
  <si>
    <t>A078130</t>
  </si>
  <si>
    <t>Kuk-il Paper Mfg Co., Ltd.</t>
  </si>
  <si>
    <t>국일제지</t>
  </si>
  <si>
    <t>산업용 및 가정용 지류(강판간지, 다공지 등)</t>
  </si>
  <si>
    <t>www.kukilpaper.co.kr</t>
  </si>
  <si>
    <t>072020 KS Equity</t>
  </si>
  <si>
    <t>A072020</t>
  </si>
  <si>
    <t>Choong Ang Vaccine Laboratory Co., Ltd.</t>
  </si>
  <si>
    <t>중앙백신</t>
  </si>
  <si>
    <t>동물용백신</t>
  </si>
  <si>
    <t>www.cavac.co.kr</t>
  </si>
  <si>
    <t>078000 KS Equity</t>
  </si>
  <si>
    <t>A078000</t>
  </si>
  <si>
    <t>TELCOWARE</t>
  </si>
  <si>
    <t>텔코웨어</t>
  </si>
  <si>
    <t>소프트웨어(핵심망솔루션,무선데이터솔루션,요소기술) 개발,유지보수,무역</t>
  </si>
  <si>
    <t>www.telcoware.com</t>
  </si>
  <si>
    <t>150900 KS Equity</t>
  </si>
  <si>
    <t>A150900</t>
  </si>
  <si>
    <t>FASOO Co.,Ltd.</t>
  </si>
  <si>
    <t>파수</t>
  </si>
  <si>
    <t>기업용 문서보안 솔루션</t>
  </si>
  <si>
    <t>www.fasoo.com</t>
  </si>
  <si>
    <t>053980 KS Equity</t>
  </si>
  <si>
    <t>A053980</t>
  </si>
  <si>
    <t>Osangjaiel  Co., Ltd.</t>
  </si>
  <si>
    <t>오상자이엘</t>
  </si>
  <si>
    <t>CATIA Solution</t>
  </si>
  <si>
    <t>www.osangjaiel.co.kr</t>
  </si>
  <si>
    <t>052330 KS Equity</t>
  </si>
  <si>
    <t>A052330</t>
  </si>
  <si>
    <t>Kortek Corporation</t>
  </si>
  <si>
    <t>코텍</t>
  </si>
  <si>
    <t>산업용 모니터</t>
  </si>
  <si>
    <t>www.kortek.co.kr</t>
  </si>
  <si>
    <t>033540 KS Equity</t>
  </si>
  <si>
    <t>A033540</t>
  </si>
  <si>
    <t>Paratech Company Limited</t>
  </si>
  <si>
    <t>파라텍</t>
  </si>
  <si>
    <t>소방기기</t>
  </si>
  <si>
    <t>www.paratech.co.kr</t>
  </si>
  <si>
    <t>234100 KS Equity</t>
  </si>
  <si>
    <t>A234100</t>
  </si>
  <si>
    <t>Sewon Co., Ltd.</t>
  </si>
  <si>
    <t>폴라리스세원</t>
  </si>
  <si>
    <t>자동차 공조장치 부품</t>
  </si>
  <si>
    <t>214270 KS Equity</t>
  </si>
  <si>
    <t>A214270</t>
  </si>
  <si>
    <t>FSN Co., Ltd.</t>
  </si>
  <si>
    <t>FSN</t>
  </si>
  <si>
    <t>카울리</t>
  </si>
  <si>
    <t>www.fsn.co.kr</t>
  </si>
  <si>
    <t>215100 KS Equity</t>
  </si>
  <si>
    <t>A215100</t>
  </si>
  <si>
    <t>RoboRobo Co., Ltd.</t>
  </si>
  <si>
    <t>로보로보</t>
  </si>
  <si>
    <t>교육용로봇</t>
  </si>
  <si>
    <t>www.roborobo.co.kr</t>
  </si>
  <si>
    <t>057680 KS Equity</t>
  </si>
  <si>
    <t>A057680</t>
  </si>
  <si>
    <t>T Scientific Co.,Ltd.</t>
  </si>
  <si>
    <t>티사이언티픽</t>
  </si>
  <si>
    <t>모바일쿠폰</t>
  </si>
  <si>
    <t>www.omnitel.co.kr</t>
  </si>
  <si>
    <t>067830 KS Equity</t>
  </si>
  <si>
    <t>A067830</t>
  </si>
  <si>
    <t>SAVEZONEI&amp;C</t>
  </si>
  <si>
    <t>세이브존I&amp;C</t>
  </si>
  <si>
    <t>대형할인점(백화점)/부동산 임대/주차장,문화센터 운영</t>
  </si>
  <si>
    <t>www.savezone.co.kr</t>
  </si>
  <si>
    <t>092460 KS Equity</t>
  </si>
  <si>
    <t>A092460</t>
  </si>
  <si>
    <t>Hanla IMS Co.,Ltd.</t>
  </si>
  <si>
    <t>한라IMS</t>
  </si>
  <si>
    <t>선용원격자동측정시스템,선용원격자동경보시스템</t>
  </si>
  <si>
    <t>www.hanlaims.com</t>
  </si>
  <si>
    <t>009410 KS Equity</t>
  </si>
  <si>
    <t>A009410</t>
  </si>
  <si>
    <t>TAEYOUNG ENGINEERING &amp; CONSTRUCTION</t>
  </si>
  <si>
    <t>태영건설</t>
  </si>
  <si>
    <t>종합건설업(토목공사,도로공사,건축공사,관급공사,환경공사,상하수도공사,하수종말처리공사)/부동산 임대,매매</t>
  </si>
  <si>
    <t>www.taeyoung.com</t>
  </si>
  <si>
    <t>396300 KS Equity</t>
  </si>
  <si>
    <t>A396300</t>
  </si>
  <si>
    <t>SeA Mechanics Co.,Ltd.</t>
  </si>
  <si>
    <t>세아메카닉스</t>
  </si>
  <si>
    <t>TV스탠드, 전기 수소차 부품 등</t>
  </si>
  <si>
    <t>www.seamechanics.com</t>
  </si>
  <si>
    <t>263050 KS Equity</t>
  </si>
  <si>
    <t>A263050</t>
  </si>
  <si>
    <t>Eutilex Co.,Ltd.</t>
  </si>
  <si>
    <t>유틸렉스</t>
  </si>
  <si>
    <t>면역항암 세포치료제, 면역항암 항체치료제</t>
  </si>
  <si>
    <t>www.eutilex.com</t>
  </si>
  <si>
    <t>122310 KS Equity</t>
  </si>
  <si>
    <t>A122310</t>
  </si>
  <si>
    <t>GENORAY Co., LTD.</t>
  </si>
  <si>
    <t>제노레이</t>
  </si>
  <si>
    <t>의료용 방사선 진단기기</t>
  </si>
  <si>
    <t>www.genoray.com</t>
  </si>
  <si>
    <t>348350 KS Equity</t>
  </si>
  <si>
    <t>A348350</t>
  </si>
  <si>
    <t>WITHTECH, Inc.</t>
  </si>
  <si>
    <t>위드텍</t>
  </si>
  <si>
    <t>AMCs 모니터링 시스템, 공정 프로세스 모니터링 시스템, TMS</t>
  </si>
  <si>
    <t>www.withtech.co.kr</t>
  </si>
  <si>
    <t>226440 KS Equity</t>
  </si>
  <si>
    <t>A226440</t>
  </si>
  <si>
    <t>HANSONGNEOTECH CO.,LTD.</t>
  </si>
  <si>
    <t>한송네오텍</t>
  </si>
  <si>
    <t>OLED FMM 인장기</t>
  </si>
  <si>
    <t>www.hsneotech.com</t>
  </si>
  <si>
    <t>065130 KS Equity</t>
  </si>
  <si>
    <t>A065130</t>
  </si>
  <si>
    <t>Top Engineering Co., Ltd.</t>
  </si>
  <si>
    <t>탑엔지니어링</t>
  </si>
  <si>
    <t>LCD Cell Line 자동화 장치</t>
  </si>
  <si>
    <t>www.topengnet.com</t>
  </si>
  <si>
    <t>019010 KS Equity</t>
  </si>
  <si>
    <t>A019010</t>
  </si>
  <si>
    <t>VenueG Co., Ltd.</t>
  </si>
  <si>
    <t>베뉴지</t>
  </si>
  <si>
    <t>백화점,예식장업</t>
  </si>
  <si>
    <t>www.granddept.co.kr</t>
  </si>
  <si>
    <t>153710 KS Equity</t>
  </si>
  <si>
    <t>A153710</t>
  </si>
  <si>
    <t>Optipharm Co.,Ltd.</t>
  </si>
  <si>
    <t>옵티팜</t>
  </si>
  <si>
    <t>옵티케어,메디피그 등</t>
  </si>
  <si>
    <t>www.optipharm.co.kr</t>
  </si>
  <si>
    <t>019590 KS Equity</t>
  </si>
  <si>
    <t>A019590</t>
  </si>
  <si>
    <t>M-Venture Investment, Inc.</t>
  </si>
  <si>
    <t>엠벤처투자</t>
  </si>
  <si>
    <t>www.m-vc.co.kr</t>
  </si>
  <si>
    <t>002600 KS Equity</t>
  </si>
  <si>
    <t>A002600</t>
  </si>
  <si>
    <t>CHOHEUNG CORPORATION</t>
  </si>
  <si>
    <t>조흥</t>
  </si>
  <si>
    <t>휘핑크림,인스턴트이스트,프루츠칵테일,크림치즈,견과류,건조과일 제조,판매/주택 신축,판매</t>
  </si>
  <si>
    <t>www.choheung.co.kr</t>
  </si>
  <si>
    <t>064240 KS Equity</t>
  </si>
  <si>
    <t>A064240</t>
  </si>
  <si>
    <t>Homecast Co., Ltd.</t>
  </si>
  <si>
    <t>홈캐스트</t>
  </si>
  <si>
    <t>디지털 셋톱박스</t>
  </si>
  <si>
    <t>www.homecast.net</t>
  </si>
  <si>
    <t>369370 KS Equity</t>
  </si>
  <si>
    <t>A369370</t>
  </si>
  <si>
    <t>인형, 장난감 및 오락용품 제조업</t>
  </si>
  <si>
    <t>피규어 제조 및 판매</t>
  </si>
  <si>
    <t>blitzway.com</t>
  </si>
  <si>
    <t>304360 KS Equity</t>
  </si>
  <si>
    <t>A304360</t>
  </si>
  <si>
    <t>S.Biomedics Co.,Ltd.</t>
  </si>
  <si>
    <t>에스바이오메딕스</t>
  </si>
  <si>
    <t>줄기세포 치료제 연구 및 개발</t>
  </si>
  <si>
    <t>www.sbiomedics.com</t>
  </si>
  <si>
    <t>145210 KS Equity</t>
  </si>
  <si>
    <t>A145210</t>
  </si>
  <si>
    <t>Dynamic Design</t>
  </si>
  <si>
    <t>다이나믹디자인</t>
  </si>
  <si>
    <t>타이어 금형, 타이어 제조설비</t>
  </si>
  <si>
    <t>www.saehwaimc.com</t>
  </si>
  <si>
    <t>035000 KS Equity</t>
  </si>
  <si>
    <t>A035000</t>
  </si>
  <si>
    <t>HS Ad</t>
  </si>
  <si>
    <t>HS애드</t>
  </si>
  <si>
    <t>201490 KS Equity</t>
  </si>
  <si>
    <t>A201490</t>
  </si>
  <si>
    <t>ME2ON CO., LTD.</t>
  </si>
  <si>
    <t>미투온</t>
  </si>
  <si>
    <t>소셜 카지노 게임</t>
  </si>
  <si>
    <t>www.me2on.com</t>
  </si>
  <si>
    <t>059270 KS Equity</t>
  </si>
  <si>
    <t>A059270</t>
  </si>
  <si>
    <t>기어 및 동력전달장치</t>
  </si>
  <si>
    <t>www.haisung.co.kr</t>
  </si>
  <si>
    <t>158430 KS Equity</t>
  </si>
  <si>
    <t>A158430</t>
  </si>
  <si>
    <t>ATON Inc.</t>
  </si>
  <si>
    <t>아톤</t>
  </si>
  <si>
    <t>모바일금융솔루션, mOTP 개발</t>
  </si>
  <si>
    <t>www.atsolutions.co.kr</t>
  </si>
  <si>
    <t>053260 KS Equity</t>
  </si>
  <si>
    <t>A053260</t>
  </si>
  <si>
    <t>Keum Kang Steel Co., Ltd.</t>
  </si>
  <si>
    <t>금강철강</t>
  </si>
  <si>
    <t>냉연압연강판, 산세코일</t>
  </si>
  <si>
    <t>www.kksteel.co.kr</t>
  </si>
  <si>
    <t>302430 KS Equity</t>
  </si>
  <si>
    <t>A302430</t>
  </si>
  <si>
    <t>INNOMETRY Co., Ltd.</t>
  </si>
  <si>
    <t>이노메트리</t>
  </si>
  <si>
    <t>엑스레이검사 장비</t>
  </si>
  <si>
    <t>www.innometry.com</t>
  </si>
  <si>
    <t>226400 KS Equity</t>
  </si>
  <si>
    <t>A226400</t>
  </si>
  <si>
    <t>OSTEONIC Co., Ltd.</t>
  </si>
  <si>
    <t>오스테오닉</t>
  </si>
  <si>
    <t>골접합 및 재건용 금속소재 및 생체복합재료 기반 임플란트</t>
  </si>
  <si>
    <t>www.osteonic.com</t>
  </si>
  <si>
    <t>446540 KS Equity</t>
  </si>
  <si>
    <t>A446540</t>
  </si>
  <si>
    <t>Magatouch Co.,Ltd.</t>
  </si>
  <si>
    <t>메가터치</t>
  </si>
  <si>
    <t>배터리 핀, 반도체 핀</t>
  </si>
  <si>
    <t>www.megatouch.co.kr</t>
  </si>
  <si>
    <t>101930 KS Equity</t>
  </si>
  <si>
    <t>A101930</t>
  </si>
  <si>
    <t>Inhwa Precision Co., Ltd.</t>
  </si>
  <si>
    <t>인화정공</t>
  </si>
  <si>
    <t>선박엔진부품</t>
  </si>
  <si>
    <t>www.ihpre.co.kr</t>
  </si>
  <si>
    <t>301300 KS Equity</t>
  </si>
  <si>
    <t>A301300</t>
  </si>
  <si>
    <t>VAIV company Inc.</t>
  </si>
  <si>
    <t>바이브컴퍼니</t>
  </si>
  <si>
    <t>소셜 빅데이터 기반 인공지능 서비스 (소셜메트릭스), 문제 해결 솔루션 (AI Solver)</t>
  </si>
  <si>
    <t>www.vaiv.kr</t>
  </si>
  <si>
    <t>950200 KS Equity</t>
  </si>
  <si>
    <t>A950200</t>
  </si>
  <si>
    <t>Psomagen, Inc.</t>
  </si>
  <si>
    <t>소마젠</t>
  </si>
  <si>
    <t>유전체 분석 서비스 (NGS, CES 등)</t>
  </si>
  <si>
    <t>www.psomagen.com</t>
  </si>
  <si>
    <t>010170 KS Equity</t>
  </si>
  <si>
    <t>A010170</t>
  </si>
  <si>
    <t>TAIHAN FIBER OPTICS CO., LTD.</t>
  </si>
  <si>
    <t>대한광통신</t>
  </si>
  <si>
    <t>광섬유</t>
  </si>
  <si>
    <t>218150 KS Equity</t>
  </si>
  <si>
    <t>A218150</t>
  </si>
  <si>
    <t>MILAE BIORESOURCES CO., LTD.</t>
  </si>
  <si>
    <t>미래생명자원</t>
  </si>
  <si>
    <t>www.milaebio.com</t>
  </si>
  <si>
    <t>440320 KS Equity</t>
  </si>
  <si>
    <t>A440320</t>
  </si>
  <si>
    <t>Openknowl Co.,Ltd.</t>
  </si>
  <si>
    <t>오픈놀</t>
  </si>
  <si>
    <t>미니인턴플랫폼(커리어 및 채용 플랫폼)</t>
  </si>
  <si>
    <t>openknowl.com</t>
  </si>
  <si>
    <t>006140 KS Equity</t>
  </si>
  <si>
    <t>A006140</t>
  </si>
  <si>
    <t>PJ Electronics Co., Ltd.</t>
  </si>
  <si>
    <t>피제이전자</t>
  </si>
  <si>
    <t>EMS Business(의료용기기제조외)</t>
  </si>
  <si>
    <t>www.pjems.co.kr</t>
  </si>
  <si>
    <t>078140 KS Equity</t>
  </si>
  <si>
    <t>A078140</t>
  </si>
  <si>
    <t>Deabongls Co., Ltd.</t>
  </si>
  <si>
    <t>대봉엘에스</t>
  </si>
  <si>
    <t>원료의약품,화장품원료</t>
  </si>
  <si>
    <t>www.daebongls.co.kr</t>
  </si>
  <si>
    <t>205500 KS Equity</t>
  </si>
  <si>
    <t>A205500</t>
  </si>
  <si>
    <t>Action Square Co., Ltd.</t>
  </si>
  <si>
    <t>액션스퀘어</t>
  </si>
  <si>
    <t>www.action2quare.com</t>
  </si>
  <si>
    <t>333620 KS Equity</t>
  </si>
  <si>
    <t>A333620</t>
  </si>
  <si>
    <t>Nsys Co., Ltd.</t>
  </si>
  <si>
    <t>엔시스</t>
  </si>
  <si>
    <t>2차전지 머신비전 검사장비</t>
  </si>
  <si>
    <t>n-sys.co.kr</t>
  </si>
  <si>
    <t>265560 KS Equity</t>
  </si>
  <si>
    <t>A265560</t>
  </si>
  <si>
    <t>YOUNG HWA TECH. CO., LTD.</t>
  </si>
  <si>
    <t>영화테크</t>
  </si>
  <si>
    <t>자동차 정션박스 등</t>
  </si>
  <si>
    <t>www.yhtec.com</t>
  </si>
  <si>
    <t>227840 KS Equity</t>
  </si>
  <si>
    <t>A227840</t>
  </si>
  <si>
    <t>HYUNDAI CORPORATION HOLDINGS</t>
  </si>
  <si>
    <t>현대코퍼레이션홀딩스</t>
  </si>
  <si>
    <t>음ㆍ식료품 및 담배 도매업</t>
  </si>
  <si>
    <t>브랜드사업, 육류유통</t>
  </si>
  <si>
    <t>www.hyundaicorpholdings.com</t>
  </si>
  <si>
    <t>066410 KS Equity</t>
  </si>
  <si>
    <t>A066410</t>
  </si>
  <si>
    <t>BUCKET STUDIO Co.,Ltd.</t>
  </si>
  <si>
    <t>버킷스튜디오</t>
  </si>
  <si>
    <t>DVD타이틀</t>
  </si>
  <si>
    <t>www.acomstudio.co.kr</t>
  </si>
  <si>
    <t>065710 KS Equity</t>
  </si>
  <si>
    <t>A065710</t>
  </si>
  <si>
    <t>Seoho Electric Co., Ltd.</t>
  </si>
  <si>
    <t>서호전기</t>
  </si>
  <si>
    <t>항만크레인,구동전기장치</t>
  </si>
  <si>
    <t>www.seoho.com</t>
  </si>
  <si>
    <t>196490 KS Equity</t>
  </si>
  <si>
    <t>A196490</t>
  </si>
  <si>
    <t>DA Technology Co.,Ltd.</t>
  </si>
  <si>
    <t>디에이테크놀로지</t>
  </si>
  <si>
    <t>2차전지설비</t>
  </si>
  <si>
    <t>www.dat21.co.kr</t>
  </si>
  <si>
    <t>037440 KS Equity</t>
  </si>
  <si>
    <t>A037440</t>
  </si>
  <si>
    <t>Heerim Architects &amp; Planners</t>
  </si>
  <si>
    <t>희림</t>
  </si>
  <si>
    <t>설계 및 감리용역</t>
  </si>
  <si>
    <t>www.heerim.com</t>
  </si>
  <si>
    <t>078890 KS Equity</t>
  </si>
  <si>
    <t>A078890</t>
  </si>
  <si>
    <t>KAON Group Co., Ltd.</t>
  </si>
  <si>
    <t>가온그룹</t>
  </si>
  <si>
    <t>디지털셋톱박스</t>
  </si>
  <si>
    <t>www.kaonmedia.co.kr</t>
  </si>
  <si>
    <t>095190 KS Equity</t>
  </si>
  <si>
    <t>A095190</t>
  </si>
  <si>
    <t>ENERGY&amp;MACHINERY KOREA Co.,Ltd.</t>
  </si>
  <si>
    <t>이엠코리아</t>
  </si>
  <si>
    <t>CNC공작기계등</t>
  </si>
  <si>
    <t>www.yesemk.com</t>
  </si>
  <si>
    <t>086040 KS Equity</t>
  </si>
  <si>
    <t>A086040</t>
  </si>
  <si>
    <t>Biotoxtech Co., Ltd.</t>
  </si>
  <si>
    <t>바이오톡스텍</t>
  </si>
  <si>
    <t>안전성평가, 유효성평가</t>
  </si>
  <si>
    <t>www.biotoxtech.com</t>
  </si>
  <si>
    <t>068050 KS Equity</t>
  </si>
  <si>
    <t>A068050</t>
  </si>
  <si>
    <t>Pan Entertainment Co., Ltd.</t>
  </si>
  <si>
    <t>팬엔터테인먼트</t>
  </si>
  <si>
    <t>방송영상물,음반</t>
  </si>
  <si>
    <t>www.thepan.co.kr</t>
  </si>
  <si>
    <t>142280 KS Equity</t>
  </si>
  <si>
    <t>A142280</t>
  </si>
  <si>
    <t>Green Cross Medical Science Corporation</t>
  </si>
  <si>
    <t>녹십자엠에스</t>
  </si>
  <si>
    <t>혈액백, 진단시약, 혈액투석액</t>
  </si>
  <si>
    <t>www.greencrossms.com</t>
  </si>
  <si>
    <t>308170 KS Equity</t>
  </si>
  <si>
    <t>A308170</t>
  </si>
  <si>
    <t>CTR Mobility Co.,Ltd.</t>
  </si>
  <si>
    <t>씨티알모빌리티</t>
  </si>
  <si>
    <t>이너레이스, 오디 클러치보스, 로터샤프트, 슬리브기어, 컨트롤 암, 엑슬</t>
  </si>
  <si>
    <t>www.centralmotek.co.kr</t>
  </si>
  <si>
    <t>098120 KS Equity</t>
  </si>
  <si>
    <t>A098120</t>
  </si>
  <si>
    <t>Micro Contact Solution Co.,Ltd.</t>
  </si>
  <si>
    <t>마이크로컨텍솔</t>
  </si>
  <si>
    <t>BGA IC Burn-In Socket,DRAM Module Socket</t>
  </si>
  <si>
    <t>www.mcsgroup.co.kr</t>
  </si>
  <si>
    <t>059210 KS Equity</t>
  </si>
  <si>
    <t>A059210</t>
  </si>
  <si>
    <t>Metabiomed Co.,Ltd.</t>
  </si>
  <si>
    <t>메타바이오메드</t>
  </si>
  <si>
    <t>생체분해성봉합사,근관충전재</t>
  </si>
  <si>
    <t>www.meta-biomed.com</t>
  </si>
  <si>
    <t>066670 KS Equity</t>
  </si>
  <si>
    <t>A066670</t>
  </si>
  <si>
    <t>LCD Module</t>
  </si>
  <si>
    <t>www.displaytech.co.kr</t>
  </si>
  <si>
    <t>066980 KS Equity</t>
  </si>
  <si>
    <t>A066980</t>
  </si>
  <si>
    <t>HANSUNG CLEANTECH CO., LTD.</t>
  </si>
  <si>
    <t>한성크린텍</t>
  </si>
  <si>
    <t>수처리설비EPC</t>
  </si>
  <si>
    <t>097800 KS Equity</t>
  </si>
  <si>
    <t>A097800</t>
  </si>
  <si>
    <t>Winpac Inc.</t>
  </si>
  <si>
    <t>윈팩</t>
  </si>
  <si>
    <t>반도체 패키징 및 테스트</t>
  </si>
  <si>
    <t>www.winpac.co.kr</t>
  </si>
  <si>
    <t>059120 KS Equity</t>
  </si>
  <si>
    <t>A059120</t>
  </si>
  <si>
    <t>AJINEXTEK Co., Ltd.</t>
  </si>
  <si>
    <t>아진엑스텍</t>
  </si>
  <si>
    <t>전자집적회로, 모션제어칩</t>
  </si>
  <si>
    <t>www.ajinextek.com</t>
  </si>
  <si>
    <t>016880 KS Equity</t>
  </si>
  <si>
    <t>A016880</t>
  </si>
  <si>
    <t>WOONGJIN</t>
  </si>
  <si>
    <t>웅진</t>
  </si>
  <si>
    <t>교육서비스(웅진아이큐,중.고교학습,어린이마을),도서,잡지 출판/부동산 임대/인터넷관련사업</t>
  </si>
  <si>
    <t>www.woongjin.co.kr</t>
  </si>
  <si>
    <t>036090 KS Equity</t>
  </si>
  <si>
    <t>A036090</t>
  </si>
  <si>
    <t>wizit Co., Ltd.</t>
  </si>
  <si>
    <t>위지트</t>
  </si>
  <si>
    <t>LCD 반도체</t>
  </si>
  <si>
    <t>www.wizit.co.kr</t>
  </si>
  <si>
    <t>066310 KS Equity</t>
  </si>
  <si>
    <t>A066310</t>
  </si>
  <si>
    <t>Q.S.I Co., Ltd.</t>
  </si>
  <si>
    <t>큐에스아이</t>
  </si>
  <si>
    <t>레이저다이오드(LaserDiode)</t>
  </si>
  <si>
    <t>www.qsilaser.com</t>
  </si>
  <si>
    <t>024880 KS Equity</t>
  </si>
  <si>
    <t>A024880</t>
  </si>
  <si>
    <t>Korea Parts &amp; Fasteners Co., Ltd.</t>
  </si>
  <si>
    <t>케이피에프</t>
  </si>
  <si>
    <t>금속파스너, 스프링 및 금속선 가공제품 제조업</t>
  </si>
  <si>
    <t>볼트 및 너트류 제조업</t>
  </si>
  <si>
    <t>볼트류</t>
  </si>
  <si>
    <t>191420 KS Equity</t>
  </si>
  <si>
    <t>A191420</t>
  </si>
  <si>
    <t>Tego Science, Inc.</t>
  </si>
  <si>
    <t>테고사이언스</t>
  </si>
  <si>
    <t>피부세포치료제</t>
  </si>
  <si>
    <t>www.tegoscience.com</t>
  </si>
  <si>
    <t>368600 KS Equity</t>
  </si>
  <si>
    <t>A368600</t>
  </si>
  <si>
    <t>ICH CO.,LTD.</t>
  </si>
  <si>
    <t>아이씨에이치</t>
  </si>
  <si>
    <t>스마트기기용 필름형 안테나</t>
  </si>
  <si>
    <t>www.ch-ich.com</t>
  </si>
  <si>
    <t>007980 KS Equity</t>
  </si>
  <si>
    <t>A007980</t>
  </si>
  <si>
    <t>봉제의복 제조업</t>
  </si>
  <si>
    <t>봉제의류(자켓,파카,코트),침구 제조,우모가공,생활용품 도소매,무역</t>
  </si>
  <si>
    <t>www.panpacific.co.kr</t>
  </si>
  <si>
    <t>011320 KS Equity</t>
  </si>
  <si>
    <t>A011320</t>
  </si>
  <si>
    <t>Unick Corporation</t>
  </si>
  <si>
    <t>유니크</t>
  </si>
  <si>
    <t>EGR밸브, 유압솔레노이드밸브, 퓨얼벤트밸브, 퓨얼컷트밸브, 체크밸브, 케니스타 등</t>
  </si>
  <si>
    <t>www.unick.co.kr</t>
  </si>
  <si>
    <t>163730 KS Equity</t>
  </si>
  <si>
    <t>A163730</t>
  </si>
  <si>
    <t>FINGER</t>
  </si>
  <si>
    <t>핑거</t>
  </si>
  <si>
    <t>스마트 금융 플랫폼, 핀테크 금융 솔루션</t>
  </si>
  <si>
    <t>www.finger.co.kr</t>
  </si>
  <si>
    <t>308080 KS Equity</t>
  </si>
  <si>
    <t>A308080</t>
  </si>
  <si>
    <t>ViGenCell Inc.</t>
  </si>
  <si>
    <t>바이젠셀</t>
  </si>
  <si>
    <t>면역세포치료제 (면역항암제, 면역조절치료제 등)</t>
  </si>
  <si>
    <t>www.vigencell.com</t>
  </si>
  <si>
    <t>192250 KS Equity</t>
  </si>
  <si>
    <t>A192250</t>
  </si>
  <si>
    <t>KSIGN Co., Ltd.</t>
  </si>
  <si>
    <t>케이사인</t>
  </si>
  <si>
    <t>www.ksign.com</t>
  </si>
  <si>
    <t>003610 KS Equity</t>
  </si>
  <si>
    <t>A003610</t>
  </si>
  <si>
    <t>Pangrim</t>
  </si>
  <si>
    <t>방림</t>
  </si>
  <si>
    <t>직물직조 및 직물제품 제조업</t>
  </si>
  <si>
    <t>P/C혼방직물,면방적,각종사류,직물류 제조,도소매</t>
  </si>
  <si>
    <t>www.pangrim.com</t>
  </si>
  <si>
    <t>056730 KS Equity</t>
  </si>
  <si>
    <t>A056730</t>
  </si>
  <si>
    <t>CNT85 Inc.</t>
  </si>
  <si>
    <t>CNT85</t>
  </si>
  <si>
    <t>산업설비 제조외</t>
  </si>
  <si>
    <t>www.fourthlink.co.kr</t>
  </si>
  <si>
    <t>241770 KS Equity</t>
  </si>
  <si>
    <t>A241770</t>
  </si>
  <si>
    <t>MECARO CO., LTD.</t>
  </si>
  <si>
    <t>메카로</t>
  </si>
  <si>
    <t>반도체용 전구체 및 히터블록</t>
  </si>
  <si>
    <t>www.mecaro.com</t>
  </si>
  <si>
    <t>305090 KS Equity</t>
  </si>
  <si>
    <t>A305090</t>
  </si>
  <si>
    <t>Micro Digital Co., Ltd.</t>
  </si>
  <si>
    <t>마이크로디지탈</t>
  </si>
  <si>
    <t>바이오 분석 시스템, 메디칼 자동화 시스템</t>
  </si>
  <si>
    <t>www.md-best.com</t>
  </si>
  <si>
    <t>083500 KS Equity</t>
  </si>
  <si>
    <t>A083500</t>
  </si>
  <si>
    <t>FNS TECH. Co.,Ltd.</t>
  </si>
  <si>
    <t>에프엔에스테크</t>
  </si>
  <si>
    <t>OLED, LCD 제조 공정 장비</t>
  </si>
  <si>
    <t>www.fnstech.com</t>
  </si>
  <si>
    <t>089790 KS Equity</t>
  </si>
  <si>
    <t>A089790</t>
  </si>
  <si>
    <t>JT Corporation</t>
  </si>
  <si>
    <t>제이티</t>
  </si>
  <si>
    <t>반도체장비(Burn-in Sorter 등)</t>
  </si>
  <si>
    <t>www.jtcorp.co.kr</t>
  </si>
  <si>
    <t>069510 KS Equity</t>
  </si>
  <si>
    <t>A069510</t>
  </si>
  <si>
    <t>ESTec Corporation</t>
  </si>
  <si>
    <t>에스텍</t>
  </si>
  <si>
    <t>오디오, 스피커 및 기타 음향기기 제조업</t>
  </si>
  <si>
    <t>기타 음향기기 제조업</t>
  </si>
  <si>
    <t>스피커 및 스피커시스템</t>
  </si>
  <si>
    <t>www.estec.co.kr</t>
  </si>
  <si>
    <t>226340 KS Equity</t>
  </si>
  <si>
    <t>A226340</t>
  </si>
  <si>
    <t>Bonne co.,Ltd.</t>
  </si>
  <si>
    <t>본느</t>
  </si>
  <si>
    <t>www.bonne.co.kr</t>
  </si>
  <si>
    <t>039860 KS Equity</t>
  </si>
  <si>
    <t>A039860</t>
  </si>
  <si>
    <t>NanoenTek, Inc.</t>
  </si>
  <si>
    <t>나노엔텍</t>
  </si>
  <si>
    <t>의료기기 및 실험기기</t>
  </si>
  <si>
    <t>www.nanoentek.com</t>
  </si>
  <si>
    <t>438700 KS Equity</t>
  </si>
  <si>
    <t>A438700</t>
  </si>
  <si>
    <t>VIRNECT CO., LTD.</t>
  </si>
  <si>
    <t>버넥트</t>
  </si>
  <si>
    <t>산업용 XR 솔루션</t>
  </si>
  <si>
    <t>virnect.com</t>
  </si>
  <si>
    <t>056090 KS Equity</t>
  </si>
  <si>
    <t>A056090</t>
  </si>
  <si>
    <t>Innosys Co., Ltd.</t>
  </si>
  <si>
    <t>정형외과용 신체보정용 의료기기</t>
  </si>
  <si>
    <t>033320 KS Equity</t>
  </si>
  <si>
    <t>A033320</t>
  </si>
  <si>
    <t>JC hyun System Inc.</t>
  </si>
  <si>
    <t>제이씨현시스템</t>
  </si>
  <si>
    <t>메인보드, 그래픽카드</t>
  </si>
  <si>
    <t>www.jchyun.com</t>
  </si>
  <si>
    <t>017040 KS Equity</t>
  </si>
  <si>
    <t>A017040</t>
  </si>
  <si>
    <t>KWANG MYUNG ELECTRIC</t>
  </si>
  <si>
    <t>광명전기</t>
  </si>
  <si>
    <t>수배전반,가스절연개폐장치,빌딩자동화시스템,중앙감시반,자동제어반 제조,도소매,무역</t>
  </si>
  <si>
    <t>www.kmec.co.kr</t>
  </si>
  <si>
    <t>038680 KS Equity</t>
  </si>
  <si>
    <t>A038680</t>
  </si>
  <si>
    <t>Snet systems Co.,Ltd.</t>
  </si>
  <si>
    <t>에스넷</t>
  </si>
  <si>
    <t>네트워크장비 설치 및 납품, 유지보수</t>
  </si>
  <si>
    <t>www.snetsystems.co.kr</t>
  </si>
  <si>
    <t>101140 KS Equity</t>
  </si>
  <si>
    <t>A101140</t>
  </si>
  <si>
    <t>INBIOGEN</t>
  </si>
  <si>
    <t>인바이오젠</t>
  </si>
  <si>
    <t>신발,의류,스포츠용품 도매,제조</t>
  </si>
  <si>
    <t xml:space="preserve">www.inbiogen.co.kr     </t>
  </si>
  <si>
    <t>044820 KS Equity</t>
  </si>
  <si>
    <t>A044820</t>
  </si>
  <si>
    <t>COSMAX BTI</t>
  </si>
  <si>
    <t>코스맥스비티아이</t>
  </si>
  <si>
    <t>화장품,의약부외품 제조,도매</t>
  </si>
  <si>
    <t>www.cosmaxbti.com</t>
  </si>
  <si>
    <t>066910 KS Equity</t>
  </si>
  <si>
    <t>A066910</t>
  </si>
  <si>
    <t>SONOKONG Co., Ltd.</t>
  </si>
  <si>
    <t>손오공</t>
  </si>
  <si>
    <t>완구, 게임, 캐릭터수입수수료</t>
  </si>
  <si>
    <t>www.sonokong.co.kr</t>
  </si>
  <si>
    <t>002450 KS Equity</t>
  </si>
  <si>
    <t>A002450</t>
  </si>
  <si>
    <t>SamickMusicalInstruments</t>
  </si>
  <si>
    <t>삼익악기</t>
  </si>
  <si>
    <t>악기 제조업</t>
  </si>
  <si>
    <t>건반 악기 제조업</t>
  </si>
  <si>
    <t>피아노,기타,현악기,전자악기,동 부분품 제조,임대,도매</t>
  </si>
  <si>
    <t>www.samick.co.kr</t>
  </si>
  <si>
    <t>031820 KS Equity</t>
  </si>
  <si>
    <t>A031820</t>
  </si>
  <si>
    <t>ComtecSystems</t>
  </si>
  <si>
    <t>콤텍시스템</t>
  </si>
  <si>
    <t>컴퓨터 프로그래밍 서비스업</t>
  </si>
  <si>
    <t>시스템(네트웍) 구축/데이터통신장비(모뎀,먹스),종합네트워크시스템 제조,설치,유지보수</t>
  </si>
  <si>
    <t>www.comtec.co.kr</t>
  </si>
  <si>
    <t>027830 KS Equity</t>
  </si>
  <si>
    <t>A027830</t>
  </si>
  <si>
    <t>Daesung Private Equity, Inc.</t>
  </si>
  <si>
    <t>대성창투</t>
  </si>
  <si>
    <t>투자서비스</t>
  </si>
  <si>
    <t>www.daesungpe.com</t>
  </si>
  <si>
    <t>033830 KS Equity</t>
  </si>
  <si>
    <t>A033830</t>
  </si>
  <si>
    <t>TBC</t>
  </si>
  <si>
    <t>티비씨</t>
  </si>
  <si>
    <t>텔레비젼 방송,문화서비스,광고/출판,음반 제작,도매</t>
  </si>
  <si>
    <t>www.tbc.co.kr</t>
  </si>
  <si>
    <t>241520 KS Equity</t>
  </si>
  <si>
    <t>A241520</t>
  </si>
  <si>
    <t>DSC Investment Inc.</t>
  </si>
  <si>
    <t>DSC인베스트먼트</t>
  </si>
  <si>
    <t>투자조합 결성 및 투자</t>
  </si>
  <si>
    <t>www.dscinvestment.com</t>
  </si>
  <si>
    <t>376980 KS Equity</t>
  </si>
  <si>
    <t>A376980</t>
  </si>
  <si>
    <t>WANTED LAB INC.</t>
  </si>
  <si>
    <t>원티드랩</t>
  </si>
  <si>
    <t>채용 플랫폼</t>
  </si>
  <si>
    <t>002800 KS Equity</t>
  </si>
  <si>
    <t>A002800</t>
  </si>
  <si>
    <t>SINSIN PHARMACEUTICAL Co., LTD.</t>
  </si>
  <si>
    <t>신신제약</t>
  </si>
  <si>
    <t>파스류 (신신파스 아렉스 등)</t>
  </si>
  <si>
    <t>www.sinsin.com</t>
  </si>
  <si>
    <t>005870 KS Equity</t>
  </si>
  <si>
    <t>A005870</t>
  </si>
  <si>
    <t>HuneedTechnologies</t>
  </si>
  <si>
    <t>휴니드</t>
  </si>
  <si>
    <t>무선통신기기,군납용무전기,위성방송수신기 제조</t>
  </si>
  <si>
    <t>www.huneed.com</t>
  </si>
  <si>
    <t>430690 KS Equity</t>
  </si>
  <si>
    <t>A430690</t>
  </si>
  <si>
    <t>Hanssak Co.,Ltd.</t>
  </si>
  <si>
    <t>한싹</t>
  </si>
  <si>
    <t>망간자료전송</t>
  </si>
  <si>
    <t>www.hanssak.co.kr</t>
  </si>
  <si>
    <t>003480 KS Equity</t>
  </si>
  <si>
    <t>A003480</t>
  </si>
  <si>
    <t>HanjinHeavyInd&amp;ConstHoldings</t>
  </si>
  <si>
    <t>한진중공업홀딩스</t>
  </si>
  <si>
    <t>www.hhic-holdings.com</t>
  </si>
  <si>
    <t>225190 KS Equity</t>
  </si>
  <si>
    <t>A225190</t>
  </si>
  <si>
    <t>디지털 카메라용 교환렌즈</t>
  </si>
  <si>
    <t>www.syopt.co.kr</t>
  </si>
  <si>
    <t>011370 KS Equity</t>
  </si>
  <si>
    <t>A011370</t>
  </si>
  <si>
    <t>SEOHAN Const. &amp; Eng. Co., Ltd.</t>
  </si>
  <si>
    <t>서한</t>
  </si>
  <si>
    <t>건축, 토목</t>
  </si>
  <si>
    <t>www.seo-han.co.kr</t>
  </si>
  <si>
    <t>004100 KS Equity</t>
  </si>
  <si>
    <t>A004100</t>
  </si>
  <si>
    <t>TaeyangMetalIndustrial</t>
  </si>
  <si>
    <t>태양금속</t>
  </si>
  <si>
    <t>자동차용 강력볼트,너트,전기전자제품용 나사,자전거부품,전해동박,도금도장설비 제조</t>
  </si>
  <si>
    <t>www.taeyangmetal.com</t>
  </si>
  <si>
    <t>290090 KS Equity</t>
  </si>
  <si>
    <t>A290090</t>
  </si>
  <si>
    <t>TWIM Corp.</t>
  </si>
  <si>
    <t>트윔</t>
  </si>
  <si>
    <t>AI 기반 스마트팩토리 검사 소프트웨어 및 설비</t>
  </si>
  <si>
    <t>www.twim21.com</t>
  </si>
  <si>
    <t>011300 KS Equity</t>
  </si>
  <si>
    <t>A011300</t>
  </si>
  <si>
    <t>직물 직조업</t>
  </si>
  <si>
    <t>화학섬유직물 직조업</t>
  </si>
  <si>
    <t>제직,염색,폴리에스터직물,자수직물봉제 제조,판매/임대료,관리비 수입</t>
  </si>
  <si>
    <t>www.startex.co.kr</t>
  </si>
  <si>
    <t>106190 KS Equity</t>
  </si>
  <si>
    <t>A106190</t>
  </si>
  <si>
    <t>HIGH TECH PHARM Co.,Ltd.</t>
  </si>
  <si>
    <t>하이텍팜</t>
  </si>
  <si>
    <t>주사제용 무균 원료의약품(Sterile Imipenem 외)</t>
  </si>
  <si>
    <t>www.htpharm.com</t>
  </si>
  <si>
    <t>130580 KS Equity</t>
  </si>
  <si>
    <t>A130580</t>
  </si>
  <si>
    <t>NICE D&amp;B Co., Ltd.</t>
  </si>
  <si>
    <t>나이스디앤비</t>
  </si>
  <si>
    <t>기업신용조사 보고서</t>
  </si>
  <si>
    <t>www.nicednb.com</t>
  </si>
  <si>
    <t>014200 KS Equity</t>
  </si>
  <si>
    <t>A014200</t>
  </si>
  <si>
    <t>Kang Lim Co., Ltd.</t>
  </si>
  <si>
    <t>광림</t>
  </si>
  <si>
    <t>전기공사용 특수차량 및 중량물 운반용 크레인을 생산, 판매하는 제조업체</t>
  </si>
  <si>
    <t>www.kanglim.com</t>
  </si>
  <si>
    <t>048430 KS Equity</t>
  </si>
  <si>
    <t>A048430</t>
  </si>
  <si>
    <t>Yura Tech Co., Ltd.</t>
  </si>
  <si>
    <t>유라테크</t>
  </si>
  <si>
    <t>점화코일, 스파크플러그</t>
  </si>
  <si>
    <t>www.yuratech.co.kr</t>
  </si>
  <si>
    <t>053290 KS Equity</t>
  </si>
  <si>
    <t>A053290</t>
  </si>
  <si>
    <t>NE Neungyule, Inc.</t>
  </si>
  <si>
    <t>NE능률</t>
  </si>
  <si>
    <t>영어학습교재</t>
  </si>
  <si>
    <t>www.neungyule.com</t>
  </si>
  <si>
    <t>244920 KS Equity</t>
  </si>
  <si>
    <t>A244920</t>
  </si>
  <si>
    <t>A Plus Asset</t>
  </si>
  <si>
    <t>에이플러스에셋</t>
  </si>
  <si>
    <t>보험대리 및 중개업</t>
  </si>
  <si>
    <t>www.aplusga.com</t>
  </si>
  <si>
    <t>241820 KS Equity</t>
  </si>
  <si>
    <t>A241820</t>
  </si>
  <si>
    <t>PCL. Inc.</t>
  </si>
  <si>
    <t>피씨엘</t>
  </si>
  <si>
    <t>다중 체외진단 제품, 플랫폼서비스</t>
  </si>
  <si>
    <t>www.pclchip.com</t>
  </si>
  <si>
    <t>037370 KS Equity</t>
  </si>
  <si>
    <t>A037370</t>
  </si>
  <si>
    <t>EG Corporation</t>
  </si>
  <si>
    <t>EG</t>
  </si>
  <si>
    <t>산화철, 대기수처리방지시설, 무역</t>
  </si>
  <si>
    <t>www.egcorp.co.kr</t>
  </si>
  <si>
    <t>333430 KS Equity</t>
  </si>
  <si>
    <t>A333430</t>
  </si>
  <si>
    <t>IL SEUNG Co., LTD.</t>
  </si>
  <si>
    <t>일승</t>
  </si>
  <si>
    <t>환경장비</t>
  </si>
  <si>
    <t>www.ilseung.co.kr</t>
  </si>
  <si>
    <t>046120 KS Equity</t>
  </si>
  <si>
    <t>A046120</t>
  </si>
  <si>
    <t>Orbitech Co., Ltd.</t>
  </si>
  <si>
    <t>오르비텍</t>
  </si>
  <si>
    <t>기술 시험, 검사 및 분석업</t>
  </si>
  <si>
    <t>방사선안전관리, 항공기 정밀부품 제조 등</t>
  </si>
  <si>
    <t>www.orbitech.co.kr</t>
  </si>
  <si>
    <t>008970 KS Equity</t>
  </si>
  <si>
    <t>A008970</t>
  </si>
  <si>
    <t>DongyangSteelPipe</t>
  </si>
  <si>
    <t>동양철관</t>
  </si>
  <si>
    <t>수도용 도복장 강관,주물(강관말뚝),가스관 제조/아파트건설</t>
  </si>
  <si>
    <t>www.dysp.co.kr</t>
  </si>
  <si>
    <t>054040 KS Equity</t>
  </si>
  <si>
    <t>A054040</t>
  </si>
  <si>
    <t>Korea Computer Inc.</t>
  </si>
  <si>
    <t>한국컴퓨터</t>
  </si>
  <si>
    <t>PCB Assembly (PBA)</t>
  </si>
  <si>
    <t>www.kci.co.kr</t>
  </si>
  <si>
    <t>010600 KS Equity</t>
  </si>
  <si>
    <t>A010600</t>
  </si>
  <si>
    <t>WELLBIOTEC</t>
  </si>
  <si>
    <t>웰바이오텍</t>
  </si>
  <si>
    <t>피혁의류 도,소매,의류 판매,수입,피혁(GRAIN LEATHER) 제조</t>
  </si>
  <si>
    <t>www.wellbiotec.co.kr</t>
  </si>
  <si>
    <t>239340 KS Equity</t>
  </si>
  <si>
    <t>A239340</t>
  </si>
  <si>
    <t>줌닷컴, 뉴썸 등</t>
  </si>
  <si>
    <t>www.zuminternet.com</t>
  </si>
  <si>
    <t>302550 KS Equity</t>
  </si>
  <si>
    <t>A302550</t>
  </si>
  <si>
    <t>REMED CO.,LTD.</t>
  </si>
  <si>
    <t>리메드</t>
  </si>
  <si>
    <t>자기장 치료기기</t>
  </si>
  <si>
    <t>www.remed.kr</t>
  </si>
  <si>
    <t>009200 KS Equity</t>
  </si>
  <si>
    <t>A009200</t>
  </si>
  <si>
    <t>MOORIM PAPER</t>
  </si>
  <si>
    <t>무림페이퍼</t>
  </si>
  <si>
    <t>지류,아트지,백상지 제조</t>
  </si>
  <si>
    <t>294140 KS Equity</t>
  </si>
  <si>
    <t>A294140</t>
  </si>
  <si>
    <t>LEMON Co., Ltd.</t>
  </si>
  <si>
    <t>레몬</t>
  </si>
  <si>
    <t>EMI Shield Can, 나노멤브레인 등</t>
  </si>
  <si>
    <t>www.lemonano.co.kr</t>
  </si>
  <si>
    <t>041460 KS Equity</t>
  </si>
  <si>
    <t>A041460</t>
  </si>
  <si>
    <t>KOREA ELECTRONIC CERTIFICATION AUTHORITY, INC.</t>
  </si>
  <si>
    <t>한국전자인증</t>
  </si>
  <si>
    <t>개인용이메일 보안,인증업무,전자상거래관련 인증서비스/기업용 인증솔루션 제공</t>
  </si>
  <si>
    <t>www.crosscert.com</t>
  </si>
  <si>
    <t>187420 KS Equity</t>
  </si>
  <si>
    <t>A187420</t>
  </si>
  <si>
    <t>GenoFocus, Inc.</t>
  </si>
  <si>
    <t>제노포커스</t>
  </si>
  <si>
    <t>산업용 효소</t>
  </si>
  <si>
    <t>www.genofocus.com</t>
  </si>
  <si>
    <t>049180 KS Equity</t>
  </si>
  <si>
    <t>A049180</t>
  </si>
  <si>
    <t>CELLUMED Co., Ltd.</t>
  </si>
  <si>
    <t>셀루메드</t>
  </si>
  <si>
    <t>의료기기, 바이오시밀러 및 헬스케어사업</t>
  </si>
  <si>
    <t>www.cellumed.co.kr</t>
  </si>
  <si>
    <t>186230 KS Equity</t>
  </si>
  <si>
    <t>A186230</t>
  </si>
  <si>
    <t>GREEN PLUS Co.,Ltd.</t>
  </si>
  <si>
    <t>그린플러스</t>
  </si>
  <si>
    <t>첨단유리온실, 온실용자재설치공사, 알루미늄 압출/가공제품</t>
  </si>
  <si>
    <t>www.greenplus.co.kr</t>
  </si>
  <si>
    <t>009780 KS Equity</t>
  </si>
  <si>
    <t>A009780</t>
  </si>
  <si>
    <t>MSC Co., Ltd.</t>
  </si>
  <si>
    <t>엠에스씨</t>
  </si>
  <si>
    <t>식품첨가물</t>
  </si>
  <si>
    <t>www.msckorea.com</t>
  </si>
  <si>
    <t>189690 KS Equity</t>
  </si>
  <si>
    <t>A189690</t>
  </si>
  <si>
    <t>FORCS Co., Ltd.</t>
  </si>
  <si>
    <t>포시에스</t>
  </si>
  <si>
    <t>기업용 리포팅 소프트웨어 솔루션(OZ-Report 등)</t>
  </si>
  <si>
    <t>www.forcs.com</t>
  </si>
  <si>
    <t>007590 KS Equity</t>
  </si>
  <si>
    <t>A007590</t>
  </si>
  <si>
    <t>DongbangAgro</t>
  </si>
  <si>
    <t>동방아그로</t>
  </si>
  <si>
    <t>농약(잡초발생전 토양처리형 밭잡초약,부메랑,주움,그라목손) 제조,도매</t>
  </si>
  <si>
    <t>www.dongbangagro.co.kr</t>
  </si>
  <si>
    <t>007110 KS Equity</t>
  </si>
  <si>
    <t>A007110</t>
  </si>
  <si>
    <t>IlshinStone</t>
  </si>
  <si>
    <t>일신석재</t>
  </si>
  <si>
    <t>건축자재, 철물 및 난방장치 도매업</t>
  </si>
  <si>
    <t>건축석 제조,도소매/석공예,석공사</t>
  </si>
  <si>
    <t>www.ilshinstone.co.kr</t>
  </si>
  <si>
    <t>092440 KS Equity</t>
  </si>
  <si>
    <t>A092440</t>
  </si>
  <si>
    <t>KISHIN CORPORATION</t>
  </si>
  <si>
    <t>기신정기</t>
  </si>
  <si>
    <t>몰드베이스,금형부품,정밀기계기구 제조,도매,무역</t>
  </si>
  <si>
    <t>www.kishin.com</t>
  </si>
  <si>
    <t>006340 KS Equity</t>
  </si>
  <si>
    <t>A006340</t>
  </si>
  <si>
    <t>DaewonCable</t>
  </si>
  <si>
    <t>대원전선</t>
  </si>
  <si>
    <t>전선,통신케이블,무선통신장비,합성수지 제조,도매/부동산 매매,임대</t>
  </si>
  <si>
    <t>www.daewoncable.co.kr</t>
  </si>
  <si>
    <t>424980 KS Equity</t>
  </si>
  <si>
    <t>A424980</t>
  </si>
  <si>
    <t>MICRO2NANO, INC.</t>
  </si>
  <si>
    <t>마이크로투나노</t>
  </si>
  <si>
    <t>메모리 테스트용 프로브 카드</t>
  </si>
  <si>
    <t>micro2nano.com</t>
  </si>
  <si>
    <t>322180 KS Equity</t>
  </si>
  <si>
    <t>A322180</t>
  </si>
  <si>
    <t>THIRA UTECH CO., LTD.</t>
  </si>
  <si>
    <t>티라유텍</t>
  </si>
  <si>
    <t>스마트팩토리 솔루션</t>
  </si>
  <si>
    <t>www.thirautech.com</t>
  </si>
  <si>
    <t>208340 KS Equity</t>
  </si>
  <si>
    <t>A208340</t>
  </si>
  <si>
    <t>PharmAbcine Inc.</t>
  </si>
  <si>
    <t>파멥신</t>
  </si>
  <si>
    <t>항체치료제</t>
  </si>
  <si>
    <t>www.pharmabcine.com</t>
  </si>
  <si>
    <t>073640 KS Equity</t>
  </si>
  <si>
    <t>A073640</t>
  </si>
  <si>
    <t>TERA SCIENCE Co.,LTD.</t>
  </si>
  <si>
    <t>테라사이언스</t>
  </si>
  <si>
    <t>금속 열처리, 도금 및 기타 금속가공업</t>
  </si>
  <si>
    <t>그 외 기타 금속가공업</t>
  </si>
  <si>
    <t>유압용 관이음쇠</t>
  </si>
  <si>
    <t>www.tera-science.com</t>
  </si>
  <si>
    <t>011560 KS Equity</t>
  </si>
  <si>
    <t>A011560</t>
  </si>
  <si>
    <t>SEBO MANUFACTURING, ENGINEERING &amp; CONSTRUCTION CORP.</t>
  </si>
  <si>
    <t>세보엠이씨</t>
  </si>
  <si>
    <t>배관 및 냉ㆍ난방 공사업</t>
  </si>
  <si>
    <t>건설관련설비,ACESS FLOOR,소음기,CHAMMBER,PFP UNIT,BY-PASS UNIT,DUCT,철구조물</t>
  </si>
  <si>
    <t>www.sebo21.co.kr</t>
  </si>
  <si>
    <t>277070 KS Equity</t>
  </si>
  <si>
    <t>A277070</t>
  </si>
  <si>
    <t>Lindeman Asia Investment Corporation</t>
  </si>
  <si>
    <t>린드먼아시아</t>
  </si>
  <si>
    <t>www.laic.kr</t>
  </si>
  <si>
    <t>054930 KS Equity</t>
  </si>
  <si>
    <t>A054930</t>
  </si>
  <si>
    <t>Yooshin Engineering Corporation</t>
  </si>
  <si>
    <t>유신</t>
  </si>
  <si>
    <t>토목설계 및 감리</t>
  </si>
  <si>
    <t>www.yooshin.co.kr</t>
  </si>
  <si>
    <t>016090 KS Equity</t>
  </si>
  <si>
    <t>A016090</t>
  </si>
  <si>
    <t>Daehyun</t>
  </si>
  <si>
    <t>대현</t>
  </si>
  <si>
    <t>여성의류 및 악세사리류 제조,도매,유통(백화점)</t>
  </si>
  <si>
    <t>www.daehyun.co.kr</t>
  </si>
  <si>
    <t>376180 KS Equity</t>
  </si>
  <si>
    <t>A376180</t>
  </si>
  <si>
    <t>picogram Co., Ltd.</t>
  </si>
  <si>
    <t>피코그램</t>
  </si>
  <si>
    <t>정수기, 정수기 필터</t>
  </si>
  <si>
    <t>www.picogram.co.kr/</t>
  </si>
  <si>
    <t>200230 KS Equity</t>
  </si>
  <si>
    <t>A200230</t>
  </si>
  <si>
    <t>TELCON RF PHARMACEUTICAL. Inc.</t>
  </si>
  <si>
    <t>텔콘RF제약</t>
  </si>
  <si>
    <t>RF 통신부품(케이블 어셈블리, 커넥터 등)</t>
  </si>
  <si>
    <t>www.telcon.co.kr</t>
  </si>
  <si>
    <t>000220 KS Equity</t>
  </si>
  <si>
    <t>A000220</t>
  </si>
  <si>
    <t>YuyuPharma</t>
  </si>
  <si>
    <t>유유제약</t>
  </si>
  <si>
    <t>의약품 제조,판매</t>
  </si>
  <si>
    <t>www.yuyu.co.kr</t>
  </si>
  <si>
    <t>234920 KS Equity</t>
  </si>
  <si>
    <t>A234920</t>
  </si>
  <si>
    <t>Zaigle Co., Ltd.</t>
  </si>
  <si>
    <t>자이글</t>
  </si>
  <si>
    <t>적외선 가열 조리기</t>
  </si>
  <si>
    <t>www.zaigle.com</t>
  </si>
  <si>
    <t>417860 KS Equity</t>
  </si>
  <si>
    <t>A417860</t>
  </si>
  <si>
    <t>OBZEN Inc.</t>
  </si>
  <si>
    <t>오브젠</t>
  </si>
  <si>
    <t>CRM 소프트웨어</t>
  </si>
  <si>
    <t>www.obzen.com</t>
  </si>
  <si>
    <t>053160 KS Equity</t>
  </si>
  <si>
    <t>A053160</t>
  </si>
  <si>
    <t>Freems Corporation</t>
  </si>
  <si>
    <t>프리엠스</t>
  </si>
  <si>
    <t>건설장비용 전장품,제어기</t>
  </si>
  <si>
    <t>www.freems.co.kr</t>
  </si>
  <si>
    <t>129920 KS Equity</t>
  </si>
  <si>
    <t>A129920</t>
  </si>
  <si>
    <t>DAESUNG HI-TECH CO., LTD.</t>
  </si>
  <si>
    <t>대성하이텍</t>
  </si>
  <si>
    <t>정밀부품, 스위스턴 자동선반, 컴팩트 머시닝센터</t>
  </si>
  <si>
    <t>www.topdsht.com</t>
  </si>
  <si>
    <t>413640 KS Equity</t>
  </si>
  <si>
    <t>A413640</t>
  </si>
  <si>
    <t>비아이매트릭스</t>
  </si>
  <si>
    <t>로우코드 기반 코딩 자동화 솔루션 등</t>
  </si>
  <si>
    <t>www.bimatrix.co.kr</t>
  </si>
  <si>
    <t>330730 KS Equity</t>
  </si>
  <si>
    <t>A330730</t>
  </si>
  <si>
    <t>Stonebridge Ventures Inc.</t>
  </si>
  <si>
    <t>스톤브릿지벤처스</t>
  </si>
  <si>
    <t>창업투자, 사모투자</t>
  </si>
  <si>
    <t>163560 KS Equity</t>
  </si>
  <si>
    <t>A163560</t>
  </si>
  <si>
    <t>DRB Industrial</t>
  </si>
  <si>
    <t>동일고무벨트</t>
  </si>
  <si>
    <t>산업용고무제품, 종합고무부품</t>
  </si>
  <si>
    <t>363260 KS Equity</t>
  </si>
  <si>
    <t>A363260</t>
  </si>
  <si>
    <t>Mobidays Inc.</t>
  </si>
  <si>
    <t>모비데이즈</t>
  </si>
  <si>
    <t>www.mobidays.com</t>
  </si>
  <si>
    <t>189980 KS Equity</t>
  </si>
  <si>
    <t>A189980</t>
  </si>
  <si>
    <t>HYUNGKUK F&amp;B Co.,Ltd.</t>
  </si>
  <si>
    <t>흥국에프엔비</t>
  </si>
  <si>
    <t>과일음료(에이드베이스, 스무디, 착즙쥬스 등)</t>
  </si>
  <si>
    <t>www.hyungkuk.com</t>
  </si>
  <si>
    <t>090410 KS Equity</t>
  </si>
  <si>
    <t>A090410</t>
  </si>
  <si>
    <t>일체형 데크플레이트 등</t>
  </si>
  <si>
    <t>www.duckshin.com</t>
  </si>
  <si>
    <t>353590 KS Equity</t>
  </si>
  <si>
    <t>A353590</t>
  </si>
  <si>
    <t>AUTO&amp; Inc.</t>
  </si>
  <si>
    <t>오토앤</t>
  </si>
  <si>
    <t>자동차 신품 부품 및 내장품 판매업</t>
  </si>
  <si>
    <t>자동차 지급품 및 애프터마켓 제품</t>
  </si>
  <si>
    <t>www.auton.kr</t>
  </si>
  <si>
    <t>306040 KS Equity</t>
  </si>
  <si>
    <t>A306040</t>
  </si>
  <si>
    <t>SJ Group Co.,Ltd.</t>
  </si>
  <si>
    <t>에스제이그룹</t>
  </si>
  <si>
    <t>가방 및 기타 보호용 케이스 제조업</t>
  </si>
  <si>
    <t>캉골 가방/모자, 헬렌카민스키 모자</t>
  </si>
  <si>
    <t>www.sj-group.co.kr</t>
  </si>
  <si>
    <t>024800 KS Equity</t>
  </si>
  <si>
    <t>A024800</t>
  </si>
  <si>
    <t>Yoosung T&amp;S Co., Ltd.</t>
  </si>
  <si>
    <t>유성티엔에스</t>
  </si>
  <si>
    <t>육상 여객 운송업</t>
  </si>
  <si>
    <t>운송,C형강,차량정비</t>
  </si>
  <si>
    <t>www.ystns.co.kr</t>
  </si>
  <si>
    <t>340810 KS Equity</t>
  </si>
  <si>
    <t>A340810</t>
  </si>
  <si>
    <t>CUBOX Co., Ltd.</t>
  </si>
  <si>
    <t>씨유박스</t>
  </si>
  <si>
    <t>AI얼굴인식 시스템, AI얼굴인증 솔루션, AI 객체인식 솔루션, AI데이터 플랫폼</t>
  </si>
  <si>
    <t>www.cubox.aero</t>
  </si>
  <si>
    <t>000910 KS Equity</t>
  </si>
  <si>
    <t>A000910</t>
  </si>
  <si>
    <t>Union</t>
  </si>
  <si>
    <t>유니온</t>
  </si>
  <si>
    <t>백시멘트,타일시멘트,알루미나시멘트,용융알루미나,급결제,필터프레스,유니필터제조,도매</t>
  </si>
  <si>
    <t>www.unioncement.com</t>
  </si>
  <si>
    <t>355150 KS Equity</t>
  </si>
  <si>
    <t>A355150</t>
  </si>
  <si>
    <t>KOSTECSYS. CO., LTD.</t>
  </si>
  <si>
    <t>코스텍시스</t>
  </si>
  <si>
    <t>RF PKG. Spacer</t>
  </si>
  <si>
    <t>www.kostec.net</t>
  </si>
  <si>
    <t>109860 KS Equity</t>
  </si>
  <si>
    <t>A109860</t>
  </si>
  <si>
    <t>DONGIL METAL Co., Ltd.</t>
  </si>
  <si>
    <t>동일금속</t>
  </si>
  <si>
    <t>철강 주조업</t>
  </si>
  <si>
    <t>강주물 주조업</t>
  </si>
  <si>
    <t>크롤러크레인용 트랙슈 어셈블리, 굴삭기용 아이들러 트랙슈 스프링 등</t>
  </si>
  <si>
    <t>www.dongilmetal.co.kr</t>
  </si>
  <si>
    <t>258610 KS Equity</t>
  </si>
  <si>
    <t>A258610</t>
  </si>
  <si>
    <t>CAELUM Co., Ltd.</t>
  </si>
  <si>
    <t>케일럼</t>
  </si>
  <si>
    <t>구조용 금속제품, 탱크 및 증기발생기 제조업</t>
  </si>
  <si>
    <t>지열발전설비, 항공기MRO, 항공부품제조</t>
  </si>
  <si>
    <t>http://www.caelumglobal.com</t>
  </si>
  <si>
    <t>087260 KS Equity</t>
  </si>
  <si>
    <t>A087260</t>
  </si>
  <si>
    <t>MOBILE APPLIANCE, INC.</t>
  </si>
  <si>
    <t>모바일어플라이언스</t>
  </si>
  <si>
    <t>블랙박스, 내비게이션, HUD, ADAS</t>
  </si>
  <si>
    <t>www.mobileappliance.co.kr</t>
  </si>
  <si>
    <t>063440 KS Equity</t>
  </si>
  <si>
    <t>A063440</t>
  </si>
  <si>
    <t>SM Life Design Group Co., Ltd.</t>
  </si>
  <si>
    <t>SM Life Design</t>
  </si>
  <si>
    <t>기록매체 복제업</t>
  </si>
  <si>
    <t>추첨식복권 제조, 일반출판 인쇄, CD ·DVD 복제</t>
  </si>
  <si>
    <t>smlifedesign.com</t>
  </si>
  <si>
    <t>321260 KS Equity</t>
  </si>
  <si>
    <t>A321260</t>
  </si>
  <si>
    <t>PRO2000 CO.,LTD.</t>
  </si>
  <si>
    <t>프로이천</t>
  </si>
  <si>
    <t>합병</t>
  </si>
  <si>
    <t>www.pro-2000.co.kr</t>
  </si>
  <si>
    <t>115500 KS Equity</t>
  </si>
  <si>
    <t>A115500</t>
  </si>
  <si>
    <t>Korea Computer &amp; Systems Inc.</t>
  </si>
  <si>
    <t>케이씨에스</t>
  </si>
  <si>
    <t>컴퓨터시스템 통합 구축 및 철도 도로 교통인프라</t>
  </si>
  <si>
    <t>www.kcins.co.kr</t>
  </si>
  <si>
    <t>024950 KS Equity</t>
  </si>
  <si>
    <t>A024950</t>
  </si>
  <si>
    <t>Samchuly Bicycle Co., Ltd.</t>
  </si>
  <si>
    <t>삼천리자전거</t>
  </si>
  <si>
    <t>음반 및 비디오물, 악기, 오락 및 경기용품 도매업</t>
  </si>
  <si>
    <t>자전거 및 기타 운송장비 도매업</t>
  </si>
  <si>
    <t>자전거</t>
  </si>
  <si>
    <t>www.samchuly.co.kr</t>
  </si>
  <si>
    <t>103840 KS Equity</t>
  </si>
  <si>
    <t>A103840</t>
  </si>
  <si>
    <t>WOOYANG CO., LTD.</t>
  </si>
  <si>
    <t>우양</t>
  </si>
  <si>
    <t>HMR, 음료 베이스, 퓨레 등</t>
  </si>
  <si>
    <t>www.foodkorea.com</t>
  </si>
  <si>
    <t>005800 KS Equity</t>
  </si>
  <si>
    <t>A005800</t>
  </si>
  <si>
    <t>ShinyoungWacoal</t>
  </si>
  <si>
    <t>신영와코루</t>
  </si>
  <si>
    <t>여성용 내의류(화운데이션,란제리,블래지어),환자,노령자용 파자마,남성용 내의류 제조</t>
  </si>
  <si>
    <t>www.shinyoungwacoal.co.kr</t>
  </si>
  <si>
    <t>418250 KS Equity</t>
  </si>
  <si>
    <t>A418250</t>
  </si>
  <si>
    <t>SecuLetter Co.,Ltd.</t>
  </si>
  <si>
    <t>시큐레터</t>
  </si>
  <si>
    <t>SLE(이메일 보안), SLF(파일 보안)</t>
  </si>
  <si>
    <t>www.seculetter.com</t>
  </si>
  <si>
    <t>303530 KS Equity</t>
  </si>
  <si>
    <t>A303530</t>
  </si>
  <si>
    <t>INNODEP INC.</t>
  </si>
  <si>
    <t>이노뎁</t>
  </si>
  <si>
    <t>영상인식 및 데이터플랫폼 솔루션</t>
  </si>
  <si>
    <t>www.innodep.com</t>
  </si>
  <si>
    <t>012790 KS Equity</t>
  </si>
  <si>
    <t>A012790</t>
  </si>
  <si>
    <t>SINIL PHARMACEUTICAL CO., LTD.</t>
  </si>
  <si>
    <t>신일제약</t>
  </si>
  <si>
    <t>디펜플라스타, 맥스케어, 트레스, 리피칸</t>
  </si>
  <si>
    <t>www.sinilpharm.com</t>
  </si>
  <si>
    <t>100590 KS Equity</t>
  </si>
  <si>
    <t>A100590</t>
  </si>
  <si>
    <t>Mercury Corporation</t>
  </si>
  <si>
    <t>머큐리</t>
  </si>
  <si>
    <t>AP 단말기, 광섬유 및 광케이블, 위성통신 전송장비</t>
  </si>
  <si>
    <t>www.mercury.co.kr</t>
  </si>
  <si>
    <t>004960 KS Equity</t>
  </si>
  <si>
    <t>A004960</t>
  </si>
  <si>
    <t>HanshinConstruction</t>
  </si>
  <si>
    <t>한신공영</t>
  </si>
  <si>
    <t>토목공사,건축공사,주택건설,유통업(백화점),문화교실,주차장</t>
  </si>
  <si>
    <t>www.hanshinc.com</t>
  </si>
  <si>
    <t>049480 KS Equity</t>
  </si>
  <si>
    <t>A049480</t>
  </si>
  <si>
    <t>Openbase Inc.</t>
  </si>
  <si>
    <t>오픈베이스</t>
  </si>
  <si>
    <t>트래픽솔루션(웹스위치,트래픽서버)</t>
  </si>
  <si>
    <t>www.openbase.co.kr</t>
  </si>
  <si>
    <t>185490 KS Equity</t>
  </si>
  <si>
    <t>A185490</t>
  </si>
  <si>
    <t>EyeGene,Inc.</t>
  </si>
  <si>
    <t>아이진</t>
  </si>
  <si>
    <t>당뇨성망막병증 치료제, 욕창치료제, 대상포진백신, 코로나19 예방백신 등</t>
  </si>
  <si>
    <t>www.eyegene.co.kr</t>
  </si>
  <si>
    <t>208140 KS Equity</t>
  </si>
  <si>
    <t>A208140</t>
  </si>
  <si>
    <t>JUNGDAWN Co., Ltd.</t>
  </si>
  <si>
    <t>정다운</t>
  </si>
  <si>
    <t>통오리,정육,오리털,훈연육</t>
  </si>
  <si>
    <t>www.jungdawn.co.kr</t>
  </si>
  <si>
    <t>036640 KS Equity</t>
  </si>
  <si>
    <t>A036640</t>
  </si>
  <si>
    <t>HRS Co., Ltd.</t>
  </si>
  <si>
    <t>HRS</t>
  </si>
  <si>
    <t>실리콘 컴파운드제품 제조</t>
  </si>
  <si>
    <t>www.hrssilicone.com</t>
  </si>
  <si>
    <t>263700 KS Equity</t>
  </si>
  <si>
    <t>A263700</t>
  </si>
  <si>
    <t>Carelabs Co.,Ltd.</t>
  </si>
  <si>
    <t>케어랩스</t>
  </si>
  <si>
    <t>헬스케어 미디어플랫폼, 헬스케어 디지털마케팅, 헬스케어 솔루션</t>
  </si>
  <si>
    <t>carelabs.co.kr</t>
  </si>
  <si>
    <t>128660 KS Equity</t>
  </si>
  <si>
    <t>A128660</t>
  </si>
  <si>
    <t>PJ METAL Co., Ltd.</t>
  </si>
  <si>
    <t>피제이메탈</t>
  </si>
  <si>
    <t>탈산제, 조재제</t>
  </si>
  <si>
    <t>www.pjmetal.co.kr</t>
  </si>
  <si>
    <t>025550 KS Equity</t>
  </si>
  <si>
    <t>A025550</t>
  </si>
  <si>
    <t>Hankuk Steel Wire Co., Ltd.</t>
  </si>
  <si>
    <t>한국선재</t>
  </si>
  <si>
    <t>철강선재류</t>
  </si>
  <si>
    <t>005740 KS Equity</t>
  </si>
  <si>
    <t>A005740</t>
  </si>
  <si>
    <t>CROWNHAITAI Holdings</t>
  </si>
  <si>
    <t>크라운해태홀딩스</t>
  </si>
  <si>
    <t>비스켓,쵸코렛,사탕,웨이퍼 제조,도매</t>
  </si>
  <si>
    <t>004650 KS Equity</t>
  </si>
  <si>
    <t>A004650</t>
  </si>
  <si>
    <t>Changhae Ethanol Co., Ltd.</t>
  </si>
  <si>
    <t>창해에탄올</t>
  </si>
  <si>
    <t>주정(발효주정, 정제주정) 등</t>
  </si>
  <si>
    <t>www.chethanol.com</t>
  </si>
  <si>
    <t>043910 KS Equity</t>
  </si>
  <si>
    <t>A043910</t>
  </si>
  <si>
    <t>Nature &amp; Environment Co.,Ltd..</t>
  </si>
  <si>
    <t>자연과환경</t>
  </si>
  <si>
    <t>스테인레스파이프, 다공성식생블록,조경원예자재</t>
  </si>
  <si>
    <t>www.e-nne.co.kr</t>
  </si>
  <si>
    <t>084180 KS Equity</t>
  </si>
  <si>
    <t>A084180</t>
  </si>
  <si>
    <t>전동지게차</t>
  </si>
  <si>
    <t>www.soosung.com</t>
  </si>
  <si>
    <t>042110 KS Equity</t>
  </si>
  <si>
    <t>A042110</t>
  </si>
  <si>
    <t>SCD Co., Ltd.</t>
  </si>
  <si>
    <t>에스씨디</t>
  </si>
  <si>
    <t>전자렌지용 MOTOR 및 냉장고용 TIMER</t>
  </si>
  <si>
    <t>www.sscd.co.kr</t>
  </si>
  <si>
    <t>020710 KS Equity</t>
  </si>
  <si>
    <t>A020710</t>
  </si>
  <si>
    <t>Sigongtech Co., Ltd.</t>
  </si>
  <si>
    <t>시공테크</t>
  </si>
  <si>
    <t>전문 디자인업</t>
  </si>
  <si>
    <t>박물관, 전시관, 엑스포, 특수영상</t>
  </si>
  <si>
    <t>www.sigongtech.co.kr</t>
  </si>
  <si>
    <t>327260 KS Equity</t>
  </si>
  <si>
    <t>A327260</t>
  </si>
  <si>
    <t>RF Materials Co., Ltd.</t>
  </si>
  <si>
    <t>RF머트리얼즈</t>
  </si>
  <si>
    <t>광통신, RF통신용 패키지</t>
  </si>
  <si>
    <t>001560 KS Equity</t>
  </si>
  <si>
    <t>A001560</t>
  </si>
  <si>
    <t>CHEILGRINDINGWHEELIND.CO.,LTD</t>
  </si>
  <si>
    <t>제일연마</t>
  </si>
  <si>
    <t>연마재 제조업</t>
  </si>
  <si>
    <t>연마석,다이아몬드공구 제조,도소매/주택건설</t>
  </si>
  <si>
    <t>www.grinding.co.kr</t>
  </si>
  <si>
    <t>288980 KS Equity</t>
  </si>
  <si>
    <t>A288980</t>
  </si>
  <si>
    <t>MOADATA CO., LTD.</t>
  </si>
  <si>
    <t>모아데이타</t>
  </si>
  <si>
    <t>인공지능 기반 ICT 시스템 이상탐지 및 예측 솔루션</t>
  </si>
  <si>
    <t>www.moadata.co.kr</t>
  </si>
  <si>
    <t>204610 KS Equity</t>
  </si>
  <si>
    <t>A204610</t>
  </si>
  <si>
    <t>T3 Entertainment Inc.</t>
  </si>
  <si>
    <t>티쓰리</t>
  </si>
  <si>
    <t>온라인 및 모바일 게임 등</t>
  </si>
  <si>
    <t>www.t3.co.kr</t>
  </si>
  <si>
    <t>101170 KS Equity</t>
  </si>
  <si>
    <t>A101170</t>
  </si>
  <si>
    <t>WOORIM POWER TRAIN SOLUTION Co., Ltd.</t>
  </si>
  <si>
    <t>우림피티에스</t>
  </si>
  <si>
    <t>기어 및 동력전달장치 제조업</t>
  </si>
  <si>
    <t>트랜스미션,감속기,기어전동축 제조</t>
  </si>
  <si>
    <t>www.woorimgear.co.kr</t>
  </si>
  <si>
    <t>015710 KS Equity</t>
  </si>
  <si>
    <t>A015710</t>
  </si>
  <si>
    <t>Kocom Co., Ltd.</t>
  </si>
  <si>
    <t>코콤</t>
  </si>
  <si>
    <t>비디오도어폰</t>
  </si>
  <si>
    <t>www.kocom.co.kr</t>
  </si>
  <si>
    <t>351330 KS Equity</t>
  </si>
  <si>
    <t>A351330</t>
  </si>
  <si>
    <t>ISAAC Engineering Co., Ltd.</t>
  </si>
  <si>
    <t>이삭엔지니어링</t>
  </si>
  <si>
    <t>공장자동화 설비제어</t>
  </si>
  <si>
    <t>www.isaac-eng.com</t>
  </si>
  <si>
    <t>080530 KS Equity</t>
  </si>
  <si>
    <t>A080530</t>
  </si>
  <si>
    <t>KODI Co., Ltd.</t>
  </si>
  <si>
    <t>코디</t>
  </si>
  <si>
    <t>www.kodi-corp.com</t>
  </si>
  <si>
    <t>004060 KS Equity</t>
  </si>
  <si>
    <t>A004060</t>
  </si>
  <si>
    <t>SGCORPORATION</t>
  </si>
  <si>
    <t>SG세계물산</t>
  </si>
  <si>
    <t>피복류,봉제품,P.E제품 수출입,도매,제조/조경사업</t>
  </si>
  <si>
    <t>www.sgsegye.com</t>
  </si>
  <si>
    <t>023810 KS Equity</t>
  </si>
  <si>
    <t>A023810</t>
  </si>
  <si>
    <t>INFAC</t>
  </si>
  <si>
    <t>인팩</t>
  </si>
  <si>
    <t>자동차용 케이블,전자정보통신관련기기 제조,도매</t>
  </si>
  <si>
    <t>www.infac.com</t>
  </si>
  <si>
    <t>096690 KS Equity</t>
  </si>
  <si>
    <t>A096690</t>
  </si>
  <si>
    <t>Aroot Co., Ltd.</t>
  </si>
  <si>
    <t>에이루트</t>
  </si>
  <si>
    <t>기억장치 및 주변기기 제조업</t>
  </si>
  <si>
    <t>기타 주변기기 제조업</t>
  </si>
  <si>
    <t>POS프린터, Mobile프린터, Label프린터</t>
  </si>
  <si>
    <t>www.jstephenlab.com</t>
  </si>
  <si>
    <t>260660 KS Equity</t>
  </si>
  <si>
    <t>A260660</t>
  </si>
  <si>
    <t>KOREA ARLICO PHARM CO.,LTD.</t>
  </si>
  <si>
    <t>알리코제약</t>
  </si>
  <si>
    <t>완제 의약품</t>
  </si>
  <si>
    <t>www.arlico.co.kr</t>
  </si>
  <si>
    <t>131030 KS Equity</t>
  </si>
  <si>
    <t>A131030</t>
  </si>
  <si>
    <t>OPTUS Pharmaceutical Co., Ltd.</t>
  </si>
  <si>
    <t>옵투스제약</t>
  </si>
  <si>
    <t>티어린프리점안액</t>
  </si>
  <si>
    <t>047080 KS Equity</t>
  </si>
  <si>
    <t>A047080</t>
  </si>
  <si>
    <t>HANBIT SOFT Inc.</t>
  </si>
  <si>
    <t>한빛소프트</t>
  </si>
  <si>
    <t>게임(스타크래프트 등), 교육, 솔루션</t>
  </si>
  <si>
    <t>www.hanbitsoft.co.kr</t>
  </si>
  <si>
    <t>004770 KS Equity</t>
  </si>
  <si>
    <t>A004770</t>
  </si>
  <si>
    <t>SunnyElectronics</t>
  </si>
  <si>
    <t>써니전자</t>
  </si>
  <si>
    <t>수정진동자,수정발진기,초음파지연선,MCF,축수나사 제조,도매,수출입</t>
  </si>
  <si>
    <t>www.sunny.co.kr</t>
  </si>
  <si>
    <t>434480 KS Equity</t>
  </si>
  <si>
    <t>A434480</t>
  </si>
  <si>
    <t>MONITORAPP CO.,LTD.</t>
  </si>
  <si>
    <t>모니터랩</t>
  </si>
  <si>
    <t>웹방화벽,유해사이트솔루션,가시성SSL 솔루션, SASE플랫폼기반 SECaaS</t>
  </si>
  <si>
    <t>www.monitorapp.com</t>
  </si>
  <si>
    <t>419120 KS Equity</t>
  </si>
  <si>
    <t>A419120</t>
  </si>
  <si>
    <t>Sandoll Inc.</t>
  </si>
  <si>
    <t>산돌</t>
  </si>
  <si>
    <t>리테일 폰트 등</t>
  </si>
  <si>
    <t>www.sandoll.co.kr</t>
  </si>
  <si>
    <t>038870 KS Equity</t>
  </si>
  <si>
    <t>A038870</t>
  </si>
  <si>
    <t>EcoBio Holdings Co., Ltd.</t>
  </si>
  <si>
    <t>에코바이오</t>
  </si>
  <si>
    <t>판매시점정보시스템(POS), 금전등록기</t>
  </si>
  <si>
    <t>www.ecobio.co.kr</t>
  </si>
  <si>
    <t>006880 KS Equity</t>
  </si>
  <si>
    <t>A006880</t>
  </si>
  <si>
    <t>SINGSONGHOLDINGS</t>
  </si>
  <si>
    <t>신송홀딩스</t>
  </si>
  <si>
    <t>곡물 및 유지작물 도매업</t>
  </si>
  <si>
    <t>사업경영 및 관리자문</t>
  </si>
  <si>
    <t>www.singsong.co.kr</t>
  </si>
  <si>
    <t>038070 KS Equity</t>
  </si>
  <si>
    <t>A038070</t>
  </si>
  <si>
    <t>Seoulin Bioscience Co.,Ltd.</t>
  </si>
  <si>
    <t>서린바이오</t>
  </si>
  <si>
    <t>생명과학연구기기및시약</t>
  </si>
  <si>
    <t>www.seoulin.co.kr</t>
  </si>
  <si>
    <t>355690 KS Equity</t>
  </si>
  <si>
    <t>A355690</t>
  </si>
  <si>
    <t>ATUM CO.,LTD.</t>
  </si>
  <si>
    <t>에이텀</t>
  </si>
  <si>
    <t>평판형 트랜스</t>
  </si>
  <si>
    <t>www.iatum.com</t>
  </si>
  <si>
    <t>377220 KS Equity</t>
  </si>
  <si>
    <t>A377220</t>
  </si>
  <si>
    <t>Form Bio Co., Ltd.</t>
  </si>
  <si>
    <t>프롬바이오</t>
  </si>
  <si>
    <t>개별인정형 건강기능식품</t>
  </si>
  <si>
    <t>307180 KS Equity</t>
  </si>
  <si>
    <t>A307180</t>
  </si>
  <si>
    <t>IL SCIENCE CO., LTD.</t>
  </si>
  <si>
    <t>아이엘사이언스</t>
  </si>
  <si>
    <t>전구 및 조명장치 제조업</t>
  </si>
  <si>
    <t>LED용 실리콘렌즈 외</t>
  </si>
  <si>
    <t>www.ilscience.co.kr</t>
  </si>
  <si>
    <t>238090 KS Equity</t>
  </si>
  <si>
    <t>A238090</t>
  </si>
  <si>
    <t>NDFOS CO., LTD.</t>
  </si>
  <si>
    <t>앤디포스</t>
  </si>
  <si>
    <t>TSP용 양면 테이프, 윈도우 필름</t>
  </si>
  <si>
    <t>www.ndfos.com</t>
  </si>
  <si>
    <t>024910 KS Equity</t>
  </si>
  <si>
    <t>A024910</t>
  </si>
  <si>
    <t>Kyung Chang Industrial Co., Ltd.</t>
  </si>
  <si>
    <t>경창산업</t>
  </si>
  <si>
    <t>각종 케이블, 개폐랫치, 리저브탱크, 밴드류, 페달류, 오토트랜스미션부품, 시트용 단품</t>
  </si>
  <si>
    <t>www.kc.co.kr</t>
  </si>
  <si>
    <t>039240 KS Equity</t>
  </si>
  <si>
    <t>A039240</t>
  </si>
  <si>
    <t>Kyeong Nam Steel Co., Ltd.</t>
  </si>
  <si>
    <t>경남스틸</t>
  </si>
  <si>
    <t>냉연강판,아연도강판, 산세코일, 열연아연도금강판, 전기아연도금강판 등</t>
  </si>
  <si>
    <t>www.ksteel.co.kr</t>
  </si>
  <si>
    <t>239610 KS Equity</t>
  </si>
  <si>
    <t>A239610</t>
  </si>
  <si>
    <t>HLSCIENCE CO., LTD.</t>
  </si>
  <si>
    <t>에이치엘사이언스</t>
  </si>
  <si>
    <t>건강기능식품 등</t>
  </si>
  <si>
    <t>www.hlscience.com</t>
  </si>
  <si>
    <t>043260 KS Equity</t>
  </si>
  <si>
    <t>A043260</t>
  </si>
  <si>
    <t>SUNGHO ELECTRONICS CORP.</t>
  </si>
  <si>
    <t>성호전자</t>
  </si>
  <si>
    <t>전원공급장치,필름콘덴서</t>
  </si>
  <si>
    <t>www.sungho.net</t>
  </si>
  <si>
    <t>105740 KS Equity</t>
  </si>
  <si>
    <t>A105740</t>
  </si>
  <si>
    <t>DK-Lok Corporation</t>
  </si>
  <si>
    <t>디케이락</t>
  </si>
  <si>
    <t>계장용 피팅 및 밸브</t>
  </si>
  <si>
    <t>www.dklok.com</t>
  </si>
  <si>
    <t>010960 KS Equity</t>
  </si>
  <si>
    <t>A010960</t>
  </si>
  <si>
    <t>Samho Development Co., Ltd.</t>
  </si>
  <si>
    <t>삼호개발</t>
  </si>
  <si>
    <t>토공사업</t>
  </si>
  <si>
    <t>토공사,철근콘크리트공사,포장공사,미장방수공사,상하수도공사,수중공사,비계구조물해체공사/골재,아스콘 제조,판매,중기임대</t>
  </si>
  <si>
    <t>www.samhodev.co.kr</t>
  </si>
  <si>
    <t>036670 KS Equity</t>
  </si>
  <si>
    <t>A036670</t>
  </si>
  <si>
    <t>KCI Limited</t>
  </si>
  <si>
    <t>KCI</t>
  </si>
  <si>
    <t>폴리머,레진,계면활성제</t>
  </si>
  <si>
    <t>www.kciltd.com</t>
  </si>
  <si>
    <t>037330 KS Equity</t>
  </si>
  <si>
    <t>A037330</t>
  </si>
  <si>
    <t>Inzi Display Co., Ltd.</t>
  </si>
  <si>
    <t>인지디스플레</t>
  </si>
  <si>
    <t>TFT-LCDCHASSIS,TFT-LCDLAMPREFLECTOR,ICLEADFRAME,TRLEADFRAME</t>
  </si>
  <si>
    <t>www.inzidisplay.co.kr</t>
  </si>
  <si>
    <t>001290 KS Equity</t>
  </si>
  <si>
    <t>A001290</t>
  </si>
  <si>
    <t>SANGSANGININVESTMENT&amp;SECURITIES</t>
  </si>
  <si>
    <t>상상인증권</t>
  </si>
  <si>
    <t>유가증권 매매</t>
  </si>
  <si>
    <t>www.sangsanginib.com</t>
  </si>
  <si>
    <t>448710 KS Equity</t>
  </si>
  <si>
    <t>A448710</t>
  </si>
  <si>
    <t>COTS Technology Co., Ltd.</t>
  </si>
  <si>
    <t>코츠테크놀로지</t>
  </si>
  <si>
    <t>싱글보드컴퓨터(SBC), 군용 전시기 등</t>
  </si>
  <si>
    <t>www.cotstech.com</t>
  </si>
  <si>
    <t>046390 KS Equity</t>
  </si>
  <si>
    <t>A046390</t>
  </si>
  <si>
    <t>SAMHWA NETWORKS Co., Ltd.</t>
  </si>
  <si>
    <t>삼화네트웍스</t>
  </si>
  <si>
    <t>www.shnetworks.co.kr</t>
  </si>
  <si>
    <t>003780 KS Equity</t>
  </si>
  <si>
    <t>A003780</t>
  </si>
  <si>
    <t>Chinyang Industry</t>
  </si>
  <si>
    <t>진양산업</t>
  </si>
  <si>
    <t>플라스틱 발포 성형제품 제조업</t>
  </si>
  <si>
    <t>합성수지,폴리우레탄스폰지 제조,도매,수출입</t>
  </si>
  <si>
    <t>www.cyc1963.com</t>
  </si>
  <si>
    <t>106080 KS Equity</t>
  </si>
  <si>
    <t>A106080</t>
  </si>
  <si>
    <t>HYSONIC Co., Ltd.</t>
  </si>
  <si>
    <t>하이소닉</t>
  </si>
  <si>
    <t>휴대폰 카메라용 Auto Focus Actuator</t>
  </si>
  <si>
    <t>www.g2hysonic.com</t>
  </si>
  <si>
    <t>115440 KS Equity</t>
  </si>
  <si>
    <t>A115440</t>
  </si>
  <si>
    <t>Woori-Net Co., Ltd.</t>
  </si>
  <si>
    <t>우리넷</t>
  </si>
  <si>
    <t>광전송장비(MSPP), 교환장비(AGW)</t>
  </si>
  <si>
    <t>www.woori-net.com</t>
  </si>
  <si>
    <t>219420 KS Equity</t>
  </si>
  <si>
    <t>A219420</t>
  </si>
  <si>
    <t>Linkgenesis Co., Ltd.</t>
  </si>
  <si>
    <t>링크제니시스</t>
  </si>
  <si>
    <t>반도체, 디스플레이, 자동화 S/W 및 시스템 테스트 자동화 솔루션 개발(XCOMPRO, XGEM, MAT)</t>
  </si>
  <si>
    <t>www.linkgenesis.co.kr</t>
  </si>
  <si>
    <t>088130 KS Equity</t>
  </si>
  <si>
    <t>A088130</t>
  </si>
  <si>
    <t>Dong A Eltek Co., Ltd.</t>
  </si>
  <si>
    <t>동아엘텍</t>
  </si>
  <si>
    <t>LCD검사장비</t>
  </si>
  <si>
    <t>www.dongaeltek.co.kr</t>
  </si>
  <si>
    <t>263540 KS Equity</t>
  </si>
  <si>
    <t>A263540</t>
  </si>
  <si>
    <t>어스앤에어로스페이스</t>
  </si>
  <si>
    <t>www.samcokorea.com</t>
  </si>
  <si>
    <t>242040 KS Equity</t>
  </si>
  <si>
    <t>A242040</t>
  </si>
  <si>
    <t>NAMU TECH CO.,LTD.</t>
  </si>
  <si>
    <t>나무기술</t>
  </si>
  <si>
    <t>응용소프트웨어 개발 및 공급업</t>
  </si>
  <si>
    <t>339950 KS Equity</t>
  </si>
  <si>
    <t>A339950</t>
  </si>
  <si>
    <t>IBKIMYOUNG CO.,LTD.</t>
  </si>
  <si>
    <t>아이비김영</t>
  </si>
  <si>
    <t>오프라인 학원, 온라인강의</t>
  </si>
  <si>
    <t>www.kimyoung.co.kr</t>
  </si>
  <si>
    <t>013870 KS Equity</t>
  </si>
  <si>
    <t>A013870</t>
  </si>
  <si>
    <t>GMB Korea</t>
  </si>
  <si>
    <t>지엠비코리아</t>
  </si>
  <si>
    <t>VS, TIB, CVJoint 등</t>
  </si>
  <si>
    <t>www.gmb.co.kr</t>
  </si>
  <si>
    <t>348030 KS Equity</t>
  </si>
  <si>
    <t>A348030</t>
  </si>
  <si>
    <t>MOBIRIX Corporation</t>
  </si>
  <si>
    <t>모비릭스</t>
  </si>
  <si>
    <t>모바일 게임 개발 및 퍼블리싱</t>
  </si>
  <si>
    <t>www.mobirix.com</t>
  </si>
  <si>
    <t>115610 KS Equity</t>
  </si>
  <si>
    <t>A115610</t>
  </si>
  <si>
    <t>IMAGIS Co., Ltd.</t>
  </si>
  <si>
    <t>이미지스</t>
  </si>
  <si>
    <t>터치스크린칩, 햅틱칩</t>
  </si>
  <si>
    <t>www.imagis.co.kr</t>
  </si>
  <si>
    <t>352700 KS Equity</t>
  </si>
  <si>
    <t>A352700</t>
  </si>
  <si>
    <t>CNTUS Co., Ltd.</t>
  </si>
  <si>
    <t>씨앤투스</t>
  </si>
  <si>
    <t>기타 섬유제품 제조업</t>
  </si>
  <si>
    <t>에어필터, 산업용 및 보건용 마스크</t>
  </si>
  <si>
    <t>www.cntus.com</t>
  </si>
  <si>
    <t>006090 KS Equity</t>
  </si>
  <si>
    <t>A006090</t>
  </si>
  <si>
    <t>OYANG</t>
  </si>
  <si>
    <t>사조오양</t>
  </si>
  <si>
    <t>수산물 가공 및 저장 처리업</t>
  </si>
  <si>
    <t>원양어업/수산물가공(게맛살) 제조,수출입/냉동 및 냉장보관/부동산 임대</t>
  </si>
  <si>
    <t>www.sajooy.com</t>
  </si>
  <si>
    <t>018500 KS Equity</t>
  </si>
  <si>
    <t>A018500</t>
  </si>
  <si>
    <t>DONGWON METAL</t>
  </si>
  <si>
    <t>동원금속</t>
  </si>
  <si>
    <t>자동차부품(도어후레임,머플러,임팩트빔),강관 제조,판매</t>
  </si>
  <si>
    <t>www.dwmic.com</t>
  </si>
  <si>
    <t>065950 KS Equity</t>
  </si>
  <si>
    <t>A065950</t>
  </si>
  <si>
    <t>Welcron Company Limited</t>
  </si>
  <si>
    <t>웰크론</t>
  </si>
  <si>
    <t>특수 직물 및 기타 직물 직조업</t>
  </si>
  <si>
    <t>기능성 침구용품, 크리너, 필터, 방탄·방검복</t>
  </si>
  <si>
    <t>www.welcron.com</t>
  </si>
  <si>
    <t>314140 KS Equity</t>
  </si>
  <si>
    <t>A314140</t>
  </si>
  <si>
    <t>RPbio Inc.</t>
  </si>
  <si>
    <t>알피바이오</t>
  </si>
  <si>
    <t>연질캡슐 제형의 의약품 및 건강기능식품</t>
  </si>
  <si>
    <t>www.rpcorp.co.kr</t>
  </si>
  <si>
    <t>041910 KS Equity</t>
  </si>
  <si>
    <t>A041910</t>
  </si>
  <si>
    <t>www.estechpharma.com</t>
  </si>
  <si>
    <t>051490 KS Equity</t>
  </si>
  <si>
    <t>A051490</t>
  </si>
  <si>
    <t>Nara Mold &amp; Die Co., Ltd.</t>
  </si>
  <si>
    <t>나라엠앤디</t>
  </si>
  <si>
    <t>금형,사출 및 판금부품</t>
  </si>
  <si>
    <t>www.naramnd.com</t>
  </si>
  <si>
    <t>002140 KS Equity</t>
  </si>
  <si>
    <t>A002140</t>
  </si>
  <si>
    <t>KoreaIndustrial</t>
  </si>
  <si>
    <t>고려산업</t>
  </si>
  <si>
    <t>배합사료,플라스틱용기 제조/부동산 임대</t>
  </si>
  <si>
    <t>www.hafeed.com</t>
  </si>
  <si>
    <t>064850 KS Equity</t>
  </si>
  <si>
    <t>A064850</t>
  </si>
  <si>
    <t>FnGuide Inc.</t>
  </si>
  <si>
    <t>에프앤가이드</t>
  </si>
  <si>
    <t>금융정보서비스, INDEX, 펀드평가 등</t>
  </si>
  <si>
    <t>corp.fnguide.com</t>
  </si>
  <si>
    <t>067920 KS Equity</t>
  </si>
  <si>
    <t>A067920</t>
  </si>
  <si>
    <t>IGLOO Corporation</t>
  </si>
  <si>
    <t>이글루</t>
  </si>
  <si>
    <t>통합보안관리솔루션, 보안관제서비스</t>
  </si>
  <si>
    <t>032540 KS Equity</t>
  </si>
  <si>
    <t>A032540</t>
  </si>
  <si>
    <t>TJ MEDIA Co.,Ltd.</t>
  </si>
  <si>
    <t>TJ미디어</t>
  </si>
  <si>
    <t>영상음향반주기</t>
  </si>
  <si>
    <t>www.tjmedia.co.kr</t>
  </si>
  <si>
    <t>367000 KS Equity</t>
  </si>
  <si>
    <t>A367000</t>
  </si>
  <si>
    <t>Plateer Co., Ltd.</t>
  </si>
  <si>
    <t>플래티어</t>
  </si>
  <si>
    <t>E-Commerce Platform 구축</t>
  </si>
  <si>
    <t>plateer.com</t>
  </si>
  <si>
    <t>214610 KS Equity</t>
  </si>
  <si>
    <t>A214610</t>
  </si>
  <si>
    <t>MiCo BioMed Co., Ltd.</t>
  </si>
  <si>
    <t>미코바이오메드</t>
  </si>
  <si>
    <t>체외진단용 의료기기</t>
  </si>
  <si>
    <t xml:space="preserve">www.micobiomed.com            </t>
  </si>
  <si>
    <t>057030 KS Equity</t>
  </si>
  <si>
    <t>A057030</t>
  </si>
  <si>
    <t>YBM NET, Inc.</t>
  </si>
  <si>
    <t>YBM넷</t>
  </si>
  <si>
    <t>교육지원 서비스업</t>
  </si>
  <si>
    <t>온라인교육, 수수료수입 등</t>
  </si>
  <si>
    <t>www.ybmnet.co.kr</t>
  </si>
  <si>
    <t>256630 KS Equity</t>
  </si>
  <si>
    <t>A256630</t>
  </si>
  <si>
    <t>POINT ENGINEERING Co., Ltd.</t>
  </si>
  <si>
    <t>포인트엔지니어링</t>
  </si>
  <si>
    <t>도장 및 기타 피막처리업</t>
  </si>
  <si>
    <t>디스플레이 및 반도체 장비 부품</t>
  </si>
  <si>
    <t>www.pointeng.co.kr</t>
  </si>
  <si>
    <t>049430 KS Equity</t>
  </si>
  <si>
    <t>A049430</t>
  </si>
  <si>
    <t>Komelon Corporation</t>
  </si>
  <si>
    <t>코메론</t>
  </si>
  <si>
    <t>줄자, 냉간압연</t>
  </si>
  <si>
    <t>www.komelon.co.kr</t>
  </si>
  <si>
    <t>081150 KS Equity</t>
  </si>
  <si>
    <t>A081150</t>
  </si>
  <si>
    <t>Tplex Co., Ltd.</t>
  </si>
  <si>
    <t>티플랙스</t>
  </si>
  <si>
    <t>스텐레스봉,판(열간제품) 제조,도매</t>
  </si>
  <si>
    <t>www.tplex.co.kr</t>
  </si>
  <si>
    <t>290740 KS Equity</t>
  </si>
  <si>
    <t>A290740</t>
  </si>
  <si>
    <t>Actro Co.,Ltd.</t>
  </si>
  <si>
    <t>액트로</t>
  </si>
  <si>
    <t>모바일용 액츄에이터 및 조립자동화 설비</t>
  </si>
  <si>
    <t>www.actro.co.kr</t>
  </si>
  <si>
    <t>092300 KS Equity</t>
  </si>
  <si>
    <t>A092300</t>
  </si>
  <si>
    <t>HYUNWOOINDUSTRIAL Co., Ltd.</t>
  </si>
  <si>
    <t>현우산업</t>
  </si>
  <si>
    <t>인쇄회로판(PCB)</t>
  </si>
  <si>
    <t>www.hyunwoopcb.com</t>
  </si>
  <si>
    <t>136410 KS Equity</t>
  </si>
  <si>
    <t>A136410</t>
  </si>
  <si>
    <t>ASSEMS Inc.</t>
  </si>
  <si>
    <t>아셈스</t>
  </si>
  <si>
    <t>핫멜트 접착 필름</t>
  </si>
  <si>
    <t>www.assems.com</t>
  </si>
  <si>
    <t>060850 KS Equity</t>
  </si>
  <si>
    <t>A060850</t>
  </si>
  <si>
    <t>YoungLimWon SoftLab. Co., Ltd.</t>
  </si>
  <si>
    <t>영림원소프트랩</t>
  </si>
  <si>
    <t>ERP Package, 유지 관리 등</t>
  </si>
  <si>
    <t>www.ksystem.co.kr</t>
  </si>
  <si>
    <t>069920 KS Equity</t>
  </si>
  <si>
    <t>A069920</t>
  </si>
  <si>
    <t>해외, 국내상품 소싱 및 판매대행 서비스</t>
  </si>
  <si>
    <t>www.isecommerce.co.kr</t>
  </si>
  <si>
    <t>009810 KS Equity</t>
  </si>
  <si>
    <t>A009810</t>
  </si>
  <si>
    <t>Playgram</t>
  </si>
  <si>
    <t>플레이그램</t>
  </si>
  <si>
    <t>014790 KS Equity</t>
  </si>
  <si>
    <t>A014790</t>
  </si>
  <si>
    <t>HL D&amp;I HALLA CORPORATION</t>
  </si>
  <si>
    <t>HL D&amp;I</t>
  </si>
  <si>
    <t>토목,건축,전기,환경사업,준설공사,포장공사,주택,중기임대</t>
  </si>
  <si>
    <t>171010 KS Equity</t>
  </si>
  <si>
    <t>A171010</t>
  </si>
  <si>
    <t>RAM TECHNOLOGY CO., LTD.</t>
  </si>
  <si>
    <t>램테크놀러지</t>
  </si>
  <si>
    <t>반도체 식각액, 박리액, 세정액 등</t>
  </si>
  <si>
    <t>www.ramtech.co.kr</t>
  </si>
  <si>
    <t>255220 KS Equity</t>
  </si>
  <si>
    <t>A255220</t>
  </si>
  <si>
    <t>SG CO.,LTD.</t>
  </si>
  <si>
    <t>SG</t>
  </si>
  <si>
    <t>아스팔트 콘크리트 및 혼합제품 제조업</t>
  </si>
  <si>
    <t>아스콘, 레미콘</t>
  </si>
  <si>
    <t>www.saholdings.co.kr</t>
  </si>
  <si>
    <t>004910 KS Equity</t>
  </si>
  <si>
    <t>A004910</t>
  </si>
  <si>
    <t>ChokwangPaint</t>
  </si>
  <si>
    <t>조광페인트</t>
  </si>
  <si>
    <t>도료(우레탄,에나멜,락카,특수도료) 제조,도매</t>
  </si>
  <si>
    <t>www.ckpc.co.kr</t>
  </si>
  <si>
    <t>053270 KS Equity</t>
  </si>
  <si>
    <t>A053270</t>
  </si>
  <si>
    <t>구영테크</t>
  </si>
  <si>
    <t>엔진 브라켓(Engine Bracket) 등</t>
  </si>
  <si>
    <t>www.guyoungtech.com</t>
  </si>
  <si>
    <t>041520 KS Equity</t>
  </si>
  <si>
    <t>A041520</t>
  </si>
  <si>
    <t>www.e-litecom.com</t>
  </si>
  <si>
    <t>225220 KS Equity</t>
  </si>
  <si>
    <t>A225220</t>
  </si>
  <si>
    <t>GENOLUTION Inc.</t>
  </si>
  <si>
    <t>제놀루션</t>
  </si>
  <si>
    <t>핵산추출기기 및 시약, RNAi 사업 등</t>
  </si>
  <si>
    <t>www.genolution1.com</t>
  </si>
  <si>
    <t>052900 KS Equity</t>
  </si>
  <si>
    <t>A052900</t>
  </si>
  <si>
    <t>KX HITECH CO.,LTD.</t>
  </si>
  <si>
    <t>KX하이텍</t>
  </si>
  <si>
    <t>기계장비 조립용 플라스틱제품 제조업</t>
  </si>
  <si>
    <t>TRAY(반도체Packing재료)</t>
  </si>
  <si>
    <t>033130 KS Equity</t>
  </si>
  <si>
    <t>A033130</t>
  </si>
  <si>
    <t>DIGITAL CHOSUN Inc.</t>
  </si>
  <si>
    <t>디지틀조선</t>
  </si>
  <si>
    <t>위성서비스</t>
  </si>
  <si>
    <t>pr.dizzo.com</t>
  </si>
  <si>
    <t>075180 KS Equity</t>
  </si>
  <si>
    <t>A075180</t>
  </si>
  <si>
    <t>SaeronAutomotiveCorporation</t>
  </si>
  <si>
    <t>새론오토모티브</t>
  </si>
  <si>
    <t>자동차부품(브레이크패드,라이닝)</t>
  </si>
  <si>
    <t>www.saeronauto.co.kr</t>
  </si>
  <si>
    <t>014190 KS Equity</t>
  </si>
  <si>
    <t>A014190</t>
  </si>
  <si>
    <t>Wonik Cube Corp.</t>
  </si>
  <si>
    <t>원익큐브</t>
  </si>
  <si>
    <t>MMA,BAM,PC,PP,목재,실란트,디지털인쇄기</t>
  </si>
  <si>
    <t>www.wonikcube.com</t>
  </si>
  <si>
    <t>083660 KS Equity</t>
  </si>
  <si>
    <t>A083660</t>
  </si>
  <si>
    <t>CSA COSMIC Co.,Ltd.</t>
  </si>
  <si>
    <t>CSA 코스믹</t>
  </si>
  <si>
    <t>화장품 제조 및 판매</t>
  </si>
  <si>
    <t>www.csacosmic.com</t>
  </si>
  <si>
    <t>122350 KS Equity</t>
  </si>
  <si>
    <t>A122350</t>
  </si>
  <si>
    <t>SAMKEE CORP.</t>
  </si>
  <si>
    <t>삼기</t>
  </si>
  <si>
    <t>자동차부품</t>
  </si>
  <si>
    <t>www.samkee.com</t>
  </si>
  <si>
    <t>238490 KS Equity</t>
  </si>
  <si>
    <t>A238490</t>
  </si>
  <si>
    <t>HIMS CO., LTD.</t>
  </si>
  <si>
    <t>힘스</t>
  </si>
  <si>
    <t>OLED Mask 인장기, OLED Mask 검사기 등</t>
  </si>
  <si>
    <t>www.hims.co.kr</t>
  </si>
  <si>
    <t>465770 KS Equity</t>
  </si>
  <si>
    <t>A465770</t>
  </si>
  <si>
    <t>STX Green Logis</t>
  </si>
  <si>
    <t>STX그린로지스</t>
  </si>
  <si>
    <t>해상 운송업</t>
  </si>
  <si>
    <t>해상운송업 및 물류업</t>
  </si>
  <si>
    <t>www.stxgreenlogis.co.kr</t>
  </si>
  <si>
    <t>265740 KS Equity</t>
  </si>
  <si>
    <t>A265740</t>
  </si>
  <si>
    <t>NFC Corporation</t>
  </si>
  <si>
    <t>엔에프씨</t>
  </si>
  <si>
    <t>화장품 원료 제조 및 판매</t>
  </si>
  <si>
    <t>www.nfccosmetic.co.kr</t>
  </si>
  <si>
    <t>405920 KS Equity</t>
  </si>
  <si>
    <t>A405920</t>
  </si>
  <si>
    <t>NARA CELLAR Co., Ltd.</t>
  </si>
  <si>
    <t>나라셀라</t>
  </si>
  <si>
    <t>음료 및 담배 도매업</t>
  </si>
  <si>
    <t>주류 도매업</t>
  </si>
  <si>
    <t>와인 도소매</t>
  </si>
  <si>
    <t>www.naracellar.com</t>
  </si>
  <si>
    <t>017180 KS Equity</t>
  </si>
  <si>
    <t>A017180</t>
  </si>
  <si>
    <t>MyungMoon Pharm</t>
  </si>
  <si>
    <t>명문제약</t>
  </si>
  <si>
    <t>의약품(ROBAXIN 주사,KIMITE패취) 제조,판매</t>
  </si>
  <si>
    <t>www.mmpharm.co.kr</t>
  </si>
  <si>
    <t>094970 KS Equity</t>
  </si>
  <si>
    <t>A094970</t>
  </si>
  <si>
    <t>JMT Co., Ltd.</t>
  </si>
  <si>
    <t>제이엠티</t>
  </si>
  <si>
    <t>LCD패널용PBA</t>
  </si>
  <si>
    <t>www.jmtkorea.com</t>
  </si>
  <si>
    <t>348080 KS Equity</t>
  </si>
  <si>
    <t>A348080</t>
  </si>
  <si>
    <t>Quratis Inc.</t>
  </si>
  <si>
    <t>큐라티스</t>
  </si>
  <si>
    <t>백신 및 면역증강제 개발제조업, CMO/CDMO</t>
  </si>
  <si>
    <t>www.quratis.com</t>
  </si>
  <si>
    <t>024890 KS Equity</t>
  </si>
  <si>
    <t>A024890</t>
  </si>
  <si>
    <t>DaewonChemical</t>
  </si>
  <si>
    <t>대원화성</t>
  </si>
  <si>
    <t>합성피혁,벽지,DMF(폐용수)정제,방수투습원단,화공약 임가공,제조,도매,수출입</t>
  </si>
  <si>
    <t>www.daewon21.co.kr</t>
  </si>
  <si>
    <t>021820 KS Equity</t>
  </si>
  <si>
    <t>A021820</t>
  </si>
  <si>
    <t>SewonPrecisionIndustry</t>
  </si>
  <si>
    <t>세원정공</t>
  </si>
  <si>
    <t>자동차부품(차체류,램프류) 제조</t>
  </si>
  <si>
    <t>www.se-won.co.kr</t>
  </si>
  <si>
    <t>224110 KS Equity</t>
  </si>
  <si>
    <t>A224110</t>
  </si>
  <si>
    <t>ATEC MOBILITY Co., Ltd.</t>
  </si>
  <si>
    <t>에이텍모빌리티</t>
  </si>
  <si>
    <t>교통카드단말기</t>
  </si>
  <si>
    <t>069460 KS Equity</t>
  </si>
  <si>
    <t>A069460</t>
  </si>
  <si>
    <t>DAEHOAL</t>
  </si>
  <si>
    <t>대호에이엘</t>
  </si>
  <si>
    <t>알루미늄 환절판 제조,도매,무역</t>
  </si>
  <si>
    <t>www.daeho-al.com</t>
  </si>
  <si>
    <t>000590 KS Equity</t>
  </si>
  <si>
    <t>A000590</t>
  </si>
  <si>
    <t>CSHOLDINGS</t>
  </si>
  <si>
    <t>CS홀딩스</t>
  </si>
  <si>
    <t>브랜드 수익, 자회사 배당</t>
  </si>
  <si>
    <t>014570 KS Equity</t>
  </si>
  <si>
    <t>A014570</t>
  </si>
  <si>
    <t>Korean Drug Co., Ltd.</t>
  </si>
  <si>
    <t>고려제약</t>
  </si>
  <si>
    <t>하벤(종합감기약),뉴로메드(치매치료제)등</t>
  </si>
  <si>
    <t>www.nicepharma.com</t>
  </si>
  <si>
    <t>170790 KS Equity</t>
  </si>
  <si>
    <t>A170790</t>
  </si>
  <si>
    <t>Piolink, Inc.</t>
  </si>
  <si>
    <t>파이오링크</t>
  </si>
  <si>
    <t>ADC(서버부하 분산장치), 보안스위치, 웹방화벽</t>
  </si>
  <si>
    <t>www.piolink.com</t>
  </si>
  <si>
    <t>088910 KS Equity</t>
  </si>
  <si>
    <t>A088910</t>
  </si>
  <si>
    <t>DONGWOO FARM TO TABLE Co., Ltd.</t>
  </si>
  <si>
    <t>동우팜투테이블</t>
  </si>
  <si>
    <t>가금류 가공 및 저장 처리업</t>
  </si>
  <si>
    <t>육계,삼계</t>
  </si>
  <si>
    <t>www.dongwoofarmtotable.com</t>
  </si>
  <si>
    <t>058730 KS Equity</t>
  </si>
  <si>
    <t>A058730</t>
  </si>
  <si>
    <t>Development Advance Solution</t>
  </si>
  <si>
    <t>다스코</t>
  </si>
  <si>
    <t>데크플레이트,도로안전시설물(가드레일,강재방호책),건축용단열재보드(경질우레탄보드),신재생에너지사업</t>
  </si>
  <si>
    <t>www.dasco.kr</t>
  </si>
  <si>
    <t>017480 KS Equity</t>
  </si>
  <si>
    <t>A017480</t>
  </si>
  <si>
    <t>Samhyun Steel Co., Ltd.</t>
  </si>
  <si>
    <t>삼현철강</t>
  </si>
  <si>
    <t>후판,열연후판,산세판박,무늬강판,용단철강,형강외</t>
  </si>
  <si>
    <t>www.samsteel.co.kr</t>
  </si>
  <si>
    <t>002760 KS Equity</t>
  </si>
  <si>
    <t>A002760</t>
  </si>
  <si>
    <t>Bolak</t>
  </si>
  <si>
    <t>보락</t>
  </si>
  <si>
    <t>식품향료,식품첨가물,화학제품,껌베이스(자일리톨,에리스리톨),담배향료 제조,판매</t>
  </si>
  <si>
    <t>www.bolak.co.kr</t>
  </si>
  <si>
    <t>039830 KS Equity</t>
  </si>
  <si>
    <t>A039830</t>
  </si>
  <si>
    <t>Aurora World Corporation</t>
  </si>
  <si>
    <t>오로라</t>
  </si>
  <si>
    <t>시각 디자인업</t>
  </si>
  <si>
    <t>캐릭터디자인,캐릭터완구 등</t>
  </si>
  <si>
    <t>www.auroraworld.co.kr</t>
  </si>
  <si>
    <t>041650 KS Equity</t>
  </si>
  <si>
    <t>A041650</t>
  </si>
  <si>
    <t>SANGSINBRAKE</t>
  </si>
  <si>
    <t>상신브레이크</t>
  </si>
  <si>
    <t>자동차 브레이크 슈 어셈블리,브레이크패드 제조/군납업,무역/부동산 임대</t>
  </si>
  <si>
    <t>www.sangsin.com</t>
  </si>
  <si>
    <t>129260 KS Equity</t>
  </si>
  <si>
    <t>A129260</t>
  </si>
  <si>
    <t>INTERGIS</t>
  </si>
  <si>
    <t>인터지스</t>
  </si>
  <si>
    <t>화물운송,알선,하역</t>
  </si>
  <si>
    <t>www.intergis.co.kr</t>
  </si>
  <si>
    <t>027740 KS Equity</t>
  </si>
  <si>
    <t>A027740</t>
  </si>
  <si>
    <t>MANIKER</t>
  </si>
  <si>
    <t>마니커</t>
  </si>
  <si>
    <t>닭고기,햄,계육가공제품,계육,육가공제품 제조,판매,유통/양계관련사업/부동산임대/수출입대행</t>
  </si>
  <si>
    <t>www.maniker.co.kr</t>
  </si>
  <si>
    <t>004270 KS Equity</t>
  </si>
  <si>
    <t>A004270</t>
  </si>
  <si>
    <t>Namsung</t>
  </si>
  <si>
    <t>남성</t>
  </si>
  <si>
    <t>수출입(카오디오)/통신기기 제조,판매/이동통신,유선방송,정보통신/생활필수품,식품 판매/부동산 임대</t>
  </si>
  <si>
    <t>www.namsung.com</t>
  </si>
  <si>
    <t>101330 KS Equity</t>
  </si>
  <si>
    <t>A101330</t>
  </si>
  <si>
    <t>MOBASE Co., Ltd.</t>
  </si>
  <si>
    <t>모베이스</t>
  </si>
  <si>
    <t>휴대전화 케이스</t>
  </si>
  <si>
    <t>www.mobase.com</t>
  </si>
  <si>
    <t>024740 KS Equity</t>
  </si>
  <si>
    <t>A024740</t>
  </si>
  <si>
    <t>HANIL FORGING IND Co., Ltd.</t>
  </si>
  <si>
    <t>한일단조</t>
  </si>
  <si>
    <t>단조품</t>
  </si>
  <si>
    <t>www.hifg.co.kr</t>
  </si>
  <si>
    <t>048770 KS Equity</t>
  </si>
  <si>
    <t>A048770</t>
  </si>
  <si>
    <t>TPC Mechatronics Corporation</t>
  </si>
  <si>
    <t>TPC</t>
  </si>
  <si>
    <t>구동기기(실린더), 방향제어기(밸브)</t>
  </si>
  <si>
    <t>www.tpcpage.co.kr</t>
  </si>
  <si>
    <t>049550 KS Equity</t>
  </si>
  <si>
    <t>A049550</t>
  </si>
  <si>
    <t>Inktec Co., Ltd.</t>
  </si>
  <si>
    <t>잉크테크</t>
  </si>
  <si>
    <t>인쇄잉크 및 회화용 물감 제조업</t>
  </si>
  <si>
    <t>잉크젯프린터용 잉크카트리지, 재충전 잉크</t>
  </si>
  <si>
    <t>www.inktec.com</t>
  </si>
  <si>
    <t>240600 KS Equity</t>
  </si>
  <si>
    <t>A240600</t>
  </si>
  <si>
    <t>YUJIN TECHNOLOGY CO.,LTD.</t>
  </si>
  <si>
    <t>유진테크놀로지</t>
  </si>
  <si>
    <t>이차전지 정밀금형 외</t>
  </si>
  <si>
    <t>www.yujintechnology.com</t>
  </si>
  <si>
    <t>000890 KS Equity</t>
  </si>
  <si>
    <t>A000890</t>
  </si>
  <si>
    <t>BohaeBrewery</t>
  </si>
  <si>
    <t>보해양조</t>
  </si>
  <si>
    <t>주류(소주,매취,실비우스,위스키) 제조,음료 도매</t>
  </si>
  <si>
    <t>www.bohae.co.kr</t>
  </si>
  <si>
    <t>175140 KS Equity</t>
  </si>
  <si>
    <t>A175140</t>
  </si>
  <si>
    <t>웨어러블 디바이스, 모바일 라우터</t>
  </si>
  <si>
    <t>www.infomark.co.kr</t>
  </si>
  <si>
    <t>373170 KS Equity</t>
  </si>
  <si>
    <t>A373170</t>
  </si>
  <si>
    <t>MICUBE SOLUTION, INC.</t>
  </si>
  <si>
    <t>엠아이큐브솔루션</t>
  </si>
  <si>
    <t>스마트팩토리 솔루션, 제조지능화 솔루션</t>
  </si>
  <si>
    <t>www.micube.co.kr</t>
  </si>
  <si>
    <t>137080 KS Equity</t>
  </si>
  <si>
    <t>A137080</t>
  </si>
  <si>
    <t>NARAE NANOTECH CORPORATION</t>
  </si>
  <si>
    <t>나래나노텍</t>
  </si>
  <si>
    <t>디스플레이 장비 (포토, 코팅, 모듈 장비)</t>
  </si>
  <si>
    <t>www.naraenano.co.kr</t>
  </si>
  <si>
    <t>111110 KS Equity</t>
  </si>
  <si>
    <t>A111110</t>
  </si>
  <si>
    <t>Hojeon</t>
  </si>
  <si>
    <t>호전실업</t>
  </si>
  <si>
    <t>스포츠웨어 및 아웃도어 웨어 OEM</t>
  </si>
  <si>
    <t>www.hojeon.com</t>
  </si>
  <si>
    <t>002360 KS Equity</t>
  </si>
  <si>
    <t>A002360</t>
  </si>
  <si>
    <t>SH ENERGY &amp; CHEMICAL</t>
  </si>
  <si>
    <t>SH에너지화학</t>
  </si>
  <si>
    <t>합성수지(PS/EPS,ABS수지) 제조</t>
  </si>
  <si>
    <t>www.sh-enerchem.com</t>
  </si>
  <si>
    <t>173940 KS Equity</t>
  </si>
  <si>
    <t>A173940</t>
  </si>
  <si>
    <t>FNC ENTERTAINMENT Co., Ltd.</t>
  </si>
  <si>
    <t>에프엔씨엔터</t>
  </si>
  <si>
    <t>창작 및 예술관련 서비스업</t>
  </si>
  <si>
    <t>콘서트, 음반/음원</t>
  </si>
  <si>
    <t>www.fncent.com</t>
  </si>
  <si>
    <t>317690 KS Equity</t>
  </si>
  <si>
    <t>A317690</t>
  </si>
  <si>
    <t>QuantaMatrix Incorporated</t>
  </si>
  <si>
    <t>퀀타매트릭스</t>
  </si>
  <si>
    <t>신속항균제검사 장비 및 키트</t>
  </si>
  <si>
    <t>www.quantamatrix.com</t>
  </si>
  <si>
    <t>212560 KS Equity</t>
  </si>
  <si>
    <t>A212560</t>
  </si>
  <si>
    <t>NEOOTO CO., LTD.</t>
  </si>
  <si>
    <t>네오오토</t>
  </si>
  <si>
    <t>피니언 기어, 디프 어셈블리, 대형기어</t>
  </si>
  <si>
    <t>www.neooto.kr</t>
  </si>
  <si>
    <t>378850 KS Equity</t>
  </si>
  <si>
    <t>A378850</t>
  </si>
  <si>
    <t>HWASEUNG R&amp;A CO., LTD.</t>
  </si>
  <si>
    <t>화승알앤에이</t>
  </si>
  <si>
    <t>자동차용 고무제품</t>
  </si>
  <si>
    <t>322780 KS Equity</t>
  </si>
  <si>
    <t>A322780</t>
  </si>
  <si>
    <t>COPUS KOREA Co., Ltd.</t>
  </si>
  <si>
    <t>코퍼스코리아</t>
  </si>
  <si>
    <t>콘텐츠 배급 및 제작</t>
  </si>
  <si>
    <t>www.copus.co.kr</t>
  </si>
  <si>
    <t>336060 KS Equity</t>
  </si>
  <si>
    <t>A336060</t>
  </si>
  <si>
    <t>WAVUS Co.,Ltd.</t>
  </si>
  <si>
    <t>웨이버스</t>
  </si>
  <si>
    <t>금융 지원 서비스</t>
  </si>
  <si>
    <t>www.wavus.co.kr</t>
  </si>
  <si>
    <t>085310 KS Equity</t>
  </si>
  <si>
    <t>A085310</t>
  </si>
  <si>
    <t>NK</t>
  </si>
  <si>
    <t>엔케이</t>
  </si>
  <si>
    <t>고압가스용기,선박용,육상용 소화설비장치,천연가스이동식충전소 제조,도매</t>
  </si>
  <si>
    <t>www.nkcf.com</t>
  </si>
  <si>
    <t>066900 KS Equity</t>
  </si>
  <si>
    <t>A066900</t>
  </si>
  <si>
    <t>DAP Co., Ltd.</t>
  </si>
  <si>
    <t>디에이피</t>
  </si>
  <si>
    <t>Build-Up PCB(인쇄회로기판)</t>
  </si>
  <si>
    <t>www.dap.co.kr</t>
  </si>
  <si>
    <t>347740 KS Equity</t>
  </si>
  <si>
    <t>A347740</t>
  </si>
  <si>
    <t>P&amp;K Skin Research Center Co., Ltd.</t>
  </si>
  <si>
    <t>피엔케이피부임상연구센타</t>
  </si>
  <si>
    <t>피부인체적용시험</t>
  </si>
  <si>
    <t>www.pnkskin.com</t>
  </si>
  <si>
    <t>250000 KS Equity</t>
  </si>
  <si>
    <t>A250000</t>
  </si>
  <si>
    <t>BORATR CO., LTD.</t>
  </si>
  <si>
    <t>보라티알</t>
  </si>
  <si>
    <t>유가공품, 소스류, 파스타류</t>
  </si>
  <si>
    <t>www.boratr.co.kr</t>
  </si>
  <si>
    <t>123570 KS Equity</t>
  </si>
  <si>
    <t>A123570</t>
  </si>
  <si>
    <t>EMNET INC.</t>
  </si>
  <si>
    <t>이엠넷</t>
  </si>
  <si>
    <t>온라인 검색광고 대행</t>
  </si>
  <si>
    <t>www.emnet.co.kr</t>
  </si>
  <si>
    <t>119650 KS Equity</t>
  </si>
  <si>
    <t>A119650</t>
  </si>
  <si>
    <t>KC Cottrell</t>
  </si>
  <si>
    <t>KC코트렐</t>
  </si>
  <si>
    <t>전기집진기 등</t>
  </si>
  <si>
    <t>www.kc-cottrell.com</t>
  </si>
  <si>
    <t>017650 KS Equity</t>
  </si>
  <si>
    <t>A017650</t>
  </si>
  <si>
    <t>Dae Lim Paper Co., Ltd.</t>
  </si>
  <si>
    <t>대림제지</t>
  </si>
  <si>
    <t>www.daelimpaper.co.kr</t>
  </si>
  <si>
    <t>026940 KS Equity</t>
  </si>
  <si>
    <t>A026940</t>
  </si>
  <si>
    <t>Bookook Steel</t>
  </si>
  <si>
    <t>부국철강</t>
  </si>
  <si>
    <t>철강</t>
  </si>
  <si>
    <t>www.bks.co.kr</t>
  </si>
  <si>
    <t>352770 KS Equity</t>
  </si>
  <si>
    <t>A352770</t>
  </si>
  <si>
    <t>Clinomics Inc.</t>
  </si>
  <si>
    <t>클리노믹스</t>
  </si>
  <si>
    <t>Geno Series, CD-PRIME, Cancer Prime</t>
  </si>
  <si>
    <t>www.clinomics.com</t>
  </si>
  <si>
    <t>317850 KS Equity</t>
  </si>
  <si>
    <t>A317850</t>
  </si>
  <si>
    <t>DAEMO Engineering Co.,Ltd.</t>
  </si>
  <si>
    <t>대모</t>
  </si>
  <si>
    <t>광물처리 및 취급장비 제조업</t>
  </si>
  <si>
    <t>유압브레이커, 특수장비/부품, 퀵커플러 등</t>
  </si>
  <si>
    <t xml:space="preserve">www.demoengg.com </t>
  </si>
  <si>
    <t>279600 KS Equity</t>
  </si>
  <si>
    <t>A279600</t>
  </si>
  <si>
    <t>MediaZen Inc.</t>
  </si>
  <si>
    <t>미디어젠</t>
  </si>
  <si>
    <t>음성인식 소프트웨어 기술개발</t>
  </si>
  <si>
    <t>www.mediazen.co.kr</t>
  </si>
  <si>
    <t>088280 KS Equity</t>
  </si>
  <si>
    <t>A088280</t>
  </si>
  <si>
    <t>SAWNICS Inc.</t>
  </si>
  <si>
    <t>쏘닉스</t>
  </si>
  <si>
    <t>기타 반도체소자 제조업</t>
  </si>
  <si>
    <t>RF필터 파운드리</t>
  </si>
  <si>
    <t>www.sawnics.com</t>
  </si>
  <si>
    <t>046970 KS Equity</t>
  </si>
  <si>
    <t>A046970</t>
  </si>
  <si>
    <t>WOORIRO Co., Ltd.</t>
  </si>
  <si>
    <t>우리로</t>
  </si>
  <si>
    <t>광분배기(웨이퍼, 칩, 모듈), 광다이오드</t>
  </si>
  <si>
    <t>www.wooriro.com</t>
  </si>
  <si>
    <t>024940 KS Equity</t>
  </si>
  <si>
    <t>A024940</t>
  </si>
  <si>
    <t>Pnpoongnyun Co., Ltd.</t>
  </si>
  <si>
    <t>PN풍년</t>
  </si>
  <si>
    <t>압력솥</t>
  </si>
  <si>
    <t>www.pn.co.kr</t>
  </si>
  <si>
    <t>094940 KS Equity</t>
  </si>
  <si>
    <t>A094940</t>
  </si>
  <si>
    <t>PULOON TECHNOLOGY INC.</t>
  </si>
  <si>
    <t>푸른기술</t>
  </si>
  <si>
    <t>금융자동화기기모듈,역무자동화기기모듈,특수단말시스템</t>
  </si>
  <si>
    <t>www.puloon.co.kr</t>
  </si>
  <si>
    <t>013720 KS Equity</t>
  </si>
  <si>
    <t>A013720</t>
  </si>
  <si>
    <t>CBI CO., LTD.</t>
  </si>
  <si>
    <t>CBI</t>
  </si>
  <si>
    <t>엔진부품</t>
  </si>
  <si>
    <t>www.cheongbo.co.kr</t>
  </si>
  <si>
    <t>442900 KS Equity</t>
  </si>
  <si>
    <t>A442900</t>
  </si>
  <si>
    <t>Mirae Asset Dream Special Purpose Acquisition 1 Company</t>
  </si>
  <si>
    <t>미래에셋드림스팩1호</t>
  </si>
  <si>
    <t>340360 KS Equity</t>
  </si>
  <si>
    <t>A340360</t>
  </si>
  <si>
    <t>DAVOLINK Inc.</t>
  </si>
  <si>
    <t>다보링크</t>
  </si>
  <si>
    <t>AP, APController 외</t>
  </si>
  <si>
    <t xml:space="preserve">www.davolink.co.kr     </t>
  </si>
  <si>
    <t>223250 KS Equity</t>
  </si>
  <si>
    <t>A223250</t>
  </si>
  <si>
    <t>DreamCIS INC.</t>
  </si>
  <si>
    <t>드림씨아이에스</t>
  </si>
  <si>
    <t>시판후조사대행(rPMS)</t>
  </si>
  <si>
    <t>www.dreamcis.com</t>
  </si>
  <si>
    <t>013700 KS Equity</t>
  </si>
  <si>
    <t>A013700</t>
  </si>
  <si>
    <t>CAMUS ENGINEERING &amp; CONSTRUCTION Inc.</t>
  </si>
  <si>
    <t>까뮤이앤씨</t>
  </si>
  <si>
    <t>토목공사,건축공사/부동산 임대</t>
  </si>
  <si>
    <t>www.camusenc.com</t>
  </si>
  <si>
    <t>378800 KS Equity</t>
  </si>
  <si>
    <t>A378800</t>
  </si>
  <si>
    <t>SHAPERON INC.</t>
  </si>
  <si>
    <t>샤페론</t>
  </si>
  <si>
    <t>합성신약 및 항체치료제신약 기술제품 및 기술이전</t>
  </si>
  <si>
    <t>shaperon.com</t>
  </si>
  <si>
    <t>002920 KS Equity</t>
  </si>
  <si>
    <t>A002920</t>
  </si>
  <si>
    <t>YoosungEnterprise</t>
  </si>
  <si>
    <t>유성기업</t>
  </si>
  <si>
    <t>철도차량부품(피스턴링,실린더라이너,발브가이드,타펫트),자동차부품,주강,주물 제조,판매</t>
  </si>
  <si>
    <t>www.ypr.co.kr</t>
  </si>
  <si>
    <t>039980 KS Equity</t>
  </si>
  <si>
    <t>A039980</t>
  </si>
  <si>
    <t>폴라리스AI</t>
  </si>
  <si>
    <t>TRS통신, Kipling Bag외</t>
  </si>
  <si>
    <t>389030 KS Equity</t>
  </si>
  <si>
    <t>A389030</t>
  </si>
  <si>
    <t>GENINUS Inc.</t>
  </si>
  <si>
    <t>지니너스</t>
  </si>
  <si>
    <t>NGS기반 조직생검 암유전체 동반진단(CancerSCAN), 액체생검 암유전체 동반진단(LiquidSCAN), 단일세포분석(Celinus) 등</t>
  </si>
  <si>
    <t>kr-geninus.com</t>
  </si>
  <si>
    <t>066790 KS Equity</t>
  </si>
  <si>
    <t>A066790</t>
  </si>
  <si>
    <t>KOREA CABLE T.V CHUNG-BUK SYSTEM Co., Ltd.</t>
  </si>
  <si>
    <t>씨씨에스</t>
  </si>
  <si>
    <t>케이블TV서비스 및 초고속인터넷서비스</t>
  </si>
  <si>
    <t>www.ccstv.co.kr</t>
  </si>
  <si>
    <t>452300 KS Equity</t>
  </si>
  <si>
    <t>A452300</t>
  </si>
  <si>
    <t>Capstone Partners Co., Ltd.</t>
  </si>
  <si>
    <t>캡스톤파트너스</t>
  </si>
  <si>
    <t>cspartners.co.kr</t>
  </si>
  <si>
    <t>220180 KS Equity</t>
  </si>
  <si>
    <t>A220180</t>
  </si>
  <si>
    <t>HANDYSOFT, Inc.</t>
  </si>
  <si>
    <t>핸디소프트</t>
  </si>
  <si>
    <t>EKP, BPM, 네트워크장비</t>
  </si>
  <si>
    <t>www.handysoft.co.kr</t>
  </si>
  <si>
    <t>052220 KS Equity</t>
  </si>
  <si>
    <t>A052220</t>
  </si>
  <si>
    <t>iMBC Co., Ltd.</t>
  </si>
  <si>
    <t>iMBC</t>
  </si>
  <si>
    <t>디지털콘텐츠,웹에이젼시</t>
  </si>
  <si>
    <t>www.imbc.com</t>
  </si>
  <si>
    <t>010660 KS Equity</t>
  </si>
  <si>
    <t>A010660</t>
  </si>
  <si>
    <t>HWACHEON MACHINERY</t>
  </si>
  <si>
    <t>화천기계</t>
  </si>
  <si>
    <t>선반,밀링,연삭기,CNC선반,CNC밀링,머시닝센타 제조,판매/자동차부품(실린더블럭) 제조</t>
  </si>
  <si>
    <t>www.hwacheon.com</t>
  </si>
  <si>
    <t>056700 KS Equity</t>
  </si>
  <si>
    <t>A056700</t>
  </si>
  <si>
    <t>SHINWHA INTERTEK CORP.</t>
  </si>
  <si>
    <t>신화인터텍</t>
  </si>
  <si>
    <t>디스플레이 BLU용 광학필름</t>
  </si>
  <si>
    <t>www.shinwha.com</t>
  </si>
  <si>
    <t>147760 KS Equity</t>
  </si>
  <si>
    <t>A147760</t>
  </si>
  <si>
    <t>Protec Mems Technology Inc.</t>
  </si>
  <si>
    <t>피엠티</t>
  </si>
  <si>
    <t>반도체 검사용 프로브카드</t>
  </si>
  <si>
    <t>www.microfriend.co.kr</t>
  </si>
  <si>
    <t>013360 KS Equity</t>
  </si>
  <si>
    <t>A013360</t>
  </si>
  <si>
    <t>IlsungConstruction</t>
  </si>
  <si>
    <t>일성건설</t>
  </si>
  <si>
    <t>건축공사,토목공사,전기공사</t>
  </si>
  <si>
    <t>www.ilsungconst.co.kr</t>
  </si>
  <si>
    <t>095270 KS Equity</t>
  </si>
  <si>
    <t>A095270</t>
  </si>
  <si>
    <t>Wave Electronics Co., Ltd.</t>
  </si>
  <si>
    <t>웨이브일렉트로</t>
  </si>
  <si>
    <t>이동통신중계기용전력증폭기</t>
  </si>
  <si>
    <t>www.wavetc.com</t>
  </si>
  <si>
    <t>007370 KS Equity</t>
  </si>
  <si>
    <t>A007370</t>
  </si>
  <si>
    <t>JIN YANG PHARMACEUTICAL CO., LTD.</t>
  </si>
  <si>
    <t>진양제약</t>
  </si>
  <si>
    <t>소부날, 옥티란</t>
  </si>
  <si>
    <t>www.jinyangpharm.com</t>
  </si>
  <si>
    <t>025560 KS Equity</t>
  </si>
  <si>
    <t>A025560</t>
  </si>
  <si>
    <t>MiraeCorporation</t>
  </si>
  <si>
    <t>미래산업</t>
  </si>
  <si>
    <t>PCB마운터,반도체검사장비(반도체테스트핸들러),LCD 검사장비,리드프레임매가진 제조,도매,무역</t>
  </si>
  <si>
    <t>www.mirae.co.kr</t>
  </si>
  <si>
    <t>254120 KS Equity</t>
  </si>
  <si>
    <t>A254120</t>
  </si>
  <si>
    <t>XAVIS CO., Ltd.</t>
  </si>
  <si>
    <t>자비스</t>
  </si>
  <si>
    <t>자동엑스레이검사장비</t>
  </si>
  <si>
    <t>www.xavis.co.kr</t>
  </si>
  <si>
    <t>042500 KS Equity</t>
  </si>
  <si>
    <t>A042500</t>
  </si>
  <si>
    <t>RingNet Co., Ltd.</t>
  </si>
  <si>
    <t>링네트</t>
  </si>
  <si>
    <t>네트워크 구축(Network Integration)</t>
  </si>
  <si>
    <t>www.ringnet.co.kr</t>
  </si>
  <si>
    <t>102280 KS Equity</t>
  </si>
  <si>
    <t>A102280</t>
  </si>
  <si>
    <t>SBW</t>
  </si>
  <si>
    <t>쌍방울</t>
  </si>
  <si>
    <t>www.sbw.co.kr</t>
  </si>
  <si>
    <t>115310 KS Equity</t>
  </si>
  <si>
    <t>A115310</t>
  </si>
  <si>
    <t>INFOvine co., Ltd.</t>
  </si>
  <si>
    <t>인포바인</t>
  </si>
  <si>
    <t>휴대폰인증서보관서비스(UBIKey)</t>
  </si>
  <si>
    <t>www.infovine.co.kr</t>
  </si>
  <si>
    <t>260970 KS Equity</t>
  </si>
  <si>
    <t>A260970</t>
  </si>
  <si>
    <t>S&amp;D CO.,LTD.</t>
  </si>
  <si>
    <t>에스앤디</t>
  </si>
  <si>
    <t>일반기능식품소재, 건강기능식품소재</t>
  </si>
  <si>
    <t>www.isnd.co.kr</t>
  </si>
  <si>
    <t>042040 KS Equity</t>
  </si>
  <si>
    <t>A042040</t>
  </si>
  <si>
    <t>KPMTECH Co., Ltd.</t>
  </si>
  <si>
    <t>케이피엠테크</t>
  </si>
  <si>
    <t>표면처리약품, 전자동 도금설비</t>
  </si>
  <si>
    <t>www.kpmtech.co.kr</t>
  </si>
  <si>
    <t>096350 KS Equity</t>
  </si>
  <si>
    <t>A096350</t>
  </si>
  <si>
    <t>Daechang Solution Co., Ltd.</t>
  </si>
  <si>
    <t>대창솔루션</t>
  </si>
  <si>
    <t>내연기관구조재(선박엔진용MBS)</t>
  </si>
  <si>
    <t>www.dsol.co.kr</t>
  </si>
  <si>
    <t>032680 KS Equity</t>
  </si>
  <si>
    <t>A032680</t>
  </si>
  <si>
    <t>SOFTCEN Co.,Ltd.</t>
  </si>
  <si>
    <t>소프트센</t>
  </si>
  <si>
    <t>전산기기 및 정보통신공사</t>
  </si>
  <si>
    <t>www.softcen.co.kr</t>
  </si>
  <si>
    <t>002630 KS Equity</t>
  </si>
  <si>
    <t>A002630</t>
  </si>
  <si>
    <t>ORIENTBIO</t>
  </si>
  <si>
    <t>오리엔트바이오</t>
  </si>
  <si>
    <t>의약품 제조</t>
  </si>
  <si>
    <t>www.orientbio.co.kr</t>
  </si>
  <si>
    <t>318000 KS Equity</t>
  </si>
  <si>
    <t>A318000</t>
  </si>
  <si>
    <t>KBG Corp.</t>
  </si>
  <si>
    <t>KBG</t>
  </si>
  <si>
    <t>실리콘 소재(실란 모노머, 실리콘 레진&amp;폴리머, 실리콘 융합소재)</t>
  </si>
  <si>
    <t xml:space="preserve">www.foodchem.co.kr </t>
  </si>
  <si>
    <t>100220 KS Equity</t>
  </si>
  <si>
    <t>A100220</t>
  </si>
  <si>
    <t>VISANG EDUCATION INC</t>
  </si>
  <si>
    <t>비상교육</t>
  </si>
  <si>
    <t>참고서 출판/소프트웨어 개발,공급</t>
  </si>
  <si>
    <t>www.visang.com</t>
  </si>
  <si>
    <t>038460 KS Equity</t>
  </si>
  <si>
    <t>A038460</t>
  </si>
  <si>
    <t>BioSmart Co., Ltd.</t>
  </si>
  <si>
    <t>바이오스마트</t>
  </si>
  <si>
    <t>M/S 카드제조업, IC 카드제조, 카드장비판매</t>
  </si>
  <si>
    <t>www.bio-smart.com</t>
  </si>
  <si>
    <t>044060 KS Equity</t>
  </si>
  <si>
    <t>A044060</t>
  </si>
  <si>
    <t>Jokwang I.L.I Co., Ltd.</t>
  </si>
  <si>
    <t>조광ILI</t>
  </si>
  <si>
    <t>안전밸브,스팀트랩</t>
  </si>
  <si>
    <t>www.jokwang.co.kr</t>
  </si>
  <si>
    <t>011230 KS Equity</t>
  </si>
  <si>
    <t>A011230</t>
  </si>
  <si>
    <t>SamwhaElectronics</t>
  </si>
  <si>
    <t>삼화전자</t>
  </si>
  <si>
    <t>전자부품(페라이트 코어,SMPS,편향요크(DY),고압변성기(FBT)용코어) 제조,판매</t>
  </si>
  <si>
    <t>www.samwha.co.kr/electronics</t>
  </si>
  <si>
    <t>001260 KS Equity</t>
  </si>
  <si>
    <t>A001260</t>
  </si>
  <si>
    <t>NamkwangEngineering&amp;Construction</t>
  </si>
  <si>
    <t>남광토건</t>
  </si>
  <si>
    <t>토목공사,건축공사,기전공사,측량설계시공,용역/철구조물 제조</t>
  </si>
  <si>
    <t>www.namkwang.co.kr</t>
  </si>
  <si>
    <t>109960 KS Equity</t>
  </si>
  <si>
    <t>A109960</t>
  </si>
  <si>
    <t>모바일게임 퍼블리싱, 바이오의약품 연구개발업 및 판매, 생산설비 및 연구장비의 대여 및 판매</t>
  </si>
  <si>
    <t>www.aprogen-hng.com</t>
  </si>
  <si>
    <t>237820 KS Equity</t>
  </si>
  <si>
    <t>A237820</t>
  </si>
  <si>
    <t>PlayD Co.,Ltd.</t>
  </si>
  <si>
    <t>플레이디</t>
  </si>
  <si>
    <t>온라인 광고 대행</t>
  </si>
  <si>
    <t>www.playd.com</t>
  </si>
  <si>
    <t>204840 KS Equity</t>
  </si>
  <si>
    <t>A204840</t>
  </si>
  <si>
    <t>GL Pharm Tech Corp.</t>
  </si>
  <si>
    <t>지엘팜텍</t>
  </si>
  <si>
    <t>의약품 연구개발업</t>
  </si>
  <si>
    <t>www.glpt.co.kr</t>
  </si>
  <si>
    <t>004450 KS Equity</t>
  </si>
  <si>
    <t>A004450</t>
  </si>
  <si>
    <t>SamhwaCrown&amp;Closure</t>
  </si>
  <si>
    <t>삼화왕관</t>
  </si>
  <si>
    <t>납세용 일반병마개,알루미늄캡,플라스틱캡 제조,판매,금속인쇄,수출</t>
  </si>
  <si>
    <t>www.samhwacrown.com</t>
  </si>
  <si>
    <t>104200 KS Equity</t>
  </si>
  <si>
    <t>A104200</t>
  </si>
  <si>
    <t>NHN BUGS Corporation</t>
  </si>
  <si>
    <t>NHN벅스</t>
  </si>
  <si>
    <t>디지털음원유통, 온라인음악서비스</t>
  </si>
  <si>
    <t>www.bugscorp.co.kr</t>
  </si>
  <si>
    <t>014440 KS Equity</t>
  </si>
  <si>
    <t>A014440</t>
  </si>
  <si>
    <t>YoungboChemical</t>
  </si>
  <si>
    <t>영보화학</t>
  </si>
  <si>
    <t>가교발포폴리에틸렌(아티론,영보드) 제조,판매</t>
  </si>
  <si>
    <t>www.youngbo.com</t>
  </si>
  <si>
    <t>006660 KS Equity</t>
  </si>
  <si>
    <t>A006660</t>
  </si>
  <si>
    <t>SamsungClimateControlCo.,Ltd</t>
  </si>
  <si>
    <t>삼성공조</t>
  </si>
  <si>
    <t>자동차부품(라디에터,오일쿨러) 제조,판매</t>
  </si>
  <si>
    <t>www.samsungcc.co.kr</t>
  </si>
  <si>
    <t>189330 KS Equity</t>
  </si>
  <si>
    <t>A189330</t>
  </si>
  <si>
    <t>XIIlab Co.,Ltd.</t>
  </si>
  <si>
    <t>씨이랩</t>
  </si>
  <si>
    <t>빅데이터플랫폼</t>
  </si>
  <si>
    <t>www.xiilab.com</t>
  </si>
  <si>
    <t>038010 KS Equity</t>
  </si>
  <si>
    <t>A038010</t>
  </si>
  <si>
    <t>JEIL TECHNOS. Co., Ltd.</t>
  </si>
  <si>
    <t>제일테크노스</t>
  </si>
  <si>
    <t>DECK PLATE</t>
  </si>
  <si>
    <t>www.jeil21c.co.kr</t>
  </si>
  <si>
    <t>091590 KS Equity</t>
  </si>
  <si>
    <t>A091590</t>
  </si>
  <si>
    <t>Nam Hwa Construction Co., Ltd.</t>
  </si>
  <si>
    <t>남화토건</t>
  </si>
  <si>
    <t>건축공사, 토목공사</t>
  </si>
  <si>
    <t>www.namhwaconst.co.kr</t>
  </si>
  <si>
    <t>067170 KS Equity</t>
  </si>
  <si>
    <t>A067170</t>
  </si>
  <si>
    <t>Autech Corporation</t>
  </si>
  <si>
    <t>오텍</t>
  </si>
  <si>
    <t>자동차 재제조 부품 제조업</t>
  </si>
  <si>
    <t>냉동 및 내장탑차, 앰블란스</t>
  </si>
  <si>
    <t>www.autech.co.kr</t>
  </si>
  <si>
    <t>004410 KS Equity</t>
  </si>
  <si>
    <t>A004410</t>
  </si>
  <si>
    <t>SeoulFoodInd</t>
  </si>
  <si>
    <t>서울식품</t>
  </si>
  <si>
    <t>빵,스넥,마아가린,유지류,사료 제조,도매</t>
  </si>
  <si>
    <t>www.seoul-food.co.kr</t>
  </si>
  <si>
    <t>003010 KS Equity</t>
  </si>
  <si>
    <t>A003010</t>
  </si>
  <si>
    <t>HaeinCorporation</t>
  </si>
  <si>
    <t>혜인</t>
  </si>
  <si>
    <t>건설ㆍ광업용 기계 및 장비 도매업</t>
  </si>
  <si>
    <t>건설기계,산업용 기계장비(진공흡인차,세정차),스테거크레인,비상용발전기,해상용엔진 도소매/창고</t>
  </si>
  <si>
    <t>www.haein.com</t>
  </si>
  <si>
    <t>359090 KS Equity</t>
  </si>
  <si>
    <t>A359090</t>
  </si>
  <si>
    <t>C&amp;R Research Inc.</t>
  </si>
  <si>
    <t>씨엔알리서치</t>
  </si>
  <si>
    <t>www.cnrres.com</t>
  </si>
  <si>
    <t>000850 KS Equity</t>
  </si>
  <si>
    <t>A000850</t>
  </si>
  <si>
    <t>HwacheonMachineTool</t>
  </si>
  <si>
    <t>화천기공</t>
  </si>
  <si>
    <t>CNC선반,CNC밀링,연마기(금속공작기계),MC공작기계,COPY밀링기계,주방품 제조,도매</t>
  </si>
  <si>
    <t>002230 KS Equity</t>
  </si>
  <si>
    <t>A002230</t>
  </si>
  <si>
    <t>PS Tec. Co., Ltd.</t>
  </si>
  <si>
    <t>피에스텍</t>
  </si>
  <si>
    <t>속도계 및 적산계기 제조업</t>
  </si>
  <si>
    <t>적산계기, 전기차충전기, 신재생에너지 발전소 설치</t>
  </si>
  <si>
    <t>www.pstec.co.kr</t>
  </si>
  <si>
    <t>122690 KS Equity</t>
  </si>
  <si>
    <t>A122690</t>
  </si>
  <si>
    <t>Seojin Automotive Co., Ltd.</t>
  </si>
  <si>
    <t>서진오토모티브</t>
  </si>
  <si>
    <t>Clutch,Flywheel,Driveplate,Bearing,ATparts</t>
  </si>
  <si>
    <t>www.secoautomotive.com</t>
  </si>
  <si>
    <t>050960 KS Equity</t>
  </si>
  <si>
    <t>A050960</t>
  </si>
  <si>
    <t>SOOSAN INT CO., LTD.</t>
  </si>
  <si>
    <t>수산아이앤티</t>
  </si>
  <si>
    <t>공유단말접속관리서비스, 보안솔루션 등</t>
  </si>
  <si>
    <t>www.soosanint.com</t>
  </si>
  <si>
    <t>008250 KS Equity</t>
  </si>
  <si>
    <t>A008250</t>
  </si>
  <si>
    <t>EagonIndustrial</t>
  </si>
  <si>
    <t>이건산업</t>
  </si>
  <si>
    <t>박판, 합판 및 유사 적층판 제조업</t>
  </si>
  <si>
    <t>컨테이너용합판,목재 파렛트,프레스우드 파렛트,가공목재,제재목 제조/부동산 임대</t>
  </si>
  <si>
    <t>www.eagon.com</t>
  </si>
  <si>
    <t>148930 KS Equity</t>
  </si>
  <si>
    <t>A148930</t>
  </si>
  <si>
    <t>HYTC CO.,LTD.</t>
  </si>
  <si>
    <t>에이치와이티씨</t>
  </si>
  <si>
    <t>절삭가공 및 유사처리업</t>
  </si>
  <si>
    <t>2차전지 장비 초정밀 부품</t>
  </si>
  <si>
    <t>www.hyseoul.com</t>
  </si>
  <si>
    <t>128540 KS Equity</t>
  </si>
  <si>
    <t>A128540</t>
  </si>
  <si>
    <t>ECOCAB CO.,LTD.</t>
  </si>
  <si>
    <t>에코캡</t>
  </si>
  <si>
    <t>자동차 부품(전선, 케이블, 벌브소켓, LED 등)</t>
  </si>
  <si>
    <t>www.ecocab.co.kr</t>
  </si>
  <si>
    <t>155660 KS Equity</t>
  </si>
  <si>
    <t>A155660</t>
  </si>
  <si>
    <t>DSR CORP</t>
  </si>
  <si>
    <t>DSR</t>
  </si>
  <si>
    <t>합섬섬유로프</t>
  </si>
  <si>
    <t>www.dsr.com</t>
  </si>
  <si>
    <t>001550 KS Equity</t>
  </si>
  <si>
    <t>A001550</t>
  </si>
  <si>
    <t>Chobi</t>
  </si>
  <si>
    <t>조비</t>
  </si>
  <si>
    <t>복합비료(연초용,수도용,시판용,특수작물용),양액재배용 비료,완효성 비료,부직포 제조,무역</t>
  </si>
  <si>
    <t>www.chobi.co.kr</t>
  </si>
  <si>
    <t>008110 KS Equity</t>
  </si>
  <si>
    <t>A008110</t>
  </si>
  <si>
    <t>DAIDONGElECTRONICS</t>
  </si>
  <si>
    <t>대동전자</t>
  </si>
  <si>
    <t>통신음향,전자기계기구용 플라스틱제품 제조,도매</t>
  </si>
  <si>
    <t>www.daidong.com</t>
  </si>
  <si>
    <t>229000 KS Equity</t>
  </si>
  <si>
    <t>A229000</t>
  </si>
  <si>
    <t>Gencurix Inc.</t>
  </si>
  <si>
    <t>젠큐릭스</t>
  </si>
  <si>
    <t>유방암 예후진단 및 폐암/대장암 동반진단 제품/검사서비스</t>
  </si>
  <si>
    <t>www.gencurix.com</t>
  </si>
  <si>
    <t>323230 KS Equity</t>
  </si>
  <si>
    <t>A323230</t>
  </si>
  <si>
    <t>MFM KOREA Co., Ltd.</t>
  </si>
  <si>
    <t>엠에프엠코리아</t>
  </si>
  <si>
    <t>편조의복 제조업</t>
  </si>
  <si>
    <t>남성,여성,남아,여아용 면의류</t>
  </si>
  <si>
    <t>www.mfmkorea.com</t>
  </si>
  <si>
    <t>040350 KS Equity</t>
  </si>
  <si>
    <t>A040350</t>
  </si>
  <si>
    <t>시스템통합, 지능형교통시스템</t>
  </si>
  <si>
    <t>www.curocom.com</t>
  </si>
  <si>
    <t>071090 KS Equity</t>
  </si>
  <si>
    <t>A071090</t>
  </si>
  <si>
    <t>HISTEEL CO., LTD.</t>
  </si>
  <si>
    <t>하이스틸</t>
  </si>
  <si>
    <t>강관 제조,도매</t>
  </si>
  <si>
    <t>www.histeel.co.kr</t>
  </si>
  <si>
    <t>009180 KS Equity</t>
  </si>
  <si>
    <t>A009180</t>
  </si>
  <si>
    <t>Hansol Logistics</t>
  </si>
  <si>
    <t>한솔로지스틱스</t>
  </si>
  <si>
    <t>지류펄프 보관창고 운영/화물취급,화물운송알선,물류컨설팅/종합쇼핑몰운영,통신판매,인터넷백화점</t>
  </si>
  <si>
    <t>www.hansollogistics.com</t>
  </si>
  <si>
    <t>119850 KS Equity</t>
  </si>
  <si>
    <t>A119850</t>
  </si>
  <si>
    <t>GnCenergy Co., Ltd.</t>
  </si>
  <si>
    <t>지엔씨에너지</t>
  </si>
  <si>
    <t>비상발전기, 소형열병합발전설비, 바이오가스발전설비</t>
  </si>
  <si>
    <t>www.gncenergy.co.kr</t>
  </si>
  <si>
    <t>067390 KS Equity</t>
  </si>
  <si>
    <t>A067390</t>
  </si>
  <si>
    <t>AeroSpace Technology of Korea Inc.</t>
  </si>
  <si>
    <t>아스트</t>
  </si>
  <si>
    <t>항공기용 부품 제조 및 동체 조립</t>
  </si>
  <si>
    <t>www.astk.co.kr</t>
  </si>
  <si>
    <t>196450 KS Equity</t>
  </si>
  <si>
    <t>A196450</t>
  </si>
  <si>
    <t>CoAsia CM Co., Ltd.</t>
  </si>
  <si>
    <t>코아시아씨엠</t>
  </si>
  <si>
    <t>휴대폰용카메라렌즈모듈제조</t>
  </si>
  <si>
    <t>147830 KS Equity</t>
  </si>
  <si>
    <t>A147830</t>
  </si>
  <si>
    <t>CHERYONG INDUSTRIAL CO.,LTD.</t>
  </si>
  <si>
    <t>제룡산업</t>
  </si>
  <si>
    <t>송배전 금구류 및 합성수지 제품</t>
  </si>
  <si>
    <t>www.cheryong.co.kr</t>
  </si>
  <si>
    <t>090080 KS Equity</t>
  </si>
  <si>
    <t>A090080</t>
  </si>
  <si>
    <t>Pyung Hwa Industrial Co., Ltd.</t>
  </si>
  <si>
    <t>평화산업</t>
  </si>
  <si>
    <t>자동차부품(방진고무,방류고무(COVER류,CUP류),호스류),장비시설용 부품 제조,판매</t>
  </si>
  <si>
    <t>www.ph.co.kr</t>
  </si>
  <si>
    <t>060230 KS Equity</t>
  </si>
  <si>
    <t>A060230</t>
  </si>
  <si>
    <t>Sonid Inc.</t>
  </si>
  <si>
    <t>소니드</t>
  </si>
  <si>
    <t>화학제품 및 전자재료</t>
  </si>
  <si>
    <t>285800 KS Equity</t>
  </si>
  <si>
    <t>A285800</t>
  </si>
  <si>
    <t>JIN YOUNG CO., LTD.</t>
  </si>
  <si>
    <t>진영</t>
  </si>
  <si>
    <t>가구용 ASA플라스틱 시트, 엣지밴드</t>
  </si>
  <si>
    <t>www.jyp21.co.kr</t>
  </si>
  <si>
    <t>009190 KS Equity</t>
  </si>
  <si>
    <t>A009190</t>
  </si>
  <si>
    <t>DaiyangMetal</t>
  </si>
  <si>
    <t>대양금속</t>
  </si>
  <si>
    <t>스테인레스 냉연강판 제조</t>
  </si>
  <si>
    <t>www.daiyangmetal.co.kr</t>
  </si>
  <si>
    <t>277410 KS Equity</t>
  </si>
  <si>
    <t>A277410</t>
  </si>
  <si>
    <t>INSAN Inc.</t>
  </si>
  <si>
    <t>인산가</t>
  </si>
  <si>
    <t>죽염 및 죽염응용식품</t>
  </si>
  <si>
    <t>www.insanga.co.kr</t>
  </si>
  <si>
    <t>222110 KS Equity</t>
  </si>
  <si>
    <t>A222110</t>
  </si>
  <si>
    <t>Pangen Biotech, Inc.</t>
  </si>
  <si>
    <t>팬젠</t>
  </si>
  <si>
    <t>바이오시밀러 의약품 개발, 바이오의약품 개발 기술이전 서비스 등</t>
  </si>
  <si>
    <t>www.pangen.com</t>
  </si>
  <si>
    <t>009440 KS Equity</t>
  </si>
  <si>
    <t>A009440</t>
  </si>
  <si>
    <t>KC Green Holdings</t>
  </si>
  <si>
    <t>KC그린홀딩스</t>
  </si>
  <si>
    <t>www.kcgreenholdings.com</t>
  </si>
  <si>
    <t>304840 KS Equity</t>
  </si>
  <si>
    <t>A304840</t>
  </si>
  <si>
    <t>PeopleBio, Inc.</t>
  </si>
  <si>
    <t>피플바이오</t>
  </si>
  <si>
    <t>올리고머화 베타-아밀로이드 검사제품(알츠하이머병 진단)</t>
  </si>
  <si>
    <t>www.peoplebio.net</t>
  </si>
  <si>
    <t>031310 KS Equity</t>
  </si>
  <si>
    <t>A031310</t>
  </si>
  <si>
    <t>EYESVISION Co ., Ltd.</t>
  </si>
  <si>
    <t>아이즈비전</t>
  </si>
  <si>
    <t>홈쇼핑(아이즈홈쇼핑), 국제전화(아이즈텔), 가정용유무선 전화기판매(TopPhone)</t>
  </si>
  <si>
    <t>www.eyesvision.com</t>
  </si>
  <si>
    <t>004920 KS Equity</t>
  </si>
  <si>
    <t>A004920</t>
  </si>
  <si>
    <t>CITECH</t>
  </si>
  <si>
    <t>씨아이테크</t>
  </si>
  <si>
    <t>컴퓨터 소프트웨어,하드웨어 서버,도매</t>
  </si>
  <si>
    <t>www.citech.kr</t>
  </si>
  <si>
    <t>357880 KS Equity</t>
  </si>
  <si>
    <t>A357880</t>
  </si>
  <si>
    <t>Bitnine Co., Ltd.</t>
  </si>
  <si>
    <t>비트나인</t>
  </si>
  <si>
    <t>그래프데이터베이스, 그래프분석서비스</t>
  </si>
  <si>
    <t>bitnine.net</t>
  </si>
  <si>
    <t>263810 KS Equity</t>
  </si>
  <si>
    <t>A263810</t>
  </si>
  <si>
    <t>SANGSHIN ELECTRONICS CO., LTD.</t>
  </si>
  <si>
    <t>상신전자</t>
  </si>
  <si>
    <t>노이즈필터(48.81%), 코일(19.33%), 리액터(10.75%)</t>
  </si>
  <si>
    <t>www.sangshin-e.com</t>
  </si>
  <si>
    <t>099220 KS Equity</t>
  </si>
  <si>
    <t>A099220</t>
  </si>
  <si>
    <t>SDN Company Ltd.</t>
  </si>
  <si>
    <t>SDN</t>
  </si>
  <si>
    <t>태양광기자재 및 선박용엔진 도매, 태양광발전시스템 구축 및 설계</t>
  </si>
  <si>
    <t>www.sdn-i.com</t>
  </si>
  <si>
    <t>032940 KS Equity</t>
  </si>
  <si>
    <t>A032940</t>
  </si>
  <si>
    <t>Wonik Corporation</t>
  </si>
  <si>
    <t>원익</t>
  </si>
  <si>
    <t>Quartz, HIC, 의료기기</t>
  </si>
  <si>
    <t>www.wonik.co.kr</t>
  </si>
  <si>
    <t>000650 KS Equity</t>
  </si>
  <si>
    <t>A000650</t>
  </si>
  <si>
    <t>ChunilExpress</t>
  </si>
  <si>
    <t>천일고속</t>
  </si>
  <si>
    <t>시외버스 운송업</t>
  </si>
  <si>
    <t>고속버스운수(경부선,44개 노선),도로여객운수업,운수창고업,유류판매,부동산 임대</t>
  </si>
  <si>
    <t>www.chunilexpress.com</t>
  </si>
  <si>
    <t>072990 KS Equity</t>
  </si>
  <si>
    <t>A072990</t>
  </si>
  <si>
    <t>HCT CO.,LTD.</t>
  </si>
  <si>
    <t>에이치시티</t>
  </si>
  <si>
    <t>물질성분 검사 및 분석업</t>
  </si>
  <si>
    <t>기술검사서비스</t>
  </si>
  <si>
    <t>www.hct.co.kr</t>
  </si>
  <si>
    <t>007680 KS Equity</t>
  </si>
  <si>
    <t>A007680</t>
  </si>
  <si>
    <t>DAEWON CO., LTD.</t>
  </si>
  <si>
    <t>대원</t>
  </si>
  <si>
    <t>아파트 시행 및 시공</t>
  </si>
  <si>
    <t>www.daewon.co.kr</t>
  </si>
  <si>
    <t>900100 KS Equity</t>
  </si>
  <si>
    <t>A900100</t>
  </si>
  <si>
    <t>Ameridge Corporation</t>
  </si>
  <si>
    <t>애머릿지</t>
  </si>
  <si>
    <t>자동차 부품 및 내장품 판매업</t>
  </si>
  <si>
    <t>인터모달 신생 및 재생타이어</t>
  </si>
  <si>
    <t>www.newpridecorporation.com</t>
  </si>
  <si>
    <t>002220 KS Equity</t>
  </si>
  <si>
    <t>A002220</t>
  </si>
  <si>
    <t>HanilIron&amp;Steel</t>
  </si>
  <si>
    <t>한일철강</t>
  </si>
  <si>
    <t>강관류,철판류,금속관류,건축자재,자동차부품 제조,도매</t>
  </si>
  <si>
    <t>www.hanilsteel.co.kr</t>
  </si>
  <si>
    <t>134580 KS Equity</t>
  </si>
  <si>
    <t>A134580</t>
  </si>
  <si>
    <t>Topco Media Co.,Ltd.</t>
  </si>
  <si>
    <t>탑코미디어</t>
  </si>
  <si>
    <t xml:space="preserve">www.topcomedia.co.kr </t>
  </si>
  <si>
    <t>023460 KS Equity</t>
  </si>
  <si>
    <t>A023460</t>
  </si>
  <si>
    <t>CNH Co., Ltd.</t>
  </si>
  <si>
    <t>CNH</t>
  </si>
  <si>
    <t>투자자문</t>
  </si>
  <si>
    <t>www.cnhholdings.com</t>
  </si>
  <si>
    <t>263770 KS Equity</t>
  </si>
  <si>
    <t>A263770</t>
  </si>
  <si>
    <t>UST CO., LTD.</t>
  </si>
  <si>
    <t>유에스티</t>
  </si>
  <si>
    <t>스테인레스강관</t>
  </si>
  <si>
    <t>www.u-st.co.kr</t>
  </si>
  <si>
    <t>064090 KS Equity</t>
  </si>
  <si>
    <t>A064090</t>
  </si>
  <si>
    <t>Jayjun, Nerdy 외</t>
  </si>
  <si>
    <t>273060 KS Equity</t>
  </si>
  <si>
    <t>A273060</t>
  </si>
  <si>
    <t>Wise birds Inc.</t>
  </si>
  <si>
    <t>와이즈버즈</t>
  </si>
  <si>
    <t>www.wisebirds.co</t>
  </si>
  <si>
    <t>168330 KS Equity</t>
  </si>
  <si>
    <t>A168330</t>
  </si>
  <si>
    <t>Naturalendo Tech Co., Ltd.</t>
  </si>
  <si>
    <t>내츄럴엔도텍</t>
  </si>
  <si>
    <t>백수오 여성호르몬제, 백수오등복합추출물(원료)</t>
  </si>
  <si>
    <t>www.naturalendo.co.kr</t>
  </si>
  <si>
    <t>065370 KS Equity</t>
  </si>
  <si>
    <t>A065370</t>
  </si>
  <si>
    <t>WISE iTech Co., Ltd.</t>
  </si>
  <si>
    <t>위세아이텍</t>
  </si>
  <si>
    <t>빅데이터분석, 인공지능, 데이터품질관리 솔루션</t>
  </si>
  <si>
    <t>www.wise.co.kr</t>
  </si>
  <si>
    <t>039420 KS Equity</t>
  </si>
  <si>
    <t>A039420</t>
  </si>
  <si>
    <t>KL-Net Corp.</t>
  </si>
  <si>
    <t>케이엘넷</t>
  </si>
  <si>
    <t>EC/EDI</t>
  </si>
  <si>
    <t>www.klnet.co.kr</t>
  </si>
  <si>
    <t>044960 KS Equity</t>
  </si>
  <si>
    <t>A044960</t>
  </si>
  <si>
    <t>Eagle Vetrinary Technology Co., Ltd.</t>
  </si>
  <si>
    <t>이글벳</t>
  </si>
  <si>
    <t>아바텍,아목사실린사 등</t>
  </si>
  <si>
    <t>www.eaglevet.com</t>
  </si>
  <si>
    <t>222420 KS Equity</t>
  </si>
  <si>
    <t>A222420</t>
  </si>
  <si>
    <t>CENOTEC Co., Ltd.</t>
  </si>
  <si>
    <t>쎄노텍</t>
  </si>
  <si>
    <t>비금속광물 분쇄물 생산업</t>
  </si>
  <si>
    <t>세라믹 비드</t>
  </si>
  <si>
    <t>www.cenotec.com</t>
  </si>
  <si>
    <t>010240 KS Equity</t>
  </si>
  <si>
    <t>A010240</t>
  </si>
  <si>
    <t>HEUNGKUK METALTECH Co.,Ltd.</t>
  </si>
  <si>
    <t>흥국</t>
  </si>
  <si>
    <t>굴삭기 Roller 및 형단조품</t>
  </si>
  <si>
    <t>www.heungkuk.co.kr</t>
  </si>
  <si>
    <t>047770 KS Equity</t>
  </si>
  <si>
    <t>A047770</t>
  </si>
  <si>
    <t>Codes Combine Co., Ltd.</t>
  </si>
  <si>
    <t>코데즈컴바인</t>
  </si>
  <si>
    <t>패션의류</t>
  </si>
  <si>
    <t>www.codes-combine.co.kr</t>
  </si>
  <si>
    <t>290520 KS Equity</t>
  </si>
  <si>
    <t>A290520</t>
  </si>
  <si>
    <t>Shindo Eng. Lab., Ltd.</t>
  </si>
  <si>
    <t>신도기연</t>
  </si>
  <si>
    <t>OLED용 후공정장비(라미네이터, 오토클레이브 등)</t>
  </si>
  <si>
    <t>www.lcd.co.kr</t>
  </si>
  <si>
    <t>299170 KS Equity</t>
  </si>
  <si>
    <t>A299170</t>
  </si>
  <si>
    <t>WSI Co., Ltd.</t>
  </si>
  <si>
    <t>더블유에스아이</t>
  </si>
  <si>
    <t>wsi-healthcare.com</t>
  </si>
  <si>
    <t>270870 KS Equity</t>
  </si>
  <si>
    <t>A270870</t>
  </si>
  <si>
    <t>Newtree Co.,Ltd.</t>
  </si>
  <si>
    <t>뉴트리</t>
  </si>
  <si>
    <t>에버콜라겐, 지노마스터 등</t>
  </si>
  <si>
    <t>www.newtree.co.kr</t>
  </si>
  <si>
    <t>064520 KS Equity</t>
  </si>
  <si>
    <t>A064520</t>
  </si>
  <si>
    <t>TechL Co., LTD.</t>
  </si>
  <si>
    <t>테크엘</t>
  </si>
  <si>
    <t>메모리 카드, 스마트 카드 등</t>
  </si>
  <si>
    <t>www.bec.co.kr</t>
  </si>
  <si>
    <t>388790 KS Equity</t>
  </si>
  <si>
    <t>A388790</t>
  </si>
  <si>
    <t>LiComm Co., LTD.</t>
  </si>
  <si>
    <t>라이콤</t>
  </si>
  <si>
    <t>제조업(광증폭기, 광송수신기, 광섬유레이저 외)</t>
  </si>
  <si>
    <t xml:space="preserve">www.licomm.com </t>
  </si>
  <si>
    <t>097870 KS Equity</t>
  </si>
  <si>
    <t>A097870</t>
  </si>
  <si>
    <t>Hyosung ONB Co., Ltd.</t>
  </si>
  <si>
    <t>효성오앤비</t>
  </si>
  <si>
    <t>혼합유박비료,유기복합비료,혼합유기질비료</t>
  </si>
  <si>
    <t>www.hsonb.com</t>
  </si>
  <si>
    <t>025750 KS Equity</t>
  </si>
  <si>
    <t>A025750</t>
  </si>
  <si>
    <t>HansolHomeDeco</t>
  </si>
  <si>
    <t>한솔홈데코</t>
  </si>
  <si>
    <t>제재 및 목재 가공업</t>
  </si>
  <si>
    <t>PB,MDF,바닥재,강화,재생목재,LPM,제재목 제조,도소매,무역/임업,벌목관련 사업</t>
  </si>
  <si>
    <t>www.hansolhomedeco.co.kr</t>
  </si>
  <si>
    <t>133750 KS Equity</t>
  </si>
  <si>
    <t>A133750</t>
  </si>
  <si>
    <t>MegaMD Co., Ltd.</t>
  </si>
  <si>
    <t>메가엠디</t>
  </si>
  <si>
    <t>의학, 치의학, 법학 전문대학원, 약학대학 입학시험 대비 강의</t>
  </si>
  <si>
    <t>www.megamd.co.kr</t>
  </si>
  <si>
    <t>053350 KS Equity</t>
  </si>
  <si>
    <t>A053350</t>
  </si>
  <si>
    <t>Initech Co., Ltd.</t>
  </si>
  <si>
    <t>이니텍</t>
  </si>
  <si>
    <t>정보보안 및 인증솔루션</t>
  </si>
  <si>
    <t>www.initech.com</t>
  </si>
  <si>
    <t>066130 KS Equity</t>
  </si>
  <si>
    <t>A066130</t>
  </si>
  <si>
    <t>Haatz Inc.</t>
  </si>
  <si>
    <t>하츠</t>
  </si>
  <si>
    <t>레인지후드, 빌트인 기기 등</t>
  </si>
  <si>
    <t>www.haatz.com</t>
  </si>
  <si>
    <t>362990 KS Equity</t>
  </si>
  <si>
    <t>A362990</t>
  </si>
  <si>
    <t>DREAMINSIGHT Co., Ltd.</t>
  </si>
  <si>
    <t>드림인사이트</t>
  </si>
  <si>
    <t>www.bydream.co.kr</t>
  </si>
  <si>
    <t>060540 KS Equity</t>
  </si>
  <si>
    <t>A060540</t>
  </si>
  <si>
    <t>System and Application Technologies Co., Ltd.</t>
  </si>
  <si>
    <t>에스에이티</t>
  </si>
  <si>
    <t>기기용 자동측정 및 제어장치 제조업</t>
  </si>
  <si>
    <t>교통관련장비(고정식축중기, 이동식축중기 등)</t>
  </si>
  <si>
    <t>www.satech.co.kr</t>
  </si>
  <si>
    <t>100030 KS Equity</t>
  </si>
  <si>
    <t>A100030</t>
  </si>
  <si>
    <t>Inzisoft Co.,Ltd.</t>
  </si>
  <si>
    <t>인지소프트</t>
  </si>
  <si>
    <t>금융솔루션,동기화솔루션</t>
  </si>
  <si>
    <t>www.inzisoft.com</t>
  </si>
  <si>
    <t>262840 KS Equity</t>
  </si>
  <si>
    <t>A262840</t>
  </si>
  <si>
    <t>IQUEST Co., Ltd.</t>
  </si>
  <si>
    <t>아이퀘스트</t>
  </si>
  <si>
    <t>패키지 ERP, 구축형 ERP 등</t>
  </si>
  <si>
    <t>www.iquest.co.kr</t>
  </si>
  <si>
    <t>288330 KS Equity</t>
  </si>
  <si>
    <t>A288330</t>
  </si>
  <si>
    <t>Bridge Biotherapeutics, Inc.</t>
  </si>
  <si>
    <t>브릿지바이오테라퓨틱스</t>
  </si>
  <si>
    <t>펠리노-1 단백질 저해제, 오토택신 저해제</t>
  </si>
  <si>
    <t>www.bridgebiorx.com</t>
  </si>
  <si>
    <t>376290 KS Equity</t>
  </si>
  <si>
    <t>A376290</t>
  </si>
  <si>
    <t>CUTECH CORPORATION</t>
  </si>
  <si>
    <t>씨유테크</t>
  </si>
  <si>
    <t>휴대폰, 전장 등 실장부품</t>
  </si>
  <si>
    <t>www.cutech.co.kr</t>
  </si>
  <si>
    <t>097780 KS Equity</t>
  </si>
  <si>
    <t>A097780</t>
  </si>
  <si>
    <t>Eco Volt Co.,Ltd.</t>
  </si>
  <si>
    <t>에코볼트</t>
  </si>
  <si>
    <t>자동차 신품 부품</t>
  </si>
  <si>
    <t>309930 KS Equity</t>
  </si>
  <si>
    <t>A309930</t>
  </si>
  <si>
    <t>OHEIM&amp; Company Co.,Ltd.</t>
  </si>
  <si>
    <t>오하임앤컴퍼니</t>
  </si>
  <si>
    <t>기타 생활용품 소매업</t>
  </si>
  <si>
    <t>www.oheim.co.kr</t>
  </si>
  <si>
    <t>001380 KS Equity</t>
  </si>
  <si>
    <t>A001380</t>
  </si>
  <si>
    <t>SG GLOBAL</t>
  </si>
  <si>
    <t>SG글로벌</t>
  </si>
  <si>
    <t>자동차시트 및 자동차시트커버(Seat Trim Cover)</t>
  </si>
  <si>
    <t>www.sgglobal.co.kr</t>
  </si>
  <si>
    <t>075970 KS Equity</t>
  </si>
  <si>
    <t>A075970</t>
  </si>
  <si>
    <t>DONGKUK REFRACTORIES &amp; STEEL CO., LTD.</t>
  </si>
  <si>
    <t>동국알앤에스</t>
  </si>
  <si>
    <t>내화물</t>
  </si>
  <si>
    <t>dkrns.co.kr</t>
  </si>
  <si>
    <t>011420 KS Equity</t>
  </si>
  <si>
    <t>A011420</t>
  </si>
  <si>
    <t>GALAXIA SM</t>
  </si>
  <si>
    <t>갤럭시아에스엠</t>
  </si>
  <si>
    <t>스포츠 서비스업</t>
  </si>
  <si>
    <t>스포츠중계권,스포츠마케팅,광고</t>
  </si>
  <si>
    <t>www.galaxiasme.com</t>
  </si>
  <si>
    <t>043220 KS Equity</t>
  </si>
  <si>
    <t>A043220</t>
  </si>
  <si>
    <t>TS Nexgen Co., Ltd.</t>
  </si>
  <si>
    <t>티에스넥스젠</t>
  </si>
  <si>
    <t>발전설비 Damper, 전력설비 Busway</t>
  </si>
  <si>
    <t>393210 KS Equity</t>
  </si>
  <si>
    <t>A393210</t>
  </si>
  <si>
    <t>TOMATOSYSTEM CO.,LTD.</t>
  </si>
  <si>
    <t>토마토시스템</t>
  </si>
  <si>
    <t>UI/UX솔루션, 대학정보화사업 SW</t>
  </si>
  <si>
    <t>www.tomatosystem.co.kr</t>
  </si>
  <si>
    <t>008870 KS Equity</t>
  </si>
  <si>
    <t>A008870</t>
  </si>
  <si>
    <t>Kumbi</t>
  </si>
  <si>
    <t>금비</t>
  </si>
  <si>
    <t>기타 유리제품 제조업</t>
  </si>
  <si>
    <t>포장용 유리용기 제조업</t>
  </si>
  <si>
    <t>유리제품(주류병) 제조/화장품 도소매,수입(병제조기기)</t>
  </si>
  <si>
    <t>www.kumbi.co.kr</t>
  </si>
  <si>
    <t>023440 KS Equity</t>
  </si>
  <si>
    <t>A023440</t>
  </si>
  <si>
    <t>J Steel Company Holdings Inc.</t>
  </si>
  <si>
    <t>제이스코홀딩스</t>
  </si>
  <si>
    <t>연강선재, 경강선재, CHQ외</t>
  </si>
  <si>
    <t>019990 KS Equity</t>
  </si>
  <si>
    <t>A019990</t>
  </si>
  <si>
    <t>ENERTORK Ltd.</t>
  </si>
  <si>
    <t>에너토크</t>
  </si>
  <si>
    <t>전동액츄에이터</t>
  </si>
  <si>
    <t>www.enertork.com</t>
  </si>
  <si>
    <t>046940 KS Equity</t>
  </si>
  <si>
    <t>A046940</t>
  </si>
  <si>
    <t>Woowon Development Co., Ltd.</t>
  </si>
  <si>
    <t>우원개발</t>
  </si>
  <si>
    <t>토공사</t>
  </si>
  <si>
    <t>www.woowon.com</t>
  </si>
  <si>
    <t>001840 KS Equity</t>
  </si>
  <si>
    <t>A001840</t>
  </si>
  <si>
    <t>Ee-Hwa Construction Co., Ltd.</t>
  </si>
  <si>
    <t>이화공영</t>
  </si>
  <si>
    <t>www.ee-hwa.co.kr</t>
  </si>
  <si>
    <t>099390 KS Equity</t>
  </si>
  <si>
    <t>A099390</t>
  </si>
  <si>
    <t>Brainzcompany Co.,Ltd.</t>
  </si>
  <si>
    <t>브레인즈컴퍼니</t>
  </si>
  <si>
    <t>IT 인프라 통합관리 솔루션</t>
  </si>
  <si>
    <t>www.brainz.co.kr</t>
  </si>
  <si>
    <t>256150 KS Equity</t>
  </si>
  <si>
    <t>A256150</t>
  </si>
  <si>
    <t>Handok Clean Tech Co.,Ltd.</t>
  </si>
  <si>
    <t>한독크린텍</t>
  </si>
  <si>
    <t>액체 여과기 제조업</t>
  </si>
  <si>
    <t>정수기 필터</t>
  </si>
  <si>
    <t xml:space="preserve">hdctech.co.kr </t>
  </si>
  <si>
    <t>004780 KS Equity</t>
  </si>
  <si>
    <t>A004780</t>
  </si>
  <si>
    <t>DAERYUK CAN CO., LTD.</t>
  </si>
  <si>
    <t>대륙제관</t>
  </si>
  <si>
    <t>휴대용부탄가스 및 금속포장용기</t>
  </si>
  <si>
    <t>www.drcc.co.kr</t>
  </si>
  <si>
    <t>043340 KS Equity</t>
  </si>
  <si>
    <t>A043340</t>
  </si>
  <si>
    <t>ESSEN TECH Co., Ltd.</t>
  </si>
  <si>
    <t>에쎈테크</t>
  </si>
  <si>
    <t>LPG밸브</t>
  </si>
  <si>
    <t>www.essentech.co.kr</t>
  </si>
  <si>
    <t>025440 KS Equity</t>
  </si>
  <si>
    <t>A025440</t>
  </si>
  <si>
    <t>DHAUTOWARE Co., LTD.</t>
  </si>
  <si>
    <t>DH오토웨어</t>
  </si>
  <si>
    <t>카멀티미디어 및 TFT-LCD 부품제조..</t>
  </si>
  <si>
    <t>246720 KS Equity</t>
  </si>
  <si>
    <t>A246720</t>
  </si>
  <si>
    <t>ASTA Co., Ltd.</t>
  </si>
  <si>
    <t>아스타</t>
  </si>
  <si>
    <t>MALDI-TOF 질량분석기 기반 진단시스템</t>
  </si>
  <si>
    <t>www.astams.com</t>
  </si>
  <si>
    <t>200350 KS Equity</t>
  </si>
  <si>
    <t>A200350</t>
  </si>
  <si>
    <t>Raemong Raein Co.,Ltd.</t>
  </si>
  <si>
    <t>드라마 제작</t>
  </si>
  <si>
    <t>www.raemongraein.co.kr</t>
  </si>
  <si>
    <t>227950 KS Equity</t>
  </si>
  <si>
    <t>A227950</t>
  </si>
  <si>
    <t>N2TECH CO.,LTD.</t>
  </si>
  <si>
    <t>엔투텍</t>
  </si>
  <si>
    <t>반도체장비 부품 제조업</t>
  </si>
  <si>
    <t>www.n2tech.kr</t>
  </si>
  <si>
    <t>037350 KS Equity</t>
  </si>
  <si>
    <t>A037350</t>
  </si>
  <si>
    <t>SUNGDO ENGINEERING &amp; CONSTRUCTION CO., LTD.</t>
  </si>
  <si>
    <t>성도이엔지</t>
  </si>
  <si>
    <t>반도체크린룸 시공, 반도체장비제조</t>
  </si>
  <si>
    <t>www.sungdokorea.com</t>
  </si>
  <si>
    <t>072470 KS Equity</t>
  </si>
  <si>
    <t>A072470</t>
  </si>
  <si>
    <t>Woory Industrial Holdings Co., Ltd.</t>
  </si>
  <si>
    <t>우리산업홀딩스</t>
  </si>
  <si>
    <t>HVAC ACTUATOR (자동차 공조장치 부품 등)</t>
  </si>
  <si>
    <t>www.wooryholdings.com</t>
  </si>
  <si>
    <t>298060 KS Equity</t>
  </si>
  <si>
    <t>A298060</t>
  </si>
  <si>
    <t>SCM Lifescience, Inc.</t>
  </si>
  <si>
    <t>에스씨엠생명과학</t>
  </si>
  <si>
    <t>세포치료제</t>
  </si>
  <si>
    <t>www.scmlifescience.co.kr</t>
  </si>
  <si>
    <t>417180 KS Equity</t>
  </si>
  <si>
    <t>A417180</t>
  </si>
  <si>
    <t>Finger Story CO., LTD.</t>
  </si>
  <si>
    <t>핑거스토리</t>
  </si>
  <si>
    <t>웹툰, 디지털 만화, 웹소설</t>
  </si>
  <si>
    <t>www.mootoon.co.kr</t>
  </si>
  <si>
    <t>069410 KS Equity</t>
  </si>
  <si>
    <t>A069410</t>
  </si>
  <si>
    <t>nTels Co., Ltd.</t>
  </si>
  <si>
    <t>엔텔스</t>
  </si>
  <si>
    <t>운용지원솔루션</t>
  </si>
  <si>
    <t>www.ntels.com</t>
  </si>
  <si>
    <t>037230 KS Equity</t>
  </si>
  <si>
    <t>A037230</t>
  </si>
  <si>
    <t>Hankuk Package Co., Ltd.</t>
  </si>
  <si>
    <t>한국팩키지</t>
  </si>
  <si>
    <t>종이포대, 판지상자 및 종이용기 제조업</t>
  </si>
  <si>
    <t>식품 위생용 종이 상자 및 용기 제조업</t>
  </si>
  <si>
    <t>카톤팩, 골판지 상자</t>
  </si>
  <si>
    <t>www.hkpak.co.kr</t>
  </si>
  <si>
    <t>068330 KS Equity</t>
  </si>
  <si>
    <t>A068330</t>
  </si>
  <si>
    <t>ilShinbiobase Co., Ltd.</t>
  </si>
  <si>
    <t>일신바이오</t>
  </si>
  <si>
    <t>산업용 냉장 및 냉동 장비 제조업</t>
  </si>
  <si>
    <t>초저온냉동고및동결건조기</t>
  </si>
  <si>
    <t>www.1sbb.com</t>
  </si>
  <si>
    <t>069640 KS Equity</t>
  </si>
  <si>
    <t>A069640</t>
  </si>
  <si>
    <t>HANSAEMK</t>
  </si>
  <si>
    <t>한세엠케이</t>
  </si>
  <si>
    <t>케주얼웨어(BUCKAROO, TBJ 등)</t>
  </si>
  <si>
    <t>www.hansaemk.com</t>
  </si>
  <si>
    <t>008420 KS Equity</t>
  </si>
  <si>
    <t>A008420</t>
  </si>
  <si>
    <t>MoonbaeSteel</t>
  </si>
  <si>
    <t>문배철강</t>
  </si>
  <si>
    <t>철강재중 판재류(후판,박판,무늬강판) 제조,도매</t>
  </si>
  <si>
    <t>www.moonbaesteel.co.kr</t>
  </si>
  <si>
    <t>023350 KS Equity</t>
  </si>
  <si>
    <t>A023350</t>
  </si>
  <si>
    <t>Korea Engineering Consultants Corp.</t>
  </si>
  <si>
    <t>한국종합기술</t>
  </si>
  <si>
    <t>토목설계,건축설계,감리,측량/토목건축공사</t>
  </si>
  <si>
    <t>www.kecc.co.kr</t>
  </si>
  <si>
    <t>011390 KS Equity</t>
  </si>
  <si>
    <t>A011390</t>
  </si>
  <si>
    <t>BusanIndustrial</t>
  </si>
  <si>
    <t>부산산업</t>
  </si>
  <si>
    <t>레미콘 제조,판매</t>
  </si>
  <si>
    <t>www.busanind.co.kr</t>
  </si>
  <si>
    <t>009770 KS Equity</t>
  </si>
  <si>
    <t>A009770</t>
  </si>
  <si>
    <t>SAM JUNG PULP CO,.LTD.</t>
  </si>
  <si>
    <t>삼정펄프</t>
  </si>
  <si>
    <t>지류화장지,안면용,위생용 티슈 제조,판매</t>
  </si>
  <si>
    <t>www.sjpulp.com</t>
  </si>
  <si>
    <t>014130 KS Equity</t>
  </si>
  <si>
    <t>A014130</t>
  </si>
  <si>
    <t>HanExpress</t>
  </si>
  <si>
    <t>한익스프레스</t>
  </si>
  <si>
    <t>특수화물 운송(유류,화학류,벌크제품 등),냉동차,탱크로리운송,복합운송 주선,임대,택배/특장차,중기 제조,판매</t>
  </si>
  <si>
    <t>www.hanex.co.kr</t>
  </si>
  <si>
    <t>351320 KS Equity</t>
  </si>
  <si>
    <t>A351320</t>
  </si>
  <si>
    <t>Solution Advanced Technology Co., Ltd.</t>
  </si>
  <si>
    <t>에스에이티이엔지</t>
  </si>
  <si>
    <t>기업인수목적회사</t>
  </si>
  <si>
    <t>www.sateng.co.kr</t>
  </si>
  <si>
    <t>006980 KS Equity</t>
  </si>
  <si>
    <t>A006980</t>
  </si>
  <si>
    <t>WOOSUNG</t>
  </si>
  <si>
    <t>우성</t>
  </si>
  <si>
    <t>배합사료,Suit-feed(맞춤 TMR(육성우,건유우,착유우) 사료),농후사료,곡류(강피류 등 부산물) 제조,판매/부동산 임대,무역</t>
  </si>
  <si>
    <t>www.woosungfeed.co.kr</t>
  </si>
  <si>
    <t>204020 KS Equity</t>
  </si>
  <si>
    <t>A204020</t>
  </si>
  <si>
    <t>GRITEE, Inc.</t>
  </si>
  <si>
    <t>그리티</t>
  </si>
  <si>
    <t>내의(원더브라, 플레이텍스, 미싱도로시, 르페)</t>
  </si>
  <si>
    <t>www.gritees.com</t>
  </si>
  <si>
    <t>198940 KS Equity</t>
  </si>
  <si>
    <t>A198940</t>
  </si>
  <si>
    <t>HANJOO LIGHT METAL CO., LTD.</t>
  </si>
  <si>
    <t>한주라이트메탈</t>
  </si>
  <si>
    <t>알루미늄 기반 경량화 자동차 부품</t>
  </si>
  <si>
    <t>www.hanjoolightmetal.com</t>
  </si>
  <si>
    <t>143210 KS Equity</t>
  </si>
  <si>
    <t>A143210</t>
  </si>
  <si>
    <t>HANDS CORPORATION</t>
  </si>
  <si>
    <t>핸즈코퍼레이션</t>
  </si>
  <si>
    <t>자동차 알루미늄 휠</t>
  </si>
  <si>
    <t>www.handscorp.co.kr</t>
  </si>
  <si>
    <t>016600 KS Equity</t>
  </si>
  <si>
    <t>A016600</t>
  </si>
  <si>
    <t>Q Capital Partners Co., Ltd.</t>
  </si>
  <si>
    <t>큐캐피탈</t>
  </si>
  <si>
    <t>사모투자(PEF),벤처투자</t>
  </si>
  <si>
    <t>www.qcapital.co.kr</t>
  </si>
  <si>
    <t>039020 KS Equity</t>
  </si>
  <si>
    <t>A039020</t>
  </si>
  <si>
    <t>Eagon Holdings Co., Ltd.</t>
  </si>
  <si>
    <t>이건홀딩스</t>
  </si>
  <si>
    <t>창호</t>
  </si>
  <si>
    <t>446070 KS Equity</t>
  </si>
  <si>
    <t>A446070</t>
  </si>
  <si>
    <t>UNID btplus</t>
  </si>
  <si>
    <t>유니드비티플러스</t>
  </si>
  <si>
    <t>표면 가공 목재 및 특정 목적용 제재목 제조업</t>
  </si>
  <si>
    <t>MDF 등</t>
  </si>
  <si>
    <t>www.unidbtplus.co.kr</t>
  </si>
  <si>
    <t>014970 KS Equity</t>
  </si>
  <si>
    <t>A014970</t>
  </si>
  <si>
    <t>SAMRYOONG Co.,Ltd.</t>
  </si>
  <si>
    <t>삼륭물산</t>
  </si>
  <si>
    <t>카톤팩</t>
  </si>
  <si>
    <t>www.srpack.com</t>
  </si>
  <si>
    <t>354200 KS Equity</t>
  </si>
  <si>
    <t>A354200</t>
  </si>
  <si>
    <t>NGeneBio Co., Ltd.</t>
  </si>
  <si>
    <t>엔젠바이오</t>
  </si>
  <si>
    <t>유전체 분야 진단시약 제조 및 유전체 분야 소프트웨어 연구,개발,판매</t>
  </si>
  <si>
    <t>www.ngenebio.com</t>
  </si>
  <si>
    <t>001620 KS Equity</t>
  </si>
  <si>
    <t>A001620</t>
  </si>
  <si>
    <t>KBI DONGKOOK IND</t>
  </si>
  <si>
    <t>케이비아이동국실업</t>
  </si>
  <si>
    <t>자동차부품(에어닥트,글로벌박스,노즐,어셈블리류,핸들류) 제조,판매/공장 임대</t>
  </si>
  <si>
    <t>039010 KS Equity</t>
  </si>
  <si>
    <t>A039010</t>
  </si>
  <si>
    <t>Hyundai HT Co., Ltd.</t>
  </si>
  <si>
    <t>현대에이치티</t>
  </si>
  <si>
    <t>스마트홈 제조</t>
  </si>
  <si>
    <t>www.hyundaitel.co.kr</t>
  </si>
  <si>
    <t>267790 KS Equity</t>
  </si>
  <si>
    <t>A267790</t>
  </si>
  <si>
    <t>BARREL Co., Ltd.</t>
  </si>
  <si>
    <t>배럴</t>
  </si>
  <si>
    <t>래쉬가드 및 워터스포츠 등</t>
  </si>
  <si>
    <t>www.getbarrel.com</t>
  </si>
  <si>
    <t>037030 KS Equity</t>
  </si>
  <si>
    <t>A037030</t>
  </si>
  <si>
    <t>POWERNET TECHNOLOGIES CORPORATION</t>
  </si>
  <si>
    <t>파워넷</t>
  </si>
  <si>
    <t>전력변환장치</t>
  </si>
  <si>
    <t>www.gopowernet.com</t>
  </si>
  <si>
    <t>021050 KS Equity</t>
  </si>
  <si>
    <t>A021050</t>
  </si>
  <si>
    <t>Seowon</t>
  </si>
  <si>
    <t>서원</t>
  </si>
  <si>
    <t>비철금속 주조업</t>
  </si>
  <si>
    <t>비철금속(황동 빌레트,인코트) 제조,재생원료생산</t>
  </si>
  <si>
    <t>www.swbrass.co.kr</t>
  </si>
  <si>
    <t>014710 KS Equity</t>
  </si>
  <si>
    <t>A014710</t>
  </si>
  <si>
    <t>SAJOSEAFOOD</t>
  </si>
  <si>
    <t>사조씨푸드</t>
  </si>
  <si>
    <t>횟감용 참치 및 기타 일반수산물</t>
  </si>
  <si>
    <t>www.sajosf.co.kr</t>
  </si>
  <si>
    <t>222160 KS Equity</t>
  </si>
  <si>
    <t>A222160</t>
  </si>
  <si>
    <t>NPX Inc.</t>
  </si>
  <si>
    <t>NPX</t>
  </si>
  <si>
    <t>인쇄회로기판(PCB) 전기검사기</t>
  </si>
  <si>
    <t>www.bioptro.co.kr</t>
  </si>
  <si>
    <t>022220 KS Equity</t>
  </si>
  <si>
    <t>A022220</t>
  </si>
  <si>
    <t>TKG AIKANG CO.,LTD.</t>
  </si>
  <si>
    <t>TKG애강</t>
  </si>
  <si>
    <t>플라스틱 선, 봉, 관 및 호스 제조업</t>
  </si>
  <si>
    <t>PB/CPVC 파이프, 연결구</t>
  </si>
  <si>
    <t>www.jsak.co.kr</t>
  </si>
  <si>
    <t>004440 KS Equity</t>
  </si>
  <si>
    <t>A004440</t>
  </si>
  <si>
    <t>SAMIL C&amp;S</t>
  </si>
  <si>
    <t>삼일씨엔에스</t>
  </si>
  <si>
    <t>콘크리트 관 및 기타 구조용 콘크리트 제품 제조업</t>
  </si>
  <si>
    <t>PHC파일, 강교, PC</t>
  </si>
  <si>
    <t>www.esamilcns.com</t>
  </si>
  <si>
    <t>092780 KS Equity</t>
  </si>
  <si>
    <t>A092780</t>
  </si>
  <si>
    <t>DONGYANG PISTON</t>
  </si>
  <si>
    <t>동양피스톤</t>
  </si>
  <si>
    <t>자동차엔진용 피스톤</t>
  </si>
  <si>
    <t>www.dypiston.co.kr</t>
  </si>
  <si>
    <t>127120 KS Equity</t>
  </si>
  <si>
    <t>A127120</t>
  </si>
  <si>
    <t>DNA LINK, INC.</t>
  </si>
  <si>
    <t>디엔에이링크</t>
  </si>
  <si>
    <t>유전체분석(EGIS), 개인유전체분석(DNAGPS)</t>
  </si>
  <si>
    <t>www.dnalink.com</t>
  </si>
  <si>
    <t>318010 KS Equity</t>
  </si>
  <si>
    <t>A318010</t>
  </si>
  <si>
    <t>PHARMSVILLE CO.,LTD.</t>
  </si>
  <si>
    <t>팜스빌</t>
  </si>
  <si>
    <t>다이어트 제품 및 건강기능 관련 제품</t>
  </si>
  <si>
    <t>www.pharmsville.com</t>
  </si>
  <si>
    <t>052670 KS Equity</t>
  </si>
  <si>
    <t>A052670</t>
  </si>
  <si>
    <t>CheilBio Co., Ltd.</t>
  </si>
  <si>
    <t>제일바이오</t>
  </si>
  <si>
    <t>동물사료첨가제</t>
  </si>
  <si>
    <t>www.cheilbio.com</t>
  </si>
  <si>
    <t>056360 KS Equity</t>
  </si>
  <si>
    <t>A056360</t>
  </si>
  <si>
    <t>Communication Weaver Co., Ltd.</t>
  </si>
  <si>
    <t>코위버</t>
  </si>
  <si>
    <t>가입가계 가입자계 광단국장치,SONs-51,OMS-155M,OCSU,E2 가입자 전송장비,SDS-2500 등</t>
  </si>
  <si>
    <t>www.coweaver.co.kr</t>
  </si>
  <si>
    <t>053620 KS Equity</t>
  </si>
  <si>
    <t>A053620</t>
  </si>
  <si>
    <t>TAEYANG Corporation</t>
  </si>
  <si>
    <t>태양</t>
  </si>
  <si>
    <t>휴대용 부탄가스, 에어졸캔, 외주수탁품</t>
  </si>
  <si>
    <t>www.taeyangsun.co.kr</t>
  </si>
  <si>
    <t>069730 KS Equity</t>
  </si>
  <si>
    <t>A069730</t>
  </si>
  <si>
    <t>DSRWIRECORP</t>
  </si>
  <si>
    <t>DSR제강</t>
  </si>
  <si>
    <t>와이어로프,각종 경강선,철선제품,PC강선,아연도 강연선 제조</t>
  </si>
  <si>
    <t>049800 KS Equity</t>
  </si>
  <si>
    <t>A049800</t>
  </si>
  <si>
    <t>WOOJIN PLAIMM CO., LTD</t>
  </si>
  <si>
    <t>우진플라임</t>
  </si>
  <si>
    <t>고무, 화학섬유 및 플라스틱 성형기 제조업</t>
  </si>
  <si>
    <t>플라스틱사출성형기 제조,판매</t>
  </si>
  <si>
    <t>www.woojinplaimm.com</t>
  </si>
  <si>
    <t>009320 KS Equity</t>
  </si>
  <si>
    <t>A009320</t>
  </si>
  <si>
    <t>자동차 전장부품</t>
  </si>
  <si>
    <t>www.dwecc.com</t>
  </si>
  <si>
    <t>066360 KS Equity</t>
  </si>
  <si>
    <t>A066360</t>
  </si>
  <si>
    <t>Cherrybro Co.,Ltd.</t>
  </si>
  <si>
    <t>체리부로</t>
  </si>
  <si>
    <t>육계, 사료</t>
  </si>
  <si>
    <t>www.cherrybro.com</t>
  </si>
  <si>
    <t>110020 KS Equity</t>
  </si>
  <si>
    <t>A110020</t>
  </si>
  <si>
    <t>JEONJIN BIO CO.,LTD.</t>
  </si>
  <si>
    <t>전진바이오팜</t>
  </si>
  <si>
    <t>방충방향제, 유해동물피해감소제, 기생충피해감소제</t>
  </si>
  <si>
    <t>www.jjbio.co.kr</t>
  </si>
  <si>
    <t>016250 KS Equity</t>
  </si>
  <si>
    <t>A016250</t>
  </si>
  <si>
    <t>제조업 및 유사 산업용 건물 건설업</t>
  </si>
  <si>
    <t>건축공사, 플랜트설비, 토목공사</t>
  </si>
  <si>
    <t>www.sgcetec.co.kr</t>
  </si>
  <si>
    <t>007720 KS Equity</t>
  </si>
  <si>
    <t>A007720</t>
  </si>
  <si>
    <t>DAEMYUNG SONOSEASON CO.,LTD.</t>
  </si>
  <si>
    <t>대명소노시즌</t>
  </si>
  <si>
    <t>기업소모성자재 구매대행업</t>
  </si>
  <si>
    <t>299660 KS Equity</t>
  </si>
  <si>
    <t>A299660</t>
  </si>
  <si>
    <t>Cellid Co.,Ltd.</t>
  </si>
  <si>
    <t>셀리드</t>
  </si>
  <si>
    <t>항암면역치료백신</t>
  </si>
  <si>
    <t>http://www.cellid.co.kr</t>
  </si>
  <si>
    <t>187220 KS Equity</t>
  </si>
  <si>
    <t>A187220</t>
  </si>
  <si>
    <t>Dt&amp;C Co., Ltd.</t>
  </si>
  <si>
    <t>디티앤씨</t>
  </si>
  <si>
    <t>전기전자규격 인증서비스</t>
  </si>
  <si>
    <t>www.dtnc.co.kr</t>
  </si>
  <si>
    <t>335810 KS Equity</t>
  </si>
  <si>
    <t>A335810</t>
  </si>
  <si>
    <t>Precision Biosensor Inc.</t>
  </si>
  <si>
    <t>프리시젼바이오</t>
  </si>
  <si>
    <t>www.precision-bio.com</t>
  </si>
  <si>
    <t>226360 KS Equity</t>
  </si>
  <si>
    <t>A226360</t>
  </si>
  <si>
    <t>KH Construction Co., Ltd.</t>
  </si>
  <si>
    <t>KH 건설</t>
  </si>
  <si>
    <t>032790 KS Equity</t>
  </si>
  <si>
    <t>A032790</t>
  </si>
  <si>
    <t>MGEN SOLUTIONS CO.,LTD.</t>
  </si>
  <si>
    <t>엠젠솔루션</t>
  </si>
  <si>
    <t>프린터형상기, 광통신장비, Bio이종장기, AI솔루션</t>
  </si>
  <si>
    <t>www.mgenplus.com</t>
  </si>
  <si>
    <t>307280 KS Equity</t>
  </si>
  <si>
    <t>A307280</t>
  </si>
  <si>
    <t>Wonbiogen Co.,Ltd.</t>
  </si>
  <si>
    <t>원바이오젠</t>
  </si>
  <si>
    <t>창상피복제, 습윤드레싱제</t>
  </si>
  <si>
    <t>www.wonbiogen.co.kr</t>
  </si>
  <si>
    <t>318410 KS Equity</t>
  </si>
  <si>
    <t>A318410</t>
  </si>
  <si>
    <t>Best Bristle Company Co., Ltd.</t>
  </si>
  <si>
    <t>비비씨</t>
  </si>
  <si>
    <t>그 외 기타 분류 안된 제품 제조업</t>
  </si>
  <si>
    <t>덴탈 케어용 소재(테이퍼모 등)</t>
  </si>
  <si>
    <t>www.bestbristle.com</t>
  </si>
  <si>
    <t>049830 KS Equity</t>
  </si>
  <si>
    <t>A049830</t>
  </si>
  <si>
    <t>SEUNG IL Corporation</t>
  </si>
  <si>
    <t>승일</t>
  </si>
  <si>
    <t>에어졸캔,에어졸발브,일반관</t>
  </si>
  <si>
    <t>www.seungilcan.co.kr</t>
  </si>
  <si>
    <t>139050 KS Equity</t>
  </si>
  <si>
    <t>A139050</t>
  </si>
  <si>
    <t>BFLABS Co.,LTD.</t>
  </si>
  <si>
    <t>BF랩스</t>
  </si>
  <si>
    <t>용역서비스(ITS,BIS,ATMS,BRT)</t>
  </si>
  <si>
    <t>www.dayliblockchain.com</t>
  </si>
  <si>
    <t>019180 KS Equity</t>
  </si>
  <si>
    <t>A019180</t>
  </si>
  <si>
    <t>THN CORPORATION</t>
  </si>
  <si>
    <t>티에이치엔</t>
  </si>
  <si>
    <t>자동차부품(전기배선장치류) 제조,도매</t>
  </si>
  <si>
    <t>www.th-net.co.kr</t>
  </si>
  <si>
    <t>377330 KS Equity</t>
  </si>
  <si>
    <t>A377330</t>
  </si>
  <si>
    <t>EGTRONICS Co., Ltd.</t>
  </si>
  <si>
    <t>이지트로닉스</t>
  </si>
  <si>
    <t>www.egtronics.co.kr</t>
  </si>
  <si>
    <t>003310 KS Equity</t>
  </si>
  <si>
    <t>A003310</t>
  </si>
  <si>
    <t>DAEJOO CO.,LTD.</t>
  </si>
  <si>
    <t>대주산업</t>
  </si>
  <si>
    <t>www.daejooind.co.kr</t>
  </si>
  <si>
    <t>010280 KS Equity</t>
  </si>
  <si>
    <t>A010280</t>
  </si>
  <si>
    <t>SsangYong Information &amp; Communications Corp.</t>
  </si>
  <si>
    <t>쌍용정보통신</t>
  </si>
  <si>
    <t>클라우드,시스템통합(SI),네트워크 설계 및 구축,시스템운영(SM)</t>
  </si>
  <si>
    <t>www.sicc.co.kr</t>
  </si>
  <si>
    <t>003560 KS Equity</t>
  </si>
  <si>
    <t>A003560</t>
  </si>
  <si>
    <t>IHQ</t>
  </si>
  <si>
    <t>매니지먼트, 음반, 드라마 제작, 유료방송, 프로그램 공급, 광고대행</t>
  </si>
  <si>
    <t>www.ihq.co.kr</t>
  </si>
  <si>
    <t>038060 KS Equity</t>
  </si>
  <si>
    <t>A038060</t>
  </si>
  <si>
    <t>Lumens Co., Ltd.</t>
  </si>
  <si>
    <t>루멘스</t>
  </si>
  <si>
    <t>LED개발 및 제조</t>
  </si>
  <si>
    <t>www.lumens.co.kr</t>
  </si>
  <si>
    <t>009620 KS Equity</t>
  </si>
  <si>
    <t>A009620</t>
  </si>
  <si>
    <t>Sambo Industrial Co., Ltd.</t>
  </si>
  <si>
    <t>삼보산업</t>
  </si>
  <si>
    <t>알미늄괴</t>
  </si>
  <si>
    <t>www.samboind.kr</t>
  </si>
  <si>
    <t>153490 KS Equity</t>
  </si>
  <si>
    <t>A153490</t>
  </si>
  <si>
    <t>WOOREE E&amp;L CO.,Ltd.</t>
  </si>
  <si>
    <t>우리이앤엘</t>
  </si>
  <si>
    <t>LED 패키지</t>
  </si>
  <si>
    <t>www.wooreeenl.co.kr</t>
  </si>
  <si>
    <t>003080 KS Equity</t>
  </si>
  <si>
    <t>A003080</t>
  </si>
  <si>
    <t>SungboChemical</t>
  </si>
  <si>
    <t>성보화학</t>
  </si>
  <si>
    <t>완제농약(해비치과립,카스텔란),원제농약(슈퍼유나니,다이아톤) 제조,도매</t>
  </si>
  <si>
    <t>www.sbcc.kr</t>
  </si>
  <si>
    <t>018700 KS Equity</t>
  </si>
  <si>
    <t>A018700</t>
  </si>
  <si>
    <t>Barunson Co., Ltd.</t>
  </si>
  <si>
    <t>바른손</t>
  </si>
  <si>
    <t>지제품</t>
  </si>
  <si>
    <t>www.barunson.co.kr</t>
  </si>
  <si>
    <t>290120 KS Equity</t>
  </si>
  <si>
    <t>A290120</t>
  </si>
  <si>
    <t>DH오토리드</t>
  </si>
  <si>
    <t>자동차 스티어링휠</t>
  </si>
  <si>
    <t>www.dayouap.co.kr</t>
  </si>
  <si>
    <t>109080 KS Equity</t>
  </si>
  <si>
    <t>A109080</t>
  </si>
  <si>
    <t>Opticis Company Limited</t>
  </si>
  <si>
    <t>옵티시스</t>
  </si>
  <si>
    <t>광링크 모듈 등</t>
  </si>
  <si>
    <t>www.opticis.com</t>
  </si>
  <si>
    <t>238120 KS Equity</t>
  </si>
  <si>
    <t>A238120</t>
  </si>
  <si>
    <t>Aligned Genetics, Inc.</t>
  </si>
  <si>
    <t>얼라인드</t>
  </si>
  <si>
    <t>자동세포카운팅시스템, 생체조직투명화시스템, 디지털세포이미징시스템</t>
  </si>
  <si>
    <t>www.logosbio.com</t>
  </si>
  <si>
    <t>020760 KS Equity</t>
  </si>
  <si>
    <t>A020760</t>
  </si>
  <si>
    <t>ILJIN DISPLAY</t>
  </si>
  <si>
    <t>일진디스플</t>
  </si>
  <si>
    <t>박막액정표시장치(TFT-LCD) 패널,LT(리튬탄탈에이트)웨이퍼,분말야금제품(초고압용공구),보석다이아몬드 제조,판매/종합건설</t>
  </si>
  <si>
    <t>www.iljindisplay.co.kr</t>
  </si>
  <si>
    <t>405000 KS Equity</t>
  </si>
  <si>
    <t>A405000</t>
  </si>
  <si>
    <t>Plasmapp Co., Ltd.</t>
  </si>
  <si>
    <t>플라즈맵</t>
  </si>
  <si>
    <t>플라즈마 멸균기 및 표면처리기기</t>
  </si>
  <si>
    <t>plasmapp.com</t>
  </si>
  <si>
    <t>099520 KS Equity</t>
  </si>
  <si>
    <t>A099520</t>
  </si>
  <si>
    <t>DVR,유선통신기기 제조,무역/소프트웨어 자문,연구개발,기술용역</t>
  </si>
  <si>
    <t>www.itxm2m.com</t>
  </si>
  <si>
    <t>227610 KS Equity</t>
  </si>
  <si>
    <t>A227610</t>
  </si>
  <si>
    <t>Outin Futures Co., Ltd.</t>
  </si>
  <si>
    <t>아우딘퓨쳐스</t>
  </si>
  <si>
    <t>기초화장품, 마스크팩 등</t>
  </si>
  <si>
    <t>www.outinco.com</t>
  </si>
  <si>
    <t>313760 KS Equity</t>
  </si>
  <si>
    <t>A313760</t>
  </si>
  <si>
    <t>태양광 인버터 등</t>
  </si>
  <si>
    <t xml:space="preserve">www.willings.co.kr </t>
  </si>
  <si>
    <t>200780 KS Equity</t>
  </si>
  <si>
    <t>A200780</t>
  </si>
  <si>
    <t>BCWORLD PHARM CO.,LTD.</t>
  </si>
  <si>
    <t>비씨월드제약</t>
  </si>
  <si>
    <t>마취통증약, 순환계약, 항생제, 기타처방약</t>
  </si>
  <si>
    <t>www.bcwp.co.kr</t>
  </si>
  <si>
    <t>139670 KS Equity</t>
  </si>
  <si>
    <t>A139670</t>
  </si>
  <si>
    <t>KineMaster Corporation</t>
  </si>
  <si>
    <t>키네마스터</t>
  </si>
  <si>
    <t>NexMFW, NexPlayer EMB</t>
  </si>
  <si>
    <t>kinemastercorp.com</t>
  </si>
  <si>
    <t>005750 KS Equity</t>
  </si>
  <si>
    <t>A005750</t>
  </si>
  <si>
    <t>DAELIM B&amp;Co</t>
  </si>
  <si>
    <t>대림B&amp;Co</t>
  </si>
  <si>
    <t>위생도기,내장타일,조립식욕실제품 제조,판매/부동산 임대</t>
  </si>
  <si>
    <t>www.daelimbath.com</t>
  </si>
  <si>
    <t>004590 KS Equity</t>
  </si>
  <si>
    <t>A004590</t>
  </si>
  <si>
    <t>Hankook Furniture Co., Ltd.</t>
  </si>
  <si>
    <t>한국가구</t>
  </si>
  <si>
    <t>소파</t>
  </si>
  <si>
    <t>www.koreafurniture.com</t>
  </si>
  <si>
    <t>073110 KS Equity</t>
  </si>
  <si>
    <t>A073110</t>
  </si>
  <si>
    <t>LMS Co., Ltd.</t>
  </si>
  <si>
    <t>엘엠에스</t>
  </si>
  <si>
    <t>프리즘시트</t>
  </si>
  <si>
    <t>www.lmsglobal.com</t>
  </si>
  <si>
    <t>052460 KS Equity</t>
  </si>
  <si>
    <t>A052460</t>
  </si>
  <si>
    <t>iCRAFT Co., Ltd.</t>
  </si>
  <si>
    <t>아이크래프트</t>
  </si>
  <si>
    <t>인터넷핵심망(CCR,MCR,NAS등)</t>
  </si>
  <si>
    <t>www.icraft21.com</t>
  </si>
  <si>
    <t>024830 KS Equity</t>
  </si>
  <si>
    <t>A024830</t>
  </si>
  <si>
    <t>SEWON CORPORATION Co., Ltd.</t>
  </si>
  <si>
    <t>세원물산</t>
  </si>
  <si>
    <t>라디에이터서포터</t>
  </si>
  <si>
    <t>010640 KS Equity</t>
  </si>
  <si>
    <t>A010640</t>
  </si>
  <si>
    <t>ChinYangPolyurethane</t>
  </si>
  <si>
    <t>진양폴리</t>
  </si>
  <si>
    <t>기타 플라스틱 발포 성형제품 제조업</t>
  </si>
  <si>
    <t>폴리우레탄,폴리우레탄스폰지 제조,판매</t>
  </si>
  <si>
    <t>www.chinyangpoly.kr</t>
  </si>
  <si>
    <t>406820 KS Equity</t>
  </si>
  <si>
    <t>A406820</t>
  </si>
  <si>
    <t>BEAUTYSKIN Co., Ltd.</t>
  </si>
  <si>
    <t>뷰티스킨</t>
  </si>
  <si>
    <t>화장품 제조, 브랜드, 유통 사업</t>
  </si>
  <si>
    <t>www.beautyskincorp.co.kr</t>
  </si>
  <si>
    <t>005360 KS Equity</t>
  </si>
  <si>
    <t>A005360</t>
  </si>
  <si>
    <t>Monami</t>
  </si>
  <si>
    <t>모나미</t>
  </si>
  <si>
    <t>생활용 포장ㆍ위생용품, 문구용품 및 출판 인쇄물 도매업</t>
  </si>
  <si>
    <t>문구용품, 회화용품, 사무용품 도매업</t>
  </si>
  <si>
    <t>BP153(BALL POINT PEN), P-3000(PLUS PEN), 유성매직, 보드마카, 네임펜, PARKER, WARTERMAN, 색연필</t>
  </si>
  <si>
    <t>www.monami.com</t>
  </si>
  <si>
    <t>126640 KS Equity</t>
  </si>
  <si>
    <t>A126640</t>
  </si>
  <si>
    <t>HWASHIN PRECISION Co., Ltd.</t>
  </si>
  <si>
    <t>화신정공</t>
  </si>
  <si>
    <t>hsp.hwashin.co.kr</t>
  </si>
  <si>
    <t>429270 KS Equity</t>
  </si>
  <si>
    <t>A429270</t>
  </si>
  <si>
    <t>SIGETRONICS.INC.</t>
  </si>
  <si>
    <t>시지트로닉스</t>
  </si>
  <si>
    <t>특화반도체 소자</t>
  </si>
  <si>
    <t>www.sigetronics.com</t>
  </si>
  <si>
    <t>062860 KS Equity</t>
  </si>
  <si>
    <t>A062860</t>
  </si>
  <si>
    <t>티엘아이</t>
  </si>
  <si>
    <t>www.tli.co.kr</t>
  </si>
  <si>
    <t>246960 KS Equity</t>
  </si>
  <si>
    <t>A246960</t>
  </si>
  <si>
    <t>의료용지혈제, 밀폐제 및 접착제</t>
  </si>
  <si>
    <t>http://www.innotherapy.com</t>
  </si>
  <si>
    <t>142760 KS Equity</t>
  </si>
  <si>
    <t>A142760</t>
  </si>
  <si>
    <t>자궁경부상피이형증 치료제, 자궁경부전암 치료백신</t>
  </si>
  <si>
    <t>www.bioleaders.co.kr</t>
  </si>
  <si>
    <t>034940 KS Equity</t>
  </si>
  <si>
    <t>A034940</t>
  </si>
  <si>
    <t>CHOA PHARMACEURICAL Co., Ltd.</t>
  </si>
  <si>
    <t>조아제약</t>
  </si>
  <si>
    <t>의약품,의약부외품,보건보조식품,위생용품의제조판매</t>
  </si>
  <si>
    <t>www.choa.co.kr</t>
  </si>
  <si>
    <t>123840 KS Equity</t>
  </si>
  <si>
    <t>A123840</t>
  </si>
  <si>
    <t>진공장비</t>
  </si>
  <si>
    <t>www.vacuum-coater.com</t>
  </si>
  <si>
    <t>100660 KS Equity</t>
  </si>
  <si>
    <t>A100660</t>
  </si>
  <si>
    <t>SEOAM MACHINERY INDUSTRY Co., Ltd.</t>
  </si>
  <si>
    <t>서암기계공업</t>
  </si>
  <si>
    <t>공작기계부품(정밀기어,척),산업기계 제조부동산 임대</t>
  </si>
  <si>
    <t>www.smiltd.co.kr</t>
  </si>
  <si>
    <t>307870 KS Equity</t>
  </si>
  <si>
    <t>A307870</t>
  </si>
  <si>
    <t>B2En Co., Ltd.</t>
  </si>
  <si>
    <t>비투엔</t>
  </si>
  <si>
    <t>데이터컨설팅, 품질관리 솔루션</t>
  </si>
  <si>
    <t>www.b2en.com</t>
  </si>
  <si>
    <t>040610 KS Equity</t>
  </si>
  <si>
    <t>A040610</t>
  </si>
  <si>
    <t>SG&amp;G Corporation</t>
  </si>
  <si>
    <t>SG&amp;G</t>
  </si>
  <si>
    <t>생활정보신문</t>
  </si>
  <si>
    <t>www.sgng.com</t>
  </si>
  <si>
    <t>090150 KS Equity</t>
  </si>
  <si>
    <t>A090150</t>
  </si>
  <si>
    <t>iWIN CO.,LTD.</t>
  </si>
  <si>
    <t>아이윈</t>
  </si>
  <si>
    <t>시트히터</t>
  </si>
  <si>
    <t>303030 KS Equity</t>
  </si>
  <si>
    <t>A303030</t>
  </si>
  <si>
    <t>Zinitix Co.,Ltd.</t>
  </si>
  <si>
    <t>지니틱스</t>
  </si>
  <si>
    <t>반도체 IC</t>
  </si>
  <si>
    <t>www.zinitix.com</t>
  </si>
  <si>
    <t>193250 KS Equity</t>
  </si>
  <si>
    <t>A193250</t>
  </si>
  <si>
    <t>휴대폰용 진동모터</t>
  </si>
  <si>
    <t>yjmgames.com</t>
  </si>
  <si>
    <t>090370 KS Equity</t>
  </si>
  <si>
    <t>A090370</t>
  </si>
  <si>
    <t>METALABS</t>
  </si>
  <si>
    <t>메타랩스</t>
  </si>
  <si>
    <t>근무복, 작업복 및 유사의복 제조업</t>
  </si>
  <si>
    <t>여성용 의류(캐쥬얼티셔츠,바지) 제조</t>
  </si>
  <si>
    <t>www.metalabs.co.kr</t>
  </si>
  <si>
    <t>290380 KS Equity</t>
  </si>
  <si>
    <t>A290380</t>
  </si>
  <si>
    <t>DAEYU CO., LTD.</t>
  </si>
  <si>
    <t>대유</t>
  </si>
  <si>
    <t>4종복합비료, 농약</t>
  </si>
  <si>
    <t>www.dae-yu.co.kr</t>
  </si>
  <si>
    <t>109820 KS Equity</t>
  </si>
  <si>
    <t>A109820</t>
  </si>
  <si>
    <t>GENEMATRIX INC.</t>
  </si>
  <si>
    <t>진매트릭스</t>
  </si>
  <si>
    <t>B형간염치료제 내성진단,C형간염바이러스 유전형진단, 자궁경부암유발바이러스 유전형진단</t>
  </si>
  <si>
    <t>www.genematrix.net</t>
  </si>
  <si>
    <t>052770 KS Equity</t>
  </si>
  <si>
    <t>A052770</t>
  </si>
  <si>
    <t>ITOXI Corp.</t>
  </si>
  <si>
    <t>아이톡시</t>
  </si>
  <si>
    <t>게임</t>
  </si>
  <si>
    <t>www.ydonline.co.kr</t>
  </si>
  <si>
    <t>208640 KS Equity</t>
  </si>
  <si>
    <t>A208640</t>
  </si>
  <si>
    <t>Thumbage Co., Ltd.</t>
  </si>
  <si>
    <t>썸에이지</t>
  </si>
  <si>
    <t>www.thumbage.co.kr</t>
  </si>
  <si>
    <t>187660 KS Equity</t>
  </si>
  <si>
    <t>A187660</t>
  </si>
  <si>
    <t>임상 CRO 서비스</t>
  </si>
  <si>
    <t>www.admkorea.co.kr</t>
  </si>
  <si>
    <t>131100 KS Equity</t>
  </si>
  <si>
    <t>A131100</t>
  </si>
  <si>
    <t>TN entertainment Co., Ltd.</t>
  </si>
  <si>
    <t>티엔엔터테인먼트</t>
  </si>
  <si>
    <t>연예인 매니지먼트, 계육, 식음료</t>
  </si>
  <si>
    <t>332290 KS Equity</t>
  </si>
  <si>
    <t>A332290</t>
  </si>
  <si>
    <t>NOUSBO CO., LTD.</t>
  </si>
  <si>
    <t>누보</t>
  </si>
  <si>
    <t>비료, 농약 및 살균, 살충제 제조업</t>
  </si>
  <si>
    <t>www.nousbo.com</t>
  </si>
  <si>
    <t>076080 KS Equity</t>
  </si>
  <si>
    <t>A076080</t>
  </si>
  <si>
    <t>WELCRON HANTEC CO., LTD.</t>
  </si>
  <si>
    <t>웰크론한텍</t>
  </si>
  <si>
    <t>에너지절감설비,자동화배합설비,환경설비</t>
  </si>
  <si>
    <t>www.hantec.co.kr</t>
  </si>
  <si>
    <t>052860 KS Equity</t>
  </si>
  <si>
    <t>A052860</t>
  </si>
  <si>
    <t>I&amp;C Technology Co., Ltd.</t>
  </si>
  <si>
    <t>아이앤씨</t>
  </si>
  <si>
    <t>지상파 DMB용 수신칩(모바일 TV용 SoC)</t>
  </si>
  <si>
    <t>www.inctech.co.kr</t>
  </si>
  <si>
    <t>078590 KS Equity</t>
  </si>
  <si>
    <t>A078590</t>
  </si>
  <si>
    <t>HYULIM A-TECH Co., Ltd.</t>
  </si>
  <si>
    <t>휴림에이텍</t>
  </si>
  <si>
    <t>자동차내장카페트</t>
  </si>
  <si>
    <t>013810 KS Equity</t>
  </si>
  <si>
    <t>A013810</t>
  </si>
  <si>
    <t>SPECO., LTD.</t>
  </si>
  <si>
    <t>스페코</t>
  </si>
  <si>
    <t>아스팔트믹싱플랜트</t>
  </si>
  <si>
    <t>www.speco.co.kr</t>
  </si>
  <si>
    <t>014990 KS Equity</t>
  </si>
  <si>
    <t>A014990</t>
  </si>
  <si>
    <t>In the F</t>
  </si>
  <si>
    <t>인디에프</t>
  </si>
  <si>
    <t>여성의류,남성의류,캐쥬얼웨어 제조</t>
  </si>
  <si>
    <t>www.inthef.co.kr</t>
  </si>
  <si>
    <t>080520 KS Equity</t>
  </si>
  <si>
    <t>A080520</t>
  </si>
  <si>
    <t>ODTech Co.,Ltd.</t>
  </si>
  <si>
    <t>오디텍</t>
  </si>
  <si>
    <t>광반도체, 소자 및 모듈</t>
  </si>
  <si>
    <t>www.od-tech.com</t>
  </si>
  <si>
    <t>083550 KS Equity</t>
  </si>
  <si>
    <t>A083550</t>
  </si>
  <si>
    <t>KM CORPORATION</t>
  </si>
  <si>
    <t>케이엠</t>
  </si>
  <si>
    <t>클린룸용Wiper</t>
  </si>
  <si>
    <t>www.kmbiz.com</t>
  </si>
  <si>
    <t>036170 KS Equity</t>
  </si>
  <si>
    <t>A036170</t>
  </si>
  <si>
    <t>Cloud Air Co., Ltd.</t>
  </si>
  <si>
    <t>클라우드에어</t>
  </si>
  <si>
    <t>www.cloud-air.co.kr</t>
  </si>
  <si>
    <t>007770 KS Equity</t>
  </si>
  <si>
    <t>A007770</t>
  </si>
  <si>
    <t>Hanil Chemical Ind. Co., Ltd.</t>
  </si>
  <si>
    <t>한일화학</t>
  </si>
  <si>
    <t>산화아연</t>
  </si>
  <si>
    <t>www.hanzinc.com</t>
  </si>
  <si>
    <t>363250 KS Equity</t>
  </si>
  <si>
    <t>A363250</t>
  </si>
  <si>
    <t>Genesystem Co., Ltd.</t>
  </si>
  <si>
    <t>진시스템</t>
  </si>
  <si>
    <t>분자진단기반 플랫폼 개발 및 제조·판매</t>
  </si>
  <si>
    <t>www.genesystem.co.kr</t>
  </si>
  <si>
    <t>023960 KS Equity</t>
  </si>
  <si>
    <t>A023960</t>
  </si>
  <si>
    <t>SC ENGINEERING</t>
  </si>
  <si>
    <t>에쓰씨엔지니어링</t>
  </si>
  <si>
    <t>기술용역(건축설계) 서비스/화학플랜트 설비,기계 제작(음식료,석유화학사업관련)/유공압기기 판매</t>
  </si>
  <si>
    <t>www.sc-eng.com</t>
  </si>
  <si>
    <t>151910 KS Equity</t>
  </si>
  <si>
    <t>A151910</t>
  </si>
  <si>
    <t>Blue Filter, IR Filter, Camera Module</t>
  </si>
  <si>
    <t>www.nanosm.com</t>
  </si>
  <si>
    <t>198440 KS Equity</t>
  </si>
  <si>
    <t>A198440</t>
  </si>
  <si>
    <t>시멘트, 레미콘</t>
  </si>
  <si>
    <t>www.koreacement.co.kr</t>
  </si>
  <si>
    <t>039610 KS Equity</t>
  </si>
  <si>
    <t>A039610</t>
  </si>
  <si>
    <t>HS valve Co., Ltd.</t>
  </si>
  <si>
    <t>화성밸브</t>
  </si>
  <si>
    <t>가스밸브, 매몰용접용 볼밸브, 온수분배기</t>
  </si>
  <si>
    <t>www.hsvalve.co.kr</t>
  </si>
  <si>
    <t>169330 KS Equity</t>
  </si>
  <si>
    <t>A169330</t>
  </si>
  <si>
    <t>Macromill Embrain Co., Ltd.</t>
  </si>
  <si>
    <t>엠브레인</t>
  </si>
  <si>
    <t>시장조사 및 여론조사업</t>
  </si>
  <si>
    <t>온라인 및 오프라인 리서치</t>
  </si>
  <si>
    <t>www.embrain.com</t>
  </si>
  <si>
    <t>004870 KS Equity</t>
  </si>
  <si>
    <t>A004870</t>
  </si>
  <si>
    <t>T'way Holdings</t>
  </si>
  <si>
    <t>티웨이홀딩스</t>
  </si>
  <si>
    <t>레미콘,콘크리트파일,완구 제조/미니어쳐테마파크 운영</t>
  </si>
  <si>
    <t>www.twayholdings.com</t>
  </si>
  <si>
    <t>118000 KS Equity</t>
  </si>
  <si>
    <t>A118000</t>
  </si>
  <si>
    <t>051380 KS Equity</t>
  </si>
  <si>
    <t>A051380</t>
  </si>
  <si>
    <t>PC Direct, Inc.</t>
  </si>
  <si>
    <t>피씨디렉트</t>
  </si>
  <si>
    <t>스토리지(HDD), 프로세서(CPU), Memory, Monitor등</t>
  </si>
  <si>
    <t>www.pcdirect.co.kr</t>
  </si>
  <si>
    <t>091090 KS Equity</t>
  </si>
  <si>
    <t>A091090</t>
  </si>
  <si>
    <t>SEWON E&amp;C CO.,LTD.</t>
  </si>
  <si>
    <t>세원이앤씨</t>
  </si>
  <si>
    <t>화학플랜트 설비,기계 제작(음식료,석유화학사업관련)/유공압기기 판매</t>
  </si>
  <si>
    <t>www.sewoncellontech.com</t>
  </si>
  <si>
    <t>217480 KS Equity</t>
  </si>
  <si>
    <t>A217480</t>
  </si>
  <si>
    <t>SD BIOTECHNOLOGIES CO., LTD.</t>
  </si>
  <si>
    <t>에스디생명공학</t>
  </si>
  <si>
    <t>마스크팩, 기초화장품</t>
  </si>
  <si>
    <t>www.sdbiotech.co.kr</t>
  </si>
  <si>
    <t>221800 KS Equity</t>
  </si>
  <si>
    <t>A221800</t>
  </si>
  <si>
    <t>U2BIO CO.,LTD.</t>
  </si>
  <si>
    <t>유투바이오</t>
  </si>
  <si>
    <t>체외진단검사서비스, 의료IT솔루션</t>
  </si>
  <si>
    <t>www.u2bio.co.kr</t>
  </si>
  <si>
    <t>246690 KS Equity</t>
  </si>
  <si>
    <t>A246690</t>
  </si>
  <si>
    <t>T.S.Investment Corporation</t>
  </si>
  <si>
    <t>TS인베스트먼트</t>
  </si>
  <si>
    <t>www.tsinvestment.co.kr</t>
  </si>
  <si>
    <t>012160 KS Equity</t>
  </si>
  <si>
    <t>A012160</t>
  </si>
  <si>
    <t>YOUNGWIRE</t>
  </si>
  <si>
    <t>영흥</t>
  </si>
  <si>
    <t>와이어로프 등</t>
  </si>
  <si>
    <t>www.youngwire.com</t>
  </si>
  <si>
    <t>134790 KS Equity</t>
  </si>
  <si>
    <t>A134790</t>
  </si>
  <si>
    <t>Sidiz,Inc</t>
  </si>
  <si>
    <t>시디즈</t>
  </si>
  <si>
    <t>의자</t>
  </si>
  <si>
    <t>www.sidiz.com</t>
  </si>
  <si>
    <t>181340 KS Equity</t>
  </si>
  <si>
    <t>A181340</t>
  </si>
  <si>
    <t>이즈미디어</t>
  </si>
  <si>
    <t>www.ismedia.com</t>
  </si>
  <si>
    <t>123700 KS Equity</t>
  </si>
  <si>
    <t>A123700</t>
  </si>
  <si>
    <t>SJM CO.,LTD</t>
  </si>
  <si>
    <t>SJM</t>
  </si>
  <si>
    <t>자동차및산업용Bellows</t>
  </si>
  <si>
    <t>www.sjmflex.co.kr</t>
  </si>
  <si>
    <t>199730 KS Equity</t>
  </si>
  <si>
    <t>A199730</t>
  </si>
  <si>
    <t>Bioinfra co., Ltd.</t>
  </si>
  <si>
    <t>바이오인프라</t>
  </si>
  <si>
    <t>생동성시험, 검체 분석</t>
  </si>
  <si>
    <t>bioinfrakorea.co.kr</t>
  </si>
  <si>
    <t>007610 KS Equity</t>
  </si>
  <si>
    <t>A007610</t>
  </si>
  <si>
    <t>SeondoElectric</t>
  </si>
  <si>
    <t>선도전기</t>
  </si>
  <si>
    <t>수배전반,중전기기 제조,도매/전기공사</t>
  </si>
  <si>
    <t>www.seondo.co.kr</t>
  </si>
  <si>
    <t>069540 KS Equity</t>
  </si>
  <si>
    <t>A069540</t>
  </si>
  <si>
    <t>기타무선통신장비제조업</t>
  </si>
  <si>
    <t>www.lightron.co.kr</t>
  </si>
  <si>
    <t>057540 KS Equity</t>
  </si>
  <si>
    <t>A057540</t>
  </si>
  <si>
    <t>OMNI SYSTEM Co., Ltd.</t>
  </si>
  <si>
    <t>옴니시스템</t>
  </si>
  <si>
    <t>전자식전력량계,설비미터,원격검침시스템</t>
  </si>
  <si>
    <t>www.omnisystem.co.kr</t>
  </si>
  <si>
    <t>052600 KS Equity</t>
  </si>
  <si>
    <t>A052600</t>
  </si>
  <si>
    <t>Hannet Co., Ltd.</t>
  </si>
  <si>
    <t>한네트</t>
  </si>
  <si>
    <t>현금서비스, 예금인출</t>
  </si>
  <si>
    <t>www.hannet.net</t>
  </si>
  <si>
    <t>050860 KS Equity</t>
  </si>
  <si>
    <t>A050860</t>
  </si>
  <si>
    <t>ASIA TECHNOLOGY Co., Ltd.</t>
  </si>
  <si>
    <t>아세아텍</t>
  </si>
  <si>
    <t>농기계(관리기,SS기, 이앙기) 제조</t>
  </si>
  <si>
    <t>www.asiakor.com</t>
  </si>
  <si>
    <t>052300 KS Equity</t>
  </si>
  <si>
    <t>A052300</t>
  </si>
  <si>
    <t>CT property Co., Ltd.</t>
  </si>
  <si>
    <t>씨티프라퍼티</t>
  </si>
  <si>
    <t>운송</t>
  </si>
  <si>
    <t>015260 KS Equity</t>
  </si>
  <si>
    <t>A015260</t>
  </si>
  <si>
    <t>AUTOMOBILE&amp;PCB</t>
  </si>
  <si>
    <t>에이엔피</t>
  </si>
  <si>
    <t>전자부품(인쇄회로기판),무정전 전원공급장치 제조</t>
  </si>
  <si>
    <t>www.anpcb.co.kr</t>
  </si>
  <si>
    <t>033200 KS Equity</t>
  </si>
  <si>
    <t>A033200</t>
  </si>
  <si>
    <t>Moatech Co., Ltd.</t>
  </si>
  <si>
    <t>모아텍</t>
  </si>
  <si>
    <t>위치제어용초정및소형모터</t>
  </si>
  <si>
    <t>www.moatech.com</t>
  </si>
  <si>
    <t>289010 KS Equity</t>
  </si>
  <si>
    <t>A289010</t>
  </si>
  <si>
    <t>i-Scream Edu Co.,Ltd.</t>
  </si>
  <si>
    <t>아이스크림에듀</t>
  </si>
  <si>
    <t>기타 인쇄물 출판업</t>
  </si>
  <si>
    <t>아이스크림홈런</t>
  </si>
  <si>
    <t xml:space="preserve">www.home-learn.com </t>
  </si>
  <si>
    <t>072130 KS Equity</t>
  </si>
  <si>
    <t>A072130</t>
  </si>
  <si>
    <t>UANGEL</t>
  </si>
  <si>
    <t>유엔젤</t>
  </si>
  <si>
    <t>소프트웨어(무선인터넷 솔루션,ASP통신사업자용 지능망솔루션 및 단문메세지센터) 개발,공급</t>
  </si>
  <si>
    <t>www.uangel.com</t>
  </si>
  <si>
    <t>263920 KS Equity</t>
  </si>
  <si>
    <t>A263920</t>
  </si>
  <si>
    <t>HuM&amp;C Co., Ltd.</t>
  </si>
  <si>
    <t>휴엠앤씨</t>
  </si>
  <si>
    <t>그 외 기타 달리 분류되지 않은 제품 제조업</t>
  </si>
  <si>
    <t>유리용기, 화장용 스펀지, 퍼프</t>
  </si>
  <si>
    <t>247660 KS Equity</t>
  </si>
  <si>
    <t>A247660</t>
  </si>
  <si>
    <t>NANOCMS CO.,LTD.</t>
  </si>
  <si>
    <t>나노씨엠에스</t>
  </si>
  <si>
    <t>근적외선 흡수/반사 안료, 자외선 유기형광 안료, 적외선 발광체</t>
  </si>
  <si>
    <t>www.nanocms.co.kr</t>
  </si>
  <si>
    <t>245620 KS Equity</t>
  </si>
  <si>
    <t>A245620</t>
  </si>
  <si>
    <t>Eone Diagnomics Genome Center Co., Ltd.</t>
  </si>
  <si>
    <t>EDGC</t>
  </si>
  <si>
    <t>유전체 분석 진단 서비스</t>
  </si>
  <si>
    <t>www.edgc.com</t>
  </si>
  <si>
    <t>045060 KS Equity</t>
  </si>
  <si>
    <t>A045060</t>
  </si>
  <si>
    <t>Okong Corporation</t>
  </si>
  <si>
    <t>오공</t>
  </si>
  <si>
    <t>접착제 및 젤라틴 제조업</t>
  </si>
  <si>
    <t>접착제,씰란트,광택제,연마제</t>
  </si>
  <si>
    <t>www.okong.com</t>
  </si>
  <si>
    <t>276730 KS Equity</t>
  </si>
  <si>
    <t>A276730</t>
  </si>
  <si>
    <t>Jeju Beer Company, Limited</t>
  </si>
  <si>
    <t>제주맥주</t>
  </si>
  <si>
    <t>맥아 및 맥주 제조업</t>
  </si>
  <si>
    <t>맥주</t>
  </si>
  <si>
    <t>www.jejubeer.co.kr</t>
  </si>
  <si>
    <t>007530 KS Equity</t>
  </si>
  <si>
    <t>A007530</t>
  </si>
  <si>
    <t>YM CO., LTD.</t>
  </si>
  <si>
    <t>와이엠</t>
  </si>
  <si>
    <t>볼트, 나사</t>
  </si>
  <si>
    <t>www.ysmic.com</t>
  </si>
  <si>
    <t>140520 KS Equity</t>
  </si>
  <si>
    <t>A140520</t>
  </si>
  <si>
    <t>DaeChang Steel CO., LTD.</t>
  </si>
  <si>
    <t>대창스틸</t>
  </si>
  <si>
    <t>냉연강판, 이중바닥재</t>
  </si>
  <si>
    <t>www.dcsteel.com</t>
  </si>
  <si>
    <t>080010 KS Equity</t>
  </si>
  <si>
    <t>A080010</t>
  </si>
  <si>
    <t>eSang Networks Co., Ltd.</t>
  </si>
  <si>
    <t>이상네트웍스</t>
  </si>
  <si>
    <t>기업간전자상거래서비스</t>
  </si>
  <si>
    <t>www.e-sang.net</t>
  </si>
  <si>
    <t>900310 KS Equity</t>
  </si>
  <si>
    <t>A900310</t>
  </si>
  <si>
    <t>Coloray International Investment Co., Ltd.</t>
  </si>
  <si>
    <t>컬러레이</t>
  </si>
  <si>
    <t>화장품용 진주광택안료</t>
  </si>
  <si>
    <t>www.coloray.co.kr</t>
  </si>
  <si>
    <t>002880 KS Equity</t>
  </si>
  <si>
    <t>A002880</t>
  </si>
  <si>
    <t>DAYOU AUTOMOTIVE SEAT TECHNOLOGY CO.,LTD</t>
  </si>
  <si>
    <t>대유에이텍</t>
  </si>
  <si>
    <t>자동차부품(자동차용 시트)제조</t>
  </si>
  <si>
    <t>www.dayouat.co.kr</t>
  </si>
  <si>
    <t>101390 KS Equity</t>
  </si>
  <si>
    <t>A101390</t>
  </si>
  <si>
    <t>IM Co., Ltd.</t>
  </si>
  <si>
    <t>아이엠</t>
  </si>
  <si>
    <t>휴대폰카메라모듈 등</t>
  </si>
  <si>
    <t>www.im2006.com</t>
  </si>
  <si>
    <t>053590 KS Equity</t>
  </si>
  <si>
    <t>A053590</t>
  </si>
  <si>
    <t>HANKOOK Technology Inc.</t>
  </si>
  <si>
    <t>한국테크놀로지</t>
  </si>
  <si>
    <t>www.myht.co.kr</t>
  </si>
  <si>
    <t>419540 KS Equity</t>
  </si>
  <si>
    <t>A419540</t>
  </si>
  <si>
    <t>BISTOS CO., LTD.</t>
  </si>
  <si>
    <t>비스토스</t>
  </si>
  <si>
    <t>환자 및 태아감시장치</t>
  </si>
  <si>
    <t>www.bistos.co.kr</t>
  </si>
  <si>
    <t>012340 KS Equity</t>
  </si>
  <si>
    <t>A012340</t>
  </si>
  <si>
    <t>NUINTEK Co., Ltd.</t>
  </si>
  <si>
    <t>뉴인텍</t>
  </si>
  <si>
    <t>콘덴서</t>
  </si>
  <si>
    <t>www.nuin.co.kr</t>
  </si>
  <si>
    <t>032580 KS Equity</t>
  </si>
  <si>
    <t>A032580</t>
  </si>
  <si>
    <t>Fidelix Co., Ltd.</t>
  </si>
  <si>
    <t>피델릭스</t>
  </si>
  <si>
    <t>PSRAM 및 LPSDRAM</t>
  </si>
  <si>
    <t>www.fidelix.co.kr</t>
  </si>
  <si>
    <t>054540 KS Equity</t>
  </si>
  <si>
    <t>A054540</t>
  </si>
  <si>
    <t>Samyoung M-Tek Co., Ltd.</t>
  </si>
  <si>
    <t>삼영엠텍</t>
  </si>
  <si>
    <t>구조용 특수장치, 교량부품</t>
  </si>
  <si>
    <t>www.symtek.co.kr</t>
  </si>
  <si>
    <t>019540 KS Equity</t>
  </si>
  <si>
    <t>A019540</t>
  </si>
  <si>
    <t>ILJI TECHNOLOGY CO., LTD.</t>
  </si>
  <si>
    <t>일지테크</t>
  </si>
  <si>
    <t>차체(라지에타, 팩케이지, 씨트 크로스, 대쉬 판넬)</t>
  </si>
  <si>
    <t>www.iljitech.co.kr</t>
  </si>
  <si>
    <t>025530 KS Equity</t>
  </si>
  <si>
    <t>A025530</t>
  </si>
  <si>
    <t>SJM HOLDINGS</t>
  </si>
  <si>
    <t>SJM홀딩스</t>
  </si>
  <si>
    <t>지주회사및경영자문</t>
  </si>
  <si>
    <t>www.sjmholdings.co.kr</t>
  </si>
  <si>
    <t>038620 KS Equity</t>
  </si>
  <si>
    <t>A038620</t>
  </si>
  <si>
    <t>Wiz Corp, Inc.</t>
  </si>
  <si>
    <t>위즈코프</t>
  </si>
  <si>
    <t>운송장비용 연료 소매업</t>
  </si>
  <si>
    <t>운송장비용 주유소 운영업</t>
  </si>
  <si>
    <t>인터넷 인프라 및 응용</t>
  </si>
  <si>
    <t>www.wizcorp.co.kr</t>
  </si>
  <si>
    <t>291650 KS Equity</t>
  </si>
  <si>
    <t>A291650</t>
  </si>
  <si>
    <t>Aptamer Sciences Inc.</t>
  </si>
  <si>
    <t>압타머사이언스</t>
  </si>
  <si>
    <t>압타머기반 신약개발 및 진단제품 개발</t>
  </si>
  <si>
    <t>www.aptsci.com</t>
  </si>
  <si>
    <t>033560 KS Equity</t>
  </si>
  <si>
    <t>A033560</t>
  </si>
  <si>
    <t>BLUECOM Co., Ltd.</t>
  </si>
  <si>
    <t>블루콤</t>
  </si>
  <si>
    <t>블루투스헤드셋</t>
  </si>
  <si>
    <t>www.bluec.co.kr</t>
  </si>
  <si>
    <t>096610 KS Equity</t>
  </si>
  <si>
    <t>A096610</t>
  </si>
  <si>
    <t>RFsemi Technologies, Inc.</t>
  </si>
  <si>
    <t>알에프세미</t>
  </si>
  <si>
    <t>www.rfsemi.co.kr</t>
  </si>
  <si>
    <t>035620 KS Equity</t>
  </si>
  <si>
    <t>A035620</t>
  </si>
  <si>
    <t>Barunson Entertainment &amp; Arts Corporation</t>
  </si>
  <si>
    <t>바른손이앤에이</t>
  </si>
  <si>
    <t>영화 및 콘텐츠 투자배급</t>
  </si>
  <si>
    <t>www.barunsonena.com</t>
  </si>
  <si>
    <t>065440 KS Equity</t>
  </si>
  <si>
    <t>A065440</t>
  </si>
  <si>
    <t>ELUON Corporation</t>
  </si>
  <si>
    <t>이루온</t>
  </si>
  <si>
    <t>이동통신 핵심망 및 서비스망 솔루션 개발 공급</t>
  </si>
  <si>
    <t>www.eluon.com</t>
  </si>
  <si>
    <t>286750 KS Equity</t>
  </si>
  <si>
    <t>A286750</t>
  </si>
  <si>
    <t>NANOBRICK Co., Ltd.</t>
  </si>
  <si>
    <t>나노브릭</t>
  </si>
  <si>
    <t>보안응용제품(M-tag 및 M-pac), 보안소재제품(M-secuprint)</t>
  </si>
  <si>
    <t xml:space="preserve">www.nanobrick.co.kr </t>
  </si>
  <si>
    <t>297570 KS Equity</t>
  </si>
  <si>
    <t>A297570</t>
  </si>
  <si>
    <t>ALOYS Inc.</t>
  </si>
  <si>
    <t>알로이스</t>
  </si>
  <si>
    <t>안드로이드 OTT 멀티미디어 디바이스</t>
  </si>
  <si>
    <t>www.aloys.co.kr</t>
  </si>
  <si>
    <t>021880 KS Equity</t>
  </si>
  <si>
    <t>A021880</t>
  </si>
  <si>
    <t>MASON CAPITAL CORPORATION</t>
  </si>
  <si>
    <t>메이슨캐피탈</t>
  </si>
  <si>
    <t>리스수입</t>
  </si>
  <si>
    <t>www.mason-capital.co.kr</t>
  </si>
  <si>
    <t>148780 KS Equity</t>
  </si>
  <si>
    <t>A148780</t>
  </si>
  <si>
    <t>아이서퍼, 위고몬 등</t>
  </si>
  <si>
    <t>www.bflysoft.co.kr</t>
  </si>
  <si>
    <t>065060 KS Equity</t>
  </si>
  <si>
    <t>A065060</t>
  </si>
  <si>
    <t>GNCO Co., Ltd.</t>
  </si>
  <si>
    <t>지엔코</t>
  </si>
  <si>
    <t>캐쥬얼의류(Thursday Island, TI FOR MEN)</t>
  </si>
  <si>
    <t>www.gnco.co.kr</t>
  </si>
  <si>
    <t>028080 KS Equity</t>
  </si>
  <si>
    <t>A028080</t>
  </si>
  <si>
    <t>Humax Holdings Co., Ltd.</t>
  </si>
  <si>
    <t>휴맥스홀딩스</t>
  </si>
  <si>
    <t>지주사업, IT서비스사업</t>
  </si>
  <si>
    <t>holdings.humaxdigital.com</t>
  </si>
  <si>
    <t>089150 KS Equity</t>
  </si>
  <si>
    <t>A089150</t>
  </si>
  <si>
    <t>Korea Computer Terminal Inc.</t>
  </si>
  <si>
    <t>케이씨티</t>
  </si>
  <si>
    <t>금융단말시스템,복표발매기,마권발매기</t>
  </si>
  <si>
    <t>www.kctinc.co.kr</t>
  </si>
  <si>
    <t>031510 KS Equity</t>
  </si>
  <si>
    <t>A031510</t>
  </si>
  <si>
    <t>Austem Co., Ltd.</t>
  </si>
  <si>
    <t>오스템</t>
  </si>
  <si>
    <t>휠</t>
  </si>
  <si>
    <t>www.austem.co.kr</t>
  </si>
  <si>
    <t>009460 KS Equity</t>
  </si>
  <si>
    <t>A009460</t>
  </si>
  <si>
    <t>HanchangPaper</t>
  </si>
  <si>
    <t>한창제지</t>
  </si>
  <si>
    <t>마닐라판지,고급백판지(ALL PULP) 제조,판매,수출입</t>
  </si>
  <si>
    <t>www.hanchangpaper.co.kr</t>
  </si>
  <si>
    <t>198080 KS Equity</t>
  </si>
  <si>
    <t>A198080</t>
  </si>
  <si>
    <t>NPD CO.,LTD.</t>
  </si>
  <si>
    <t>엔피디</t>
  </si>
  <si>
    <t>스마트폰 OLED용 FPCA</t>
  </si>
  <si>
    <t>www.newportdisplay.co.kr</t>
  </si>
  <si>
    <t>340440 KS Equity</t>
  </si>
  <si>
    <t>A340440</t>
  </si>
  <si>
    <t>SERIM B&amp;G Co.,Ltd.</t>
  </si>
  <si>
    <t>세림B&amp;G</t>
  </si>
  <si>
    <t>기업인수</t>
  </si>
  <si>
    <t>www.serimbng.co.kr</t>
  </si>
  <si>
    <t>123010 KS Equity</t>
  </si>
  <si>
    <t>A123010</t>
  </si>
  <si>
    <t>iWIN PLUS CO.,LTD.</t>
  </si>
  <si>
    <t>아이윈플러스</t>
  </si>
  <si>
    <t>이미지센서 패키징</t>
  </si>
  <si>
    <t>www.iwinplus.kr</t>
  </si>
  <si>
    <t>023770 KS Equity</t>
  </si>
  <si>
    <t>A023770</t>
  </si>
  <si>
    <t>PLAYWITH KOREA Inc.</t>
  </si>
  <si>
    <t>플레이위드</t>
  </si>
  <si>
    <t>게임소프트웨어</t>
  </si>
  <si>
    <t>www.playwith.co.kr</t>
  </si>
  <si>
    <t>391060 KS Equity</t>
  </si>
  <si>
    <t>A391060</t>
  </si>
  <si>
    <t>NH SPECIAL PURPOSE ACQUISITION 20 COMPANY</t>
  </si>
  <si>
    <t>엔에이치스팩20호</t>
  </si>
  <si>
    <t>기업 인수합병</t>
  </si>
  <si>
    <t>177830 KS Equity</t>
  </si>
  <si>
    <t>A177830</t>
  </si>
  <si>
    <t>PAVONINE CO., LTD.</t>
  </si>
  <si>
    <t>파버나인</t>
  </si>
  <si>
    <t>알루미늄 소재 TV 외관재(프레임, 스탠드)</t>
  </si>
  <si>
    <t>www.pavonine.net</t>
  </si>
  <si>
    <t>101240 KS Equity</t>
  </si>
  <si>
    <t>A101240</t>
  </si>
  <si>
    <t>CQV Co., Ltd.</t>
  </si>
  <si>
    <t>씨큐브</t>
  </si>
  <si>
    <t>진주광택안료</t>
  </si>
  <si>
    <t>www.cqv.co.kr</t>
  </si>
  <si>
    <t>033250 KS Equity</t>
  </si>
  <si>
    <t>A033250</t>
  </si>
  <si>
    <t>CHASYS Co.,Ltd</t>
  </si>
  <si>
    <t>체시스</t>
  </si>
  <si>
    <t>자동차부품,뒷차축 제조</t>
  </si>
  <si>
    <t>www.chasys.com</t>
  </si>
  <si>
    <t>311390 KS Equity</t>
  </si>
  <si>
    <t>A311390</t>
  </si>
  <si>
    <t>Neo Cremar Co., Ltd.</t>
  </si>
  <si>
    <t>네오크레마</t>
  </si>
  <si>
    <t>기능성 식품 원료</t>
  </si>
  <si>
    <t xml:space="preserve">www.cremar.co.kr </t>
  </si>
  <si>
    <t>222980 KS Equity</t>
  </si>
  <si>
    <t>A222980</t>
  </si>
  <si>
    <t>Mcnulty Korea Co., Ltd.</t>
  </si>
  <si>
    <t>한국맥널티</t>
  </si>
  <si>
    <t>커피 및 의약품</t>
  </si>
  <si>
    <t>www.mcnultykorea.co.kr</t>
  </si>
  <si>
    <t>221980 KS Equity</t>
  </si>
  <si>
    <t>A221980</t>
  </si>
  <si>
    <t>KDCHEM CO., LTD.</t>
  </si>
  <si>
    <t>케이디켐</t>
  </si>
  <si>
    <t>PVC 안정제</t>
  </si>
  <si>
    <t>www.kdchem.co.kr</t>
  </si>
  <si>
    <t>065650 KS Equity</t>
  </si>
  <si>
    <t>A065650</t>
  </si>
  <si>
    <t>음반재킷 제작</t>
  </si>
  <si>
    <t>www.medifron.com</t>
  </si>
  <si>
    <t>032960 KS Equity</t>
  </si>
  <si>
    <t>A032960</t>
  </si>
  <si>
    <t>DONGIL TECHNOLOGY Ltd.</t>
  </si>
  <si>
    <t>동일기연</t>
  </si>
  <si>
    <t>EMI</t>
  </si>
  <si>
    <t>www.dongiltech.co.kr</t>
  </si>
  <si>
    <t>129890 KS Equity</t>
  </si>
  <si>
    <t>A129890</t>
  </si>
  <si>
    <t>ABKO Co., Ltd.</t>
  </si>
  <si>
    <t>앱코</t>
  </si>
  <si>
    <t>게이밍기어, 뉴라이프가전 등</t>
  </si>
  <si>
    <t>www.abko.co.kr</t>
  </si>
  <si>
    <t>085910 KS Equity</t>
  </si>
  <si>
    <t>A085910</t>
  </si>
  <si>
    <t>NEO TECHNICAL SYSTEM Co., Ltd.</t>
  </si>
  <si>
    <t>네오티스</t>
  </si>
  <si>
    <t>마이크로비트,샤프트</t>
  </si>
  <si>
    <t>www.neotis.co.kr</t>
  </si>
  <si>
    <t>024120 KS Equity</t>
  </si>
  <si>
    <t>A024120</t>
  </si>
  <si>
    <t>KB Autosys Co., Ltd.</t>
  </si>
  <si>
    <t>KB오토시스</t>
  </si>
  <si>
    <t>브레이크패드</t>
  </si>
  <si>
    <t>www.kbautosys.com</t>
  </si>
  <si>
    <t>195500 KS Equity</t>
  </si>
  <si>
    <t>A195500</t>
  </si>
  <si>
    <t>Maniker F&amp;G Co.,Ltd.</t>
  </si>
  <si>
    <t>마니커에프앤지</t>
  </si>
  <si>
    <t>육가공품, 튀김류, 패티류, 삼계탕 등</t>
  </si>
  <si>
    <t>www.manikerfng.com</t>
  </si>
  <si>
    <t>040160 KS Equity</t>
  </si>
  <si>
    <t>A040160</t>
  </si>
  <si>
    <t>NuriFlex Co., Ltd.</t>
  </si>
  <si>
    <t>누리플렉스</t>
  </si>
  <si>
    <t>지능형검침인프라(AMI),에너지관리시스템, 플랫폼 SW</t>
  </si>
  <si>
    <t>012200 KS Equity</t>
  </si>
  <si>
    <t>A012200</t>
  </si>
  <si>
    <t>KeyangElectricMachinery</t>
  </si>
  <si>
    <t>계양전기</t>
  </si>
  <si>
    <t>동력식 수지공구 제조업</t>
  </si>
  <si>
    <t>전동공구(그라인더,드릴,커팅머신 등), 엔진, 자동차용 모터 제조</t>
  </si>
  <si>
    <t>www.keyang.co.kr</t>
  </si>
  <si>
    <t>032750 KS Equity</t>
  </si>
  <si>
    <t>A032750</t>
  </si>
  <si>
    <t>Sam Jin Co., Ltd.</t>
  </si>
  <si>
    <t>삼진</t>
  </si>
  <si>
    <t>리모컨</t>
  </si>
  <si>
    <t>www.samjin.com</t>
  </si>
  <si>
    <t>008370 KS Equity</t>
  </si>
  <si>
    <t>A008370</t>
  </si>
  <si>
    <t>WONPOONG. Co., Ltd.</t>
  </si>
  <si>
    <t>원풍</t>
  </si>
  <si>
    <t>플라스틱 필름</t>
  </si>
  <si>
    <t>www.wonpoong.co.kr</t>
  </si>
  <si>
    <t>900110 KS Equity</t>
  </si>
  <si>
    <t>A900110</t>
  </si>
  <si>
    <t>East Asia Holdings Investment Limited</t>
  </si>
  <si>
    <t>이스트아시아홀딩스</t>
  </si>
  <si>
    <t>스포츠화, 스포츠의류</t>
  </si>
  <si>
    <t>www.eastasiaholdings.co.kr</t>
  </si>
  <si>
    <t>038950 KS Equity</t>
  </si>
  <si>
    <t>A038950</t>
  </si>
  <si>
    <t>Finedigital, Inc.</t>
  </si>
  <si>
    <t>파인디지털</t>
  </si>
  <si>
    <t>원격 RF 감시장치, 디지털 광 중계기, 노드분배기</t>
  </si>
  <si>
    <t>www.finedigital.com</t>
  </si>
  <si>
    <t>143540 KS Equity</t>
  </si>
  <si>
    <t>A143540</t>
  </si>
  <si>
    <t>YoungWoo DSP Co.,Ltd.</t>
  </si>
  <si>
    <t>영우디에스피</t>
  </si>
  <si>
    <t>OLED/LCD 디스플레이 검사장비</t>
  </si>
  <si>
    <t>www.ywdsp.com</t>
  </si>
  <si>
    <t>208710 KS Equity</t>
  </si>
  <si>
    <t>A208710</t>
  </si>
  <si>
    <t>BIOLOG DEVICE Co., Ltd.</t>
  </si>
  <si>
    <t>바이오로그디바이스</t>
  </si>
  <si>
    <t>모바일용 카메라모듈 부품외</t>
  </si>
  <si>
    <t>www.biologdevice.com</t>
  </si>
  <si>
    <t>036690 KS Equity</t>
  </si>
  <si>
    <t>A036690</t>
  </si>
  <si>
    <t>Commax Co., Ltd.</t>
  </si>
  <si>
    <t>코맥스</t>
  </si>
  <si>
    <t>홈네트워크시스템,CCTV 방송설비</t>
  </si>
  <si>
    <t>www.commax.com</t>
  </si>
  <si>
    <t>023150 KS Equity</t>
  </si>
  <si>
    <t>A023150</t>
  </si>
  <si>
    <t>MHETHANOL</t>
  </si>
  <si>
    <t>MH에탄올</t>
  </si>
  <si>
    <t>주정,탄산가스 제조</t>
  </si>
  <si>
    <t>www.mhethanol.com</t>
  </si>
  <si>
    <t>331520 KS Equity</t>
  </si>
  <si>
    <t>A331520</t>
  </si>
  <si>
    <t>VALOFE Co., Ltd.</t>
  </si>
  <si>
    <t>밸로프</t>
  </si>
  <si>
    <t>www.valofe.com</t>
  </si>
  <si>
    <t>368970 KS Equity</t>
  </si>
  <si>
    <t>A368970</t>
  </si>
  <si>
    <t>Organic Special Pet Food Co.,Ltd.</t>
  </si>
  <si>
    <t>오에스피</t>
  </si>
  <si>
    <t>프리미엄 반려동물 사료</t>
  </si>
  <si>
    <t>www.osppetfood.com</t>
  </si>
  <si>
    <t>037760 KS Equity</t>
  </si>
  <si>
    <t>A037760</t>
  </si>
  <si>
    <t>Cenit Co., Ltd.</t>
  </si>
  <si>
    <t>쎄니트</t>
  </si>
  <si>
    <t>스테인레스 냉연강판</t>
  </si>
  <si>
    <t>www.cenit.kr</t>
  </si>
  <si>
    <t>045520 KS Equity</t>
  </si>
  <si>
    <t>A045520</t>
  </si>
  <si>
    <t>Clean &amp; Science Co., Ltd.</t>
  </si>
  <si>
    <t>크린앤사이언스</t>
  </si>
  <si>
    <t>자동차용 여과지</t>
  </si>
  <si>
    <t>www.cands.co.kr</t>
  </si>
  <si>
    <t>049630 KS Equity</t>
  </si>
  <si>
    <t>A049630</t>
  </si>
  <si>
    <t>JAEYOUNG SOLUTEC Co., Ltd.</t>
  </si>
  <si>
    <t>재영솔루텍</t>
  </si>
  <si>
    <t>플라스틱 사출금형</t>
  </si>
  <si>
    <t>www.jysolutec.com</t>
  </si>
  <si>
    <t>312610 KS Equity</t>
  </si>
  <si>
    <t>A312610</t>
  </si>
  <si>
    <t>A.F.W Co., Ltd.</t>
  </si>
  <si>
    <t>에이에프더블류</t>
  </si>
  <si>
    <t>음극마찰용접단자</t>
  </si>
  <si>
    <t>www.asanfw.com</t>
  </si>
  <si>
    <t>058110 KS Equity</t>
  </si>
  <si>
    <t>A058110</t>
  </si>
  <si>
    <t>MEKICS Co., Ltd.</t>
  </si>
  <si>
    <t>멕아이씨에스</t>
  </si>
  <si>
    <t>인공호흡기</t>
  </si>
  <si>
    <t>www.mek-ics.com</t>
  </si>
  <si>
    <t>012280 KS Equity</t>
  </si>
  <si>
    <t>A012280</t>
  </si>
  <si>
    <t>YeonghwaMetal</t>
  </si>
  <si>
    <t>영화금속</t>
  </si>
  <si>
    <t>자동차부품,건축자재(관이음쇠) 제조,판매</t>
  </si>
  <si>
    <t>www.yeonghwa.co.kr</t>
  </si>
  <si>
    <t>046310 KS Equity</t>
  </si>
  <si>
    <t>A046310</t>
  </si>
  <si>
    <t>BG T&amp;A Co.</t>
  </si>
  <si>
    <t>백금T&amp;A</t>
  </si>
  <si>
    <t>레이더디텍터</t>
  </si>
  <si>
    <t>www.bgtna.com</t>
  </si>
  <si>
    <t>051780 KS Equity</t>
  </si>
  <si>
    <t>A051780</t>
  </si>
  <si>
    <t>CUROHOLDINGS Co., Ltd.</t>
  </si>
  <si>
    <t>큐로홀딩스</t>
  </si>
  <si>
    <t>음ㆍ식료품 및 담배 소매업</t>
  </si>
  <si>
    <t>DTIS, Probe Card, H.F PCB</t>
  </si>
  <si>
    <t>www.curoholdings.com</t>
  </si>
  <si>
    <t>072950 KS Equity</t>
  </si>
  <si>
    <t>A072950</t>
  </si>
  <si>
    <t>Vissem Electronics Co.,Ltd.</t>
  </si>
  <si>
    <t>빛샘전자</t>
  </si>
  <si>
    <t>전광판용 LED 모듈, LED 전광판, 광접속함체</t>
  </si>
  <si>
    <t>www.vissem.com</t>
  </si>
  <si>
    <t>037400 KS Equity</t>
  </si>
  <si>
    <t>A037400</t>
  </si>
  <si>
    <t>WOOREE ENTERPRISE Co., Ltd.</t>
  </si>
  <si>
    <t>우리엔터프라이즈</t>
  </si>
  <si>
    <t>변환장치 제조업 백열전구, 형광등</t>
  </si>
  <si>
    <t>210120 KS Equity</t>
  </si>
  <si>
    <t>A210120</t>
  </si>
  <si>
    <t>Victory Contents Co.,Ltd.</t>
  </si>
  <si>
    <t>빅텐츠</t>
  </si>
  <si>
    <t>방송영상 제작, 공급</t>
  </si>
  <si>
    <t>www.vicpd.co.kr</t>
  </si>
  <si>
    <t>146060 KS Equity</t>
  </si>
  <si>
    <t>A146060</t>
  </si>
  <si>
    <t>YULCHON CO.,LTD.</t>
  </si>
  <si>
    <t>율촌</t>
  </si>
  <si>
    <t>냉간인발강관(파이프)</t>
  </si>
  <si>
    <t>www.ycpipe.com</t>
  </si>
  <si>
    <t>221840 KS Equity</t>
  </si>
  <si>
    <t>A221840</t>
  </si>
  <si>
    <t>HIZEAERO Co., Ltd.</t>
  </si>
  <si>
    <t>하이즈항공</t>
  </si>
  <si>
    <t>B787 날개구조물 등</t>
  </si>
  <si>
    <t>www.hizeaero.com</t>
  </si>
  <si>
    <t>114630 KS Equity</t>
  </si>
  <si>
    <t>A114630</t>
  </si>
  <si>
    <t>POLARIS UNO, INC.</t>
  </si>
  <si>
    <t>폴라리스우노</t>
  </si>
  <si>
    <t>PVC가발사, 난연고열사</t>
  </si>
  <si>
    <t>019770 KS Equity</t>
  </si>
  <si>
    <t>A019770</t>
  </si>
  <si>
    <t>SEOYON TOPMETAL CO., LTD.</t>
  </si>
  <si>
    <t>서연탑메탈</t>
  </si>
  <si>
    <t>자동차금형.건설중장비 부품</t>
  </si>
  <si>
    <t>www.seoyontop.com</t>
  </si>
  <si>
    <t>024840 KS Equity</t>
  </si>
  <si>
    <t>A024840</t>
  </si>
  <si>
    <t>KBI METAL Co., Ltd.</t>
  </si>
  <si>
    <t>KBI메탈</t>
  </si>
  <si>
    <t>동ROD, 모터코어</t>
  </si>
  <si>
    <t>https://www.kbimetal.co.kr/</t>
  </si>
  <si>
    <t>006200 KS Equity</t>
  </si>
  <si>
    <t>A006200</t>
  </si>
  <si>
    <t>KEC HOLDINGS</t>
  </si>
  <si>
    <t>한국전자홀딩스</t>
  </si>
  <si>
    <t>시장조사,경영컨설팅</t>
  </si>
  <si>
    <t>www.kecholdings.co.kr</t>
  </si>
  <si>
    <t>138070 KS Equity</t>
  </si>
  <si>
    <t>A138070</t>
  </si>
  <si>
    <t>SINJIN SM CO.,LTD.</t>
  </si>
  <si>
    <t>신진에스엠</t>
  </si>
  <si>
    <t>표준 플레이트</t>
  </si>
  <si>
    <t>www.sinjin-sm.co.kr</t>
  </si>
  <si>
    <t>088290 KS Equity</t>
  </si>
  <si>
    <t>A088290</t>
  </si>
  <si>
    <t>EWON COMFORTECH Co., Ltd.</t>
  </si>
  <si>
    <t>이원컴포텍</t>
  </si>
  <si>
    <t>에어서스펜션 시트/일반고정형 시트/스프링서스펜션 시트</t>
  </si>
  <si>
    <t>www.ewonseat.com</t>
  </si>
  <si>
    <t>153460 KS Equity</t>
  </si>
  <si>
    <t>A153460</t>
  </si>
  <si>
    <t>네이블</t>
  </si>
  <si>
    <t>유무선융합 인프라, 클라이언트 및 All-IP 통신보안</t>
  </si>
  <si>
    <t>www.nablecomm.com</t>
  </si>
  <si>
    <t>005670 KS Equity</t>
  </si>
  <si>
    <t>A005670</t>
  </si>
  <si>
    <t>FOODWELL CORPORATION</t>
  </si>
  <si>
    <t>푸드웰</t>
  </si>
  <si>
    <t>깐밤, 통조림류, 딸기시럽류, 음료제품 등</t>
  </si>
  <si>
    <t>www.foodwell.com</t>
  </si>
  <si>
    <t>290660 KS Equity</t>
  </si>
  <si>
    <t>A290660</t>
  </si>
  <si>
    <t>NEOFECT Co.,Ltd.</t>
  </si>
  <si>
    <t>네오펙트</t>
  </si>
  <si>
    <t>라파엘스마트글러브 외</t>
  </si>
  <si>
    <t>www.neofect.com</t>
  </si>
  <si>
    <t>067010 KS Equity</t>
  </si>
  <si>
    <t>A067010</t>
  </si>
  <si>
    <t>ECS Telecom Co., Ltd.</t>
  </si>
  <si>
    <t>이씨에스</t>
  </si>
  <si>
    <t>컨택센터용교환시스템,업무용교환시스템</t>
  </si>
  <si>
    <t>www.ecstel.co.kr</t>
  </si>
  <si>
    <t>232830 KS Equity</t>
  </si>
  <si>
    <t>A232830</t>
  </si>
  <si>
    <t>SECUCEN CO.,LTD.</t>
  </si>
  <si>
    <t>시큐센</t>
  </si>
  <si>
    <t>디지털 금융 서비스 구축, 모바일 보안솔루션, 생체인증 전자서명</t>
  </si>
  <si>
    <t>www.secucen.com</t>
  </si>
  <si>
    <t>290560 KS Equity</t>
  </si>
  <si>
    <t>A290560</t>
  </si>
  <si>
    <t>SINSIWAY CO., LTD.</t>
  </si>
  <si>
    <t>신시웨이</t>
  </si>
  <si>
    <t>DB보안솔루션 등</t>
  </si>
  <si>
    <t>www.sinsiway.com</t>
  </si>
  <si>
    <t>203450 KS Equity</t>
  </si>
  <si>
    <t>A203450</t>
  </si>
  <si>
    <t>Union community Co., Ltd.</t>
  </si>
  <si>
    <t>유니온커뮤니티</t>
  </si>
  <si>
    <t>지문인식출입통제기</t>
  </si>
  <si>
    <t>www.unioncomm.co.kr</t>
  </si>
  <si>
    <t>328380 KS Equity</t>
  </si>
  <si>
    <t>A328380</t>
  </si>
  <si>
    <t>Saltware Co., Ltd.</t>
  </si>
  <si>
    <t>솔트웨어</t>
  </si>
  <si>
    <t>enView</t>
  </si>
  <si>
    <t>www.saltware.co.kr</t>
  </si>
  <si>
    <t>054300 KS Equity</t>
  </si>
  <si>
    <t>A054300</t>
  </si>
  <si>
    <t>Panstar Enterprise Co., Ltd.</t>
  </si>
  <si>
    <t>팬스타엔터프라이즈</t>
  </si>
  <si>
    <t>자동차 정비용 리프트</t>
  </si>
  <si>
    <t>www.panstar-enterprise.com</t>
  </si>
  <si>
    <t>053950 KS Equity</t>
  </si>
  <si>
    <t>A053950</t>
  </si>
  <si>
    <t>KYUNG NAM PHARM.CO.,LTD.</t>
  </si>
  <si>
    <t>경남제약</t>
  </si>
  <si>
    <t>PCB 드릴가공</t>
  </si>
  <si>
    <t>www.kyungnampharm.co.kr</t>
  </si>
  <si>
    <t>332370 KS Equity</t>
  </si>
  <si>
    <t>A332370</t>
  </si>
  <si>
    <t>IDP Co., Ltd.</t>
  </si>
  <si>
    <t>아이디피</t>
  </si>
  <si>
    <t>카드인쇄용 프린터, 카드인쇄용 리본</t>
  </si>
  <si>
    <t>www.idp-corp.com</t>
  </si>
  <si>
    <t>187270 KS Equity</t>
  </si>
  <si>
    <t>A187270</t>
  </si>
  <si>
    <t>Shin Hwa Contech Co.,Ltd.</t>
  </si>
  <si>
    <t>신화콘텍</t>
  </si>
  <si>
    <t>커넥터(정보통신기기용, 디스플레이용, HDD용 등)</t>
  </si>
  <si>
    <t>www.sh-ct.co.kr</t>
  </si>
  <si>
    <t>356890 KS Equity</t>
  </si>
  <si>
    <t>A356890</t>
  </si>
  <si>
    <t>CyberOne Co., Ltd.</t>
  </si>
  <si>
    <t>싸이버원</t>
  </si>
  <si>
    <t>보안관제 및 보안컨설팅 등</t>
  </si>
  <si>
    <t>www.cyberone.kr</t>
  </si>
  <si>
    <t>051630 KS Equity</t>
  </si>
  <si>
    <t>A051630</t>
  </si>
  <si>
    <t>ChinYangChemicalCorporation</t>
  </si>
  <si>
    <t>진양화학</t>
  </si>
  <si>
    <t>레쟈,바닥재 제조</t>
  </si>
  <si>
    <t>www.chinyang.co.kr</t>
  </si>
  <si>
    <t>291810 KS Equity</t>
  </si>
  <si>
    <t>A291810</t>
  </si>
  <si>
    <t>Pintel Co., Ltd.</t>
  </si>
  <si>
    <t>핀텔</t>
  </si>
  <si>
    <t>AI 영상 분석 솔루션 및 소프트웨어</t>
  </si>
  <si>
    <t>www.pintel.co.kr</t>
  </si>
  <si>
    <t>214870 KS Equity</t>
  </si>
  <si>
    <t>A214870</t>
  </si>
  <si>
    <t>CCTV 카메라</t>
  </si>
  <si>
    <t>www.hdprocctv.com</t>
  </si>
  <si>
    <t>131220 KS Equity</t>
  </si>
  <si>
    <t>A131220</t>
  </si>
  <si>
    <t>DAIHAN SCIENTIFIC Co., Ltd.</t>
  </si>
  <si>
    <t>대한과학</t>
  </si>
  <si>
    <t>의료, 정밀 및 연구실험기기 제조 및 유통</t>
  </si>
  <si>
    <t>www.daihan-sci.com</t>
  </si>
  <si>
    <t>010770 KS Equity</t>
  </si>
  <si>
    <t>A010770</t>
  </si>
  <si>
    <t>Pyung Hwa Holdings</t>
  </si>
  <si>
    <t>평화홀딩스</t>
  </si>
  <si>
    <t>005320 KS Equity</t>
  </si>
  <si>
    <t>A005320</t>
  </si>
  <si>
    <t>남녀용 겉옷 및 셔츠 도매업</t>
  </si>
  <si>
    <t>셔츠,스웨터,파자마(섬유제품) 제조,판매,수출/부동산 임대</t>
  </si>
  <si>
    <t>www.kd.co.kr</t>
  </si>
  <si>
    <t>021650 KS Equity</t>
  </si>
  <si>
    <t>A021650</t>
  </si>
  <si>
    <t>Cubic Korea Inc.</t>
  </si>
  <si>
    <t>한국큐빅</t>
  </si>
  <si>
    <t>Curl Fit(표면처리사업)</t>
  </si>
  <si>
    <t>www.cubic.co.kr</t>
  </si>
  <si>
    <t>006050 KS Equity</t>
  </si>
  <si>
    <t>A006050</t>
  </si>
  <si>
    <t>KukYoung G&amp;M</t>
  </si>
  <si>
    <t>국영지앤엠</t>
  </si>
  <si>
    <t>그 외 기타 유리제품 제조업</t>
  </si>
  <si>
    <t>강화유리</t>
  </si>
  <si>
    <t>www.kukyounggnm.com</t>
  </si>
  <si>
    <t>032980 KS Equity</t>
  </si>
  <si>
    <t>A032980</t>
  </si>
  <si>
    <t>BYON Co., Ltd.</t>
  </si>
  <si>
    <t>바이온</t>
  </si>
  <si>
    <t>배너,타포린,화장품,자동차부품</t>
  </si>
  <si>
    <t>www.by-on.co.kr</t>
  </si>
  <si>
    <t>059100 KS Equity</t>
  </si>
  <si>
    <t>A059100</t>
  </si>
  <si>
    <t>i-Components Co., Ltd.</t>
  </si>
  <si>
    <t>아이컴포넌트</t>
  </si>
  <si>
    <t>액정평판디스플레이용 플라스틱 박판필름 제조업</t>
  </si>
  <si>
    <t>www.i-components.co.kr</t>
  </si>
  <si>
    <t>054090 KS Equity</t>
  </si>
  <si>
    <t>A054090</t>
  </si>
  <si>
    <t>Samjin LND Co., Ltd.</t>
  </si>
  <si>
    <t>삼진엘앤디</t>
  </si>
  <si>
    <t>몰드프레임, TFT-LCD BLU</t>
  </si>
  <si>
    <t>www.samjin.co.kr</t>
  </si>
  <si>
    <t>002290 KS Equity</t>
  </si>
  <si>
    <t>A002290</t>
  </si>
  <si>
    <t>SAMIL ENTERPRISE Co., Ltd.</t>
  </si>
  <si>
    <t>삼일기업공사</t>
  </si>
  <si>
    <t>www.samilenter.com</t>
  </si>
  <si>
    <t>021040 KS Equity</t>
  </si>
  <si>
    <t>A021040</t>
  </si>
  <si>
    <t>dhSteel</t>
  </si>
  <si>
    <t>대호특수강</t>
  </si>
  <si>
    <t>냉간압조용선재</t>
  </si>
  <si>
    <t>www.dhstl.co.kr</t>
  </si>
  <si>
    <t>049120 KS Equity</t>
  </si>
  <si>
    <t>A049120</t>
  </si>
  <si>
    <t>FineDNC. Co., Ltd.</t>
  </si>
  <si>
    <t>파인디앤씨</t>
  </si>
  <si>
    <t>CHASSIS , 금형</t>
  </si>
  <si>
    <t>www.finednc.co.kr</t>
  </si>
  <si>
    <t>448740 KS Equity</t>
  </si>
  <si>
    <t>A448740</t>
  </si>
  <si>
    <t>SAMSUNG SPECIAL PURPOSE ACQUISITION 8 COMPANY</t>
  </si>
  <si>
    <t>삼성스팩8호</t>
  </si>
  <si>
    <t>317120 KS Equity</t>
  </si>
  <si>
    <t>A317120</t>
  </si>
  <si>
    <t>Ranix INC.</t>
  </si>
  <si>
    <t>라닉스</t>
  </si>
  <si>
    <t>자동차 및 IoT 통신, 보안솔루션</t>
  </si>
  <si>
    <t>ranix.co.kr</t>
  </si>
  <si>
    <t>177350 KS Equity</t>
  </si>
  <si>
    <t>A177350</t>
  </si>
  <si>
    <t>Vessel Co., Ltd.</t>
  </si>
  <si>
    <t>베셀</t>
  </si>
  <si>
    <t>디스플레이 제조장비</t>
  </si>
  <si>
    <t>www.vessel21.com</t>
  </si>
  <si>
    <t>006570 KS Equity</t>
  </si>
  <si>
    <t>A006570</t>
  </si>
  <si>
    <t>DaelimTrading</t>
  </si>
  <si>
    <t>대림통상</t>
  </si>
  <si>
    <t>금속 위생용품 제조업</t>
  </si>
  <si>
    <t>수전금구,비데,위생도기,샤워부스,타일,양식기,무역</t>
  </si>
  <si>
    <t>www.dltc.co.kr</t>
  </si>
  <si>
    <t>002410 KS Equity</t>
  </si>
  <si>
    <t>A002410</t>
  </si>
  <si>
    <t>BUMYANG CONSTRUCTION</t>
  </si>
  <si>
    <t>범양건영</t>
  </si>
  <si>
    <t>토목공사,주택건설,건축공사,난방공사,전기공사,포장공사</t>
  </si>
  <si>
    <t>www.iby.co.kr</t>
  </si>
  <si>
    <t>131090 KS Equity</t>
  </si>
  <si>
    <t>A131090</t>
  </si>
  <si>
    <t>SECUVE Co.,Ltd.</t>
  </si>
  <si>
    <t>시큐브</t>
  </si>
  <si>
    <t>시스템보안관리솔루션, 정보유출방지솔루션</t>
  </si>
  <si>
    <t>www.secuve.com</t>
  </si>
  <si>
    <t>054180 KS Equity</t>
  </si>
  <si>
    <t>A054180</t>
  </si>
  <si>
    <t>MEDICOX Co., Ltd.</t>
  </si>
  <si>
    <t>메디콕스</t>
  </si>
  <si>
    <t>XML/SGML 관련 제품 및 솔루션</t>
  </si>
  <si>
    <t>www.c-ocean.co.kr</t>
  </si>
  <si>
    <t>372800 KS Equity</t>
  </si>
  <si>
    <t>A372800</t>
  </si>
  <si>
    <t>ITeyes Inc.</t>
  </si>
  <si>
    <t>아이티아이즈</t>
  </si>
  <si>
    <t>디지털금융솔루션 제공 및 AI, Big Data 서비스, 클라우드 통합 플랫폼 (GURMWI)</t>
  </si>
  <si>
    <t>www.iteyes.co.kr</t>
  </si>
  <si>
    <t>137940 KS Equity</t>
  </si>
  <si>
    <t>A137940</t>
  </si>
  <si>
    <t>NextEye Co., Ltd.</t>
  </si>
  <si>
    <t>넥스트아이</t>
  </si>
  <si>
    <t>LCD 편광필름 검사장비, BLU 검사장비 등</t>
  </si>
  <si>
    <t>www.nexteye.com</t>
  </si>
  <si>
    <t>228340 KS Equity</t>
  </si>
  <si>
    <t>A228340</t>
  </si>
  <si>
    <t>TONGYANG PILE Inc.</t>
  </si>
  <si>
    <t>동양파일</t>
  </si>
  <si>
    <t>PHC파일</t>
  </si>
  <si>
    <t>www.tongyangphc.com</t>
  </si>
  <si>
    <t>089530 KS Equity</t>
  </si>
  <si>
    <t>A089530</t>
  </si>
  <si>
    <t>AT semicon Co., Ltd.</t>
  </si>
  <si>
    <t>에이티세미콘</t>
  </si>
  <si>
    <t>www.atsemi.com</t>
  </si>
  <si>
    <t>263020 KS Equity</t>
  </si>
  <si>
    <t>A263020</t>
  </si>
  <si>
    <t>DKND CO., LTD.</t>
  </si>
  <si>
    <t>디케이앤디</t>
  </si>
  <si>
    <t>합성피혁 및 부직포</t>
  </si>
  <si>
    <t>www.dknd.co.kr</t>
  </si>
  <si>
    <t>000950 KS Equity</t>
  </si>
  <si>
    <t>A000950</t>
  </si>
  <si>
    <t>Chonbang</t>
  </si>
  <si>
    <t>전방</t>
  </si>
  <si>
    <t>면사,면혼방사,마혼방사,화섬사,염색사,자수사,소모사,면직물,면혼방직물,화섬직물,특수가공직물 제조,판매,수출</t>
  </si>
  <si>
    <t>www.chonbang.co.kr</t>
  </si>
  <si>
    <t>197140 KS Equity</t>
  </si>
  <si>
    <t>A197140</t>
  </si>
  <si>
    <t>DigiCAP Co., Ltd.</t>
  </si>
  <si>
    <t>디지캡</t>
  </si>
  <si>
    <t>보호솔루션, 방송서비스솔루션 등</t>
  </si>
  <si>
    <t>www.digicaps.com</t>
  </si>
  <si>
    <t>101000 KS Equity</t>
  </si>
  <si>
    <t>A101000</t>
  </si>
  <si>
    <t>선박용 크레인,선박구성부품,선박의장품,철구조물 제조/철판 도매/부동산 임대</t>
  </si>
  <si>
    <t>www.dongnam-crane.co.kr</t>
  </si>
  <si>
    <t>020180 KS Equity</t>
  </si>
  <si>
    <t>A020180</t>
  </si>
  <si>
    <t>Daishin Information &amp; Communications Co., Ltd.</t>
  </si>
  <si>
    <t>대신정보통신</t>
  </si>
  <si>
    <t>디지털서비스, SI서비스, 산업용 PDA</t>
  </si>
  <si>
    <t>www.dsic.co.kr</t>
  </si>
  <si>
    <t>005820 KS Equity</t>
  </si>
  <si>
    <t>A005820</t>
  </si>
  <si>
    <t>Wonlim</t>
  </si>
  <si>
    <t>원림</t>
  </si>
  <si>
    <t>직물제품 제조업</t>
  </si>
  <si>
    <t>직물포대 제조업</t>
  </si>
  <si>
    <t>고무,플라스틱제품,산업용포장재,PP.BAG,타포린 제조,도매/부동산 임대/주택 신축,판매/인터넷 정보통신/벤처회사 투자</t>
  </si>
  <si>
    <t>www.wonlim.co.kr</t>
  </si>
  <si>
    <t>114450 KS Equity</t>
  </si>
  <si>
    <t>A114450</t>
  </si>
  <si>
    <t>GREEN LIFESCIENCE CO., LTD.</t>
  </si>
  <si>
    <t>그린생명과학</t>
  </si>
  <si>
    <t>의약품 중간체 등</t>
  </si>
  <si>
    <t>www.kpxls.com</t>
  </si>
  <si>
    <t>036180 KS Equity</t>
  </si>
  <si>
    <t>A036180</t>
  </si>
  <si>
    <t>GW Vitek CO., LTD.</t>
  </si>
  <si>
    <t>지더블유바이텍</t>
  </si>
  <si>
    <t>무선통신,방송및응용장치제조업</t>
  </si>
  <si>
    <t>www.younginfrontier.com</t>
  </si>
  <si>
    <t>034300 KS Equity</t>
  </si>
  <si>
    <t>A034300</t>
  </si>
  <si>
    <t>ShinsegaeEngineering&amp;Construction</t>
  </si>
  <si>
    <t>신세계건설</t>
  </si>
  <si>
    <t>토목,건축,건축관련기술서비스,빌딩관리용역,골프장,내장공사,시설개보수,설계용역</t>
  </si>
  <si>
    <t>www.shinsegae-enc.com</t>
  </si>
  <si>
    <t>127710 KS Equity</t>
  </si>
  <si>
    <t>A127710</t>
  </si>
  <si>
    <t>The Asia Business Daily Co., Ltd.</t>
  </si>
  <si>
    <t>아시아경제</t>
  </si>
  <si>
    <t>광고 및 콘텐츠</t>
  </si>
  <si>
    <t>www.asiae.co.kr</t>
  </si>
  <si>
    <t>060240 KS Equity</t>
  </si>
  <si>
    <t>A060240</t>
  </si>
  <si>
    <t>모바일게임(열혈강호,검과마법)</t>
  </si>
  <si>
    <t>380540 KS Equity</t>
  </si>
  <si>
    <t>A380540</t>
  </si>
  <si>
    <t>OptiCore Inc.</t>
  </si>
  <si>
    <t>옵티코어</t>
  </si>
  <si>
    <t>마그네틱 및 광학 매체 제조업</t>
  </si>
  <si>
    <t>광트랜시버, 광다중화장치 등</t>
  </si>
  <si>
    <t>www.opticore.co.kr</t>
  </si>
  <si>
    <t>094860 KS Equity</t>
  </si>
  <si>
    <t>A094860</t>
  </si>
  <si>
    <t>NEORIGIN Co., Ltd.</t>
  </si>
  <si>
    <t>네오리진</t>
  </si>
  <si>
    <t>네트워크장비공급및인터넷트래픽솔루션</t>
  </si>
  <si>
    <t>www.kornicglory.co.kr</t>
  </si>
  <si>
    <t>331380 KS Equity</t>
  </si>
  <si>
    <t>A331380</t>
  </si>
  <si>
    <t>FOCUS HNS Co., Ltd.</t>
  </si>
  <si>
    <t>포커스에이치엔에스</t>
  </si>
  <si>
    <t>영상저장장치 및 카메라</t>
  </si>
  <si>
    <t>www.focushns.co.kr</t>
  </si>
  <si>
    <t>238200 KS Equity</t>
  </si>
  <si>
    <t>A238200</t>
  </si>
  <si>
    <t>BIFIDO Co., Ltd.</t>
  </si>
  <si>
    <t>비피도</t>
  </si>
  <si>
    <t>프로바이오틱스 관련 완제품 및 균주 원말 등</t>
  </si>
  <si>
    <t>www.bifido.com</t>
  </si>
  <si>
    <t>051390 KS Equity</t>
  </si>
  <si>
    <t>A051390</t>
  </si>
  <si>
    <t>YW COMPANY LIMITED</t>
  </si>
  <si>
    <t>YW</t>
  </si>
  <si>
    <t>도소매</t>
  </si>
  <si>
    <t>www.ywtc.com</t>
  </si>
  <si>
    <t>184230 KS Equity</t>
  </si>
  <si>
    <t>A184230</t>
  </si>
  <si>
    <t>SGA Solutions Co.,Ltd.</t>
  </si>
  <si>
    <t>SGA솔루션즈</t>
  </si>
  <si>
    <t>보안솔루션</t>
  </si>
  <si>
    <t>www.sgasol.kr</t>
  </si>
  <si>
    <t>016100 KS Equity</t>
  </si>
  <si>
    <t>A016100</t>
  </si>
  <si>
    <t>LEADERS COSMETICS CO., LTD.</t>
  </si>
  <si>
    <t>리더스코스메틱</t>
  </si>
  <si>
    <t>www.leaderscosmetics.com</t>
  </si>
  <si>
    <t>093240 KS Equity</t>
  </si>
  <si>
    <t>A093240</t>
  </si>
  <si>
    <t>HYUNGJI ELITE</t>
  </si>
  <si>
    <t>형지엘리트</t>
  </si>
  <si>
    <t>학생복,스포츠의류,작업복 제조,도매</t>
  </si>
  <si>
    <t>www.hyungji-elite.com</t>
  </si>
  <si>
    <t>017510 KS Equity</t>
  </si>
  <si>
    <t>A017510</t>
  </si>
  <si>
    <t>SEMYUNG ELECTRIC MACHINERY Co., Ltd.</t>
  </si>
  <si>
    <t>세명전기</t>
  </si>
  <si>
    <t>154kV, 345kV, 765kV 송전,변전,배전용 금구류, 섬유직기용 섹셔날 빔</t>
  </si>
  <si>
    <t>www.semyung-elec.com</t>
  </si>
  <si>
    <t>065500 KS Equity</t>
  </si>
  <si>
    <t>A065500</t>
  </si>
  <si>
    <t>Orient Precision Industries Inc.</t>
  </si>
  <si>
    <t>오리엔트정공</t>
  </si>
  <si>
    <t>하우징, 리테이너베어링</t>
  </si>
  <si>
    <t>www.orientpi.com</t>
  </si>
  <si>
    <t>039310 KS Equity</t>
  </si>
  <si>
    <t>A039310</t>
  </si>
  <si>
    <t>SEJOONG Co., Ltd.</t>
  </si>
  <si>
    <t>세중</t>
  </si>
  <si>
    <t>여행</t>
  </si>
  <si>
    <t>www.sejoong.com</t>
  </si>
  <si>
    <t>121850 KS Equity</t>
  </si>
  <si>
    <t>A121850</t>
  </si>
  <si>
    <t>KOYJ  CO., LTD.</t>
  </si>
  <si>
    <t>코이즈</t>
  </si>
  <si>
    <t>보호필름, 도광판, 백코팅</t>
  </si>
  <si>
    <t>www.koyj.co.kr</t>
  </si>
  <si>
    <t>006920 KS Equity</t>
  </si>
  <si>
    <t>A006920</t>
  </si>
  <si>
    <t>Mohenz Co., Ltd.</t>
  </si>
  <si>
    <t>모헨즈</t>
  </si>
  <si>
    <t>www.imohenz.com</t>
  </si>
  <si>
    <t>025880 KS Equity</t>
  </si>
  <si>
    <t>A025880</t>
  </si>
  <si>
    <t>KC Feed Co., Ltd.</t>
  </si>
  <si>
    <t>케이씨피드</t>
  </si>
  <si>
    <t>www.kcfeed.co.kr</t>
  </si>
  <si>
    <t>435620 KS Equity</t>
  </si>
  <si>
    <t>A435620</t>
  </si>
  <si>
    <t>Hana Financial Twenty-five Special Purpose Acquisition Company</t>
  </si>
  <si>
    <t>하나금융25호스팩</t>
  </si>
  <si>
    <t>030350 KS Equity</t>
  </si>
  <si>
    <t>A030350</t>
  </si>
  <si>
    <t>Dragonfly GF Co., Ltd.</t>
  </si>
  <si>
    <t>드래곤플라이</t>
  </si>
  <si>
    <t>온라인게임</t>
  </si>
  <si>
    <t>www.dragonflygame.com</t>
  </si>
  <si>
    <t>079170 KS Equity</t>
  </si>
  <si>
    <t>A079170</t>
  </si>
  <si>
    <t>Hanchang Industry Co., Ltd.</t>
  </si>
  <si>
    <t>한창산업</t>
  </si>
  <si>
    <t>기타 비철금속 압연, 압출 및 연신 제품 제조업</t>
  </si>
  <si>
    <t>아연말,리튬브로마이드,산화망간,인산아연</t>
  </si>
  <si>
    <t>www.hanchem.com</t>
  </si>
  <si>
    <t>353190 KS Equity</t>
  </si>
  <si>
    <t>A353190</t>
  </si>
  <si>
    <t>Hurum Co., Ltd.</t>
  </si>
  <si>
    <t>휴럼</t>
  </si>
  <si>
    <t>금융지원 서비스</t>
  </si>
  <si>
    <t>hurum.co.kr</t>
  </si>
  <si>
    <t>123750 KS Equity</t>
  </si>
  <si>
    <t>A123750</t>
  </si>
  <si>
    <t>그 외 기타 분류 안된 운송장비 제조업</t>
  </si>
  <si>
    <t>자전거 및 환자용 차량 제조업</t>
  </si>
  <si>
    <t>전기 및 일반자전거 등</t>
  </si>
  <si>
    <t>www.altonsports.co.kr</t>
  </si>
  <si>
    <t>018680 KS Equity</t>
  </si>
  <si>
    <t>A018680</t>
  </si>
  <si>
    <t>SEOUL PHARMA Co., Ltd.</t>
  </si>
  <si>
    <t>서울제약</t>
  </si>
  <si>
    <t>정제,연질캅셀제,경질캅셀제,연고 및 크림제 등</t>
  </si>
  <si>
    <t>www.seoulpharma.com</t>
  </si>
  <si>
    <t>119500 KS Equity</t>
  </si>
  <si>
    <t>A119500</t>
  </si>
  <si>
    <t>FORMETAL Co., Ltd.</t>
  </si>
  <si>
    <t>포메탈</t>
  </si>
  <si>
    <t>자동차,풍력,방위산업,산업기계,농기계등의 단조부품</t>
  </si>
  <si>
    <t>www.formetal.co.kr</t>
  </si>
  <si>
    <t>036000 KS Equity</t>
  </si>
  <si>
    <t>A036000</t>
  </si>
  <si>
    <t>YeaRimDang Publishing Co., Ltd.</t>
  </si>
  <si>
    <t>예림당</t>
  </si>
  <si>
    <t>일반 서적 출판업</t>
  </si>
  <si>
    <t>무선가입자망 단말기 및 차량용핸즈프리</t>
  </si>
  <si>
    <t>www.yearim.co.kr</t>
  </si>
  <si>
    <t>001810 KS Equity</t>
  </si>
  <si>
    <t>A001810</t>
  </si>
  <si>
    <t>Moorim SP Co., Ltd.</t>
  </si>
  <si>
    <t>무림SP</t>
  </si>
  <si>
    <t>아트지,CCP지</t>
  </si>
  <si>
    <t>189860 KS Equity</t>
  </si>
  <si>
    <t>A189860</t>
  </si>
  <si>
    <t>SEOJEON ELECTRIC MACHINERY CO.,LTD.</t>
  </si>
  <si>
    <t>서전기전</t>
  </si>
  <si>
    <t>수배전반, 전력기기, 전기공사</t>
  </si>
  <si>
    <t>www.sjem.co.kr</t>
  </si>
  <si>
    <t>192390 KS Equity</t>
  </si>
  <si>
    <t>A192390</t>
  </si>
  <si>
    <t>WINHITECH CO., Ltd.</t>
  </si>
  <si>
    <t>윈하이텍</t>
  </si>
  <si>
    <t>데크 플레이트(건설용거푸집)</t>
  </si>
  <si>
    <t>www.winhitech.co.kr</t>
  </si>
  <si>
    <t>083640 KS Equity</t>
  </si>
  <si>
    <t>A083640</t>
  </si>
  <si>
    <t>INCON Co., Ltd.</t>
  </si>
  <si>
    <t>인콘</t>
  </si>
  <si>
    <t>영상보안장비 및 영상보안솔루션</t>
  </si>
  <si>
    <t>www.in-con.biz</t>
  </si>
  <si>
    <t>215790 KS Equity</t>
  </si>
  <si>
    <t>A215790</t>
  </si>
  <si>
    <t>INNO INSTRUMENT INC.</t>
  </si>
  <si>
    <t>이노인스트루먼트</t>
  </si>
  <si>
    <t>기업 인수 합병</t>
  </si>
  <si>
    <t>www.innoinstrument.com</t>
  </si>
  <si>
    <t>320000 KS Equity</t>
  </si>
  <si>
    <t>A320000</t>
  </si>
  <si>
    <t>비전검사장비</t>
  </si>
  <si>
    <t>wintec.co.kr</t>
  </si>
  <si>
    <t>065170 KS Equity</t>
  </si>
  <si>
    <t>A065170</t>
  </si>
  <si>
    <t>BL Pharmtech Corp.</t>
  </si>
  <si>
    <t>비엘팜텍</t>
  </si>
  <si>
    <t>기타 신선식품 및 단순 가공식품 도매업</t>
  </si>
  <si>
    <t>건강보조식품 등</t>
  </si>
  <si>
    <t>045300 KS Equity</t>
  </si>
  <si>
    <t>A045300</t>
  </si>
  <si>
    <t>Sungwoo Techron Co., Ltd.</t>
  </si>
  <si>
    <t>성우테크론</t>
  </si>
  <si>
    <t>리드프레임,반도체검사장비</t>
  </si>
  <si>
    <t>www.swmv.co.kr</t>
  </si>
  <si>
    <t>042940 KS Equity</t>
  </si>
  <si>
    <t>A042940</t>
  </si>
  <si>
    <t>건설업, 고급빌라 건축 및 일반 건축, 주택공급 등</t>
  </si>
  <si>
    <t>www.sangji.co.kr</t>
  </si>
  <si>
    <t>001070 KS Equity</t>
  </si>
  <si>
    <t>A001070</t>
  </si>
  <si>
    <t>TaihanTextile</t>
  </si>
  <si>
    <t>대한방직</t>
  </si>
  <si>
    <t>면사,화섬사,면직물 제조,판매,건설</t>
  </si>
  <si>
    <t>www.thtc.co.kr</t>
  </si>
  <si>
    <t>246250 KS Equity</t>
  </si>
  <si>
    <t>A246250</t>
  </si>
  <si>
    <t>SLS BIO(Specialty Lab Solution Bio) Co., Ltd.(Specialty Lab Solution Bio)</t>
  </si>
  <si>
    <t>에스엘에스바이오</t>
  </si>
  <si>
    <t>의약품 품질관리, 신약개발지원, 체외진단기기</t>
  </si>
  <si>
    <t>www.slabs.co.kr</t>
  </si>
  <si>
    <t>071850 KS Equity</t>
  </si>
  <si>
    <t>A071850</t>
  </si>
  <si>
    <t>CASTEC KOREA CO.,LTD.</t>
  </si>
  <si>
    <t>캐스텍코리아</t>
  </si>
  <si>
    <t>자동차용 터보차저 부품</t>
  </si>
  <si>
    <t>www.castec.co.kr</t>
  </si>
  <si>
    <t>036480 KS Equity</t>
  </si>
  <si>
    <t>A036480</t>
  </si>
  <si>
    <t>DAESUNG MICROBIOLOGICAL LABS. CO., LTD.</t>
  </si>
  <si>
    <t>대성미생물</t>
  </si>
  <si>
    <t>동물용 의약품, 미생물제재</t>
  </si>
  <si>
    <t>www.dsmbio.com</t>
  </si>
  <si>
    <t>204630 KS Equity</t>
  </si>
  <si>
    <t>A204630</t>
  </si>
  <si>
    <t>STUDIO SANTA CLAUS ENTERTAINMENT CO., LTD.</t>
  </si>
  <si>
    <t>스튜디오산타클로스</t>
  </si>
  <si>
    <t>www.studiosantaent.com</t>
  </si>
  <si>
    <t>290270 KS Equity</t>
  </si>
  <si>
    <t>A290270</t>
  </si>
  <si>
    <t>Hunesion co.,ltd.</t>
  </si>
  <si>
    <t>휴네시온</t>
  </si>
  <si>
    <t>망간자료전송(i-oneNet)</t>
  </si>
  <si>
    <t>www.hunesion.com</t>
  </si>
  <si>
    <t>296640 KS Equity</t>
  </si>
  <si>
    <t>A296640</t>
  </si>
  <si>
    <t>INNORULES CO.,LTD.</t>
  </si>
  <si>
    <t>이노룰스</t>
  </si>
  <si>
    <t>InnoRules, InnoProduct</t>
  </si>
  <si>
    <t>www.innorules.com</t>
  </si>
  <si>
    <t>024070 KS Equity</t>
  </si>
  <si>
    <t>A024070</t>
  </si>
  <si>
    <t>WISCOM</t>
  </si>
  <si>
    <t>플라스틱제품(PVC컴파운드,ABS,PS가공) 제조,도매,임가공</t>
  </si>
  <si>
    <t>www.wiscom.co.kr</t>
  </si>
  <si>
    <t>045510 KS Equity</t>
  </si>
  <si>
    <t>A045510</t>
  </si>
  <si>
    <t>Zungwon EN-SYS Inc.</t>
  </si>
  <si>
    <t>정원엔시스</t>
  </si>
  <si>
    <t>SI(시스템통합) 관련 소프트웨어, 중.대형 고속 레이져 프린터</t>
  </si>
  <si>
    <t>www.zungwon.co.kr</t>
  </si>
  <si>
    <t>192410 KS Equity</t>
  </si>
  <si>
    <t>A192410</t>
  </si>
  <si>
    <t>Hyulim Networks Co., Ltd.</t>
  </si>
  <si>
    <t>휴림네트웍스</t>
  </si>
  <si>
    <t>지능형서비스로봇, 기지국안테나, 여행</t>
  </si>
  <si>
    <t>089140 KS Equity</t>
  </si>
  <si>
    <t>A089140</t>
  </si>
  <si>
    <t>NEXTURNBIOSCIENCE Co., Ltd.</t>
  </si>
  <si>
    <t>넥스턴바이오</t>
  </si>
  <si>
    <t>CNC자동선반</t>
  </si>
  <si>
    <t>www.nexturn.co.kr</t>
  </si>
  <si>
    <t>187790 KS Equity</t>
  </si>
  <si>
    <t>A187790</t>
  </si>
  <si>
    <t>NANO. Co., Ltd.</t>
  </si>
  <si>
    <t>나노</t>
  </si>
  <si>
    <t>SCR촉매</t>
  </si>
  <si>
    <t>www.nanoin.com</t>
  </si>
  <si>
    <t>075130 KS Equity</t>
  </si>
  <si>
    <t>A075130</t>
  </si>
  <si>
    <t>Plantynet Co., Ltd.</t>
  </si>
  <si>
    <t>플랜티넷</t>
  </si>
  <si>
    <t>유해사이트차단서비스</t>
  </si>
  <si>
    <t>www.plantynet.com</t>
  </si>
  <si>
    <t>000760 KS Equity</t>
  </si>
  <si>
    <t>A000760</t>
  </si>
  <si>
    <t>RIFA</t>
  </si>
  <si>
    <t>이화산업</t>
  </si>
  <si>
    <t>염료, 안료 및 관련제품 도매업</t>
  </si>
  <si>
    <t>염료(반응성염료,분산염료,범용염료,직접염료,산성염료),염료화성품,합성수지,고무 도매,제조</t>
  </si>
  <si>
    <t>www.rifa.co.kr</t>
  </si>
  <si>
    <t>002690 KS Equity</t>
  </si>
  <si>
    <t>A002690</t>
  </si>
  <si>
    <t>DONG IL STEEL MFG CO., LTD</t>
  </si>
  <si>
    <t>동일제강</t>
  </si>
  <si>
    <t>PC강연선, 경강선, 도금선, 마봉강</t>
  </si>
  <si>
    <t>www.dongil-steel.com</t>
  </si>
  <si>
    <t>089230 KS Equity</t>
  </si>
  <si>
    <t>A089230</t>
  </si>
  <si>
    <t>THE E&amp;M Co.,Ltd.</t>
  </si>
  <si>
    <t>THE E&amp;M</t>
  </si>
  <si>
    <t>인터넷 개인방송 플랫폼</t>
  </si>
  <si>
    <t>www.theenm.com</t>
  </si>
  <si>
    <t>001140 KS Equity</t>
  </si>
  <si>
    <t>A001140</t>
  </si>
  <si>
    <t>KUKBO</t>
  </si>
  <si>
    <t>국보</t>
  </si>
  <si>
    <t>화물자동차운송,콘테이너운송,수출입화물보관,도로운송,CY보관,하역</t>
  </si>
  <si>
    <t>www.kukbo.com</t>
  </si>
  <si>
    <t>010400 KS Equity</t>
  </si>
  <si>
    <t>A010400</t>
  </si>
  <si>
    <t>WOOJINI&amp;S</t>
  </si>
  <si>
    <t>우진아이엔에스</t>
  </si>
  <si>
    <t>반도체/디스플레이 코팅덕트</t>
  </si>
  <si>
    <t>www.woojini.com</t>
  </si>
  <si>
    <t>016920 KS Equity</t>
  </si>
  <si>
    <t>A016920</t>
  </si>
  <si>
    <t>CAS Corporation</t>
  </si>
  <si>
    <t>카스</t>
  </si>
  <si>
    <t>전자저울,로드셀</t>
  </si>
  <si>
    <t>www.cas.co.kr</t>
  </si>
  <si>
    <t>076610 KS Equity</t>
  </si>
  <si>
    <t>A076610</t>
  </si>
  <si>
    <t>Haesung Optics Co.,Ltd.</t>
  </si>
  <si>
    <t>해성옵틱스</t>
  </si>
  <si>
    <t>휴대폰용 렌즈모듈 및 카메라모듈</t>
  </si>
  <si>
    <t>www.hso.co.kr</t>
  </si>
  <si>
    <t>008470 KS Equity</t>
  </si>
  <si>
    <t>A008470</t>
  </si>
  <si>
    <t>BOOSTER Co., Ltd.</t>
  </si>
  <si>
    <t>부스타</t>
  </si>
  <si>
    <t>관류보일러,진공온수보일러,무압온수보일러,난방기 제조,판매</t>
  </si>
  <si>
    <t>www.booster.co.kr</t>
  </si>
  <si>
    <t>045340 KS Equity</t>
  </si>
  <si>
    <t>A045340</t>
  </si>
  <si>
    <t>Total Soft Bank Ltd.</t>
  </si>
  <si>
    <t>토탈소프트</t>
  </si>
  <si>
    <t>해운물류소프트웨어 (CATOS 등)</t>
  </si>
  <si>
    <t>www.tsb.co.kr</t>
  </si>
  <si>
    <t>115480 KS Equity</t>
  </si>
  <si>
    <t>A115480</t>
  </si>
  <si>
    <t>CU MEDICAL SYSTEMS Inc.</t>
  </si>
  <si>
    <t>씨유메디칼</t>
  </si>
  <si>
    <t>심장제세동기</t>
  </si>
  <si>
    <t>www.cu911.com</t>
  </si>
  <si>
    <t>065570 KS Equity</t>
  </si>
  <si>
    <t>A065570</t>
  </si>
  <si>
    <t>SAMYUNG ENC Co., Ltd.</t>
  </si>
  <si>
    <t>삼영이엔씨</t>
  </si>
  <si>
    <t>GMDSS장비, GPS플로터 등</t>
  </si>
  <si>
    <t>www.samyungenc.com</t>
  </si>
  <si>
    <t>060380 KS Equity</t>
  </si>
  <si>
    <t>A060380</t>
  </si>
  <si>
    <t>DONGYANG S ·TEC Co., Ltd.</t>
  </si>
  <si>
    <t>동양에스텍</t>
  </si>
  <si>
    <t>열연박판, 열연후판, 무늬강판</t>
  </si>
  <si>
    <t>www.dystec.co.kr</t>
  </si>
  <si>
    <t>013000 KS Equity</t>
  </si>
  <si>
    <t>A013000</t>
  </si>
  <si>
    <t>Sewooglobal</t>
  </si>
  <si>
    <t>세우글로벌</t>
  </si>
  <si>
    <t>화공약품.엔지니어링 플라스틱,페놀계제품,석유화학제품 판매/철재가구,사무목재가구 제조/교육사업</t>
  </si>
  <si>
    <t>www.sewoo21.co.kr</t>
  </si>
  <si>
    <t>130500 KS Equity</t>
  </si>
  <si>
    <t>A130500</t>
  </si>
  <si>
    <t>GH Advanced Materials Inc.</t>
  </si>
  <si>
    <t>GH신소재</t>
  </si>
  <si>
    <t>그 외 기타 섬유제품 제조업</t>
  </si>
  <si>
    <t>부직포 및 펠트 제조업</t>
  </si>
  <si>
    <t>자동차용 부직포, 폴리우레탄 폼</t>
  </si>
  <si>
    <t>www.ghglobal.co.kr</t>
  </si>
  <si>
    <t>048470 KS Equity</t>
  </si>
  <si>
    <t>A048470</t>
  </si>
  <si>
    <t>DaeDongSteel Co., Ltd.</t>
  </si>
  <si>
    <t>대동스틸</t>
  </si>
  <si>
    <t>열연박판, 후판, 무늬강판 외</t>
  </si>
  <si>
    <t>www.daedongsteel.co.kr</t>
  </si>
  <si>
    <t>131760 KS Equity</t>
  </si>
  <si>
    <t>A131760</t>
  </si>
  <si>
    <t>FINETEK CO., LTD.</t>
  </si>
  <si>
    <t>파인텍</t>
  </si>
  <si>
    <t>OLED 제조장비</t>
  </si>
  <si>
    <t>www.ifinetek.com</t>
  </si>
  <si>
    <t>219550 KS Equity</t>
  </si>
  <si>
    <t>A219550</t>
  </si>
  <si>
    <t>DYD Co.,LTD.</t>
  </si>
  <si>
    <t>디와이디</t>
  </si>
  <si>
    <t>www.mphk.co.kr</t>
  </si>
  <si>
    <t>002680 KS Equity</t>
  </si>
  <si>
    <t>A002680</t>
  </si>
  <si>
    <t>Hantop Inc.</t>
  </si>
  <si>
    <t>한탑</t>
  </si>
  <si>
    <t>소맥분(밀가루),배합사료</t>
  </si>
  <si>
    <t>www.hantop.com</t>
  </si>
  <si>
    <t>050120 KS Equity</t>
  </si>
  <si>
    <t>A050120</t>
  </si>
  <si>
    <t>ES CUBE Co.,Ltd.</t>
  </si>
  <si>
    <t>ES큐브</t>
  </si>
  <si>
    <t>기타 생활용 섬유 및 직물제품 도매업</t>
  </si>
  <si>
    <t>텐트, 원 ·부자재</t>
  </si>
  <si>
    <t>www.escube.co.kr</t>
  </si>
  <si>
    <t>080720 KS Equity</t>
  </si>
  <si>
    <t>A080720</t>
  </si>
  <si>
    <t>UNION KOREA PHARM CO., LTD.</t>
  </si>
  <si>
    <t>한국유니온제약</t>
  </si>
  <si>
    <t>항생제, 순환기계, 근골격계, 소화기계류 완제의약품</t>
  </si>
  <si>
    <t>www.ukp.co.kr</t>
  </si>
  <si>
    <t>005030 KS Equity</t>
  </si>
  <si>
    <t>A005030</t>
  </si>
  <si>
    <t>PusanCastIron</t>
  </si>
  <si>
    <t>부산주공</t>
  </si>
  <si>
    <t>자동차부품(엔진부품,조향장치부품,브레이장치부품,오토미셧부품) 제조,도매/부동산 임대</t>
  </si>
  <si>
    <t>www.pci21c.com</t>
  </si>
  <si>
    <t>003680 KS Equity</t>
  </si>
  <si>
    <t>A003680</t>
  </si>
  <si>
    <t>HansungEnterprise</t>
  </si>
  <si>
    <t>한성기업</t>
  </si>
  <si>
    <t>냉동식품,햄제품 제조,도매,보관/원양어업</t>
  </si>
  <si>
    <t>www.hsep.com</t>
  </si>
  <si>
    <t>012620 KS Equity</t>
  </si>
  <si>
    <t>A012620</t>
  </si>
  <si>
    <t>WONIL SPECIAL STEEL Co., Ltd.</t>
  </si>
  <si>
    <t>원일특강</t>
  </si>
  <si>
    <t>특수강</t>
  </si>
  <si>
    <t>www.wonilsteel.co.kr</t>
  </si>
  <si>
    <t>060900 KS Equity</t>
  </si>
  <si>
    <t>A060900</t>
  </si>
  <si>
    <t>DGP Co.,Ltd.</t>
  </si>
  <si>
    <t>DGP</t>
  </si>
  <si>
    <t>풍력 및 태양광 발전업</t>
  </si>
  <si>
    <t>www.daehangreenpower.com</t>
  </si>
  <si>
    <t>009140 KS Equity</t>
  </si>
  <si>
    <t>A009140</t>
  </si>
  <si>
    <t>KyunginElectronics</t>
  </si>
  <si>
    <t>경인전자</t>
  </si>
  <si>
    <t>스위치,리모콘,배선기구,섬머스타트,게임기,전자부품 제조,판매</t>
  </si>
  <si>
    <t>www.kie.co.kr</t>
  </si>
  <si>
    <t>001000 KS Equity</t>
  </si>
  <si>
    <t>A001000</t>
  </si>
  <si>
    <t>SILLA TEXTILE CO., LTD.</t>
  </si>
  <si>
    <t>신라섬유</t>
  </si>
  <si>
    <t>부동산</t>
  </si>
  <si>
    <t xml:space="preserve">www.sillatextile.co.kr        </t>
  </si>
  <si>
    <t>008600 KS Equity</t>
  </si>
  <si>
    <t>A008600</t>
  </si>
  <si>
    <t>TheWillBes</t>
  </si>
  <si>
    <t>윌비스</t>
  </si>
  <si>
    <t>스웨터,니트,셔츠 도매,제조/컴퓨터주변기기 무역,오파,임대</t>
  </si>
  <si>
    <t>www.willbes.com</t>
  </si>
  <si>
    <t>044480 KS Equity</t>
  </si>
  <si>
    <t>A044480</t>
  </si>
  <si>
    <t>고무 의류 및 기타 위생용 비경화 고무제품 제조업</t>
  </si>
  <si>
    <t>콘돔,고무골무,의료용 장갑</t>
  </si>
  <si>
    <t>303360 KS Equity</t>
  </si>
  <si>
    <t>A303360</t>
  </si>
  <si>
    <t>PROTIA INC.</t>
  </si>
  <si>
    <t>프로티아</t>
  </si>
  <si>
    <t>알레르기 진단 제품</t>
  </si>
  <si>
    <t>www.protia.co.kr</t>
  </si>
  <si>
    <t>093380 KS Equity</t>
  </si>
  <si>
    <t>A093380</t>
  </si>
  <si>
    <t>Pungkang Co., Ltd.</t>
  </si>
  <si>
    <t>풍강</t>
  </si>
  <si>
    <t>자동차용너트류</t>
  </si>
  <si>
    <t>www.pungkang.com</t>
  </si>
  <si>
    <t>252500 KS Equity</t>
  </si>
  <si>
    <t>A252500</t>
  </si>
  <si>
    <t>SEWHA P&amp;C INC.</t>
  </si>
  <si>
    <t>세화피앤씨</t>
  </si>
  <si>
    <t>염모제 등</t>
  </si>
  <si>
    <t>www.sewha.co.kr</t>
  </si>
  <si>
    <t>215480 KS Equity</t>
  </si>
  <si>
    <t>A215480</t>
  </si>
  <si>
    <t>TOEBOX KOREA, Ltd.</t>
  </si>
  <si>
    <t>토박스코리아</t>
  </si>
  <si>
    <t>유아동 신발</t>
  </si>
  <si>
    <t>www.toebox.co.kr</t>
  </si>
  <si>
    <t>014100 KS Equity</t>
  </si>
  <si>
    <t>A014100</t>
  </si>
  <si>
    <t>Medience Co., Ltd.</t>
  </si>
  <si>
    <t>메디앙스</t>
  </si>
  <si>
    <t>누크, 비비생활용품, 비앙또마망, 지에닉, 닥터 아토피스</t>
  </si>
  <si>
    <t>www.medience.co.kr</t>
  </si>
  <si>
    <t>230980 KS Equity</t>
  </si>
  <si>
    <t>A230980</t>
  </si>
  <si>
    <t>B.U Technology</t>
  </si>
  <si>
    <t>비유테크놀러지</t>
  </si>
  <si>
    <t>VR기반 교육훈련용솔루션</t>
  </si>
  <si>
    <t>www.soltworks.com</t>
  </si>
  <si>
    <t>208350 KS Equity</t>
  </si>
  <si>
    <t>A208350</t>
  </si>
  <si>
    <t>Jiransecurity Co., Ltd.</t>
  </si>
  <si>
    <t>지란지교시큐리티</t>
  </si>
  <si>
    <t>보안 소프트웨어</t>
  </si>
  <si>
    <t>www.jiransecurity.com</t>
  </si>
  <si>
    <t>095910 KS Equity</t>
  </si>
  <si>
    <t>A095910</t>
  </si>
  <si>
    <t>S-Energy Co., Ltd.</t>
  </si>
  <si>
    <t>에스에너지</t>
  </si>
  <si>
    <t>태양광발전시스템,태양전지모듈</t>
  </si>
  <si>
    <t>www.s-energy.com</t>
  </si>
  <si>
    <t>035460 KS Equity</t>
  </si>
  <si>
    <t>A035460</t>
  </si>
  <si>
    <t>Kisan Telecom Co., Ltd.</t>
  </si>
  <si>
    <t>기산텔레콤</t>
  </si>
  <si>
    <t>광모듈, 에코 켄슬러, 중계기, VoIP Server등</t>
  </si>
  <si>
    <t>www.kisantel.co.kr</t>
  </si>
  <si>
    <t>111870 KS Equity</t>
  </si>
  <si>
    <t>A111870</t>
  </si>
  <si>
    <t>이어폰,헤드폰,키패드</t>
  </si>
  <si>
    <t>086060 KS Equity</t>
  </si>
  <si>
    <t>A086060</t>
  </si>
  <si>
    <t>GeneBioTech Co., Ltd.</t>
  </si>
  <si>
    <t>진바이오텍</t>
  </si>
  <si>
    <t>펩소이젠(식물성단백질),바이오스타치(가공전분),나투포멘(친환경생균제),락토케어(항생제대체형미생물제제)등</t>
  </si>
  <si>
    <t>www.genebiotech.co.kr</t>
  </si>
  <si>
    <t>092600 KS Equity</t>
  </si>
  <si>
    <t>A092600</t>
  </si>
  <si>
    <t>NC&amp; Co., Ltd.</t>
  </si>
  <si>
    <t>앤씨앤</t>
  </si>
  <si>
    <t>차량용 블랙박스 / 영상처리용 시스템반도체</t>
  </si>
  <si>
    <t>237750 KS Equity</t>
  </si>
  <si>
    <t>A237750</t>
  </si>
  <si>
    <t>PNC Technologies Co., Ltd.</t>
  </si>
  <si>
    <t>피앤씨테크</t>
  </si>
  <si>
    <t>배전자동화단말장치</t>
  </si>
  <si>
    <t>www.pnctech.co.kr</t>
  </si>
  <si>
    <t>148250 KS Equity</t>
  </si>
  <si>
    <t>A148250</t>
  </si>
  <si>
    <t>RN2 Technologies Co., Ltd.</t>
  </si>
  <si>
    <t>알엔투테크놀로지</t>
  </si>
  <si>
    <t>이동통신부품(커플러), 의료기기용기판, 파우더</t>
  </si>
  <si>
    <t>www.rn2.co.kr</t>
  </si>
  <si>
    <t>001420 KS Equity</t>
  </si>
  <si>
    <t>A001420</t>
  </si>
  <si>
    <t>TaewonMulsan</t>
  </si>
  <si>
    <t>태원물산</t>
  </si>
  <si>
    <t>자동차부품,워터펌프,인산정제석고,건축자재(불연내장재), 제조,수출입</t>
  </si>
  <si>
    <t>www.twms.co.kr</t>
  </si>
  <si>
    <t>130740 KS Equity</t>
  </si>
  <si>
    <t>A130740</t>
  </si>
  <si>
    <t>TPC Co.,Ltd.</t>
  </si>
  <si>
    <t>티피씨글로벌</t>
  </si>
  <si>
    <t>정밀인발강관, 정밀강관, Water pipe, Filler Neck 등</t>
  </si>
  <si>
    <t>www.tc21.co.kr</t>
  </si>
  <si>
    <t>452980 KS Equity</t>
  </si>
  <si>
    <t>A452980</t>
  </si>
  <si>
    <t>Shinhan 11th Special Purpose Acquisition Company</t>
  </si>
  <si>
    <t>신한제11호스팩</t>
  </si>
  <si>
    <t>금융서비스(기업인수목적 회사)</t>
  </si>
  <si>
    <t>002820 KS Equity</t>
  </si>
  <si>
    <t>A002820</t>
  </si>
  <si>
    <t>SUN&amp;L</t>
  </si>
  <si>
    <t>합판,가정용가구(선우드),MDF,제재목,하드보드 제조/부동산 임대</t>
  </si>
  <si>
    <t>www.sunwood.co.kr</t>
  </si>
  <si>
    <t>072520 KS Equity</t>
  </si>
  <si>
    <t>A072520</t>
  </si>
  <si>
    <t>GenNBio Inc.</t>
  </si>
  <si>
    <t>제넨바이오</t>
  </si>
  <si>
    <t>휴대폰윈도우</t>
  </si>
  <si>
    <t>www.gennbio.com</t>
  </si>
  <si>
    <t>317240 KS Equity</t>
  </si>
  <si>
    <t>A317240</t>
  </si>
  <si>
    <t>TS Trillion Co., Ltd.</t>
  </si>
  <si>
    <t>TS트릴리온</t>
  </si>
  <si>
    <t>www.tstrillion.com</t>
  </si>
  <si>
    <t>101400 KS Equity</t>
  </si>
  <si>
    <t>A101400</t>
  </si>
  <si>
    <t>N CITRON, INC.</t>
  </si>
  <si>
    <t>엔시트론</t>
  </si>
  <si>
    <t>디지털오디오앰프칩</t>
  </si>
  <si>
    <t>www.n-citron.com</t>
  </si>
  <si>
    <t>050760 KS Equity</t>
  </si>
  <si>
    <t>A050760</t>
  </si>
  <si>
    <t>SPOLYTECH Co., Ltd.</t>
  </si>
  <si>
    <t>에스폴리텍</t>
  </si>
  <si>
    <t>유무선 통신용 소프트웨어</t>
  </si>
  <si>
    <t>www.spolytech.com</t>
  </si>
  <si>
    <t>117670 KS Equity</t>
  </si>
  <si>
    <t>A117670</t>
  </si>
  <si>
    <t>Alpha Holdings, Inc.</t>
  </si>
  <si>
    <t>알파홀딩스</t>
  </si>
  <si>
    <t>시스템 반도체 개발</t>
  </si>
  <si>
    <t>alpha-holdings.co.kr</t>
  </si>
  <si>
    <t>900340 KS Equity</t>
  </si>
  <si>
    <t>A900340</t>
  </si>
  <si>
    <t>WING YIP FOOD HOLDINGS GROUP LIMITED</t>
  </si>
  <si>
    <t>윙입푸드</t>
  </si>
  <si>
    <t>육가공 제품</t>
  </si>
  <si>
    <t>www.wingyip-food.com</t>
  </si>
  <si>
    <t>002070 KS Equity</t>
  </si>
  <si>
    <t>A002070</t>
  </si>
  <si>
    <t>VIVIEN CORPORATION</t>
  </si>
  <si>
    <t>비비안</t>
  </si>
  <si>
    <t>여성내의류(스타킹,화운데이숀,란제리),카바링사 제조,수출입/부동산 매매,임대</t>
  </si>
  <si>
    <t>www.vivien.co.kr</t>
  </si>
  <si>
    <t>131180 KS Equity</t>
  </si>
  <si>
    <t>A131180</t>
  </si>
  <si>
    <t>DILLI ILLUSTRATE INC.</t>
  </si>
  <si>
    <t>딜리</t>
  </si>
  <si>
    <t>컴퓨터 프린터 제조업</t>
  </si>
  <si>
    <t>디지털 UV 프린터</t>
  </si>
  <si>
    <t>www.dilli.co.kr</t>
  </si>
  <si>
    <t>258790 KS Equity</t>
  </si>
  <si>
    <t>A258790</t>
  </si>
  <si>
    <t>SOFTCAMP CO., LTD.</t>
  </si>
  <si>
    <t>소프트캠프</t>
  </si>
  <si>
    <t>통합보안솔루션</t>
  </si>
  <si>
    <t>www.softcamp.co.kr</t>
  </si>
  <si>
    <t>190650 KS Equity</t>
  </si>
  <si>
    <t>A190650</t>
  </si>
  <si>
    <t>KOREA ASSET INVESTMENT SECURITIES CO.,LTD.</t>
  </si>
  <si>
    <t>코리아에셋투자증권</t>
  </si>
  <si>
    <t>IB금융자문, 채권인수 및 매매, 투자중개, 펀드운용 등</t>
  </si>
  <si>
    <t>kasset.co.kr</t>
  </si>
  <si>
    <t>079000 KS Equity</t>
  </si>
  <si>
    <t>A079000</t>
  </si>
  <si>
    <t>Watos Corea Co., Ltd.</t>
  </si>
  <si>
    <t>와토스코리아</t>
  </si>
  <si>
    <t>설치용 및 위생용 플라스틱제품 제조업</t>
  </si>
  <si>
    <t>위생도기용부속(양변기용)</t>
  </si>
  <si>
    <t>www.watos.com</t>
  </si>
  <si>
    <t>352940 KS Equity</t>
  </si>
  <si>
    <t>A352940</t>
  </si>
  <si>
    <t>ENBIO CO., LTD.</t>
  </si>
  <si>
    <t>인바이오</t>
  </si>
  <si>
    <t>살균제, 살충제, 제초제 등</t>
  </si>
  <si>
    <t>www.enbio.co.kr</t>
  </si>
  <si>
    <t>084670 KS Equity</t>
  </si>
  <si>
    <t>A084670</t>
  </si>
  <si>
    <t>DONGYANG EXPRESS CORP.</t>
  </si>
  <si>
    <t>동양고속</t>
  </si>
  <si>
    <t>고속버스 운송/부동산 임대</t>
  </si>
  <si>
    <t>www.dyexpress.co.kr</t>
  </si>
  <si>
    <t>104040 KS Equity</t>
  </si>
  <si>
    <t>A104040</t>
  </si>
  <si>
    <t>DAESUNG FINETEC CO., LTD.</t>
  </si>
  <si>
    <t>대성파인텍</t>
  </si>
  <si>
    <t>자동차부품(시트,도어) 제조</t>
  </si>
  <si>
    <t>www.dsfinetec.com</t>
  </si>
  <si>
    <t>084870 KS Equity</t>
  </si>
  <si>
    <t>A084870</t>
  </si>
  <si>
    <t>TBH GLOBAL</t>
  </si>
  <si>
    <t>TBH글로벌</t>
  </si>
  <si>
    <t>캐주얼의류,여성의류,남성의류 제조,도소매</t>
  </si>
  <si>
    <t>www.tbhglobal.co.kr</t>
  </si>
  <si>
    <t>017000 KS Equity</t>
  </si>
  <si>
    <t>A017000</t>
  </si>
  <si>
    <t>SHINWON Construction co.,Ltd.</t>
  </si>
  <si>
    <t>신원종합개발</t>
  </si>
  <si>
    <t>토건</t>
  </si>
  <si>
    <t>www.swc.co.kr</t>
  </si>
  <si>
    <t>002420 KS Equity</t>
  </si>
  <si>
    <t>A002420</t>
  </si>
  <si>
    <t>TheCentury</t>
  </si>
  <si>
    <t>세기상사</t>
  </si>
  <si>
    <t>극장(영화상영)/극영화,만화영화 제조/음식료품,일용잡화 소매/부동산 임대</t>
  </si>
  <si>
    <t>www.daehancinema.co.kr</t>
  </si>
  <si>
    <t>091340 KS Equity</t>
  </si>
  <si>
    <t>A091340</t>
  </si>
  <si>
    <t>S&amp;K Polytec Co., Ltd.</t>
  </si>
  <si>
    <t>S&amp;K폴리텍</t>
  </si>
  <si>
    <t>고밀도폴리우레탄폼시트</t>
  </si>
  <si>
    <t>www.snkpolytec.com</t>
  </si>
  <si>
    <t>079970 KS Equity</t>
  </si>
  <si>
    <t>A079970</t>
  </si>
  <si>
    <t>TOBESOFT Co., Ltd.</t>
  </si>
  <si>
    <t>투비소프트</t>
  </si>
  <si>
    <t>MiPlatform, X Platform</t>
  </si>
  <si>
    <t>www.tobesoft.com</t>
  </si>
  <si>
    <t>318160 KS Equity</t>
  </si>
  <si>
    <t>A318160</t>
  </si>
  <si>
    <t>Cell Bio Human Tech Co.,Ltd.</t>
  </si>
  <si>
    <t>셀바이오휴먼텍</t>
  </si>
  <si>
    <t>마스크팩 섬유소재(시트)</t>
  </si>
  <si>
    <t>cellbiohumantech.co.kr</t>
  </si>
  <si>
    <t>026040 KS Equity</t>
  </si>
  <si>
    <t>A026040</t>
  </si>
  <si>
    <t>J.ESTINA Co.,Ltd.</t>
  </si>
  <si>
    <t>제이에스티나</t>
  </si>
  <si>
    <t>귀금속 및 장신용품 제조업</t>
  </si>
  <si>
    <t>주얼리,가죽제품,손목시계</t>
  </si>
  <si>
    <t>www.jestina.co.kr</t>
  </si>
  <si>
    <t>333050 KS Equity</t>
  </si>
  <si>
    <t>A333050</t>
  </si>
  <si>
    <t>MOCOMSYS, Inc.</t>
  </si>
  <si>
    <t>모코엠시스</t>
  </si>
  <si>
    <t>연계솔루션, 보안솔루션, APM솔루션</t>
  </si>
  <si>
    <t>www.mocomsys.com</t>
  </si>
  <si>
    <t>080470 KS Equity</t>
  </si>
  <si>
    <t>A080470</t>
  </si>
  <si>
    <t>SUNGCHANG AUTOTECH Co., Ltd.</t>
  </si>
  <si>
    <t>성창오토텍</t>
  </si>
  <si>
    <t>차량용 에어컨필터, 차량용인버터 등</t>
  </si>
  <si>
    <t>www.sc-autotech.com</t>
  </si>
  <si>
    <t>113810 KS Equity</t>
  </si>
  <si>
    <t>A113810</t>
  </si>
  <si>
    <t>Dgenx Co., Ltd.</t>
  </si>
  <si>
    <t>디젠스</t>
  </si>
  <si>
    <t>자동차용 소음기(머플러)</t>
  </si>
  <si>
    <t>www.dgenx.com</t>
  </si>
  <si>
    <t>043710 KS Equity</t>
  </si>
  <si>
    <t>A043710</t>
  </si>
  <si>
    <t>SEOULEAGUER Co.,Ltd.</t>
  </si>
  <si>
    <t>서울리거</t>
  </si>
  <si>
    <t>의약품 도매 및 화장품 도소매</t>
  </si>
  <si>
    <t>www.seouleaguer.net</t>
  </si>
  <si>
    <t>081580 KS Equity</t>
  </si>
  <si>
    <t>A081580</t>
  </si>
  <si>
    <t>SUNGWOO ELECTRONICS Co., Ltd.</t>
  </si>
  <si>
    <t>성우전자</t>
  </si>
  <si>
    <t>휴대폰금속프레스부품(전자파차단ShieldCan)</t>
  </si>
  <si>
    <t>www.swei.co.kr</t>
  </si>
  <si>
    <t>018620 KS Equity</t>
  </si>
  <si>
    <t>A018620</t>
  </si>
  <si>
    <t>WooGene B&amp;G Co.,Ltd.</t>
  </si>
  <si>
    <t>우진비앤지</t>
  </si>
  <si>
    <t>슈퍼티아, 안티펜SM</t>
  </si>
  <si>
    <t>www.woogenebng.com</t>
  </si>
  <si>
    <t>043590 KS Equity</t>
  </si>
  <si>
    <t>A043590</t>
  </si>
  <si>
    <t>WELKEEPS HITECH CO., LTD.</t>
  </si>
  <si>
    <t>웰킵스하이텍</t>
  </si>
  <si>
    <t>DRIVER-IC,DDI Package,트랜스포머,코일</t>
  </si>
  <si>
    <t>www.welkeepshitech.com</t>
  </si>
  <si>
    <t>014910 KS Equity</t>
  </si>
  <si>
    <t>A014910</t>
  </si>
  <si>
    <t>SungmoonElectronics</t>
  </si>
  <si>
    <t>성문전자</t>
  </si>
  <si>
    <t>콘덴서용 증착필름,압력분무식 플러스자동도포기 제조,판매</t>
  </si>
  <si>
    <t>www.smec-korea.co.kr</t>
  </si>
  <si>
    <t>439250 KS Equity</t>
  </si>
  <si>
    <t>A439250</t>
  </si>
  <si>
    <t>SAMSUNG SPECIAL PURPOSE ACQUISITION 7 COMPANY</t>
  </si>
  <si>
    <t>삼성스팩7호</t>
  </si>
  <si>
    <t>083470 KS Equity</t>
  </si>
  <si>
    <t>A083470</t>
  </si>
  <si>
    <t>EMnI   Co., Ltd.</t>
  </si>
  <si>
    <t>이엠앤아이</t>
  </si>
  <si>
    <t>OLED 유무기 소재 개발 및 판매</t>
  </si>
  <si>
    <t>www.emni.co.kr</t>
  </si>
  <si>
    <t>331920 KS Equity</t>
  </si>
  <si>
    <t>A331920</t>
  </si>
  <si>
    <t>Celemics, Inc.</t>
  </si>
  <si>
    <t>셀레믹스</t>
  </si>
  <si>
    <t>타겟캡처키트</t>
  </si>
  <si>
    <t>www.celemics.com</t>
  </si>
  <si>
    <t>900120 KS Equity</t>
  </si>
  <si>
    <t>A900120</t>
  </si>
  <si>
    <t>CXI Healthcare Technology Group Limited</t>
  </si>
  <si>
    <t>씨엑스아이</t>
  </si>
  <si>
    <t>건강보조식품</t>
  </si>
  <si>
    <t>www.ckhfnh.co.kr</t>
  </si>
  <si>
    <t>038340 KS Equity</t>
  </si>
  <si>
    <t>A038340</t>
  </si>
  <si>
    <t>MUGUNGHWA INFORMATION TECHNOLOGY CO., LTD.</t>
  </si>
  <si>
    <t>MIT</t>
  </si>
  <si>
    <t>캐패시터</t>
  </si>
  <si>
    <t>310870 KS Equity</t>
  </si>
  <si>
    <t>A310870</t>
  </si>
  <si>
    <t>DYC Co., LTD.</t>
  </si>
  <si>
    <t>디와이씨</t>
  </si>
  <si>
    <t>자동차 부품</t>
  </si>
  <si>
    <t>www.dycauto.com</t>
  </si>
  <si>
    <t>049470 KS Equity</t>
  </si>
  <si>
    <t>A049470</t>
  </si>
  <si>
    <t>SGA Co., Ltd.</t>
  </si>
  <si>
    <t>SGA</t>
  </si>
  <si>
    <t>산업용컴퓨터 제조, 판매</t>
  </si>
  <si>
    <t>www.sgacorp.kr</t>
  </si>
  <si>
    <t>365900 KS Equity</t>
  </si>
  <si>
    <t>A365900</t>
  </si>
  <si>
    <t>VC Inc.</t>
  </si>
  <si>
    <t>브이씨</t>
  </si>
  <si>
    <t>운동 및 경기용구 제조업</t>
  </si>
  <si>
    <t>골프용 거리측정기</t>
  </si>
  <si>
    <t>voicecaddie.co.kr</t>
  </si>
  <si>
    <t>035200 KS Equity</t>
  </si>
  <si>
    <t>A035200</t>
  </si>
  <si>
    <t>PlumbFast Co., Ltd.</t>
  </si>
  <si>
    <t>프럼파스트</t>
  </si>
  <si>
    <t>주택건설용 플라스틱 배관</t>
  </si>
  <si>
    <t>www.plumbfast.co.kr</t>
  </si>
  <si>
    <t>032080 KS Equity</t>
  </si>
  <si>
    <t>A032080</t>
  </si>
  <si>
    <t>AztechWB Co., Ltd.</t>
  </si>
  <si>
    <t>아즈텍WB</t>
  </si>
  <si>
    <t>섬유제품 염색, 정리 및 마무리 가공업</t>
  </si>
  <si>
    <t>직물, 편조원단 및 의복류 염색 가공업</t>
  </si>
  <si>
    <t>직물</t>
  </si>
  <si>
    <t>www.aztechwb.co.kr</t>
  </si>
  <si>
    <t>048830 KS Equity</t>
  </si>
  <si>
    <t>A048830</t>
  </si>
  <si>
    <t>NPK Co., Ltd.</t>
  </si>
  <si>
    <t>엔피케이</t>
  </si>
  <si>
    <t>합성고무 및 플라스틱물질 제조업</t>
  </si>
  <si>
    <t>www.npk.co.kr</t>
  </si>
  <si>
    <t>033050 KS Equity</t>
  </si>
  <si>
    <t>A033050</t>
  </si>
  <si>
    <t>Jeong Moon Information Co., Ltd.</t>
  </si>
  <si>
    <t>제이엠아이</t>
  </si>
  <si>
    <t>CD복제품</t>
  </si>
  <si>
    <t>www.jmikorea.co.kr</t>
  </si>
  <si>
    <t>347700 KS Equity</t>
  </si>
  <si>
    <t>A347700</t>
  </si>
  <si>
    <t>Life Semantics Corp.</t>
  </si>
  <si>
    <t>라이프시맨틱스</t>
  </si>
  <si>
    <t>소프트웨어(개인건강기록 플랫폼,진료기록번역플랫폼,질병분류기호 검색) 개발,공급/의료기기 도매/자문,컨설팅/전자상거래,통신판매</t>
  </si>
  <si>
    <t>www.lifesemantics.kr</t>
  </si>
  <si>
    <t>015020 KS Equity</t>
  </si>
  <si>
    <t>A015020</t>
  </si>
  <si>
    <t>e-STARCO</t>
  </si>
  <si>
    <t>이스타코</t>
  </si>
  <si>
    <t>주거용 건물 개발 및 공급업</t>
  </si>
  <si>
    <t>부동산 분양/입시학원 운영</t>
  </si>
  <si>
    <t>www.e-starco.co.kr</t>
  </si>
  <si>
    <t>085810 KS Equity</t>
  </si>
  <si>
    <t>A085810</t>
  </si>
  <si>
    <t>Alticast Corporation</t>
  </si>
  <si>
    <t>알티캐스트</t>
  </si>
  <si>
    <t>디지털 방송용 소프트웨어(셋톱박스용 미들웨어 등), CAS(수신제한시스템)</t>
  </si>
  <si>
    <t>www.alticast.co.kr</t>
  </si>
  <si>
    <t>317530 KS Equity</t>
  </si>
  <si>
    <t>A317530</t>
  </si>
  <si>
    <t>CARRIESOFT Co., Ltd.</t>
  </si>
  <si>
    <t>캐리소프트</t>
  </si>
  <si>
    <t>일반 영화 및 비디오물 제작업</t>
  </si>
  <si>
    <t>영상 콘텐츠(30.05%), 공연(29.76%), 키즈카페(17.38%), 커머스(12.77%), 라이선스 및 기타(10.04%)</t>
  </si>
  <si>
    <t xml:space="preserve">www.carriesoft.com </t>
  </si>
  <si>
    <t>007120 KS Equity</t>
  </si>
  <si>
    <t>A007120</t>
  </si>
  <si>
    <t>MiraeING</t>
  </si>
  <si>
    <t>미래아이앤지</t>
  </si>
  <si>
    <t>CCTV, DVR제조, 금융솔루션, 방산제품</t>
  </si>
  <si>
    <t>www.miraeing.co.kr</t>
  </si>
  <si>
    <t>060260 KS Equity</t>
  </si>
  <si>
    <t>A060260</t>
  </si>
  <si>
    <t>Nuvotec Co., Ltd.</t>
  </si>
  <si>
    <t>뉴보텍</t>
  </si>
  <si>
    <t>고강성 PVC DC, HDPE 등</t>
  </si>
  <si>
    <t>www.nuvotec.co.kr</t>
  </si>
  <si>
    <t>019490 KS Equity</t>
  </si>
  <si>
    <t>A019490</t>
  </si>
  <si>
    <t>HitronSystems</t>
  </si>
  <si>
    <t>하이트론</t>
  </si>
  <si>
    <t>영상음향기기(보안시스템,CCTV용 모니터,CRT,화상회의시스템),정보통신기기 제조</t>
  </si>
  <si>
    <t>www.hitron.co.kr</t>
  </si>
  <si>
    <t>063760 KS Equity</t>
  </si>
  <si>
    <t>A063760</t>
  </si>
  <si>
    <t>ELP Corp.</t>
  </si>
  <si>
    <t>이엘피</t>
  </si>
  <si>
    <t>OLED 패널검사기 등</t>
  </si>
  <si>
    <t>www.elp.co.kr</t>
  </si>
  <si>
    <t>058530 KS Equity</t>
  </si>
  <si>
    <t>A058530</t>
  </si>
  <si>
    <t>파나케이아</t>
  </si>
  <si>
    <t>www.supexbnp.com</t>
  </si>
  <si>
    <t>224060 KS Equity</t>
  </si>
  <si>
    <t>A224060</t>
  </si>
  <si>
    <t>THE CODI Co.,LTD.</t>
  </si>
  <si>
    <t>더코디</t>
  </si>
  <si>
    <t>반도체 및 평판디스플레이 제조용 장비(IRIS, LOZIX, HP/CP)</t>
  </si>
  <si>
    <t>009310 KS Equity</t>
  </si>
  <si>
    <t>A009310</t>
  </si>
  <si>
    <t>Charm Engineering</t>
  </si>
  <si>
    <t>참엔지니어링</t>
  </si>
  <si>
    <t>FPD Laser Repair 장비 등 (FPD 장비의 개발과 제조 및 판매)</t>
  </si>
  <si>
    <t>www.charmeng.com</t>
  </si>
  <si>
    <t>299910 KS Equity</t>
  </si>
  <si>
    <t>A299910</t>
  </si>
  <si>
    <t>www.vespainteractive.com</t>
  </si>
  <si>
    <t>044780 KS Equity</t>
  </si>
  <si>
    <t>A044780</t>
  </si>
  <si>
    <t>HK Co., Ltd.</t>
  </si>
  <si>
    <t>에이치케이</t>
  </si>
  <si>
    <t>레이저가공 절단기</t>
  </si>
  <si>
    <t>www.hk-global.com</t>
  </si>
  <si>
    <t>030720 KS Equity</t>
  </si>
  <si>
    <t>A030720</t>
  </si>
  <si>
    <t>DongwonFisheries</t>
  </si>
  <si>
    <t>동원수산</t>
  </si>
  <si>
    <t>원양어업/수산물 제조,가공/참치어류 냉동냉장업</t>
  </si>
  <si>
    <t>www.dongwonfish.co.kr</t>
  </si>
  <si>
    <t>067730 KS Equity</t>
  </si>
  <si>
    <t>A067730</t>
  </si>
  <si>
    <t>LOGISYS INC.</t>
  </si>
  <si>
    <t>로지시스</t>
  </si>
  <si>
    <t>기타 정보기술 및 컴퓨터운영 관련 서비스업</t>
  </si>
  <si>
    <t>전산장비 판매 및 유지보수, VAN기기 대행관리</t>
  </si>
  <si>
    <t>www.logisys.co.kr</t>
  </si>
  <si>
    <t>154030 KS Equity</t>
  </si>
  <si>
    <t>A154030</t>
  </si>
  <si>
    <t>ASIA SEED Co.,Ltd.</t>
  </si>
  <si>
    <t>아시아종묘</t>
  </si>
  <si>
    <t>작물 재배업</t>
  </si>
  <si>
    <t>종자</t>
  </si>
  <si>
    <t>www.asiaseed.net</t>
  </si>
  <si>
    <t>044380 KS Equity</t>
  </si>
  <si>
    <t>A044380</t>
  </si>
  <si>
    <t>JOOYONTECH</t>
  </si>
  <si>
    <t>주연테크</t>
  </si>
  <si>
    <t>각종컴퓨터,주변기기 제조/소프트웨어 개발</t>
  </si>
  <si>
    <t>www.jooyon.co.kr</t>
  </si>
  <si>
    <t>426550 KS Equity</t>
  </si>
  <si>
    <t>A426550</t>
  </si>
  <si>
    <t>IBKS No.19 Special Purpose Acquisition Company</t>
  </si>
  <si>
    <t>IBKS제19호스팩</t>
  </si>
  <si>
    <t>058450 KS Equity</t>
  </si>
  <si>
    <t>A058450</t>
  </si>
  <si>
    <t>컴퓨터, 복사기 등의 부품</t>
  </si>
  <si>
    <t>www.ilya.co.kr</t>
  </si>
  <si>
    <t>032280 KS Equity</t>
  </si>
  <si>
    <t>A032280</t>
  </si>
  <si>
    <t>SAMIL. Co., Ltd.</t>
  </si>
  <si>
    <t>삼일</t>
  </si>
  <si>
    <t>운송 및 하역수입</t>
  </si>
  <si>
    <t>www.samil31.co.kr</t>
  </si>
  <si>
    <t>000040 KS Equity</t>
  </si>
  <si>
    <t>A000040</t>
  </si>
  <si>
    <t>KR MOTORS</t>
  </si>
  <si>
    <t>KR모터스</t>
  </si>
  <si>
    <t>모터사이클 제조업</t>
  </si>
  <si>
    <t>이륜차(오토바이) 제조,도매</t>
  </si>
  <si>
    <t>www.krmotors.com</t>
  </si>
  <si>
    <t>225590 KS Equity</t>
  </si>
  <si>
    <t>A225590</t>
  </si>
  <si>
    <t>Fashion Platform CO.,LTD.</t>
  </si>
  <si>
    <t>패션플랫폼</t>
  </si>
  <si>
    <t>여성복</t>
  </si>
  <si>
    <t>www.fashion-platform.co.kr</t>
  </si>
  <si>
    <t>154040 KS Equity</t>
  </si>
  <si>
    <t>A154040</t>
  </si>
  <si>
    <t>Dasan Solueta Co.,Ltd.</t>
  </si>
  <si>
    <t>다산솔루에타</t>
  </si>
  <si>
    <t>전자파 차폐소재</t>
  </si>
  <si>
    <t>www.solueta.com</t>
  </si>
  <si>
    <t>008290 KS Equity</t>
  </si>
  <si>
    <t>A008290</t>
  </si>
  <si>
    <t>Won Pung Mulsan Co., Ltd.</t>
  </si>
  <si>
    <t>원풍물산</t>
  </si>
  <si>
    <t>남성용신사복</t>
  </si>
  <si>
    <t>www.wonpung.com, www.kinloch.c</t>
  </si>
  <si>
    <t>079190 KS Equity</t>
  </si>
  <si>
    <t>A079190</t>
  </si>
  <si>
    <t>KESPION Co., Ltd.</t>
  </si>
  <si>
    <t>케스피온</t>
  </si>
  <si>
    <t>휴대폰안테나</t>
  </si>
  <si>
    <t>www.emw.co.kr</t>
  </si>
  <si>
    <t>011090 KS Equity</t>
  </si>
  <si>
    <t>A011090</t>
  </si>
  <si>
    <t>Enex</t>
  </si>
  <si>
    <t>에넥스</t>
  </si>
  <si>
    <t>주방용 및 음식점용 목재가구 제조업</t>
  </si>
  <si>
    <t>씽크상판,주방기기,목재케비넷,유해가스저감장치시설 제조,판매</t>
  </si>
  <si>
    <t>www.enex.co.kr</t>
  </si>
  <si>
    <t>053060 KS Equity</t>
  </si>
  <si>
    <t>A053060</t>
  </si>
  <si>
    <t>SAEDONG Co., Ltd.</t>
  </si>
  <si>
    <t>세동</t>
  </si>
  <si>
    <t>도어벨트, 몰딩</t>
  </si>
  <si>
    <t>www.saedong.co.kr</t>
  </si>
  <si>
    <t>020400 KS Equity</t>
  </si>
  <si>
    <t>A020400</t>
  </si>
  <si>
    <t>Daedong Metals Co., Ltd.</t>
  </si>
  <si>
    <t>대동금속</t>
  </si>
  <si>
    <t>농기계 주문제품 및 상용차 실린더 헤드, 경승용차 실린더 브록 외</t>
  </si>
  <si>
    <t>www.daedongmetals.co.kr</t>
  </si>
  <si>
    <t>424760 KS Equity</t>
  </si>
  <si>
    <t>A424760</t>
  </si>
  <si>
    <t>Bellock Inc.</t>
  </si>
  <si>
    <t>벨로크</t>
  </si>
  <si>
    <t>보안솔루션,보안서비스</t>
  </si>
  <si>
    <t>www.bellock.co.kr</t>
  </si>
  <si>
    <t>025890 KS Equity</t>
  </si>
  <si>
    <t>A025890</t>
  </si>
  <si>
    <t>HankookSteel</t>
  </si>
  <si>
    <t>한국주강</t>
  </si>
  <si>
    <t>주강,주물 제조,도매</t>
  </si>
  <si>
    <t>www.hascokorea.co.kr</t>
  </si>
  <si>
    <t>084440 KS Equity</t>
  </si>
  <si>
    <t>A084440</t>
  </si>
  <si>
    <t>UBION Co., Ltd.</t>
  </si>
  <si>
    <t>유비온</t>
  </si>
  <si>
    <t>학습관리시스템 등 에듀테크 플랫폼 (코스모스) 및 교육서비스</t>
  </si>
  <si>
    <t>www.ubion.co.kr</t>
  </si>
  <si>
    <t>043090 KS Equity</t>
  </si>
  <si>
    <t>A043090</t>
  </si>
  <si>
    <t>바이오리엑터(Bioreactor, 생물반응기)</t>
  </si>
  <si>
    <t>344860 KS Equity</t>
  </si>
  <si>
    <t>A344860</t>
  </si>
  <si>
    <t>INNOGENE CO.,LTD.</t>
  </si>
  <si>
    <t>이노진</t>
  </si>
  <si>
    <t>탈모케어제품(볼빅), 피부케어제품(Dr.메디션)</t>
  </si>
  <si>
    <t>www.innogene.com</t>
  </si>
  <si>
    <t>019570 KS Equity</t>
  </si>
  <si>
    <t>A019570</t>
  </si>
  <si>
    <t>금융투자</t>
  </si>
  <si>
    <t>www.geminivc.co.kr</t>
  </si>
  <si>
    <t>025870 KS Equity</t>
  </si>
  <si>
    <t>A025870</t>
  </si>
  <si>
    <t>SILLA SG Co., Ltd.</t>
  </si>
  <si>
    <t>신라에스지</t>
  </si>
  <si>
    <t>수산물도매</t>
  </si>
  <si>
    <t>www.sillasg.co.kr</t>
  </si>
  <si>
    <t>079650 KS Equity</t>
  </si>
  <si>
    <t>A079650</t>
  </si>
  <si>
    <t>SeoSanCo., Ltd.</t>
  </si>
  <si>
    <t>서산</t>
  </si>
  <si>
    <t>레미콘,전주,고강도파일,흄관</t>
  </si>
  <si>
    <t>www.seo-san.co.kr</t>
  </si>
  <si>
    <t>133820 KS Equity</t>
  </si>
  <si>
    <t>A133820</t>
  </si>
  <si>
    <t>FINEBESTEEL</t>
  </si>
  <si>
    <t>화인베스틸</t>
  </si>
  <si>
    <t>조선용 형강(부등변 부등후 앵글, 부등호 앵글, 등변앵글 평철 등)</t>
  </si>
  <si>
    <t>www.finebesteel.com</t>
  </si>
  <si>
    <t>091970 KS Equity</t>
  </si>
  <si>
    <t>A091970</t>
  </si>
  <si>
    <t>Nano Chem Tech, Inc.</t>
  </si>
  <si>
    <t>나노캠텍</t>
  </si>
  <si>
    <t>투명전도성관련제품</t>
  </si>
  <si>
    <t>www.nanosbiz.com</t>
  </si>
  <si>
    <t>275630 KS Equity</t>
  </si>
  <si>
    <t>A275630</t>
  </si>
  <si>
    <t>SSR Inc.</t>
  </si>
  <si>
    <t>에스에스알</t>
  </si>
  <si>
    <t>취약점 진단 솔루션, 모의해킹 컨설팅</t>
  </si>
  <si>
    <t>www.ssrinc.co.kr</t>
  </si>
  <si>
    <t>068940 KS Equity</t>
  </si>
  <si>
    <t>A068940</t>
  </si>
  <si>
    <t>Cellfie Global Co.,Ltd.</t>
  </si>
  <si>
    <t>셀피글로벌</t>
  </si>
  <si>
    <t>신용카드 및 전자화폐 등</t>
  </si>
  <si>
    <t>099410 KS Equity</t>
  </si>
  <si>
    <t>A099410</t>
  </si>
  <si>
    <t>Dongbang Ship Machinery Co., Ltd.</t>
  </si>
  <si>
    <t>동방선기</t>
  </si>
  <si>
    <t>조선기자재, 선박용 배관</t>
  </si>
  <si>
    <t>www.dongbangsm.co.kr</t>
  </si>
  <si>
    <t>308100 KS Equity</t>
  </si>
  <si>
    <t>A308100</t>
  </si>
  <si>
    <t>Castelbajac Co., Ltd.</t>
  </si>
  <si>
    <t>까스텔바작</t>
  </si>
  <si>
    <t>골프의류 및 골프잡화</t>
  </si>
  <si>
    <t>www.castelbajac.com</t>
  </si>
  <si>
    <t>016670 KS Equity</t>
  </si>
  <si>
    <t>A016670</t>
  </si>
  <si>
    <t>DMOA Co., Ltd.</t>
  </si>
  <si>
    <t>디모아</t>
  </si>
  <si>
    <t>h/w,s/w개발</t>
  </si>
  <si>
    <t>006380 KS Equity</t>
  </si>
  <si>
    <t>A006380</t>
  </si>
  <si>
    <t>CAPRO</t>
  </si>
  <si>
    <t>카프로</t>
  </si>
  <si>
    <t>카프로락탐,유안비료 제조</t>
  </si>
  <si>
    <t>www.hcccapro.co.kr</t>
  </si>
  <si>
    <t>002870 KS Equity</t>
  </si>
  <si>
    <t>A002870</t>
  </si>
  <si>
    <t>SHINPOONG INC.</t>
  </si>
  <si>
    <t>신풍</t>
  </si>
  <si>
    <t>마닐라판지 제조,도소매</t>
  </si>
  <si>
    <t>179530 KS Equity</t>
  </si>
  <si>
    <t>A179530</t>
  </si>
  <si>
    <t>ADBIOTECH Co., Ltd.</t>
  </si>
  <si>
    <t>애드바이오텍</t>
  </si>
  <si>
    <t>동물용약품,영양제,단미사료(네오폐녹스),보조사료 제조,도매/식품첨가물,화장품 도소매,무역</t>
  </si>
  <si>
    <t>www.adbiotech.com</t>
  </si>
  <si>
    <t>073190 KS Equity</t>
  </si>
  <si>
    <t>A073190</t>
  </si>
  <si>
    <t>DUOBACK CO., LTD.</t>
  </si>
  <si>
    <t>듀오백</t>
  </si>
  <si>
    <t>금속 가구 제조업</t>
  </si>
  <si>
    <t>사무용 및 가정용 의자</t>
  </si>
  <si>
    <t>www.duoback.co.kr</t>
  </si>
  <si>
    <t>082660 KS Equity</t>
  </si>
  <si>
    <t>A082660</t>
  </si>
  <si>
    <t>Cosnine Co., Ltd.</t>
  </si>
  <si>
    <t>코스나인</t>
  </si>
  <si>
    <t>www.samwooems.com</t>
  </si>
  <si>
    <t>451700 KS Equity</t>
  </si>
  <si>
    <t>A451700</t>
  </si>
  <si>
    <t>NH Special Purpose Acquisition 29 Company</t>
  </si>
  <si>
    <t>엔에이치스팩29호</t>
  </si>
  <si>
    <t>027040 KS Equity</t>
  </si>
  <si>
    <t>A027040</t>
  </si>
  <si>
    <t>SEOUL ELECTRONICS &amp; TELECOM</t>
  </si>
  <si>
    <t>서울전자통신</t>
  </si>
  <si>
    <t>전자변성기, 무역업(트랜스포머자재)</t>
  </si>
  <si>
    <t>www.seoulset.co.kr</t>
  </si>
  <si>
    <t>054410 KS Equity</t>
  </si>
  <si>
    <t>A054410</t>
  </si>
  <si>
    <t>Korea Plasma Technology U Co., Ltd.</t>
  </si>
  <si>
    <t>케이피티유</t>
  </si>
  <si>
    <t>금속 열처리업</t>
  </si>
  <si>
    <t>Vacuum Treatment, Plasma Surface Treatment</t>
  </si>
  <si>
    <t>www.kpt4u.com</t>
  </si>
  <si>
    <t>001210 KS Equity</t>
  </si>
  <si>
    <t>A001210</t>
  </si>
  <si>
    <t>KumhoElectric</t>
  </si>
  <si>
    <t>금호전기</t>
  </si>
  <si>
    <t>형광등,백열전구,전구식현광등,실드빔(차량용전조) 제조,판매</t>
  </si>
  <si>
    <t>www.khe.co.kr</t>
  </si>
  <si>
    <t>054940 KS Equity</t>
  </si>
  <si>
    <t>A054940</t>
  </si>
  <si>
    <t>EXA E&amp;C, Inc.</t>
  </si>
  <si>
    <t>엑사이엔씨</t>
  </si>
  <si>
    <t>도장, 도배 및 내장 공사업</t>
  </si>
  <si>
    <t>도배, 실내장식 및 내장 목공사업</t>
  </si>
  <si>
    <t>실내건축 공사업</t>
  </si>
  <si>
    <t>www.exaenc.com</t>
  </si>
  <si>
    <t>900070 KS Equity</t>
  </si>
  <si>
    <t>A900070</t>
  </si>
  <si>
    <t>Global SM Tech Limited</t>
  </si>
  <si>
    <t>글로벌에스엠</t>
  </si>
  <si>
    <t>자회사 제품 : IT기기용 정밀 화스너부품(스크류, 샤프트, 스프링)</t>
  </si>
  <si>
    <t>www.globalsmtech.com</t>
  </si>
  <si>
    <t>054220 KS Equity</t>
  </si>
  <si>
    <t>A054220</t>
  </si>
  <si>
    <t>VitzroSys. Co., Ltd.</t>
  </si>
  <si>
    <t>비츠로시스</t>
  </si>
  <si>
    <t>원방감시제어시스템, 분산제어시스템</t>
  </si>
  <si>
    <t>www.vitzrosys.com</t>
  </si>
  <si>
    <t>225430 KS Equity</t>
  </si>
  <si>
    <t>A225430</t>
  </si>
  <si>
    <t>KMPHARMACEUTICAL Co.,Ltd.</t>
  </si>
  <si>
    <t>케이엠제약</t>
  </si>
  <si>
    <t>구강제품, 화장품,기타 생활용품</t>
  </si>
  <si>
    <t>www.kmkmp.com</t>
  </si>
  <si>
    <t>900270 KS Equity</t>
  </si>
  <si>
    <t>A900270</t>
  </si>
  <si>
    <t>HENG SHENG HOLDING GROUP LIMITED</t>
  </si>
  <si>
    <t>헝셩그룹</t>
  </si>
  <si>
    <t>자회사 제품 : 아동용 완구 및 아동복 등</t>
  </si>
  <si>
    <t>www.hsfamilyent.com</t>
  </si>
  <si>
    <t>019660 KS Equity</t>
  </si>
  <si>
    <t>A019660</t>
  </si>
  <si>
    <t>GLOBON Co., Ltd.</t>
  </si>
  <si>
    <t>글로본</t>
  </si>
  <si>
    <t>화장품 외</t>
  </si>
  <si>
    <t>www.globon.co.kr</t>
  </si>
  <si>
    <t>258830 KS Equity</t>
  </si>
  <si>
    <t>A258830</t>
  </si>
  <si>
    <t>SEJONG MEDICAL Co., Ltd.</t>
  </si>
  <si>
    <t>세종메디칼</t>
  </si>
  <si>
    <t>복강경수술용 투관침 등</t>
  </si>
  <si>
    <t>www.sejongmedical.com</t>
  </si>
  <si>
    <t>039740 KS Equity</t>
  </si>
  <si>
    <t>A039740</t>
  </si>
  <si>
    <t>Korea Information Engineering Services Co., Ltd.</t>
  </si>
  <si>
    <t>한국정보공학</t>
  </si>
  <si>
    <t>그룹웨어, 자료관리시스템</t>
  </si>
  <si>
    <t>www.kies.co.kr</t>
  </si>
  <si>
    <t>361670 KS Equity</t>
  </si>
  <si>
    <t>A361670</t>
  </si>
  <si>
    <t>SAMYOUNG S&amp;C CO., LTD.</t>
  </si>
  <si>
    <t>삼영에스앤씨</t>
  </si>
  <si>
    <t>칩형 온습도센서,상대습도센서,미세먼지센서, 공기질 통합센서 노드 및 트랜스미터</t>
  </si>
  <si>
    <t>www.samyoungsnc.com</t>
  </si>
  <si>
    <t>427950 KS Equity</t>
  </si>
  <si>
    <t>A427950</t>
  </si>
  <si>
    <t>Hana Financial Twenty-three SPAC</t>
  </si>
  <si>
    <t>하나금융23호스팩</t>
  </si>
  <si>
    <t>060480 KS Equity</t>
  </si>
  <si>
    <t>A060480</t>
  </si>
  <si>
    <t>KUKIL METAL CO., LTD.</t>
  </si>
  <si>
    <t>국일신동</t>
  </si>
  <si>
    <t>황동봉</t>
  </si>
  <si>
    <t>www.kukilmetal.com</t>
  </si>
  <si>
    <t>038530 KS Equity</t>
  </si>
  <si>
    <t>A038530</t>
  </si>
  <si>
    <t>KBIO COMPANY Inc.</t>
  </si>
  <si>
    <t>케이바이오</t>
  </si>
  <si>
    <t>실험용 시약, 과학기자재 등</t>
  </si>
  <si>
    <t>138360 KS Equity</t>
  </si>
  <si>
    <t>A138360</t>
  </si>
  <si>
    <t>Hyupjin Co., Ltd.</t>
  </si>
  <si>
    <t>협진</t>
  </si>
  <si>
    <t>기계제조</t>
  </si>
  <si>
    <t>219750 KS Equity</t>
  </si>
  <si>
    <t>A219750</t>
  </si>
  <si>
    <t>의료기기 및 미용기기</t>
  </si>
  <si>
    <t>www.gtgwellness.co.kr</t>
  </si>
  <si>
    <t>025620 KS Equity</t>
  </si>
  <si>
    <t>A025620</t>
  </si>
  <si>
    <t>Jayjun Cosmetic</t>
  </si>
  <si>
    <t>제이준코스메틱</t>
  </si>
  <si>
    <t>화장품 제조 판매</t>
  </si>
  <si>
    <t>www.jayjun.kr</t>
  </si>
  <si>
    <t>188260 KS Equity</t>
  </si>
  <si>
    <t>A188260</t>
  </si>
  <si>
    <t>SANIGEN Co., Ltd.</t>
  </si>
  <si>
    <t>세니젠</t>
  </si>
  <si>
    <t>Genelix, Genext, Geneka 등</t>
  </si>
  <si>
    <t>000300 KS Equity</t>
  </si>
  <si>
    <t>A000300</t>
  </si>
  <si>
    <t>DAYOUPLUS</t>
  </si>
  <si>
    <t>대유플러스</t>
  </si>
  <si>
    <t>유,무선 통신장비</t>
  </si>
  <si>
    <t>www.dayouplus.co.kr</t>
  </si>
  <si>
    <t>031860 KS Equity</t>
  </si>
  <si>
    <t>A031860</t>
  </si>
  <si>
    <t>SU-Holdings Co.,Ltd.</t>
  </si>
  <si>
    <t>에스유홀딩스</t>
  </si>
  <si>
    <t>FLC</t>
  </si>
  <si>
    <t>www.nsnetwork.co.kr</t>
  </si>
  <si>
    <t>073540 KS Equity</t>
  </si>
  <si>
    <t>A073540</t>
  </si>
  <si>
    <t>FRTEK Co., Ltd.</t>
  </si>
  <si>
    <t>에프알텍</t>
  </si>
  <si>
    <t>이동통신용중계기</t>
  </si>
  <si>
    <t>www.frtek.co.kr</t>
  </si>
  <si>
    <t>070590 KS Equity</t>
  </si>
  <si>
    <t>A070590</t>
  </si>
  <si>
    <t>Hansol Inticube Co., Ltd.</t>
  </si>
  <si>
    <t>한솔인티큐브</t>
  </si>
  <si>
    <t>기업통신 및 무선인터넷</t>
  </si>
  <si>
    <t>www.hansolinticube.com</t>
  </si>
  <si>
    <t>079950 KS Equity</t>
  </si>
  <si>
    <t>A079950</t>
  </si>
  <si>
    <t>INVENIA Co.,Ltd.</t>
  </si>
  <si>
    <t>인베니아</t>
  </si>
  <si>
    <t>Dry Etcher, 진공합착기, LCD Panel 검사장비, OLED용 진공합착기</t>
  </si>
  <si>
    <t>www.inveniacorp.com</t>
  </si>
  <si>
    <t>043200 KS Equity</t>
  </si>
  <si>
    <t>A043200</t>
  </si>
  <si>
    <t>Paru Co., Ltd.</t>
  </si>
  <si>
    <t>파루</t>
  </si>
  <si>
    <t>온습도 조절기(에어쿨), 무인방제기(야호)</t>
  </si>
  <si>
    <t>www.paru.co.kr</t>
  </si>
  <si>
    <t>900260 KS Equity</t>
  </si>
  <si>
    <t>A900260</t>
  </si>
  <si>
    <t>Rothwell International Co., Limited</t>
  </si>
  <si>
    <t>로스웰</t>
  </si>
  <si>
    <t>CAN Control Gateway, CAN기능모듈, BCM 차체제어모듈</t>
  </si>
  <si>
    <t>123330 KS Equity</t>
  </si>
  <si>
    <t>A123330</t>
  </si>
  <si>
    <t>GENIC Co., Ltd.</t>
  </si>
  <si>
    <t>제닉</t>
  </si>
  <si>
    <t>하이드로겔 마스크 팩, 기타화장품</t>
  </si>
  <si>
    <t>www.genic21.com</t>
  </si>
  <si>
    <t>017250 KS Equity</t>
  </si>
  <si>
    <t>A017250</t>
  </si>
  <si>
    <t>INTER-M.Co.,Ltd.</t>
  </si>
  <si>
    <t>인터엠</t>
  </si>
  <si>
    <t>음향기기</t>
  </si>
  <si>
    <t>www.inter-m.com</t>
  </si>
  <si>
    <t>377460 KS Equity</t>
  </si>
  <si>
    <t>A377460</t>
  </si>
  <si>
    <t>WINIA AID CO.,LTD.</t>
  </si>
  <si>
    <t>위니아에이드</t>
  </si>
  <si>
    <t>전자제품 소매, 물류주선, 서비스대행</t>
  </si>
  <si>
    <t>www.winiaaid.com</t>
  </si>
  <si>
    <t>043360 KS Equity</t>
  </si>
  <si>
    <t>A043360</t>
  </si>
  <si>
    <t>DIGITAL GRAPHICS INCORPORATION</t>
  </si>
  <si>
    <t>디지아이</t>
  </si>
  <si>
    <t>잉크젯 플로터, 커팅 플로터</t>
  </si>
  <si>
    <t>www.dgi-net.co.kr</t>
  </si>
  <si>
    <t>098660 KS Equity</t>
  </si>
  <si>
    <t>A098660</t>
  </si>
  <si>
    <t>STO Co., Ltd.</t>
  </si>
  <si>
    <t>에스티오</t>
  </si>
  <si>
    <t>셔츠 및 블라우스 제조업</t>
  </si>
  <si>
    <t>셔츠,자켓/바지, 타이</t>
  </si>
  <si>
    <t>www.thesto.kr</t>
  </si>
  <si>
    <t>001770 KS Equity</t>
  </si>
  <si>
    <t>A001770</t>
  </si>
  <si>
    <t>SHIN HWA DYNAMICS</t>
  </si>
  <si>
    <t>SHD</t>
  </si>
  <si>
    <t>석도강판,표면처리강판 제조,임가공,판매</t>
  </si>
  <si>
    <t>www.shinhwatp.co.kr</t>
  </si>
  <si>
    <t>065150 KS Equity</t>
  </si>
  <si>
    <t>A065150</t>
  </si>
  <si>
    <t>DAESAN F&amp;B Inc.</t>
  </si>
  <si>
    <t>대산F&amp;B</t>
  </si>
  <si>
    <t>외식프랜차이즈사업,육류가공,식자재유통등</t>
  </si>
  <si>
    <t>106240 KS Equity</t>
  </si>
  <si>
    <t>A106240</t>
  </si>
  <si>
    <t>FINETECHNIX. Co., Ltd.</t>
  </si>
  <si>
    <t>파인테크닉스</t>
  </si>
  <si>
    <t>LED조명기기</t>
  </si>
  <si>
    <t>www.finetechnix.com</t>
  </si>
  <si>
    <t>227100 KS Equity</t>
  </si>
  <si>
    <t>A227100</t>
  </si>
  <si>
    <t>스마트 액세서리(보조배터리 등)</t>
  </si>
  <si>
    <t>www.kokiripower.com</t>
  </si>
  <si>
    <t>134060 KS Equity</t>
  </si>
  <si>
    <t>A134060</t>
  </si>
  <si>
    <t>e-future.Co., Ltd.</t>
  </si>
  <si>
    <t>이퓨쳐</t>
  </si>
  <si>
    <t>교과서 및 학습서적 출판업</t>
  </si>
  <si>
    <t>Smart Phonics 등(외국어 어학교재)</t>
  </si>
  <si>
    <t>www.e-future.kr</t>
  </si>
  <si>
    <t>069140 KS Equity</t>
  </si>
  <si>
    <t>A069140</t>
  </si>
  <si>
    <t>Nuriplan Co.,Ltd.</t>
  </si>
  <si>
    <t>누리플랜</t>
  </si>
  <si>
    <t>경관조명, 경관시설</t>
  </si>
  <si>
    <t>www.nuriplan.com</t>
  </si>
  <si>
    <t>223310 KS Equity</t>
  </si>
  <si>
    <t>A223310</t>
  </si>
  <si>
    <t>건강기능식품, 블랙박스, 내비게이션 등</t>
  </si>
  <si>
    <t>www.esv.co.kr</t>
  </si>
  <si>
    <t>900280 KS Equity</t>
  </si>
  <si>
    <t>A900280</t>
  </si>
  <si>
    <t>Cayman Golden Century Wheel Group Limited</t>
  </si>
  <si>
    <t>골든센츄리</t>
  </si>
  <si>
    <t>트랙터용 휠 및 타이어</t>
  </si>
  <si>
    <t>www.goldencentury.co.kr</t>
  </si>
  <si>
    <t>159910 KS Equity</t>
  </si>
  <si>
    <t>A159910</t>
  </si>
  <si>
    <t>Skin n Skin Co., Ltd.</t>
  </si>
  <si>
    <t>스킨앤스킨</t>
  </si>
  <si>
    <t>화장품제조,마스크</t>
  </si>
  <si>
    <t>www.skinnskin.co.kr</t>
  </si>
  <si>
    <t>208860 KS Equity</t>
  </si>
  <si>
    <t>A208860</t>
  </si>
  <si>
    <t>EnGIS Technolgies, Inc.</t>
  </si>
  <si>
    <t>엔지스테크널러지</t>
  </si>
  <si>
    <t>Nav-Link 솔루션, BringGo 어플리케이션 등</t>
  </si>
  <si>
    <t>www.engistech.com</t>
  </si>
  <si>
    <t>010420 KS Equity</t>
  </si>
  <si>
    <t>A010420</t>
  </si>
  <si>
    <t>HANSOLPNS</t>
  </si>
  <si>
    <t>한솔PNS</t>
  </si>
  <si>
    <t>정보시스템구축 및 유지보수, 포장재제조 및 가공, 지류가공 및 판매</t>
  </si>
  <si>
    <t>www.hansolpns.com</t>
  </si>
  <si>
    <t>066430 KS Equity</t>
  </si>
  <si>
    <t>A066430</t>
  </si>
  <si>
    <t>Y-OPTICS MANUFACTURE Co., Ltd.</t>
  </si>
  <si>
    <t>와이오엠</t>
  </si>
  <si>
    <t>VCI,LDPE필름 외</t>
  </si>
  <si>
    <t>www.yom.or.kr</t>
  </si>
  <si>
    <t>103230 KS Equity</t>
  </si>
  <si>
    <t>A103230</t>
  </si>
  <si>
    <t>S&amp;W Corporation</t>
  </si>
  <si>
    <t>에스앤더블류</t>
  </si>
  <si>
    <t>디젤엔진부품, 산업부품, 단조품</t>
  </si>
  <si>
    <t>www.snwcorp.com</t>
  </si>
  <si>
    <t>114120 KS Equity</t>
  </si>
  <si>
    <t>A114120</t>
  </si>
  <si>
    <t>Crucialtec Co., Ltd.</t>
  </si>
  <si>
    <t>크루셜텍</t>
  </si>
  <si>
    <t>www.crucialtec.com</t>
  </si>
  <si>
    <t>032800 KS Equity</t>
  </si>
  <si>
    <t>A032800</t>
  </si>
  <si>
    <t>Fantagio Corp.</t>
  </si>
  <si>
    <t>판타지오</t>
  </si>
  <si>
    <t>www.fantagio.kr</t>
  </si>
  <si>
    <t>250930 KS Equity</t>
  </si>
  <si>
    <t>A250930</t>
  </si>
  <si>
    <t>YeSUN Tech Co., Ltd.</t>
  </si>
  <si>
    <t>예선테크</t>
  </si>
  <si>
    <t>www.yesuntech.com</t>
  </si>
  <si>
    <t>088790 KS Equity</t>
  </si>
  <si>
    <t>A088790</t>
  </si>
  <si>
    <t>JINDO.CO.,LTD</t>
  </si>
  <si>
    <t>진도</t>
  </si>
  <si>
    <t>모피제품 제조,가공</t>
  </si>
  <si>
    <t>www.jindofn.co.kr</t>
  </si>
  <si>
    <t>215380 KS Equity</t>
  </si>
  <si>
    <t>A215380</t>
  </si>
  <si>
    <t>WOOJUNG BIO, Inc.</t>
  </si>
  <si>
    <t>우정바이오</t>
  </si>
  <si>
    <t>동물실험,CRO서비스,사육장비,세척장비등</t>
  </si>
  <si>
    <t>www.woojungbsc.co.kr</t>
  </si>
  <si>
    <t>335870 KS Equity</t>
  </si>
  <si>
    <t>A335870</t>
  </si>
  <si>
    <t>WINGS'FOOT INC.</t>
  </si>
  <si>
    <t>윙스풋</t>
  </si>
  <si>
    <t>신발 매입 및 공급</t>
  </si>
  <si>
    <t>www.wingsfoot.co.kr</t>
  </si>
  <si>
    <t>464680 KS Equity</t>
  </si>
  <si>
    <t>A464680</t>
  </si>
  <si>
    <t>KB No.27 Special Purpose Acquisition Company</t>
  </si>
  <si>
    <t>KB제27호스팩</t>
  </si>
  <si>
    <t>023790 KS Equity</t>
  </si>
  <si>
    <t>A023790</t>
  </si>
  <si>
    <t>DONGIL STEEL Co., Ltd.</t>
  </si>
  <si>
    <t>동일철강</t>
  </si>
  <si>
    <t>봉강</t>
  </si>
  <si>
    <t>www.dongilsteel.com</t>
  </si>
  <si>
    <t>035290 KS Equity</t>
  </si>
  <si>
    <t>A035290</t>
  </si>
  <si>
    <t>Gold&amp;S Co., Ltd.</t>
  </si>
  <si>
    <t>골드앤에스</t>
  </si>
  <si>
    <t>방과후컴퓨터상설반,교재및CD</t>
  </si>
  <si>
    <t>www.goldns.co.kr</t>
  </si>
  <si>
    <t>900300 KS Equity</t>
  </si>
  <si>
    <t>A900300</t>
  </si>
  <si>
    <t>ORGANIC TEA COSMETICS HOLDINGS COMPANY LIMITED</t>
  </si>
  <si>
    <t>오가닉티코스메틱</t>
  </si>
  <si>
    <t>유아용 화장품(클렌징, 여름용, 피부케어, 기능성 화장품)</t>
  </si>
  <si>
    <t>www.organictea-cosmetics.com/</t>
  </si>
  <si>
    <t>115570 KS Equity</t>
  </si>
  <si>
    <t>A115570</t>
  </si>
  <si>
    <t>StarFlex Co., Ltd.</t>
  </si>
  <si>
    <t>스타플렉스</t>
  </si>
  <si>
    <t>광고용플렉스(조명용,비조명용)</t>
  </si>
  <si>
    <t>www.star-flex.com</t>
  </si>
  <si>
    <t>065770 KS Equity</t>
  </si>
  <si>
    <t>A065770</t>
  </si>
  <si>
    <t>CS CORPORATION</t>
  </si>
  <si>
    <t>CS</t>
  </si>
  <si>
    <t>이동통신중계기, 위성방송(DMB)중계기(Gap-Filler)</t>
  </si>
  <si>
    <t>www.cs-holdings.co.kr</t>
  </si>
  <si>
    <t>062970 KS Equity</t>
  </si>
  <si>
    <t>A062970</t>
  </si>
  <si>
    <t>데이터센터용 AWG, 통신용 AWG, 스플리터, 계측기 등</t>
  </si>
  <si>
    <t>www.ppitek.com</t>
  </si>
  <si>
    <t>067770 KS Equity</t>
  </si>
  <si>
    <t>A067770</t>
  </si>
  <si>
    <t>SEJIN T.S Co., Ltd.</t>
  </si>
  <si>
    <t>세진티에스</t>
  </si>
  <si>
    <t>LED/LCD용 광기능성 시트</t>
  </si>
  <si>
    <t>www.sejints.co.kr</t>
  </si>
  <si>
    <t>196700 KS Equity</t>
  </si>
  <si>
    <t>A196700</t>
  </si>
  <si>
    <t>WAPS Co., Ltd.</t>
  </si>
  <si>
    <t>웹스</t>
  </si>
  <si>
    <t>혼성 및 재생 플라스틱 소재 물질 제조업</t>
  </si>
  <si>
    <t>기능성 컴파운드, 건축외장자재</t>
  </si>
  <si>
    <t>www.waps.co.kr</t>
  </si>
  <si>
    <t>054630 KS Equity</t>
  </si>
  <si>
    <t>A054630</t>
  </si>
  <si>
    <t>Advanced Digital Chips Inc.</t>
  </si>
  <si>
    <t>에이디칩스</t>
  </si>
  <si>
    <t>업소용냉동냉장, 반도체칩</t>
  </si>
  <si>
    <t>www.adc.co.kr</t>
  </si>
  <si>
    <t>005110 KS Equity</t>
  </si>
  <si>
    <t>A005110</t>
  </si>
  <si>
    <t>Hanchang</t>
  </si>
  <si>
    <t>한창</t>
  </si>
  <si>
    <t>소화기, 통신장비 유통</t>
  </si>
  <si>
    <t>www.hanchang.co.kr</t>
  </si>
  <si>
    <t>043100 KS Equity</t>
  </si>
  <si>
    <t>A043100</t>
  </si>
  <si>
    <t>가정용 온열치료기, 의료기구</t>
  </si>
  <si>
    <t>www.solco.co.kr</t>
  </si>
  <si>
    <t>121890 KS Equity</t>
  </si>
  <si>
    <t>A121890</t>
  </si>
  <si>
    <t>SD system Co., Ltd.</t>
  </si>
  <si>
    <t>에스디시스템</t>
  </si>
  <si>
    <t>요금징수시스템, 지능형교통시스템,하이패스단말기</t>
  </si>
  <si>
    <t>www.sdsystem.co.kr</t>
  </si>
  <si>
    <t>026910 KS Equity</t>
  </si>
  <si>
    <t>A026910</t>
  </si>
  <si>
    <t>Kwang Jin Ind. Co., Ltd.</t>
  </si>
  <si>
    <t>광진실업</t>
  </si>
  <si>
    <t>마봉</t>
  </si>
  <si>
    <t>www.kjsteel.co.kr</t>
  </si>
  <si>
    <t>101680 KS Equity</t>
  </si>
  <si>
    <t>A101680</t>
  </si>
  <si>
    <t>HNK MACHINE TOOL Co.,Ltd.</t>
  </si>
  <si>
    <t>한국정밀기계</t>
  </si>
  <si>
    <t>금속절삭가공기계(수치제어식 수평보링머신,오면가공기,수직선반,플로우보링머신),산업기계(전용기,공작기계부품) 제조,판매</t>
  </si>
  <si>
    <t>www.hnkkorea.com</t>
  </si>
  <si>
    <t>070300 KS Equity</t>
  </si>
  <si>
    <t>A070300</t>
  </si>
  <si>
    <t>Xcure Corp.</t>
  </si>
  <si>
    <t>엑스큐어</t>
  </si>
  <si>
    <t>USIM카드, 금융카드</t>
  </si>
  <si>
    <t>www.hansolsecure.com</t>
  </si>
  <si>
    <t>191410 KS Equity</t>
  </si>
  <si>
    <t>A191410</t>
  </si>
  <si>
    <t>RYUK-IL C&amp;S., Ltd.</t>
  </si>
  <si>
    <t>육일씨엔에쓰</t>
  </si>
  <si>
    <t>IT용 Cover Glass</t>
  </si>
  <si>
    <t>www.61cns.co.kr</t>
  </si>
  <si>
    <t>214310 KS Equity</t>
  </si>
  <si>
    <t>A214310</t>
  </si>
  <si>
    <t>SL Energy Co., Ltd.</t>
  </si>
  <si>
    <t>에스엘에너지</t>
  </si>
  <si>
    <t>LED Chip</t>
  </si>
  <si>
    <t>115530 KS Equity</t>
  </si>
  <si>
    <t>A115530</t>
  </si>
  <si>
    <t>CNPLUS Co., Ltd.</t>
  </si>
  <si>
    <t>씨엔플러스</t>
  </si>
  <si>
    <t>커넥터</t>
  </si>
  <si>
    <t>www.icnplus.com</t>
  </si>
  <si>
    <t>011080 KS Equity</t>
  </si>
  <si>
    <t>A011080</t>
  </si>
  <si>
    <t>HYUNGJI INNOVATION &amp; CREATIVE Co.,Ltd.</t>
  </si>
  <si>
    <t>형지I&amp;C</t>
  </si>
  <si>
    <t>의복, 악세사리</t>
  </si>
  <si>
    <t>www.hyungjiinc.com</t>
  </si>
  <si>
    <t>071460 KS Equity</t>
  </si>
  <si>
    <t>A071460</t>
  </si>
  <si>
    <t>WINIA Co., Ltd.</t>
  </si>
  <si>
    <t>위니아</t>
  </si>
  <si>
    <t>김치냉장고, 에어컨, 냉장고, 에어가전, 세탁가전 등</t>
  </si>
  <si>
    <t>050090 KS Equity</t>
  </si>
  <si>
    <t>A050090</t>
  </si>
  <si>
    <t>BK Holdings Co., Ltd.</t>
  </si>
  <si>
    <t>비케이홀딩스</t>
  </si>
  <si>
    <t>http://phoenixmaterials.kr/</t>
  </si>
  <si>
    <t>468510 KS Equity</t>
  </si>
  <si>
    <t>A468510</t>
  </si>
  <si>
    <t>SAMSUNG SPECIAL PURPOSE ACQUISITION 9 COMPANY</t>
  </si>
  <si>
    <t>삼성스팩9호</t>
  </si>
  <si>
    <t>069330 KS Equity</t>
  </si>
  <si>
    <t>A069330</t>
  </si>
  <si>
    <t>U.I.D CO., Ltd.</t>
  </si>
  <si>
    <t>유아이디</t>
  </si>
  <si>
    <t>ITO COATING, GLASS LAMINATION</t>
  </si>
  <si>
    <t>www.uidkorea.co.kr</t>
  </si>
  <si>
    <t>033790 KS Equity</t>
  </si>
  <si>
    <t>A033790</t>
  </si>
  <si>
    <t>무선통신시스템용 중계기</t>
  </si>
  <si>
    <t>www.skymoonstech.com</t>
  </si>
  <si>
    <t>065420 KS Equity</t>
  </si>
  <si>
    <t>A065420</t>
  </si>
  <si>
    <t>SI Resources Co., Ltd.</t>
  </si>
  <si>
    <t>에스아이리소스</t>
  </si>
  <si>
    <t>유연탄</t>
  </si>
  <si>
    <t>www.siresource.co.kr</t>
  </si>
  <si>
    <t>372290 KS Equity</t>
  </si>
  <si>
    <t>A372290</t>
  </si>
  <si>
    <t>Hana Must Seven Special Purpose Acquisition Company</t>
  </si>
  <si>
    <t>하나머스트7호스팩</t>
  </si>
  <si>
    <t>436530 KS Equity</t>
  </si>
  <si>
    <t>A436530</t>
  </si>
  <si>
    <t>KB No.22 Special Purpose Acquisition Company</t>
  </si>
  <si>
    <t>케이비제22호스팩</t>
  </si>
  <si>
    <t>기업인수목적</t>
  </si>
  <si>
    <t>096870 KS Equity</t>
  </si>
  <si>
    <t>A096870</t>
  </si>
  <si>
    <t>LDT Inc.</t>
  </si>
  <si>
    <t>엘디티</t>
  </si>
  <si>
    <t>OLED구동IC,LED구동IC,LCD구동IC</t>
  </si>
  <si>
    <t>www.ldt.co.kr</t>
  </si>
  <si>
    <t>065690 KS Equity</t>
  </si>
  <si>
    <t>A065690</t>
  </si>
  <si>
    <t>PAKERS CO., Ltd.</t>
  </si>
  <si>
    <t>파커스</t>
  </si>
  <si>
    <t>프린터 부품, LED 조명기기,및 헬스케어 제품 제조업체</t>
  </si>
  <si>
    <t>www.daejindmp.co.kr</t>
  </si>
  <si>
    <t>449020 KS Equity</t>
  </si>
  <si>
    <t>A449020</t>
  </si>
  <si>
    <t>Yuanta 13 SPECIAL PURPOSE ACQUISITION COMPANY</t>
  </si>
  <si>
    <t>유안타제13호스팩</t>
  </si>
  <si>
    <t>030790 KS Equity</t>
  </si>
  <si>
    <t>A030790</t>
  </si>
  <si>
    <t>BK TOPS</t>
  </si>
  <si>
    <t>비케이탑스</t>
  </si>
  <si>
    <t>www.bktops.co.kr</t>
  </si>
  <si>
    <t>457630 KS Equity</t>
  </si>
  <si>
    <t>A457630</t>
  </si>
  <si>
    <t>Daishin Balance No.16 Special Purpose Acquisition Company</t>
  </si>
  <si>
    <t>대신밸런스제16호스팩</t>
  </si>
  <si>
    <t>기타 금융서비스업</t>
  </si>
  <si>
    <t>217620 KS Equity</t>
  </si>
  <si>
    <t>A217620</t>
  </si>
  <si>
    <t>Didim E&amp;F Inc.</t>
  </si>
  <si>
    <t>디딤이앤에프</t>
  </si>
  <si>
    <t>음식점업</t>
  </si>
  <si>
    <t>직영음식점, 축산물가공, 프랜차이즈</t>
  </si>
  <si>
    <t>www.didimglobal.com</t>
  </si>
  <si>
    <t>430230 KS Equity</t>
  </si>
  <si>
    <t>A430230</t>
  </si>
  <si>
    <t>하나금융24호스팩</t>
  </si>
  <si>
    <t>466910 KS Equity</t>
  </si>
  <si>
    <t>A466910</t>
  </si>
  <si>
    <t>NH SPECIAL PURPOSE ACQUISITION 30 COMPANY</t>
  </si>
  <si>
    <t>엔에이치스팩30호</t>
  </si>
  <si>
    <t>금융지원서비스업</t>
  </si>
  <si>
    <t>439410 KS Equity</t>
  </si>
  <si>
    <t>A439410</t>
  </si>
  <si>
    <t>NH SPECIAL PURPOSE ACQUISTION 26 COMPANY</t>
  </si>
  <si>
    <t>엔에이치스팩26호</t>
  </si>
  <si>
    <t>419270 KS Equity</t>
  </si>
  <si>
    <t>A419270</t>
  </si>
  <si>
    <t>Shinyoung HappyTomorrow No.7 Special Purpose Acquisition Company</t>
  </si>
  <si>
    <t>신영스팩7호</t>
  </si>
  <si>
    <t xml:space="preserve">www.shinyoung.com </t>
  </si>
  <si>
    <t>044180 KS Equity</t>
  </si>
  <si>
    <t>A044180</t>
  </si>
  <si>
    <t>KD Corporation</t>
  </si>
  <si>
    <t>KD</t>
  </si>
  <si>
    <t>건설사업(완성건물)</t>
  </si>
  <si>
    <t>www.kdcon.co.kr</t>
  </si>
  <si>
    <t>397880 KS Equity</t>
  </si>
  <si>
    <t>A397880</t>
  </si>
  <si>
    <t>Kyobo 11 Special Purpose Acquisition Company</t>
  </si>
  <si>
    <t>교보11호스팩</t>
  </si>
  <si>
    <t>244460 KS Equity</t>
  </si>
  <si>
    <t>A244460</t>
  </si>
  <si>
    <t>OliPass Corporation</t>
  </si>
  <si>
    <t>올리패스</t>
  </si>
  <si>
    <t>인공유전자 플랫폼(OliPass PNA) 기술을 활용한 RNA치료제 신약개발</t>
  </si>
  <si>
    <t>www.olipass.com</t>
  </si>
  <si>
    <t>406760 KS Equity</t>
  </si>
  <si>
    <t>A406760</t>
  </si>
  <si>
    <t>HANA FINANCIAL TWENTY-ONE SPECIAL PURPOSE ACQUISITION COMPANY</t>
  </si>
  <si>
    <t>하나금융21호스팩</t>
  </si>
  <si>
    <t>440820 KS Equity</t>
  </si>
  <si>
    <t>A440820</t>
  </si>
  <si>
    <t>NH Special Purpose Acquisition 27 Company</t>
  </si>
  <si>
    <t>엔에이치스팩27호</t>
  </si>
  <si>
    <t>424140 KS Equity</t>
  </si>
  <si>
    <t>A424140</t>
  </si>
  <si>
    <t>KB No.21 Special Purpose Acquisition Company Co., Ltd.</t>
  </si>
  <si>
    <t>케이비제21호스팩</t>
  </si>
  <si>
    <t>106520 KS Equity</t>
  </si>
  <si>
    <t>A106520</t>
  </si>
  <si>
    <t>Noble M&amp;B Co., Ltd.</t>
  </si>
  <si>
    <t>노블엠앤비</t>
  </si>
  <si>
    <t>차량용 카메라렌즈 및 프로젝션광학모듈렌즈</t>
  </si>
  <si>
    <t>430220 KS Equity</t>
  </si>
  <si>
    <t>A430220</t>
  </si>
  <si>
    <t>Shinyoung HappyTomorrow No.8 Special Purpose Acquisition Company</t>
  </si>
  <si>
    <t>신영스팩8호</t>
  </si>
  <si>
    <t>071950 KS Equity</t>
  </si>
  <si>
    <t>A071950</t>
  </si>
  <si>
    <t>KOAS</t>
  </si>
  <si>
    <t>코아스</t>
  </si>
  <si>
    <t>사무용가구,금속가구 도매,제조</t>
  </si>
  <si>
    <t>www.ikoas.com</t>
  </si>
  <si>
    <t>008500 KS Equity</t>
  </si>
  <si>
    <t>A008500</t>
  </si>
  <si>
    <t>IljeongIndustrial</t>
  </si>
  <si>
    <t>일정실업</t>
  </si>
  <si>
    <t>편조원단 제조업</t>
  </si>
  <si>
    <t>자동차시트원단,의류,완구직물 제조,염색가공</t>
  </si>
  <si>
    <t>www.iljeong.co.kr</t>
  </si>
  <si>
    <t>078860 KS Equity</t>
  </si>
  <si>
    <t>A078860</t>
  </si>
  <si>
    <t>연예인 매니지먼트</t>
  </si>
  <si>
    <t>www.iok.co.kr</t>
  </si>
  <si>
    <t>422040 KS Equity</t>
  </si>
  <si>
    <t>A422040</t>
  </si>
  <si>
    <t>NH SPECIAL PURPOSE ACQUISITION 23 COMPANY</t>
  </si>
  <si>
    <t>엔에이치스팩23호</t>
  </si>
  <si>
    <t>457390 KS Equity</t>
  </si>
  <si>
    <t>A457390</t>
  </si>
  <si>
    <t>Daishin Balance No.15 Special Purpose Acquisition Company</t>
  </si>
  <si>
    <t>대신밸런스제15호스팩</t>
  </si>
  <si>
    <t>393360 KS Equity</t>
  </si>
  <si>
    <t>A393360</t>
  </si>
  <si>
    <t>Shinhan 8th Special Purpose Acquisition Company</t>
  </si>
  <si>
    <t>신한제8호스팩</t>
  </si>
  <si>
    <t>442310 KS Equity</t>
  </si>
  <si>
    <t>A442310</t>
  </si>
  <si>
    <t>Daishin Balance No.14 Special Purpose Acquisition Company</t>
  </si>
  <si>
    <t>대신밸런스제14호스팩</t>
  </si>
  <si>
    <t>454750 KS Equity</t>
  </si>
  <si>
    <t>A454750</t>
  </si>
  <si>
    <t>Hana Twenty-Eight SPAC</t>
  </si>
  <si>
    <t>하나28호스팩</t>
  </si>
  <si>
    <t>413630 KS Equity</t>
  </si>
  <si>
    <t>A413630</t>
  </si>
  <si>
    <t>469880 KS Equity</t>
  </si>
  <si>
    <t>A469880</t>
  </si>
  <si>
    <t>Hana 30 Special Purpose Acquisition Company</t>
  </si>
  <si>
    <t>하나30호스팩</t>
  </si>
  <si>
    <t>046070 KS Equity</t>
  </si>
  <si>
    <t>A046070</t>
  </si>
  <si>
    <t>KODACO CO., LTD.</t>
  </si>
  <si>
    <t>코다코</t>
  </si>
  <si>
    <t>Oil Pump, Throttle Body</t>
  </si>
  <si>
    <t>www.kodaco.co.kr</t>
  </si>
  <si>
    <t>436610 KS Equity</t>
  </si>
  <si>
    <t>A436610</t>
  </si>
  <si>
    <t>Korea No.11 Special Purpose Acquisition Co., LTD.</t>
  </si>
  <si>
    <t>한국제11호스팩</t>
  </si>
  <si>
    <t>421800 KS Equity</t>
  </si>
  <si>
    <t>A421800</t>
  </si>
  <si>
    <t>교보12호스팩</t>
  </si>
  <si>
    <t>412930 KS Equity</t>
  </si>
  <si>
    <t>A412930</t>
  </si>
  <si>
    <t>Mirae Asset Vision Special Purpose Acquisition 1 Company</t>
  </si>
  <si>
    <t>미래에셋비전스팩1호</t>
  </si>
  <si>
    <t>418170 KS Equity</t>
  </si>
  <si>
    <t>A418170</t>
  </si>
  <si>
    <t>Hana Financial Twenty-two Special Purpose Acquisition Company</t>
  </si>
  <si>
    <t>하나금융22호스팩</t>
  </si>
  <si>
    <t>471050 KS Equity</t>
  </si>
  <si>
    <t>A471050</t>
  </si>
  <si>
    <t>Daishin Balance No.17 Special Purpose Acquisition Company</t>
  </si>
  <si>
    <t>대신밸런스제17호스팩</t>
  </si>
  <si>
    <t>446750 KS Equity</t>
  </si>
  <si>
    <t>A446750</t>
  </si>
  <si>
    <t>Hana 26 Special Purpose Acquisition Company</t>
  </si>
  <si>
    <t>하나26호스팩</t>
  </si>
  <si>
    <t>438220 KS Equity</t>
  </si>
  <si>
    <t>A438220</t>
  </si>
  <si>
    <t>대신밸런스제13호스팩</t>
  </si>
  <si>
    <t>425290 KS Equity</t>
  </si>
  <si>
    <t>A425290</t>
  </si>
  <si>
    <t>SAMSUNG SPECIAL PURPOSE ACQUISITION 6 COMPANY</t>
  </si>
  <si>
    <t>삼성스팩6호</t>
  </si>
  <si>
    <t>430460 KS Equity</t>
  </si>
  <si>
    <t>A430460</t>
  </si>
  <si>
    <t>Hanwha Plus No 3 Special Purpose Acquisition Company</t>
  </si>
  <si>
    <t>한화플러스제3호스팩</t>
  </si>
  <si>
    <t>456440 KS Equity</t>
  </si>
  <si>
    <t>A456440</t>
  </si>
  <si>
    <t>DB Finance No.11 Special Purpose Acquisition Co., Ltd.</t>
  </si>
  <si>
    <t>DB금융스팩11호</t>
  </si>
  <si>
    <t>388800 KS Equity</t>
  </si>
  <si>
    <t>A388800</t>
  </si>
  <si>
    <t>EUGENE SPECIAL PURPOSE ACQUISITION 7 COMPANY</t>
  </si>
  <si>
    <t>유진스팩7호</t>
  </si>
  <si>
    <t>446840 KS Equity</t>
  </si>
  <si>
    <t>A446840</t>
  </si>
  <si>
    <t>Kiwoom No.8 Special Purpose Acquisition Company</t>
  </si>
  <si>
    <t>키움제8호스팩</t>
  </si>
  <si>
    <t>435380 KS Equity</t>
  </si>
  <si>
    <t>A435380</t>
  </si>
  <si>
    <t>Yuanta 10 SPECIAL PURPOSE ACQUISITION COMPANY</t>
  </si>
  <si>
    <t>유안타제10호스팩</t>
  </si>
  <si>
    <t>445970 KS Equity</t>
  </si>
  <si>
    <t>A445970</t>
  </si>
  <si>
    <t>Shinyoung HappyTomorrow No.9 Special Purpose Acquisition Company</t>
  </si>
  <si>
    <t>신영스팩9호</t>
  </si>
  <si>
    <t>174880 KS Equity</t>
  </si>
  <si>
    <t>A174880</t>
  </si>
  <si>
    <t>JANG WON TECH. CO.,LTD.</t>
  </si>
  <si>
    <t>장원테크</t>
  </si>
  <si>
    <t>스마트폰 및 태블릿PC Bracket</t>
  </si>
  <si>
    <t>www.jangwontech.co.kr</t>
  </si>
  <si>
    <t>448370 KS Equity</t>
  </si>
  <si>
    <t>A448370</t>
  </si>
  <si>
    <t>Hana Twenty-seven Special Purpose Acquisition Company</t>
  </si>
  <si>
    <t>하나27호스팩</t>
  </si>
  <si>
    <t>430700 KS Equity</t>
  </si>
  <si>
    <t>A430700</t>
  </si>
  <si>
    <t>Yuanta 9 SPECIAL PURPOSE ACQUISITION COMPANY</t>
  </si>
  <si>
    <t>유안타제9호스팩</t>
  </si>
  <si>
    <t>458320 KS Equity</t>
  </si>
  <si>
    <t>A458320</t>
  </si>
  <si>
    <t>KB No.26 Special Purpose Acquisition Company</t>
  </si>
  <si>
    <t>KB제26호스팩</t>
  </si>
  <si>
    <t>454640 KS Equity</t>
  </si>
  <si>
    <t>A454640</t>
  </si>
  <si>
    <t>Hana 29 Special Purpose Acquisition Company</t>
  </si>
  <si>
    <t>하나29호스팩</t>
  </si>
  <si>
    <t>415580 KS Equity</t>
  </si>
  <si>
    <t>A415580</t>
  </si>
  <si>
    <t>상상인제3호스팩</t>
  </si>
  <si>
    <t>455910 KS Equity</t>
  </si>
  <si>
    <t>A455910</t>
  </si>
  <si>
    <t>SK Securities No.9 Special Purpose Acquisition Company</t>
  </si>
  <si>
    <t>에스케이증권제9호스팩</t>
  </si>
  <si>
    <t>400840 KS Equity</t>
  </si>
  <si>
    <t>A400840</t>
  </si>
  <si>
    <t>하이제7호스팩</t>
  </si>
  <si>
    <t>444920 KS Equity</t>
  </si>
  <si>
    <t>A444920</t>
  </si>
  <si>
    <t>Yuanta 11 SPECIAL PURPOSE ACQUISITION COMPANY</t>
  </si>
  <si>
    <t>유안타제11호스팩</t>
  </si>
  <si>
    <t>405640 KS Equity</t>
  </si>
  <si>
    <t>A405640</t>
  </si>
  <si>
    <t>Shinhan 9th Special Purpose Acquisition Company</t>
  </si>
  <si>
    <t>신한제9호스팩</t>
  </si>
  <si>
    <t>439730 KS Equity</t>
  </si>
  <si>
    <t>A439730</t>
  </si>
  <si>
    <t>IBKS No.20 Special Purpose Acquisition Company</t>
  </si>
  <si>
    <t>IBKS제20호스팩</t>
  </si>
  <si>
    <t>www.ibks.com</t>
  </si>
  <si>
    <t>437780 KS Equity</t>
  </si>
  <si>
    <t>A437780</t>
  </si>
  <si>
    <t>NH SPECIAL PURPOSE ACQUISITION 24 COMPANY</t>
  </si>
  <si>
    <t>엔에이치스팩24호</t>
  </si>
  <si>
    <t>448830 KS Equity</t>
  </si>
  <si>
    <t>A448830</t>
  </si>
  <si>
    <t>Mirae Asset Vision Special Purpose Acquisition 3 Company</t>
  </si>
  <si>
    <t>미래에셋비전스팩3호</t>
  </si>
  <si>
    <t>기업인수목적회사(기타금융서비스)</t>
  </si>
  <si>
    <t>058220 KS Equity</t>
  </si>
  <si>
    <t>A058220</t>
  </si>
  <si>
    <t>아리온</t>
  </si>
  <si>
    <t>www.arion.co.kr</t>
  </si>
  <si>
    <t>446190 KS Equity</t>
  </si>
  <si>
    <t>A446190</t>
  </si>
  <si>
    <t>Mirae Asset Vision Special Purpose Acquisition 2 Company Co.,Ltd.</t>
  </si>
  <si>
    <t>미래에셋비전스팩2호</t>
  </si>
  <si>
    <t>450050 KS Equity</t>
  </si>
  <si>
    <t>A450050</t>
  </si>
  <si>
    <t>HI Special Purpose Acquisition Company 8</t>
  </si>
  <si>
    <t>하이제8호스팩</t>
  </si>
  <si>
    <t>455310 KS Equity</t>
  </si>
  <si>
    <t>A455310</t>
  </si>
  <si>
    <t>Hanwha Plus No 4 Special Purpose Acquisition Company</t>
  </si>
  <si>
    <t>한화플러스제4호스팩</t>
  </si>
  <si>
    <t>hanwha-plus-no4spac.com</t>
  </si>
  <si>
    <t>448760 KS Equity</t>
  </si>
  <si>
    <t>A448760</t>
  </si>
  <si>
    <t>IBKS No.22 Special Purpose Acquisition Company</t>
  </si>
  <si>
    <t>IBKS제22호스팩</t>
  </si>
  <si>
    <t>452670 KS Equity</t>
  </si>
  <si>
    <t>A452670</t>
  </si>
  <si>
    <t>Sangsangin No.4 Special Purpose Acquisition Company</t>
  </si>
  <si>
    <t>상상인제4호스팩</t>
  </si>
  <si>
    <t>442770 KS Equity</t>
  </si>
  <si>
    <t>A442770</t>
  </si>
  <si>
    <t>IBKS No.21 Special Purpose Acquisition Company</t>
  </si>
  <si>
    <t>IBKS제21호스팩</t>
  </si>
  <si>
    <t>446150 KS Equity</t>
  </si>
  <si>
    <t>A446150</t>
  </si>
  <si>
    <t>Yuanta 12 SPECIAL PURPOSE ACQUISITION COMPANY</t>
  </si>
  <si>
    <t>유안타제12호스팩</t>
  </si>
  <si>
    <t>450940 KS Equity</t>
  </si>
  <si>
    <t>A450940</t>
  </si>
  <si>
    <t>Yuanta 14 SPECIAL PURPOSE ACQUISITION COMPANY</t>
  </si>
  <si>
    <t>유안타제14호스팩</t>
  </si>
  <si>
    <t>467930 KS Equity</t>
  </si>
  <si>
    <t>A467930</t>
  </si>
  <si>
    <t>IBKS No.23 Special Purpose Acquisition Company</t>
  </si>
  <si>
    <t>IBKS제23호스팩</t>
  </si>
  <si>
    <t>464440 KS Equity</t>
  </si>
  <si>
    <t>A464440</t>
  </si>
  <si>
    <t>Korea No.13 Special Purpose Acquisition Co., Ltd.</t>
  </si>
  <si>
    <t>한국제13호스팩</t>
  </si>
  <si>
    <t>456490 KS Equity</t>
  </si>
  <si>
    <t>A456490</t>
  </si>
  <si>
    <t>Kyobo 14 Special Purpose Acquisition Company</t>
  </si>
  <si>
    <t>교보14호스팩</t>
  </si>
  <si>
    <t>455250 KS Equity</t>
  </si>
  <si>
    <t>A455250</t>
  </si>
  <si>
    <t>KB No.25 Special Purpose Acquisition Company</t>
  </si>
  <si>
    <t>KB제25호스팩</t>
  </si>
  <si>
    <t>445360 KS Equity</t>
  </si>
  <si>
    <t>A445360</t>
  </si>
  <si>
    <t>BNK 1 SPEACIAL PURPOSE ACQUISITION COMPANY</t>
  </si>
  <si>
    <t>비엔케이제1호스팩</t>
  </si>
  <si>
    <t>www.bnkspac1.com</t>
  </si>
  <si>
    <t>458610 KS Equity</t>
  </si>
  <si>
    <t>A458610</t>
  </si>
  <si>
    <t>Korea No.12 Special Purpose Acquisition Co., Ltd.</t>
  </si>
  <si>
    <t>한국제12호스팩</t>
  </si>
  <si>
    <t>440790 KS Equity</t>
  </si>
  <si>
    <t>A440790</t>
  </si>
  <si>
    <t>Kyobo 13 Special Purpose Acquisition Company</t>
  </si>
  <si>
    <t>교보13호스팩</t>
  </si>
  <si>
    <t>462020 KS Equity</t>
  </si>
  <si>
    <t>A462020</t>
  </si>
  <si>
    <t>HMCIB No.6 Special Purpose Acquisition Company</t>
  </si>
  <si>
    <t>에이치엠씨제6호스팩</t>
  </si>
  <si>
    <t>418210 KS Equity</t>
  </si>
  <si>
    <t>A418210</t>
  </si>
  <si>
    <t>Shinhan 10th Special Purpose Acquisition Company Co.,ltd.</t>
  </si>
  <si>
    <t>신한제10호스팩</t>
  </si>
  <si>
    <t>433530 KS Equity</t>
  </si>
  <si>
    <t>A433530</t>
  </si>
  <si>
    <t>Kiwoom No.7 Special Purpose Acquisition Company</t>
  </si>
  <si>
    <t>키움제7호스팩</t>
  </si>
  <si>
    <t>386580 KS Equity</t>
  </si>
  <si>
    <t>A386580</t>
  </si>
  <si>
    <t>Hanwha Plus No 2 Special Purpose Acquisition Company</t>
  </si>
  <si>
    <t>한화플러스제2호스팩</t>
  </si>
  <si>
    <t>hanwha-plus-no2spac.com</t>
  </si>
  <si>
    <t>435870 KS Equity</t>
  </si>
  <si>
    <t>A435870</t>
  </si>
  <si>
    <t>SK Securities No.8 Special Purpose Acquisition Company</t>
  </si>
  <si>
    <t>에스케이증권제8호스팩</t>
  </si>
  <si>
    <t>465320 KS Equity</t>
  </si>
  <si>
    <t>A465320</t>
  </si>
  <si>
    <t>Kyobo 15 Special Purpose Acquisition Company</t>
  </si>
  <si>
    <t>교보15호스팩</t>
  </si>
  <si>
    <t>442130 KS Equity</t>
  </si>
  <si>
    <t>A442130</t>
  </si>
  <si>
    <t>EUGENE SPECIAL PURPOSE ACQUISITION 9 COMPANY</t>
  </si>
  <si>
    <t>유진스팩9호</t>
  </si>
  <si>
    <t>161570 KS Equity</t>
  </si>
  <si>
    <t>A161570</t>
  </si>
  <si>
    <t>THE MIDONG</t>
  </si>
  <si>
    <t>www.the-midong.com</t>
  </si>
  <si>
    <t>413600 KS Equity</t>
  </si>
  <si>
    <t>A413600</t>
  </si>
  <si>
    <t>Kiwoom No.6 Special Purpose Acquisition Company</t>
  </si>
  <si>
    <t>키움제6호스팩</t>
  </si>
  <si>
    <t>457940 KS Equity</t>
  </si>
  <si>
    <t>A457940</t>
  </si>
  <si>
    <t>SK Securities No.10 Special Purpose Acquisition Company</t>
  </si>
  <si>
    <t>에스케이증권제10호스팩</t>
  </si>
  <si>
    <t>438580 KS Equity</t>
  </si>
  <si>
    <t>A438580</t>
  </si>
  <si>
    <t>NH SPECIAL PURPOSE ACQUISITION 25 COMPANY</t>
  </si>
  <si>
    <t>엔에이치스팩25호</t>
  </si>
  <si>
    <t xml:space="preserve">2,020 </t>
  </si>
  <si>
    <t xml:space="preserve">2,021 </t>
  </si>
  <si>
    <t xml:space="preserve">2,022 </t>
  </si>
  <si>
    <t xml:space="preserve">2,023 </t>
  </si>
  <si>
    <t xml:space="preserve">2,024 </t>
  </si>
  <si>
    <t xml:space="preserve">2,025 </t>
  </si>
  <si>
    <t xml:space="preserve">2,026 </t>
  </si>
  <si>
    <t>SOURCE</t>
  </si>
  <si>
    <t>Bloomberg</t>
  </si>
  <si>
    <t>Adjusted Beta(2years weekly)</t>
  </si>
  <si>
    <t>Dataguide</t>
  </si>
  <si>
    <t>유동성장기부채 + 단기차입부채 + 장기차입부채</t>
  </si>
  <si>
    <t>종가 * (자사주차감 총 주식수)</t>
  </si>
  <si>
    <t>LTM</t>
  </si>
  <si>
    <t>6M, 평균</t>
  </si>
  <si>
    <t>www.posco-inc.com</t>
  </si>
  <si>
    <t>www.poscofuturem.com</t>
  </si>
  <si>
    <t>www.doosanenerbility.com</t>
  </si>
  <si>
    <t>hybecorp.com</t>
  </si>
  <si>
    <t>www.hdksoe.co.kr</t>
  </si>
  <si>
    <t>www.hanwhaocean.com</t>
  </si>
  <si>
    <t>www.hdhyundai.co.kr</t>
  </si>
  <si>
    <t>SamsungE&amp;A</t>
  </si>
  <si>
    <t>삼성E&amp;A</t>
  </si>
  <si>
    <t>www.hd-hyundaielectric.com</t>
  </si>
  <si>
    <t>HD HYUNDAI MIPO</t>
  </si>
  <si>
    <t>HD현대미포</t>
  </si>
  <si>
    <t>www.oci-holdings.com</t>
  </si>
  <si>
    <t>www.dwml.co.kr</t>
  </si>
  <si>
    <t>www.hd-infracore.com</t>
  </si>
  <si>
    <t>www.lotteenergymaterials.com</t>
  </si>
  <si>
    <t>리가켐바이오</t>
  </si>
  <si>
    <t>www.kg-mobility.com</t>
  </si>
  <si>
    <t>www.gcbiopharma.com</t>
  </si>
  <si>
    <t>www.lottewellfood.com</t>
  </si>
  <si>
    <t>pharmaresearch.co.kr</t>
  </si>
  <si>
    <t>www.dsdansuk.com</t>
  </si>
  <si>
    <t>www.nexongames.co.kr</t>
  </si>
  <si>
    <t>www.hd-hyundaice.com</t>
  </si>
  <si>
    <t>www.skoceanplant.com</t>
  </si>
  <si>
    <t>www.seah.co.kr</t>
  </si>
  <si>
    <t>www.dnautomotive.com</t>
  </si>
  <si>
    <t>tkg.huchems.com</t>
  </si>
  <si>
    <t>www.doosan-tesna.co.kr</t>
  </si>
  <si>
    <t>KG-STEEL.CO.KR</t>
  </si>
  <si>
    <t>LOTTE INNOVATE</t>
  </si>
  <si>
    <t>롯데이노베이트</t>
  </si>
  <si>
    <t>www.hyundaigfholdings.co.kr</t>
  </si>
  <si>
    <t>무수프탈산 등</t>
  </si>
  <si>
    <t>www.vt-cosmetics.co.kr</t>
  </si>
  <si>
    <t>Hanwha Engine</t>
  </si>
  <si>
    <t>한화엔진</t>
  </si>
  <si>
    <t>www.fnfholdings.com</t>
  </si>
  <si>
    <t>hlbtherapeutics.com</t>
  </si>
  <si>
    <t>www.sti.co.kr</t>
  </si>
  <si>
    <t>bioplus.co.kr</t>
  </si>
  <si>
    <t>www.topmaterial.co.kr</t>
  </si>
  <si>
    <t>www.keccorp.com</t>
  </si>
  <si>
    <t>www.hb-solution.co.kr</t>
  </si>
  <si>
    <t>ILSUNG IS</t>
  </si>
  <si>
    <t>일성아이에스</t>
  </si>
  <si>
    <t>www.poscosteeleon.com</t>
  </si>
  <si>
    <t>dr.sajo.co.kr</t>
  </si>
  <si>
    <t>www.hlbbiostep.com</t>
  </si>
  <si>
    <t>www.hjsc.co.kr</t>
  </si>
  <si>
    <t>www.hansoliones.com</t>
  </si>
  <si>
    <t>KOLMAR HOLDINGS</t>
  </si>
  <si>
    <t>콜마홀딩스</t>
  </si>
  <si>
    <t>www.kolmarholdings.co.kr</t>
  </si>
  <si>
    <t>www.hd-hyundaies.co.kr</t>
  </si>
  <si>
    <t>www.bgfecomaterials.com</t>
  </si>
  <si>
    <t>www.vidente.co.kr</t>
  </si>
  <si>
    <t>www.com2us.com/holdings</t>
  </si>
  <si>
    <t>www.hlbglobal.co.kr</t>
  </si>
  <si>
    <t>www.aprogen.com</t>
  </si>
  <si>
    <t>www.joongangdnm.co.kr</t>
  </si>
  <si>
    <t>www.kxgroup.co.kr</t>
  </si>
  <si>
    <t>www.kica.co.kr</t>
  </si>
  <si>
    <t>hectofinancial.co.kr</t>
  </si>
  <si>
    <t>www.saramincorp.co.kr</t>
  </si>
  <si>
    <t>www.evam.co.kr</t>
  </si>
  <si>
    <t>www.hectoinnovation.co.kr</t>
  </si>
  <si>
    <t>company.creverse.com</t>
  </si>
  <si>
    <t>HanWool Materials Science, Inc.</t>
  </si>
  <si>
    <t>www.miwonsc.com</t>
  </si>
  <si>
    <t>www.kibplugenergy.com</t>
  </si>
  <si>
    <t>www.helixmith.com</t>
  </si>
  <si>
    <t>www.apsinc.co.kr</t>
  </si>
  <si>
    <t>www.dxvx.com</t>
  </si>
  <si>
    <t>이렘</t>
  </si>
  <si>
    <t>www.mdstech.co.kr</t>
  </si>
  <si>
    <t>www.hyundaibioland.co.kr</t>
  </si>
  <si>
    <t>www.humann.kr</t>
  </si>
  <si>
    <t>www.hancomlifecare.com</t>
  </si>
  <si>
    <t>www.hyundaiezwel.com</t>
  </si>
  <si>
    <t>www.redcaptour.com</t>
  </si>
  <si>
    <t>www.ggumbi-company.com</t>
  </si>
  <si>
    <t>www.soosanheavy.com</t>
  </si>
  <si>
    <t>www.aprogen-biologics.com</t>
  </si>
  <si>
    <t>corp.wemadeplay.com</t>
  </si>
  <si>
    <t>www.xperix.com</t>
  </si>
  <si>
    <t>www.benotnr.com</t>
  </si>
  <si>
    <t>www.hscorp.com</t>
  </si>
  <si>
    <t>www.lbinvestment.com</t>
  </si>
  <si>
    <t>C-Site Co.,Ltd.</t>
  </si>
  <si>
    <t>www.pharmgenscience.com</t>
  </si>
  <si>
    <t>www.chunghoict.com</t>
  </si>
  <si>
    <t>www.y2solution.com</t>
  </si>
  <si>
    <t>www.polaris-sewon.com</t>
  </si>
  <si>
    <t>www.hsad.co.kr</t>
  </si>
  <si>
    <t>www.taihanfiber.com</t>
  </si>
  <si>
    <t>www.hscleantech.com</t>
  </si>
  <si>
    <t>www.kpf.co.kr</t>
  </si>
  <si>
    <t>inno-sys.net</t>
  </si>
  <si>
    <t>www.wantedlab.com</t>
  </si>
  <si>
    <t>SEONG AN Materials</t>
  </si>
  <si>
    <t>성안머티리얼스</t>
  </si>
  <si>
    <t>www.stonebridgeventures.vc</t>
  </si>
  <si>
    <t>www.drb-industrial.com</t>
  </si>
  <si>
    <t>덕신이피씨</t>
  </si>
  <si>
    <t>Soosung Webtoon co., Ltd.</t>
  </si>
  <si>
    <t>수성웹툰</t>
  </si>
  <si>
    <t>www.rf-materials.com</t>
  </si>
  <si>
    <t>화장품 및 용기 제조</t>
  </si>
  <si>
    <t>www.optuspharm.com</t>
  </si>
  <si>
    <t>www.frombio-company.co.kr</t>
  </si>
  <si>
    <t>폴라리스AI파마</t>
  </si>
  <si>
    <t>www.igloo.co.kr</t>
  </si>
  <si>
    <t>MRO, 영상콘텐츠</t>
  </si>
  <si>
    <t>www.playgram.co.kr</t>
  </si>
  <si>
    <t>www.hldni.com</t>
  </si>
  <si>
    <t>www.kxhitech.com</t>
  </si>
  <si>
    <t>www.atecmobility.co.kr</t>
  </si>
  <si>
    <t>Polaris AI Corp.</t>
  </si>
  <si>
    <t>www.polarisai.co.kr</t>
  </si>
  <si>
    <t>AP헬스케어</t>
  </si>
  <si>
    <t>www.coasiacm.com</t>
  </si>
  <si>
    <t>www.sonid.co.kr</t>
  </si>
  <si>
    <t>기타금융업</t>
  </si>
  <si>
    <t>www.ecovoltdynamics.co.kr</t>
  </si>
  <si>
    <t>www.tsnexgen.com</t>
  </si>
  <si>
    <t>WWW.JSCOHOLDINGS.CO.KR</t>
  </si>
  <si>
    <t>www.dhautoware.co.kr</t>
  </si>
  <si>
    <t>www.eagon-holdings.com</t>
  </si>
  <si>
    <t>www.kbidongkook.com</t>
  </si>
  <si>
    <t>SGC E&amp;C</t>
  </si>
  <si>
    <t>www.daemyungsonoseason.com</t>
  </si>
  <si>
    <t>www.khconst.co.kr</t>
  </si>
  <si>
    <t>DH AUTOLEAD Co.,Ltd.</t>
  </si>
  <si>
    <t>모아라이프플러스</t>
  </si>
  <si>
    <t>NUON CO., LTD.</t>
  </si>
  <si>
    <t>뉴온</t>
  </si>
  <si>
    <t>www.iwin.kr</t>
  </si>
  <si>
    <t>www.chorokbaemenm.com</t>
  </si>
  <si>
    <t>www.smedi.net</t>
  </si>
  <si>
    <t>빛과전자</t>
  </si>
  <si>
    <t>www.chorokbaemcompany.com</t>
  </si>
  <si>
    <t>www.humnc.com</t>
  </si>
  <si>
    <t>www.wooreeenterprise.co.kr</t>
  </si>
  <si>
    <t>www.polarisuno.com</t>
  </si>
  <si>
    <t>알톤</t>
  </si>
  <si>
    <t>www.blpharmtech.com</t>
  </si>
  <si>
    <t>상지건설</t>
  </si>
  <si>
    <t>www.hyulimnetworks.com</t>
  </si>
  <si>
    <t>www.bladeent.com</t>
  </si>
  <si>
    <t>www.khelectron.co.kr</t>
  </si>
  <si>
    <t>www.m-it.co.kr</t>
  </si>
  <si>
    <t>www.thecodi.kr</t>
  </si>
  <si>
    <t>더테크놀로지</t>
  </si>
  <si>
    <t>www.exergy21.net</t>
  </si>
  <si>
    <t>www.cellfieglobal.com</t>
  </si>
  <si>
    <t>www.dimoa.co.kr</t>
  </si>
  <si>
    <t>www.spinc.co.kr</t>
  </si>
  <si>
    <t>www.kbiocompany.com</t>
  </si>
  <si>
    <t>www.hjfm.co.kr</t>
  </si>
  <si>
    <t>www.sanigen.kr</t>
  </si>
  <si>
    <t>www.rothwell.tech</t>
  </si>
  <si>
    <t>딥마인드</t>
  </si>
  <si>
    <t>www.slenergy.kr</t>
  </si>
  <si>
    <t>www.winia.com</t>
  </si>
  <si>
    <t>www.noblemnb.co.kr</t>
  </si>
  <si>
    <t>LigaChem Biosciences Inc.</t>
  </si>
  <si>
    <t>SOOP CO., LTD.</t>
  </si>
  <si>
    <t>SOOP</t>
  </si>
  <si>
    <t>수액제,이상지질혈증치료제,혈우병치료제,소화기궤양치료제,항생제,도매</t>
  </si>
  <si>
    <t>VT Co.,Ltd.</t>
  </si>
  <si>
    <t>YC Corporation</t>
  </si>
  <si>
    <t>와이씨</t>
  </si>
  <si>
    <t>KG Eco Solution Co.,Ltd.</t>
  </si>
  <si>
    <t>KG에코솔루션</t>
  </si>
  <si>
    <t>DIT Corp.</t>
  </si>
  <si>
    <t>VM Inc.</t>
  </si>
  <si>
    <t>브이엠</t>
  </si>
  <si>
    <t>KOLON ENP, INC.</t>
  </si>
  <si>
    <t>코오롱ENP</t>
  </si>
  <si>
    <t>LS SECURITIES Co., Ltd.</t>
  </si>
  <si>
    <t>CG Invites Co., Ltd.</t>
  </si>
  <si>
    <t>JOOSUNG CORPORATION</t>
  </si>
  <si>
    <t>Millie Seojae Co., Ltd.</t>
  </si>
  <si>
    <t>Artist United Inc.</t>
  </si>
  <si>
    <t>아티스트유나이티드</t>
  </si>
  <si>
    <t>IREM Co.,Ltd.</t>
  </si>
  <si>
    <t>SJG SEJONG CO.,LTD.</t>
  </si>
  <si>
    <t>CROWDWORKS INC.</t>
  </si>
  <si>
    <t>Xplus INC.</t>
  </si>
  <si>
    <t>엑스플러스</t>
  </si>
  <si>
    <t>전기 및 온수매트</t>
  </si>
  <si>
    <t>TEMC CNS Co., Ltd.</t>
  </si>
  <si>
    <t>티이엠씨씨엔에스</t>
  </si>
  <si>
    <t>JNK Global Co.,Ltd.</t>
  </si>
  <si>
    <t>제이엔케이글로벌</t>
  </si>
  <si>
    <t>CHEIL ELECTRIC CO.,LTD.</t>
  </si>
  <si>
    <t>제일일렉트릭</t>
  </si>
  <si>
    <t>Blitzway Studios Co.,Ltd.</t>
  </si>
  <si>
    <t>블리츠웨이스튜디오</t>
  </si>
  <si>
    <t>Haisung Aero-Robotics Co., Ltd.</t>
  </si>
  <si>
    <t>해성에어로보틱스</t>
  </si>
  <si>
    <t>DTC Co., Ltd.</t>
  </si>
  <si>
    <t>디티씨</t>
  </si>
  <si>
    <t>TP</t>
  </si>
  <si>
    <t>LK SAMYANG CO., LTD.</t>
  </si>
  <si>
    <t>LK삼양</t>
  </si>
  <si>
    <t>ESTaid Corp.</t>
  </si>
  <si>
    <t>이스트에이드</t>
  </si>
  <si>
    <t>BI Matrix CO.,Ltd.</t>
  </si>
  <si>
    <t>DUKSHINEPC CO., LTD.</t>
  </si>
  <si>
    <t>Polaris AI Pharma Corp.</t>
  </si>
  <si>
    <t>GUYOUNG TECHNOLOGY CO., LTD.</t>
  </si>
  <si>
    <t>ELC Co., Ltd.</t>
  </si>
  <si>
    <t>이엘씨</t>
  </si>
  <si>
    <t>반도체장비용 유량계와 유량 제어장치</t>
  </si>
  <si>
    <t>HUMAN TECHNOLOGY Co., Ltd.</t>
  </si>
  <si>
    <t>휴먼테크놀로지</t>
  </si>
  <si>
    <t>AP Healthcare Inc.</t>
  </si>
  <si>
    <t>CreoSG Co., Ltd.</t>
  </si>
  <si>
    <t>크레오에스지</t>
  </si>
  <si>
    <t>SGC E&amp;C Co., Ltd.</t>
  </si>
  <si>
    <t>CARRY CO., LTD.</t>
  </si>
  <si>
    <t>캐리</t>
  </si>
  <si>
    <t>기타 상품 전문 소매업</t>
  </si>
  <si>
    <t>SCL Science Inc.</t>
  </si>
  <si>
    <t>SCL사이언스</t>
  </si>
  <si>
    <t>MOA Life Plus Co., Ltd.</t>
  </si>
  <si>
    <t>Linked Inc.</t>
  </si>
  <si>
    <t>링크드</t>
  </si>
  <si>
    <t>FutureCore Co.,Ltd.</t>
  </si>
  <si>
    <t>퓨처코어</t>
  </si>
  <si>
    <t>LIGHTRON FIBER-OPTIC DEVICES INC.</t>
  </si>
  <si>
    <t>BECUAI CO., LTD.</t>
  </si>
  <si>
    <t>Hyper Corporation Inc.</t>
  </si>
  <si>
    <t>하이퍼코퍼레이션</t>
  </si>
  <si>
    <t>Nable Inc.</t>
  </si>
  <si>
    <t>Alton Co., Ltd.</t>
  </si>
  <si>
    <t>Sangji Construction, Inc.</t>
  </si>
  <si>
    <t>KH Mirae Corporation Co., Ltd.</t>
  </si>
  <si>
    <t>KH 미래물산</t>
  </si>
  <si>
    <t>Anic Inc.</t>
  </si>
  <si>
    <t>애닉</t>
  </si>
  <si>
    <t>The Technology Co.,Ltd.</t>
  </si>
  <si>
    <t>Plutus Investment Co., Ltd.</t>
  </si>
  <si>
    <t>플루토스</t>
  </si>
  <si>
    <t>BTB Korea Co., Ltd.</t>
  </si>
  <si>
    <t>Quantumon Co., Ltd.</t>
  </si>
  <si>
    <t>퀀텀온</t>
  </si>
  <si>
    <t>부동산 관련 서비스업</t>
  </si>
  <si>
    <t>DeepMind Platform Co., Ltd.</t>
  </si>
  <si>
    <t>CP SYSTEM CO., LTD.</t>
  </si>
  <si>
    <t>ARION TECHNOLOGY INC.</t>
  </si>
  <si>
    <t>3개년(2023~2026) CAGR</t>
  </si>
  <si>
    <t xml:space="preserve">2,027 </t>
  </si>
  <si>
    <t>맥주, 소주</t>
  </si>
  <si>
    <t>PARADISE</t>
  </si>
  <si>
    <t>카지노, 호텔, 복합리조트</t>
  </si>
  <si>
    <t>시멘트 제품</t>
  </si>
  <si>
    <t>HYUNDAI FEED Inc.</t>
  </si>
  <si>
    <t>현대사료</t>
  </si>
  <si>
    <t>LS증권</t>
  </si>
  <si>
    <t>Green pine tree Co., Ltd.</t>
  </si>
  <si>
    <t>푸른소나무</t>
  </si>
  <si>
    <t>MONAYONGPYONG</t>
  </si>
  <si>
    <t>모나용평</t>
  </si>
  <si>
    <t>DaeyangPaperMfg</t>
  </si>
  <si>
    <t>BDI Co., LTD.</t>
  </si>
  <si>
    <t>Edge Foundry Co.,Ltd.</t>
  </si>
  <si>
    <t>엣지파운드리</t>
  </si>
  <si>
    <t>포니링크</t>
  </si>
  <si>
    <t>강동씨앤엘</t>
  </si>
  <si>
    <t>비큐AI</t>
  </si>
  <si>
    <t>KS Industry Co., Ltd.</t>
  </si>
  <si>
    <t>KS인더스트리</t>
  </si>
  <si>
    <t>빌리언스</t>
  </si>
  <si>
    <t>PANACEA</t>
  </si>
  <si>
    <t>HANJOO ART Co.,LTD.</t>
  </si>
  <si>
    <t>한주에이알티</t>
  </si>
  <si>
    <t>한국비티비</t>
  </si>
  <si>
    <t xml:space="preserve">www.daesanfnb.co.kr </t>
  </si>
  <si>
    <t>씨피시스템</t>
  </si>
  <si>
    <t>www.cpsystem.co.kr</t>
  </si>
  <si>
    <t>THE MIDONG Co,. Ltd</t>
  </si>
  <si>
    <t>일차전지 및 이차전지 제조업</t>
  </si>
  <si>
    <t>기초 의약 물질 제조업</t>
  </si>
  <si>
    <t>내연기관 승용차 및 기타 여객용 자동차 제조업</t>
  </si>
  <si>
    <t>운송장비용 이차전지 제조업</t>
  </si>
  <si>
    <t>체외 진단 시약 제조업</t>
  </si>
  <si>
    <t>고무 타이어 및 튜브 제조업</t>
  </si>
  <si>
    <t>생물 의약품 제조업</t>
  </si>
  <si>
    <t>가정용 및 산업용 공기 조화장치 제조업</t>
  </si>
  <si>
    <t>기타 기초 유기 화학물질 제조업</t>
  </si>
  <si>
    <t>전자저항기 및 전자카드 제조업</t>
  </si>
  <si>
    <t>Smart Solutions</t>
  </si>
  <si>
    <t>동·식물성 유지 및 낙농제품 제조업</t>
  </si>
  <si>
    <t>산소, 질소 및 기타 산업용 가스 제조업</t>
  </si>
  <si>
    <t>자동차용 신품 조향장치 및 현가장치 제조업</t>
  </si>
  <si>
    <t>증기, 냉ㆍ온수 및 공기조절 공급업</t>
  </si>
  <si>
    <t>정지</t>
  </si>
  <si>
    <t>관리</t>
  </si>
  <si>
    <t>사무ㆍ상업용 및 공공기관용 건물 건설업</t>
  </si>
  <si>
    <t>기타 광학기기 및 사진기 제조업</t>
  </si>
  <si>
    <t>영상·오디오물 제공 서비스업</t>
  </si>
  <si>
    <t>www.cginvites.com</t>
  </si>
  <si>
    <t>가상자산 매매 및 중개업</t>
  </si>
  <si>
    <t>크라프트지 및 기타 상자용 판지 제조업</t>
  </si>
  <si>
    <t>살균ㆍ살충제 및 농약 제조업</t>
  </si>
  <si>
    <t>PonyLink Co., Ltd.</t>
  </si>
  <si>
    <t>HS HWASUNG</t>
  </si>
  <si>
    <t>HS화성</t>
  </si>
  <si>
    <t>사업시설 유지ㆍ관리 서비스업</t>
  </si>
  <si>
    <t>산업용 농ㆍ축산물 및 동ㆍ식물 도매업</t>
  </si>
  <si>
    <t>기타 비철금속 주조업</t>
  </si>
  <si>
    <t>KANGDONG C&amp;L CO., LTD.</t>
  </si>
  <si>
    <t>의약품, 의료소모품, 의료기기 도매</t>
  </si>
  <si>
    <t>isMedia Co., Ltd</t>
  </si>
  <si>
    <t>STACO LINK Co., Ltd.</t>
  </si>
  <si>
    <t>스타코링크</t>
  </si>
  <si>
    <t>www.stacolink.com</t>
  </si>
  <si>
    <t>HanWool Semiconductor, Inc.</t>
  </si>
  <si>
    <t>한울반도체</t>
  </si>
  <si>
    <t>Billions Co.,Ltd.</t>
  </si>
  <si>
    <t>모터사이클 및 개인용 전기식 이동수단 제조업</t>
  </si>
  <si>
    <t>전기재료연결부품</t>
  </si>
  <si>
    <t>HI Special Purpose Acquisition Company VII</t>
  </si>
  <si>
    <t>매출</t>
    <phoneticPr fontId="9" type="noConversion"/>
  </si>
  <si>
    <t>감가상각비(CF)</t>
  </si>
  <si>
    <t>감가상각비(IS)</t>
  </si>
  <si>
    <t>매출총이익</t>
    <phoneticPr fontId="9" type="noConversion"/>
  </si>
  <si>
    <t>감가상각대상자산(BV)</t>
  </si>
  <si>
    <t>감가상각누계액</t>
  </si>
  <si>
    <t xml:space="preserve">  매출관련경비(계)</t>
    <phoneticPr fontId="9" type="noConversion"/>
  </si>
  <si>
    <t>취득원가</t>
  </si>
  <si>
    <t>인건비성경비</t>
    <phoneticPr fontId="9" type="noConversion"/>
  </si>
  <si>
    <t>순취득액</t>
  </si>
  <si>
    <t>3. 인건비성경비</t>
    <phoneticPr fontId="14" type="noConversion"/>
  </si>
  <si>
    <t>평균급여</t>
    <phoneticPr fontId="9" type="noConversion"/>
  </si>
  <si>
    <t>무형자산상각비(CF)</t>
  </si>
  <si>
    <t>4. 고정성경비</t>
    <phoneticPr fontId="14" type="noConversion"/>
  </si>
  <si>
    <t>인원수</t>
    <phoneticPr fontId="9" type="noConversion"/>
  </si>
  <si>
    <t>무형자산상각비(IS)</t>
  </si>
  <si>
    <t>5. 감가상각비</t>
    <phoneticPr fontId="14" type="noConversion"/>
  </si>
  <si>
    <t>임원급여</t>
    <phoneticPr fontId="9" type="noConversion"/>
  </si>
  <si>
    <t>무형자산(BV)</t>
  </si>
  <si>
    <t>6. 무형자산상각비</t>
    <phoneticPr fontId="14" type="noConversion"/>
  </si>
  <si>
    <t>급료와임금</t>
    <phoneticPr fontId="9" type="noConversion"/>
  </si>
  <si>
    <t>7. 기타</t>
    <phoneticPr fontId="14" type="noConversion"/>
  </si>
  <si>
    <t>제수당</t>
    <phoneticPr fontId="9" type="noConversion"/>
  </si>
  <si>
    <t>자본적지출</t>
    <phoneticPr fontId="14" type="noConversion"/>
  </si>
  <si>
    <t>상여금</t>
    <phoneticPr fontId="9" type="noConversion"/>
  </si>
  <si>
    <t>급여(계)</t>
    <phoneticPr fontId="9" type="noConversion"/>
  </si>
  <si>
    <t>계산비율</t>
    <phoneticPr fontId="9" type="noConversion"/>
  </si>
  <si>
    <t>퇴직급여충당금전입액</t>
    <phoneticPr fontId="9" type="noConversion"/>
  </si>
  <si>
    <t>감가상각률(%)</t>
  </si>
  <si>
    <t>판관비상감가상각비율(%)</t>
    <phoneticPr fontId="9" type="noConversion"/>
  </si>
  <si>
    <t>퇴직급여(계)</t>
    <phoneticPr fontId="9" type="noConversion"/>
  </si>
  <si>
    <t>유형자산재투자율(%)</t>
    <phoneticPr fontId="9" type="noConversion"/>
  </si>
  <si>
    <t>무형자산상각률(%)</t>
  </si>
  <si>
    <t>판관비상무형자산상각비율(%)</t>
  </si>
  <si>
    <t>무형자산재투자율(%)</t>
  </si>
  <si>
    <t>세금과공과</t>
    <phoneticPr fontId="9" type="noConversion"/>
  </si>
  <si>
    <t>순운전자본 추정</t>
    <phoneticPr fontId="9" type="noConversion"/>
  </si>
  <si>
    <t>수선비</t>
    <phoneticPr fontId="9" type="noConversion"/>
  </si>
  <si>
    <t>매출채권</t>
    <phoneticPr fontId="73" type="noConversion"/>
  </si>
  <si>
    <t>재고자산</t>
    <phoneticPr fontId="73" type="noConversion"/>
  </si>
  <si>
    <t>운전자산(계)</t>
  </si>
  <si>
    <t>매입채무</t>
    <phoneticPr fontId="73" type="noConversion"/>
  </si>
  <si>
    <t>운전부채(계)</t>
  </si>
  <si>
    <t>XIII. 비영업용자산(g)</t>
    <phoneticPr fontId="73" type="noConversion"/>
  </si>
  <si>
    <t>순운전자본(NWC)</t>
  </si>
  <si>
    <t>순운전자본변동분(△NWC)</t>
  </si>
  <si>
    <t>순운전자본 계산비율</t>
  </si>
  <si>
    <t>매출채권회전율</t>
    <phoneticPr fontId="73" type="noConversion"/>
  </si>
  <si>
    <t>재고자산회전율</t>
    <phoneticPr fontId="73" type="noConversion"/>
  </si>
  <si>
    <t xml:space="preserve"> 무형자산상각비(IS)</t>
    <phoneticPr fontId="9" type="noConversion"/>
  </si>
  <si>
    <t>매입채무회전율</t>
    <phoneticPr fontId="73" type="noConversion"/>
  </si>
  <si>
    <t xml:space="preserve"> 기타</t>
    <phoneticPr fontId="9" type="noConversion"/>
  </si>
  <si>
    <t xml:space="preserve"> 영업이익</t>
    <phoneticPr fontId="9" type="noConversion"/>
  </si>
  <si>
    <t>법인세비용</t>
    <phoneticPr fontId="9" type="noConversion"/>
  </si>
  <si>
    <t xml:space="preserve"> NOPLAT</t>
    <phoneticPr fontId="9" type="noConversion"/>
  </si>
  <si>
    <t>매출원가비율(%)</t>
    <phoneticPr fontId="9" type="noConversion"/>
  </si>
  <si>
    <t>매출관련경비비율(%)</t>
    <phoneticPr fontId="9" type="noConversion"/>
  </si>
  <si>
    <t>퇴직급여비율(%)</t>
    <phoneticPr fontId="9" type="noConversion"/>
  </si>
  <si>
    <t>인건비성경비비율(%)</t>
    <phoneticPr fontId="9" type="noConversion"/>
  </si>
  <si>
    <t>기타경비비율(%)</t>
    <phoneticPr fontId="9" type="noConversion"/>
  </si>
  <si>
    <t>비중</t>
    <phoneticPr fontId="9" type="noConversion"/>
  </si>
  <si>
    <t>평균</t>
    <phoneticPr fontId="9" type="noConversion"/>
  </si>
  <si>
    <t>비영업용부채 합계</t>
    <phoneticPr fontId="73" type="noConversion"/>
  </si>
  <si>
    <t>베타산정을 위한 유사기업 선정</t>
    <phoneticPr fontId="14" type="noConversion"/>
  </si>
  <si>
    <t>관측베타 2years weekly</t>
    <phoneticPr fontId="9" type="noConversion"/>
  </si>
  <si>
    <t>Peer Companies</t>
    <phoneticPr fontId="9" type="noConversion"/>
  </si>
  <si>
    <t>관측베타</t>
    <phoneticPr fontId="9" type="noConversion"/>
  </si>
  <si>
    <t>Unlevered Beta</t>
    <phoneticPr fontId="9" type="noConversion"/>
  </si>
  <si>
    <t>Levered Beta</t>
    <phoneticPr fontId="9" type="noConversion"/>
  </si>
  <si>
    <t>단위: 백만원</t>
    <phoneticPr fontId="9" type="noConversion"/>
  </si>
  <si>
    <t>TV</t>
    <phoneticPr fontId="9" type="noConversion"/>
  </si>
  <si>
    <t>구분</t>
    <phoneticPr fontId="9" type="noConversion"/>
  </si>
  <si>
    <t>감가상각비 추정</t>
    <phoneticPr fontId="73" type="noConversion"/>
  </si>
  <si>
    <t>매출성장률 추정</t>
    <phoneticPr fontId="73" type="noConversion"/>
  </si>
  <si>
    <t>매출액</t>
    <phoneticPr fontId="9" type="noConversion"/>
  </si>
  <si>
    <t>원가</t>
    <phoneticPr fontId="9" type="noConversion"/>
  </si>
  <si>
    <t>성장률</t>
    <phoneticPr fontId="9" type="noConversion"/>
  </si>
  <si>
    <t>Ⅳ. 판매 및 일반관리비</t>
    <phoneticPr fontId="73" type="noConversion"/>
  </si>
  <si>
    <t>판매비와 관리비</t>
    <phoneticPr fontId="9" type="noConversion"/>
  </si>
  <si>
    <t>*매출추정내역 정리</t>
    <phoneticPr fontId="9" type="noConversion"/>
  </si>
  <si>
    <t>Aver 3Y</t>
  </si>
  <si>
    <t>퇴직금</t>
    <phoneticPr fontId="9" type="noConversion"/>
  </si>
  <si>
    <t xml:space="preserve"> 인건비(계)</t>
    <phoneticPr fontId="9" type="noConversion"/>
  </si>
  <si>
    <t xml:space="preserve">  인건비성경비(계)</t>
    <phoneticPr fontId="9" type="noConversion"/>
  </si>
  <si>
    <t>임차료비용</t>
    <phoneticPr fontId="9" type="noConversion"/>
  </si>
  <si>
    <t>통신비</t>
    <phoneticPr fontId="9" type="noConversion"/>
  </si>
  <si>
    <t>수도광열비</t>
    <phoneticPr fontId="9" type="noConversion"/>
  </si>
  <si>
    <t>과거비율</t>
    <phoneticPr fontId="9" type="noConversion"/>
  </si>
  <si>
    <t>과거비율</t>
    <phoneticPr fontId="9" type="noConversion"/>
  </si>
  <si>
    <t>잔여기간</t>
    <phoneticPr fontId="9" type="noConversion"/>
  </si>
  <si>
    <t>판관비상감가상각비율(%)</t>
  </si>
  <si>
    <t>보험료</t>
    <phoneticPr fontId="9" type="noConversion"/>
  </si>
  <si>
    <t>유형자산재투자율(%)</t>
  </si>
  <si>
    <t>X. ΣPV of FCFF(d)</t>
    <phoneticPr fontId="9" type="noConversion"/>
  </si>
  <si>
    <t>도서구입비</t>
    <phoneticPr fontId="9" type="noConversion"/>
  </si>
  <si>
    <t>XI. 영구가치(e)</t>
    <phoneticPr fontId="73" type="noConversion"/>
  </si>
  <si>
    <t>소모품비</t>
    <phoneticPr fontId="9" type="noConversion"/>
  </si>
  <si>
    <t>XII. 영업가치(f=d+e)</t>
    <phoneticPr fontId="73" type="noConversion"/>
  </si>
  <si>
    <t>차량유지비</t>
    <phoneticPr fontId="9" type="noConversion"/>
  </si>
  <si>
    <t>전산처리비</t>
    <phoneticPr fontId="9" type="noConversion"/>
  </si>
  <si>
    <t>기타관리비</t>
    <phoneticPr fontId="9" type="noConversion"/>
  </si>
  <si>
    <t>중간기간판매비와관리비조정</t>
    <phoneticPr fontId="9" type="noConversion"/>
  </si>
  <si>
    <t>비율정리</t>
    <phoneticPr fontId="9" type="noConversion"/>
  </si>
  <si>
    <t>비율정리</t>
    <phoneticPr fontId="9" type="noConversion"/>
  </si>
  <si>
    <t>Aver 2Y</t>
  </si>
  <si>
    <t>WA 2Y</t>
  </si>
  <si>
    <t>기타고정성경비</t>
    <phoneticPr fontId="9" type="noConversion"/>
  </si>
  <si>
    <t xml:space="preserve"> 고정성경비(계)</t>
    <phoneticPr fontId="9" type="noConversion"/>
  </si>
  <si>
    <t>XVIII. 유통발행주식수</t>
    <phoneticPr fontId="9" type="noConversion"/>
  </si>
  <si>
    <t xml:space="preserve"> 감가상각비(IS)</t>
    <phoneticPr fontId="9" type="noConversion"/>
  </si>
  <si>
    <t>매출채권회전율</t>
  </si>
  <si>
    <t>재고자산회전율</t>
  </si>
  <si>
    <t>매입채무회전율</t>
  </si>
  <si>
    <t>비영업용자산</t>
    <phoneticPr fontId="9" type="noConversion"/>
  </si>
  <si>
    <t>금액</t>
    <phoneticPr fontId="9" type="noConversion"/>
  </si>
  <si>
    <t>비영업용자산 합계</t>
    <phoneticPr fontId="73" type="noConversion"/>
  </si>
  <si>
    <t>비영업용부채</t>
    <phoneticPr fontId="9" type="noConversion"/>
  </si>
  <si>
    <t>금액</t>
    <phoneticPr fontId="9" type="noConversion"/>
  </si>
  <si>
    <t>항목</t>
    <phoneticPr fontId="9" type="noConversion"/>
  </si>
  <si>
    <t>값</t>
    <phoneticPr fontId="9" type="noConversion"/>
  </si>
  <si>
    <t>규모및프리미엄</t>
    <phoneticPr fontId="14" type="noConversion"/>
  </si>
  <si>
    <t>가중평균자본비(WACC)</t>
    <phoneticPr fontId="14" type="noConversion"/>
  </si>
  <si>
    <t>FCF추정!K11</t>
  </si>
  <si>
    <t>FCF추정!K19</t>
  </si>
  <si>
    <t>FCF추정!E57</t>
  </si>
  <si>
    <t>FCF추정!E59</t>
  </si>
  <si>
    <t>영업활동의 주요 품목으로 에너지 사업내 천연가스 발전, 태양력, 풍력, 수소 등이 있으며, 트레이딩 사업은 철강 및 철강원료, 이차전지소재, 곡물, 유지, 면방, 바이오플라스틱, 친환경차부품, 인프라 및 산업 플랜트 등이 있음.</t>
  </si>
  <si>
    <t>기초화학원료(PO, PG), 전지용 동박 등을 제조ㆍ판매하는 사업</t>
  </si>
  <si>
    <t>HS HYOSUNG ADVANCED MATERIALS</t>
  </si>
  <si>
    <t>HS효성첨단소재</t>
  </si>
  <si>
    <t>Connectwave</t>
  </si>
  <si>
    <t>자료처리, 호스팅 및 관련 서비스업</t>
  </si>
  <si>
    <t>호스팅 및 관련 서비스업</t>
  </si>
  <si>
    <t>HD-Hyundai Marine Engine</t>
  </si>
  <si>
    <t>HD현대마린엔진</t>
  </si>
  <si>
    <t>SJG세종</t>
  </si>
  <si>
    <t>치과기공물 제조업</t>
  </si>
  <si>
    <t>PCB 자동화 설비</t>
  </si>
  <si>
    <t>합성고무 제조업</t>
  </si>
  <si>
    <t>Exion Group Company Limited</t>
  </si>
  <si>
    <t>엑시온그룹</t>
  </si>
  <si>
    <t>InkredibleBuzz Inc.</t>
  </si>
  <si>
    <t>인크레더블버즈</t>
  </si>
  <si>
    <t>www.inkrediblebuzz.kr</t>
  </si>
  <si>
    <t>DG-ITX Co., Ltd.</t>
  </si>
  <si>
    <t>DGI</t>
  </si>
  <si>
    <t>Hyundai ADM Bio Inc.</t>
  </si>
  <si>
    <t>현대ADM</t>
  </si>
  <si>
    <t>METACARE</t>
  </si>
  <si>
    <t>메타케어</t>
  </si>
  <si>
    <t>ECM Chip, TVS Diode, Driver IC, LED Module, LED</t>
  </si>
  <si>
    <t>Alphanox Co.,Ltd.</t>
  </si>
  <si>
    <t>알파녹스</t>
  </si>
  <si>
    <t>광고</t>
  </si>
  <si>
    <t>FINO INC.</t>
  </si>
  <si>
    <t>피노</t>
  </si>
  <si>
    <t>Hana Financial Twenty-four SPAC</t>
  </si>
  <si>
    <t>NS ENM Co.,Ltd.</t>
  </si>
  <si>
    <t>엔에스이엔엠</t>
  </si>
  <si>
    <t>차입금오류</t>
  </si>
  <si>
    <t>Jeisys Medical</t>
  </si>
  <si>
    <t>차랑용 스프링 및 시트</t>
  </si>
  <si>
    <t>화장품, 철스크랩</t>
  </si>
  <si>
    <t>ILOODA Co.,Ltd</t>
  </si>
  <si>
    <t>아크솔루션스</t>
  </si>
  <si>
    <t>영상 콘텐츠</t>
  </si>
  <si>
    <t>Earth &amp; Aerospace Manufacturing</t>
  </si>
  <si>
    <t>AJIN ELECTRONIC COMPONENTS</t>
  </si>
  <si>
    <t>아진전자부품</t>
  </si>
  <si>
    <t>TLI Inc.</t>
  </si>
  <si>
    <t>www.nuriflex.co.kr</t>
  </si>
  <si>
    <t>HanulBnC CO., LTD.</t>
  </si>
  <si>
    <t>한울BnC</t>
  </si>
  <si>
    <t>ONTIDE</t>
  </si>
  <si>
    <t>온타이드</t>
  </si>
  <si>
    <t>서비스</t>
  </si>
  <si>
    <t>KOREA ADVANCED MATERIALS Co., Ltd.</t>
  </si>
  <si>
    <t>한국첨단소재</t>
  </si>
  <si>
    <t>20221101</t>
  </si>
  <si>
    <t>20241031</t>
  </si>
  <si>
    <t>2024-10-31</t>
  </si>
  <si>
    <t>BusinessOn Communication Co., Ltd</t>
  </si>
  <si>
    <t>시지메드텍</t>
  </si>
  <si>
    <t>아티스트스튜디오</t>
  </si>
  <si>
    <t>Kyobo 12 Special Purpose Acquisition Company</t>
  </si>
  <si>
    <t>Daishin Balance No.13 Special Purpose Acquisition Company</t>
  </si>
  <si>
    <t>Sangsangin No.3 Special Purpose Acquisition Company</t>
  </si>
  <si>
    <t>20243Q</t>
  </si>
  <si>
    <t>2024-12-05</t>
  </si>
  <si>
    <t>D00000</t>
  </si>
  <si>
    <t>개요</t>
  </si>
  <si>
    <t>2024-12-31/208445/1</t>
  </si>
  <si>
    <t>D00010</t>
  </si>
  <si>
    <t xml:space="preserve">(주)미래세라텍                                    </t>
  </si>
  <si>
    <t>D00020</t>
  </si>
  <si>
    <t>외감,중소기업</t>
  </si>
  <si>
    <t>D00030</t>
  </si>
  <si>
    <t>D00040</t>
  </si>
  <si>
    <t xml:space="preserve">김범주                                                                </t>
  </si>
  <si>
    <t>D00050</t>
  </si>
  <si>
    <t>#,##0</t>
    <phoneticPr fontId="3" type="noConversion"/>
  </si>
  <si>
    <t>D00060</t>
  </si>
  <si>
    <t>1주당금액</t>
  </si>
  <si>
    <t>D00070</t>
  </si>
  <si>
    <t>#,##0</t>
    <phoneticPr fontId="3" type="noConversion"/>
  </si>
  <si>
    <t>D00080</t>
  </si>
  <si>
    <t>종업원수</t>
  </si>
  <si>
    <t>D00090</t>
  </si>
  <si>
    <t>산업분류</t>
  </si>
  <si>
    <t xml:space="preserve">위생용 도자기 제조업                                                                                                                                  </t>
  </si>
  <si>
    <t>D00100</t>
  </si>
  <si>
    <t xml:space="preserve">세라믹제품 제조/기술 용역                                                                                                                             </t>
  </si>
  <si>
    <t>D00110</t>
  </si>
  <si>
    <t>본사주소</t>
  </si>
  <si>
    <t xml:space="preserve">경북 포항시 북구 청하면 동해대로2315번길 54-6                                                                                     </t>
  </si>
  <si>
    <t>D00120</t>
  </si>
  <si>
    <t>법인번호/사업자번호</t>
  </si>
  <si>
    <t>1717110039832 / 5068134778</t>
  </si>
  <si>
    <t>D00130</t>
  </si>
  <si>
    <t xml:space="preserve">내부등급 :  , 외부등급 : </t>
  </si>
  <si>
    <t>D01000</t>
  </si>
  <si>
    <t>기초데이터</t>
  </si>
  <si>
    <t>#0.00</t>
  </si>
  <si>
    <t>#0.00</t>
    <phoneticPr fontId="3" type="noConversion"/>
  </si>
  <si>
    <t>D01010</t>
  </si>
  <si>
    <t>재무평점</t>
  </si>
  <si>
    <t>#0.00</t>
    <phoneticPr fontId="3" type="noConversion"/>
  </si>
  <si>
    <t>D01020</t>
  </si>
  <si>
    <t>D01030</t>
  </si>
  <si>
    <t>D01040</t>
  </si>
  <si>
    <t>D01050</t>
  </si>
  <si>
    <t>D01060</t>
  </si>
  <si>
    <t>D01070</t>
  </si>
  <si>
    <t>D01080</t>
  </si>
  <si>
    <t>날짜</t>
  </si>
  <si>
    <t>점수/비율</t>
  </si>
  <si>
    <t>일자</t>
  </si>
  <si>
    <t>시장명</t>
  </si>
  <si>
    <t>지수코드</t>
  </si>
  <si>
    <t>지수명</t>
  </si>
  <si>
    <t>상관계수</t>
  </si>
  <si>
    <t>부채비율</t>
  </si>
  <si>
    <t>선택</t>
  </si>
  <si>
    <t>거래소</t>
  </si>
  <si>
    <t>음식료품</t>
  </si>
  <si>
    <t>섬유,의복</t>
  </si>
  <si>
    <t>종이,목재</t>
  </si>
  <si>
    <t>화학</t>
  </si>
  <si>
    <t>비금속광물제품</t>
  </si>
  <si>
    <t>철강,금속</t>
  </si>
  <si>
    <t>기계</t>
  </si>
  <si>
    <t>전기,전자</t>
  </si>
  <si>
    <t>의료정밀</t>
  </si>
  <si>
    <t>운수장비</t>
  </si>
  <si>
    <t>유통업</t>
  </si>
  <si>
    <t>전기,가스업</t>
  </si>
  <si>
    <t>건설업</t>
  </si>
  <si>
    <t>운수창고업</t>
  </si>
  <si>
    <t>통신업</t>
  </si>
  <si>
    <t>금융업</t>
  </si>
  <si>
    <t>은행</t>
  </si>
  <si>
    <t>증권</t>
  </si>
  <si>
    <t>보험업</t>
  </si>
  <si>
    <t>서비스업</t>
  </si>
  <si>
    <t>제조업</t>
  </si>
  <si>
    <t>미분류</t>
  </si>
  <si>
    <t>벤처기업</t>
  </si>
  <si>
    <t>기타서비스</t>
  </si>
  <si>
    <t>전기,가스,수도</t>
  </si>
  <si>
    <t>IT 종합</t>
  </si>
  <si>
    <t>IT 벤처</t>
  </si>
  <si>
    <t>제조</t>
  </si>
  <si>
    <t>건설</t>
  </si>
  <si>
    <t>유통</t>
  </si>
  <si>
    <t>숙박,음식</t>
  </si>
  <si>
    <t>금융</t>
  </si>
  <si>
    <t>오락,문화</t>
  </si>
  <si>
    <t>통신방송서비스</t>
  </si>
  <si>
    <t>IT S/W &amp; SVC</t>
  </si>
  <si>
    <t>IT H/W</t>
  </si>
  <si>
    <t>농업</t>
  </si>
  <si>
    <t>음식료·담배</t>
  </si>
  <si>
    <t>섬유·의류</t>
  </si>
  <si>
    <t>종이·목재</t>
  </si>
  <si>
    <t>출판·매체복제</t>
  </si>
  <si>
    <t>제약</t>
  </si>
  <si>
    <t>비금속</t>
  </si>
  <si>
    <t>금속</t>
  </si>
  <si>
    <t>기계·장비</t>
  </si>
  <si>
    <t>일반전기전자</t>
  </si>
  <si>
    <t>의료·정밀기기</t>
  </si>
  <si>
    <t>운송장비·부품</t>
  </si>
  <si>
    <t>가구</t>
  </si>
  <si>
    <t>통신서비스</t>
  </si>
  <si>
    <t>방송서비스</t>
  </si>
  <si>
    <t>인터넷</t>
  </si>
  <si>
    <t>디지털컨텐츠</t>
  </si>
  <si>
    <t>소프트웨어</t>
  </si>
  <si>
    <t>컴퓨터서비스</t>
  </si>
  <si>
    <t>통신장비</t>
  </si>
  <si>
    <t>정보기기</t>
  </si>
  <si>
    <t>D90000</t>
  </si>
  <si>
    <t>D90110</t>
  </si>
  <si>
    <t>[D90110] 당좌차월</t>
  </si>
  <si>
    <t>D90120</t>
  </si>
  <si>
    <t>[D90120] -</t>
  </si>
  <si>
    <t>D90130</t>
  </si>
  <si>
    <t>[D90130] 외화단기차입금</t>
  </si>
  <si>
    <t>D90140</t>
  </si>
  <si>
    <t>[D90140] 어음차입금</t>
  </si>
  <si>
    <t>D90150</t>
  </si>
  <si>
    <t>[D90150] 특수관계자단기차입금</t>
  </si>
  <si>
    <t>D90160</t>
  </si>
  <si>
    <t>[D90160] 기타단기차입금</t>
  </si>
  <si>
    <t>D90170</t>
  </si>
  <si>
    <t>[D90170] 단기차입금합계</t>
  </si>
  <si>
    <t>D90180</t>
  </si>
  <si>
    <t>[D90180] 장기차입금</t>
  </si>
  <si>
    <t>D90190</t>
  </si>
  <si>
    <t>[D90190] 외화장기차입금</t>
  </si>
  <si>
    <t>D90200</t>
  </si>
  <si>
    <t>[D90200] 기타장기차입금</t>
  </si>
  <si>
    <t>D90210</t>
  </si>
  <si>
    <t>[D90210] 장기차입금합계</t>
  </si>
  <si>
    <t>D90220</t>
  </si>
  <si>
    <t>[D90220] (유동성장기차입금)</t>
  </si>
  <si>
    <t>D90230</t>
  </si>
  <si>
    <t>[D90230] 회사채</t>
  </si>
  <si>
    <t>D90240</t>
  </si>
  <si>
    <t>[D90240] (유동성사채)</t>
  </si>
  <si>
    <t>D90250</t>
  </si>
  <si>
    <t>[D90250] 금융리스부채</t>
  </si>
  <si>
    <t>D90260</t>
  </si>
  <si>
    <t>[D90260] 차입금총계</t>
  </si>
  <si>
    <t>20201231K</t>
  </si>
  <si>
    <t>20201231K</t>
    <phoneticPr fontId="9" type="noConversion"/>
  </si>
  <si>
    <t>20211231K</t>
  </si>
  <si>
    <t>20211231K</t>
    <phoneticPr fontId="9" type="noConversion"/>
  </si>
  <si>
    <t>20221231K</t>
  </si>
  <si>
    <t>20221231K</t>
    <phoneticPr fontId="9" type="noConversion"/>
  </si>
  <si>
    <t>20221231K</t>
    <phoneticPr fontId="9" type="noConversion"/>
  </si>
  <si>
    <t>20231231K</t>
  </si>
  <si>
    <t>20231231K</t>
    <phoneticPr fontId="9" type="noConversion"/>
  </si>
  <si>
    <t>20231231K</t>
    <phoneticPr fontId="9" type="noConversion"/>
  </si>
  <si>
    <t>D91000</t>
  </si>
  <si>
    <t>[D91000] 현금흐름과유동성</t>
  </si>
  <si>
    <t>D91110</t>
  </si>
  <si>
    <t>[D91110] 영업활동현금흐름</t>
  </si>
  <si>
    <t>D91120</t>
  </si>
  <si>
    <t>[D91120] 투자활동현금흐름</t>
  </si>
  <si>
    <t>D91130</t>
  </si>
  <si>
    <t>[D91130] 재무활동현금흐름</t>
  </si>
  <si>
    <t>D91140</t>
  </si>
  <si>
    <t>[D91140] 유동비율(%)</t>
  </si>
  <si>
    <t>D91150</t>
  </si>
  <si>
    <t>[D91150] 당좌비율(%)</t>
  </si>
  <si>
    <t>20211231K</t>
    <phoneticPr fontId="9" type="noConversion"/>
  </si>
  <si>
    <t>20221231K</t>
    <phoneticPr fontId="9" type="noConversion"/>
  </si>
  <si>
    <t>D92000</t>
  </si>
  <si>
    <t>[D92000] 성장성및수익성/재무안정성-재무구조</t>
  </si>
  <si>
    <t>D92110</t>
  </si>
  <si>
    <t>[D92110] 매출액</t>
  </si>
  <si>
    <t>D92120</t>
  </si>
  <si>
    <t>[D92120] 매출액증가율(%)</t>
  </si>
  <si>
    <t>D92130</t>
  </si>
  <si>
    <t>[D92130] 영업이익(손실)</t>
  </si>
  <si>
    <t>D92140</t>
  </si>
  <si>
    <t>[D92140] 영업이익증가율(%)</t>
  </si>
  <si>
    <t>D92150</t>
  </si>
  <si>
    <t>[D92150] 법인세비용차감전계속사업이익(손실)</t>
  </si>
  <si>
    <t>D92160</t>
  </si>
  <si>
    <t>[D92160] 매출액법인세비용차감전순이익율(%)</t>
  </si>
  <si>
    <t>D92170</t>
  </si>
  <si>
    <t>[D92170] 법인세비용차감전순이익증가율(%)</t>
  </si>
  <si>
    <t>D92180</t>
  </si>
  <si>
    <t>[D92180] 자본총계</t>
  </si>
  <si>
    <t>D92190</t>
  </si>
  <si>
    <t>[D92190] 부채총계</t>
  </si>
  <si>
    <t>D92200</t>
  </si>
  <si>
    <t>[D92200] 부채비율(%)</t>
  </si>
  <si>
    <t>D93000</t>
  </si>
  <si>
    <t>[D93000] 필요재무정보</t>
  </si>
  <si>
    <t>D93110</t>
  </si>
  <si>
    <t>[D93110] 매출액</t>
  </si>
  <si>
    <t>D93120</t>
  </si>
  <si>
    <t>[D93120] 매출원가</t>
  </si>
  <si>
    <t>D93124</t>
  </si>
  <si>
    <t>[D93124] 매출총이익</t>
  </si>
  <si>
    <t>D93128</t>
  </si>
  <si>
    <t>[D93128] 판매비관리비</t>
  </si>
  <si>
    <t>D93130</t>
  </si>
  <si>
    <t>[D93130]   여비교통비</t>
  </si>
  <si>
    <t>D93140</t>
  </si>
  <si>
    <t>[D93140]   도서인쇄비</t>
  </si>
  <si>
    <t>D93150</t>
  </si>
  <si>
    <t>[D93150]   수수료비용</t>
  </si>
  <si>
    <t>D93160</t>
  </si>
  <si>
    <t>[D93160]   리스료</t>
  </si>
  <si>
    <t>D93170</t>
  </si>
  <si>
    <t>[D93170]   하자보수비</t>
  </si>
  <si>
    <t>D93180</t>
  </si>
  <si>
    <t>[D93180]   접대비</t>
  </si>
  <si>
    <t>D93190</t>
  </si>
  <si>
    <t>[D93190]   광고선전비</t>
  </si>
  <si>
    <t>D93200</t>
  </si>
  <si>
    <t>[D93200]   보관료</t>
  </si>
  <si>
    <t>D93210</t>
  </si>
  <si>
    <t>[D93210]   견본비</t>
  </si>
  <si>
    <t>D93220</t>
  </si>
  <si>
    <t>[D93220]   포장비</t>
  </si>
  <si>
    <t>D93230</t>
  </si>
  <si>
    <t>[D93230]   운반비</t>
  </si>
  <si>
    <t>D93240</t>
  </si>
  <si>
    <t>[D93240]   판매수수료</t>
  </si>
  <si>
    <t>D93250</t>
  </si>
  <si>
    <t>[D93250]   해외시장개척비</t>
  </si>
  <si>
    <t>D93260</t>
  </si>
  <si>
    <t>[D93260]   판매촉진비</t>
  </si>
  <si>
    <t>D93270</t>
  </si>
  <si>
    <t>[D93270]   수출비용</t>
  </si>
  <si>
    <t>D93280</t>
  </si>
  <si>
    <t>[D93280]   기타판매비</t>
  </si>
  <si>
    <t>D93290</t>
  </si>
  <si>
    <t>[D93290]   A/S비</t>
  </si>
  <si>
    <t>D93300</t>
  </si>
  <si>
    <t>[D93300]   반품충당부채전입액</t>
  </si>
  <si>
    <t>D93310</t>
  </si>
  <si>
    <t>[D93310]   연구비</t>
  </si>
  <si>
    <t>D93320</t>
  </si>
  <si>
    <t>[D93320]   경상연구개발비</t>
  </si>
  <si>
    <t>D93330</t>
  </si>
  <si>
    <t>[D93330]   경상개발비</t>
  </si>
  <si>
    <t>D93340</t>
  </si>
  <si>
    <t>[D93340]   로얄티</t>
  </si>
  <si>
    <t>D93350</t>
  </si>
  <si>
    <t>[D93350]   대손상각비</t>
  </si>
  <si>
    <t>D93360</t>
  </si>
  <si>
    <t>[D93360]   기타매출관련경비</t>
  </si>
  <si>
    <t>D93370</t>
  </si>
  <si>
    <t>[D93370] 매출관련경비(계)</t>
  </si>
  <si>
    <t>D93380</t>
  </si>
  <si>
    <t>[D93380]   임원급여</t>
  </si>
  <si>
    <t>D93390</t>
  </si>
  <si>
    <t>[D93390]   급료와임금</t>
  </si>
  <si>
    <t>D93400</t>
  </si>
  <si>
    <t>[D93400]   제수당</t>
  </si>
  <si>
    <t>D93410</t>
  </si>
  <si>
    <t>[D93410]   상여금</t>
  </si>
  <si>
    <t>D93420</t>
  </si>
  <si>
    <t>[D93420] 급여(계)</t>
  </si>
  <si>
    <t>D93430</t>
  </si>
  <si>
    <t>[D93430]   퇴직급여충당금전입액</t>
  </si>
  <si>
    <t>D93440</t>
  </si>
  <si>
    <t>[D93440]   퇴직금</t>
  </si>
  <si>
    <t>D93450</t>
  </si>
  <si>
    <t>[D93450] 퇴직급여(계)</t>
  </si>
  <si>
    <t>D93460</t>
  </si>
  <si>
    <t>[D93460] 인건비(계)</t>
  </si>
  <si>
    <t>D93470</t>
  </si>
  <si>
    <t>[D93470]   복리후생비</t>
  </si>
  <si>
    <t>D93480</t>
  </si>
  <si>
    <t>[D93480]   주식보상비용</t>
  </si>
  <si>
    <t>D93490</t>
  </si>
  <si>
    <t>[D93490]   기타인건비</t>
  </si>
  <si>
    <t>D93500</t>
  </si>
  <si>
    <t>[D93500]   교육훈련비</t>
  </si>
  <si>
    <t>D93510</t>
  </si>
  <si>
    <t>[D93510]   기타인건비성경비</t>
  </si>
  <si>
    <t>D93520</t>
  </si>
  <si>
    <t>[D93520] 인건비성경비(계)</t>
  </si>
  <si>
    <t>D93530</t>
  </si>
  <si>
    <t>[D93530] 매출원가비율(%)</t>
  </si>
  <si>
    <t>D93540</t>
  </si>
  <si>
    <t>[D93540] 매출관련경비비율(%)</t>
  </si>
  <si>
    <t>D93550</t>
  </si>
  <si>
    <t>[D93550] 급여대비비율(%)</t>
  </si>
  <si>
    <t>D93560</t>
  </si>
  <si>
    <t>[D93560] 인건비대비비율(%)</t>
  </si>
  <si>
    <t>20201231K</t>
    <phoneticPr fontId="9" type="noConversion"/>
  </si>
  <si>
    <t>20211231K</t>
    <phoneticPr fontId="9" type="noConversion"/>
  </si>
  <si>
    <t>20231231K</t>
    <phoneticPr fontId="9" type="noConversion"/>
  </si>
  <si>
    <t>D94000</t>
  </si>
  <si>
    <t>[D94000] 재무상태표</t>
  </si>
  <si>
    <t>D94110</t>
  </si>
  <si>
    <t>[D94110] 자산총계</t>
  </si>
  <si>
    <t>D94120</t>
  </si>
  <si>
    <t>[D94120] 유동자산</t>
  </si>
  <si>
    <t>D94130</t>
  </si>
  <si>
    <t>[D94130] 비유동자산</t>
  </si>
  <si>
    <t>D94140</t>
  </si>
  <si>
    <t>[D94140] 유동부채</t>
  </si>
  <si>
    <t>D94150</t>
  </si>
  <si>
    <t>[D94150] 비유동부채</t>
  </si>
  <si>
    <t>성명(명칭)</t>
  </si>
  <si>
    <t>주식수(천주)</t>
  </si>
  <si>
    <t>지분율(%)</t>
  </si>
  <si>
    <t xml:space="preserve">김범주                        </t>
  </si>
  <si>
    <t xml:space="preserve">아리라                        </t>
  </si>
  <si>
    <t xml:space="preserve">김성민                        </t>
  </si>
  <si>
    <t xml:space="preserve">광화문169인베스트먼트(유)     </t>
  </si>
  <si>
    <t xml:space="preserve">디에스앤파트너스(유)          </t>
  </si>
  <si>
    <t xml:space="preserve">키움뉴히어로4호스케일업펀드   </t>
  </si>
  <si>
    <t xml:space="preserve">삼성증권(주)                  </t>
  </si>
  <si>
    <t xml:space="preserve">신한캐피탈(주)                </t>
  </si>
  <si>
    <t xml:space="preserve">기타                          </t>
  </si>
  <si>
    <t>내용</t>
  </si>
  <si>
    <t xml:space="preserve">(납입자본금:50백만원)                                                                                                                                 </t>
  </si>
  <si>
    <t xml:space="preserve">세라믹제품 제조업을 목적으로 대표이사 김성현에 의해 경북 포항시 남구 청림동 1-143에서 (주)미래세라텍으로 설립                                         </t>
  </si>
  <si>
    <t xml:space="preserve">자본금을 150백만원으로 증자                                                                                                                           </t>
  </si>
  <si>
    <t xml:space="preserve">공장매입, 이전(청하농공단지 內)                                                                                                                       </t>
  </si>
  <si>
    <t xml:space="preserve">본점을 경북 포항시 북구 청하면 동해대로2315번길 54-6(하대리) 소재로 이전                                                                              </t>
  </si>
  <si>
    <t xml:space="preserve">자본금을 300백만원으로 증자                                                                                                                           </t>
  </si>
  <si>
    <t xml:space="preserve">ISO 9001,ISO 14001 인증 획득                                                                                                                          </t>
  </si>
  <si>
    <t xml:space="preserve">기업부설연구소 인정                                                                                                                                   </t>
  </si>
  <si>
    <t xml:space="preserve">고온 소성로 증설(4m3)                                                                                                                                 </t>
  </si>
  <si>
    <t xml:space="preserve">고온 소성로 증설(6.7)                                                                                                                                 </t>
  </si>
  <si>
    <t xml:space="preserve">기술혁신형 중소기업(INNO-BIZ) 선정                                                                                                                    </t>
  </si>
  <si>
    <t xml:space="preserve">벤처기업 확인                                                                                                                                         </t>
  </si>
  <si>
    <t xml:space="preserve">포항시 유망강소기업 선정                                                                                                                              </t>
  </si>
  <si>
    <t xml:space="preserve">포항시 우수유망강소기업 선정                                                                                                                          </t>
  </si>
  <si>
    <t>D10000</t>
  </si>
  <si>
    <t>[D10000] WACC</t>
  </si>
  <si>
    <t>D10010</t>
  </si>
  <si>
    <t>[D10010] 자산총계</t>
  </si>
  <si>
    <t>D10020</t>
  </si>
  <si>
    <t>[D10020] 부채총계</t>
  </si>
  <si>
    <t>D10030</t>
  </si>
  <si>
    <t>[D10030] 자본총계</t>
  </si>
  <si>
    <t>#0.00</t>
    <phoneticPr fontId="3" type="noConversion"/>
  </si>
  <si>
    <t>D10040</t>
  </si>
  <si>
    <t>[D10040] 부채비율(%)</t>
  </si>
  <si>
    <t>#,##0</t>
    <phoneticPr fontId="3" type="noConversion"/>
  </si>
  <si>
    <t>D10050</t>
  </si>
  <si>
    <t>[D10050]   단기차입금</t>
  </si>
  <si>
    <t>D10060</t>
  </si>
  <si>
    <t>[D10060]   유동성장기부채</t>
  </si>
  <si>
    <t>D10070</t>
  </si>
  <si>
    <t>[D10070]   장기사채(계)</t>
  </si>
  <si>
    <t>D10080</t>
  </si>
  <si>
    <t>[D10080]   장기차입금(계)</t>
  </si>
  <si>
    <t>D10090</t>
  </si>
  <si>
    <t>[D10090]   금융리스부채</t>
  </si>
  <si>
    <t>D10100</t>
  </si>
  <si>
    <t>[D10100]   기타재무부채</t>
  </si>
  <si>
    <t>#,##0</t>
    <phoneticPr fontId="3" type="noConversion"/>
  </si>
  <si>
    <t>D10110</t>
  </si>
  <si>
    <t>[D10110] 재무부채(계)</t>
  </si>
  <si>
    <t>D10120</t>
  </si>
  <si>
    <t>[D10120] 우선주자본금</t>
  </si>
  <si>
    <t>D10130</t>
  </si>
  <si>
    <t>[D10130] 보통주자본(계)</t>
  </si>
  <si>
    <t>D10140</t>
  </si>
  <si>
    <t>[D10140] 재무부채 반영 자산총계</t>
  </si>
  <si>
    <t>#,##0</t>
    <phoneticPr fontId="3" type="noConversion"/>
  </si>
  <si>
    <t>D10150</t>
  </si>
  <si>
    <t>[D10150]   [보통주발행주식수]</t>
  </si>
  <si>
    <t>D10160</t>
  </si>
  <si>
    <t>[D10160]   [보통주자기주식수]</t>
  </si>
  <si>
    <t>B</t>
    <phoneticPr fontId="3" type="noConversion"/>
  </si>
  <si>
    <t>#,##0</t>
    <phoneticPr fontId="3" type="noConversion"/>
  </si>
  <si>
    <t>D10170</t>
  </si>
  <si>
    <t>[D10170] 유통보통주식수</t>
  </si>
  <si>
    <t>#0.00</t>
    <phoneticPr fontId="3" type="noConversion"/>
  </si>
  <si>
    <t>D10180</t>
  </si>
  <si>
    <t>[D10180] 타인자본비율(%)</t>
  </si>
  <si>
    <t>D10190</t>
  </si>
  <si>
    <t>[D10190] 우선주자기자본비율(%)</t>
  </si>
  <si>
    <t>D10200</t>
  </si>
  <si>
    <t>[D10200] 보통주자기자본비율(%)</t>
  </si>
  <si>
    <t>#0.00</t>
    <phoneticPr fontId="3" type="noConversion"/>
  </si>
  <si>
    <t>D10210</t>
  </si>
  <si>
    <t>[D10210] 무위험이자율(%)</t>
  </si>
  <si>
    <t>B</t>
    <phoneticPr fontId="3" type="noConversion"/>
  </si>
  <si>
    <t>D10220</t>
  </si>
  <si>
    <t>[D10220] 위험프리미엄(%)</t>
  </si>
  <si>
    <t>#0.000000</t>
    <phoneticPr fontId="3" type="noConversion"/>
  </si>
  <si>
    <t>D10230</t>
  </si>
  <si>
    <t>[D10230] 주식베타</t>
  </si>
  <si>
    <t>#0.000000</t>
    <phoneticPr fontId="3" type="noConversion"/>
  </si>
  <si>
    <t>D10240</t>
  </si>
  <si>
    <t>[D10240] 상관계수</t>
  </si>
  <si>
    <t>B</t>
    <phoneticPr fontId="3" type="noConversion"/>
  </si>
  <si>
    <t>#0.00</t>
    <phoneticPr fontId="3" type="noConversion"/>
  </si>
  <si>
    <t>D10250</t>
  </si>
  <si>
    <t>[D10250] 업종부채비율(%)</t>
  </si>
  <si>
    <t>D10260</t>
  </si>
  <si>
    <t>[D10260] 무부채기업베타</t>
  </si>
  <si>
    <t>#0.00</t>
    <phoneticPr fontId="3" type="noConversion"/>
  </si>
  <si>
    <t>D10270</t>
  </si>
  <si>
    <t>[D10270] 해당기업베타</t>
  </si>
  <si>
    <t>B</t>
    <phoneticPr fontId="3" type="noConversion"/>
  </si>
  <si>
    <t>D10280</t>
  </si>
  <si>
    <t>[D10280] 재무평점</t>
  </si>
  <si>
    <t>#0.00</t>
    <phoneticPr fontId="3" type="noConversion"/>
  </si>
  <si>
    <t>D10290</t>
  </si>
  <si>
    <t>[D10290] 법인세율(%)</t>
  </si>
  <si>
    <t>D10300</t>
  </si>
  <si>
    <t>[D10300] 세전타인자본비용(%)</t>
  </si>
  <si>
    <t>D10310</t>
  </si>
  <si>
    <t>[D10310] 세후타인자본비용(%)</t>
  </si>
  <si>
    <t>D10320</t>
  </si>
  <si>
    <t>[D10320] 우선주자기자본비용(%)</t>
  </si>
  <si>
    <t>D10330</t>
  </si>
  <si>
    <t>[D10330] 보통주자기자본비용(%)</t>
  </si>
  <si>
    <t xml:space="preserve"> </t>
    <phoneticPr fontId="3" type="noConversion"/>
  </si>
  <si>
    <t>D10340</t>
  </si>
  <si>
    <t>[D10340] 가중평균자본비용(WACC)(%)</t>
  </si>
  <si>
    <t>D10350</t>
  </si>
  <si>
    <t>[D10350] 순자산가치(NAV)</t>
  </si>
  <si>
    <t>D10360</t>
  </si>
  <si>
    <t>[D10360] 유통발행주식수</t>
  </si>
  <si>
    <t>D10370</t>
  </si>
  <si>
    <t>[D10370] 1주당순자산가치(NAV)(원)</t>
  </si>
  <si>
    <t>20231231K</t>
    <phoneticPr fontId="3" type="noConversion"/>
  </si>
  <si>
    <t>D10400</t>
  </si>
  <si>
    <t>[D10400] 할인율 조정</t>
  </si>
  <si>
    <t>D10410</t>
  </si>
  <si>
    <t>[D10410] 규모 및 비상장 프리미엄</t>
  </si>
  <si>
    <t>D20000</t>
  </si>
  <si>
    <t>[D20000] 감가상각비 추정</t>
  </si>
  <si>
    <t>D20010</t>
  </si>
  <si>
    <t>[D20010] 감가상각률(%)</t>
  </si>
  <si>
    <t>D20020</t>
  </si>
  <si>
    <t>[D20020] 판관비상감가상각비율(%)</t>
  </si>
  <si>
    <t>D20030</t>
  </si>
  <si>
    <t>[D20030] 유형자산재투자율(%)</t>
  </si>
  <si>
    <t>#0.00</t>
    <phoneticPr fontId="3" type="noConversion"/>
  </si>
  <si>
    <t>D20040</t>
  </si>
  <si>
    <t>[D20040] 무형자산상각률(%)</t>
  </si>
  <si>
    <t>D20050</t>
  </si>
  <si>
    <t>[D20050] 판관비상무형자산상각비율(%)</t>
  </si>
  <si>
    <t>#0.00</t>
    <phoneticPr fontId="3" type="noConversion"/>
  </si>
  <si>
    <t>D20060</t>
  </si>
  <si>
    <t>[D20060] 무형자산재투자율(%)</t>
  </si>
  <si>
    <t>D20070</t>
  </si>
  <si>
    <t>[D20070] 감가상각비(CF)</t>
  </si>
  <si>
    <t>D20080</t>
  </si>
  <si>
    <t>[D20080] 감가상각비(IS)</t>
  </si>
  <si>
    <t>#,##0</t>
    <phoneticPr fontId="3" type="noConversion"/>
  </si>
  <si>
    <t>D20090</t>
  </si>
  <si>
    <t>[D20090] 감가상각대상자산(BV)</t>
  </si>
  <si>
    <t>D20100</t>
  </si>
  <si>
    <t>[D20100] 감가상각누계액</t>
  </si>
  <si>
    <t>D20110</t>
  </si>
  <si>
    <t>[D20110] 취득원가</t>
  </si>
  <si>
    <t>D20120</t>
  </si>
  <si>
    <t>[D20120] 순취득액</t>
  </si>
  <si>
    <t>D20130</t>
  </si>
  <si>
    <t>[D20130] 무형자산상각비(CF)</t>
  </si>
  <si>
    <t>D20140</t>
  </si>
  <si>
    <t>[D20140] 무형자산상각비(IS)</t>
  </si>
  <si>
    <t>#,##0</t>
    <phoneticPr fontId="3" type="noConversion"/>
  </si>
  <si>
    <t>D20150</t>
  </si>
  <si>
    <t>[D20150] 무형자산(BV)</t>
  </si>
  <si>
    <t>#,##0</t>
    <phoneticPr fontId="3" type="noConversion"/>
  </si>
  <si>
    <t>D20160</t>
  </si>
  <si>
    <t>[D20160] 순취득액</t>
  </si>
  <si>
    <t>20201231K</t>
    <phoneticPr fontId="3" type="noConversion"/>
  </si>
  <si>
    <t>20201231K</t>
    <phoneticPr fontId="3" type="noConversion"/>
  </si>
  <si>
    <t>20211231K</t>
    <phoneticPr fontId="3" type="noConversion"/>
  </si>
  <si>
    <t>20211231K</t>
    <phoneticPr fontId="3" type="noConversion"/>
  </si>
  <si>
    <t>20211231K</t>
    <phoneticPr fontId="3" type="noConversion"/>
  </si>
  <si>
    <t>20221231K</t>
    <phoneticPr fontId="3" type="noConversion"/>
  </si>
  <si>
    <t>20221231K</t>
    <phoneticPr fontId="3" type="noConversion"/>
  </si>
  <si>
    <t>20231231K</t>
    <phoneticPr fontId="3" type="noConversion"/>
  </si>
  <si>
    <t>20231231Y</t>
  </si>
  <si>
    <t>20241231Z</t>
  </si>
  <si>
    <t>20251231Z</t>
  </si>
  <si>
    <t>20261231Z</t>
  </si>
  <si>
    <t>20271231Z</t>
  </si>
  <si>
    <t>20281231Z</t>
  </si>
  <si>
    <t>20291231Z</t>
  </si>
  <si>
    <t>D21000</t>
  </si>
  <si>
    <t>[D21000] 감가상각 계산비율</t>
  </si>
  <si>
    <t>D21010</t>
  </si>
  <si>
    <t>[D21010] 감가상각률(%)</t>
  </si>
  <si>
    <t>D21020</t>
  </si>
  <si>
    <t>[D21020] 판관비상감가상각비율(%)</t>
  </si>
  <si>
    <t>D21030</t>
  </si>
  <si>
    <t>[D21030] 유형자산재투자율(%)</t>
  </si>
  <si>
    <t>D21040</t>
  </si>
  <si>
    <t>[D21040] 무형자산상각률(%)</t>
  </si>
  <si>
    <t>D21050</t>
  </si>
  <si>
    <t>[D21050] 판관비상무형자산상각비율(%)</t>
  </si>
  <si>
    <t>B</t>
    <phoneticPr fontId="3" type="noConversion"/>
  </si>
  <si>
    <t>D21060</t>
  </si>
  <si>
    <t>[D21060] 무형자산재투자율(%)</t>
  </si>
  <si>
    <t>YYYYYYYYA</t>
  </si>
  <si>
    <t>D22000</t>
  </si>
  <si>
    <t xml:space="preserve">[D22000] </t>
  </si>
  <si>
    <t>D22010</t>
  </si>
  <si>
    <t>[D22010] 1.감가상각비(CF)</t>
  </si>
  <si>
    <t>D22020</t>
  </si>
  <si>
    <t>[D22020] 2.자본적지출</t>
  </si>
  <si>
    <t>D22030</t>
  </si>
  <si>
    <t>[D22030] 3.NWC증감</t>
  </si>
  <si>
    <t>D22040</t>
  </si>
  <si>
    <t>[D22040] 4.조정사항(b)</t>
  </si>
  <si>
    <t>D30000</t>
  </si>
  <si>
    <t>[D30000] 비용분석 및 비용추정</t>
  </si>
  <si>
    <t>#,##0</t>
    <phoneticPr fontId="3" type="noConversion"/>
  </si>
  <si>
    <t>D30010</t>
  </si>
  <si>
    <t>[D30010] 매출액</t>
  </si>
  <si>
    <t>D30020</t>
  </si>
  <si>
    <t>[D30020] 매출원가</t>
  </si>
  <si>
    <t>D30030</t>
  </si>
  <si>
    <t>[D30030] 매출총이익</t>
  </si>
  <si>
    <t>D30040</t>
  </si>
  <si>
    <t>[D30040]   여비교통비</t>
  </si>
  <si>
    <t>D30050</t>
  </si>
  <si>
    <t>[D30050]   도서인쇄비</t>
  </si>
  <si>
    <t>D30060</t>
  </si>
  <si>
    <t>[D30060]   수수료비용</t>
  </si>
  <si>
    <t>D30070</t>
  </si>
  <si>
    <t>[D30070]   리스료</t>
  </si>
  <si>
    <t>D30080</t>
  </si>
  <si>
    <t>[D30080]   하자보수비</t>
  </si>
  <si>
    <t>D30090</t>
  </si>
  <si>
    <t>[D30090]   접대비</t>
  </si>
  <si>
    <t>D30100</t>
  </si>
  <si>
    <t>[D30100]   광고선전비</t>
  </si>
  <si>
    <t>D30110</t>
  </si>
  <si>
    <t>[D30110]   보관료</t>
  </si>
  <si>
    <t>D30120</t>
  </si>
  <si>
    <t>[D30120]   견본비</t>
  </si>
  <si>
    <t>D30130</t>
  </si>
  <si>
    <t>[D30130]   포장비</t>
  </si>
  <si>
    <t>D30140</t>
  </si>
  <si>
    <t>[D30140]   운반비</t>
  </si>
  <si>
    <t>D30150</t>
  </si>
  <si>
    <t>[D30150]   판매수수료</t>
  </si>
  <si>
    <t>#,##0</t>
    <phoneticPr fontId="3" type="noConversion"/>
  </si>
  <si>
    <t>D30160</t>
  </si>
  <si>
    <t>[D30160]   해외시장개척비</t>
  </si>
  <si>
    <t>D30170</t>
  </si>
  <si>
    <t>[D30170]   판매촉진비</t>
  </si>
  <si>
    <t>D30180</t>
  </si>
  <si>
    <t>[D30180]   수출비용</t>
  </si>
  <si>
    <t>D30190</t>
  </si>
  <si>
    <t>[D30190]   기타판매비</t>
  </si>
  <si>
    <t>D30200</t>
  </si>
  <si>
    <t>[D30200]   A/S비</t>
  </si>
  <si>
    <t>D30210</t>
  </si>
  <si>
    <t>[D30210]   반품충당부채전입액</t>
  </si>
  <si>
    <t>D30220</t>
  </si>
  <si>
    <t>[D30220]   연구비</t>
  </si>
  <si>
    <t>D30230</t>
  </si>
  <si>
    <t>[D30230]   경상연구개발비</t>
  </si>
  <si>
    <t>D30240</t>
  </si>
  <si>
    <t>[D30240]   경상개발비</t>
  </si>
  <si>
    <t>D30250</t>
  </si>
  <si>
    <t>[D30250]   로얄티</t>
  </si>
  <si>
    <t>D30260</t>
  </si>
  <si>
    <t>[D30260]   대손상각비</t>
  </si>
  <si>
    <t>D30270</t>
  </si>
  <si>
    <t>[D30270]   기타매출관련경비</t>
  </si>
  <si>
    <t>D30280</t>
  </si>
  <si>
    <t>[D30280] 매출관련경비(계)</t>
  </si>
  <si>
    <t>D30290</t>
  </si>
  <si>
    <t>[D30290] 급여인상율(%)</t>
  </si>
  <si>
    <t>D30300</t>
  </si>
  <si>
    <t>[D30300] 평균급여</t>
  </si>
  <si>
    <t>D30310</t>
  </si>
  <si>
    <t>[D30310] 인원수</t>
  </si>
  <si>
    <t>D30320</t>
  </si>
  <si>
    <t>[D30320]   임원급여</t>
  </si>
  <si>
    <t>D30330</t>
  </si>
  <si>
    <t>[D30330]   급료와임금</t>
  </si>
  <si>
    <t>D30340</t>
  </si>
  <si>
    <t>[D30340]   제수당</t>
  </si>
  <si>
    <t>D30350</t>
  </si>
  <si>
    <t>[D30350]   상여금</t>
  </si>
  <si>
    <t>D30360</t>
  </si>
  <si>
    <t>[D30360] 급여(계)</t>
  </si>
  <si>
    <t>D30370</t>
  </si>
  <si>
    <t>[D30370]   퇴직급여충당금전입액</t>
  </si>
  <si>
    <t>D30380</t>
  </si>
  <si>
    <t>[D30380]   퇴직금</t>
  </si>
  <si>
    <t>D30390</t>
  </si>
  <si>
    <t>[D30390] 퇴직급여(계)</t>
  </si>
  <si>
    <t>D30400</t>
  </si>
  <si>
    <t>[D30400] 인건비(계)</t>
  </si>
  <si>
    <t>D30410</t>
  </si>
  <si>
    <t>[D30410]   복리후생비</t>
  </si>
  <si>
    <t>#,##0</t>
    <phoneticPr fontId="3" type="noConversion"/>
  </si>
  <si>
    <t>D30420</t>
  </si>
  <si>
    <t>[D30420]   주식보상비용</t>
  </si>
  <si>
    <t>#,##0</t>
    <phoneticPr fontId="3" type="noConversion"/>
  </si>
  <si>
    <t>D30430</t>
  </si>
  <si>
    <t>[D30430]   기타인건비</t>
  </si>
  <si>
    <t>#,##0</t>
    <phoneticPr fontId="3" type="noConversion"/>
  </si>
  <si>
    <t>D30440</t>
  </si>
  <si>
    <t>[D30440]   교육훈련비</t>
  </si>
  <si>
    <t>D30450</t>
  </si>
  <si>
    <t>[D30450]   기타인건비성경비</t>
  </si>
  <si>
    <t>D30460</t>
  </si>
  <si>
    <t>[D30460] 인건비성경비(계)</t>
  </si>
  <si>
    <t>D30470</t>
  </si>
  <si>
    <t>[D30470] 소비자물가상승율(%)</t>
  </si>
  <si>
    <t>D30480</t>
  </si>
  <si>
    <t>[D30480] 사무실임대료증가율(%)</t>
  </si>
  <si>
    <t>D30490</t>
  </si>
  <si>
    <t>[D30490]   임차료비용</t>
  </si>
  <si>
    <t>D30500</t>
  </si>
  <si>
    <t>[D30500]   통신비</t>
  </si>
  <si>
    <t>D30510</t>
  </si>
  <si>
    <t>[D30510]   수도광열비</t>
  </si>
  <si>
    <t>D30520</t>
  </si>
  <si>
    <t>[D30520]   세금과공과</t>
  </si>
  <si>
    <t>D30530</t>
  </si>
  <si>
    <t>[D30530]   수선비</t>
  </si>
  <si>
    <t>D30540</t>
  </si>
  <si>
    <t>[D30540]   보험료</t>
  </si>
  <si>
    <t>D30550</t>
  </si>
  <si>
    <t>[D30550]   도서구입비</t>
  </si>
  <si>
    <t>D30560</t>
  </si>
  <si>
    <t>[D30560]   소모품비</t>
  </si>
  <si>
    <t>D30570</t>
  </si>
  <si>
    <t>[D30570]   차량유지비</t>
  </si>
  <si>
    <t>D30580</t>
  </si>
  <si>
    <t>[D30580]   전산처리비</t>
  </si>
  <si>
    <t>D30590</t>
  </si>
  <si>
    <t>[D30590]   기타관리비</t>
  </si>
  <si>
    <t>D30600</t>
  </si>
  <si>
    <t>[D30600]   중간기간판매비와관리비조정</t>
  </si>
  <si>
    <t>D30610</t>
  </si>
  <si>
    <t>[D30610]   기타고정성경비</t>
  </si>
  <si>
    <t>D30620</t>
  </si>
  <si>
    <t>[D30620] 고정성경비(계)</t>
  </si>
  <si>
    <t>D30630</t>
  </si>
  <si>
    <t>[D30630] 감가상각비(IS)</t>
  </si>
  <si>
    <t>D30640</t>
  </si>
  <si>
    <t>[D30640] 무형자산상각비(IS)</t>
  </si>
  <si>
    <t>D30650</t>
  </si>
  <si>
    <t>[D30650]   기타</t>
  </si>
  <si>
    <t>D30660</t>
  </si>
  <si>
    <t>[D30660] 판매비관리비(총계)</t>
  </si>
  <si>
    <t>D30670</t>
  </si>
  <si>
    <t>[D30670] 판매비관리비</t>
  </si>
  <si>
    <t>D30680</t>
  </si>
  <si>
    <t>[D30680] Validation Check</t>
  </si>
  <si>
    <t>20201231K</t>
    <phoneticPr fontId="3" type="noConversion"/>
  </si>
  <si>
    <t>20201231K</t>
    <phoneticPr fontId="3" type="noConversion"/>
  </si>
  <si>
    <t>20211231K</t>
    <phoneticPr fontId="3" type="noConversion"/>
  </si>
  <si>
    <t>20221231K</t>
    <phoneticPr fontId="3" type="noConversion"/>
  </si>
  <si>
    <t>20221231K</t>
    <phoneticPr fontId="3" type="noConversion"/>
  </si>
  <si>
    <t>20221231K</t>
    <phoneticPr fontId="3" type="noConversion"/>
  </si>
  <si>
    <t>20231231K</t>
    <phoneticPr fontId="3" type="noConversion"/>
  </si>
  <si>
    <t>D31000</t>
  </si>
  <si>
    <t>[D31000] 영업관련비용 계산비율</t>
  </si>
  <si>
    <t>#0.00</t>
    <phoneticPr fontId="3" type="noConversion"/>
  </si>
  <si>
    <t>D31010</t>
  </si>
  <si>
    <t>[D31010] 매출원가비율(%)</t>
  </si>
  <si>
    <t>D31020</t>
  </si>
  <si>
    <t>[D31020] 매출관련경비비율(%)</t>
  </si>
  <si>
    <t>D31030</t>
  </si>
  <si>
    <t>[D31030] 퇴직급여비율(%)</t>
  </si>
  <si>
    <t>D31040</t>
  </si>
  <si>
    <t>[D31040] 인건비성경비비율(%)</t>
  </si>
  <si>
    <t>D31050</t>
  </si>
  <si>
    <t>[D31050] 기타경비비율(%)</t>
  </si>
  <si>
    <t>D40000</t>
  </si>
  <si>
    <t>[D40000] 손익계산서 추정을 위한 자료</t>
  </si>
  <si>
    <t>D40010</t>
  </si>
  <si>
    <t>[D40010] 연환산비율(%)</t>
  </si>
  <si>
    <t>D40020</t>
  </si>
  <si>
    <t>[D40020] 매출액증가율(%)</t>
  </si>
  <si>
    <t>D40030</t>
  </si>
  <si>
    <t>[D40030] 매출원가비율(%)</t>
  </si>
  <si>
    <t>D40040</t>
  </si>
  <si>
    <t>[D40040] 매출관련경비비율(%)</t>
  </si>
  <si>
    <t>D40050</t>
  </si>
  <si>
    <t>[D40050] 기타경비비율(%)</t>
  </si>
  <si>
    <t>D40060</t>
  </si>
  <si>
    <t>[D40060] 경상영업외수익(이자수익제외)/매출액(%)</t>
  </si>
  <si>
    <t>D40070</t>
  </si>
  <si>
    <t>[D40070] 이자수익/이자수입성자산(%)</t>
  </si>
  <si>
    <t>D40080</t>
  </si>
  <si>
    <t>[D40080] 경상영업외비용(이자비용제외)/매출액(%)</t>
  </si>
  <si>
    <t>D40090</t>
  </si>
  <si>
    <t>[D40090] 이자비용/이자지급성부채(%)</t>
  </si>
  <si>
    <t>D40100</t>
  </si>
  <si>
    <t>[D40100] 이자수입성자산</t>
  </si>
  <si>
    <t>D40110</t>
  </si>
  <si>
    <t>[D40110] 이자지급성부채</t>
  </si>
  <si>
    <t>D40120</t>
  </si>
  <si>
    <t>[D40120] 손익계산서 추정</t>
  </si>
  <si>
    <t>D40130</t>
  </si>
  <si>
    <t>[D40130] 매출액</t>
  </si>
  <si>
    <t>D40140</t>
  </si>
  <si>
    <t>[D40140] 매출원가</t>
  </si>
  <si>
    <t>D40150</t>
  </si>
  <si>
    <t>[D40150] 매출총이익(손실)</t>
  </si>
  <si>
    <t>D40160</t>
  </si>
  <si>
    <t>[D40160] 판매비와관리비</t>
  </si>
  <si>
    <t>D40170</t>
  </si>
  <si>
    <t>[D40170] 매출관련경비</t>
  </si>
  <si>
    <t>D40180</t>
  </si>
  <si>
    <t>[D40180] 인건비</t>
  </si>
  <si>
    <t>D40190</t>
  </si>
  <si>
    <t>[D40190] 인건비성경비</t>
  </si>
  <si>
    <t>D40200</t>
  </si>
  <si>
    <t>[D40200] 고정성경비</t>
  </si>
  <si>
    <t>D40210</t>
  </si>
  <si>
    <t>[D40210] 감가상각비</t>
  </si>
  <si>
    <t>D40220</t>
  </si>
  <si>
    <t>[D40220] 무형자산상각비</t>
  </si>
  <si>
    <t>D40230</t>
  </si>
  <si>
    <t>[D40230] 기타</t>
  </si>
  <si>
    <t>D40240</t>
  </si>
  <si>
    <t>[D40240] 영업이익(손실)</t>
  </si>
  <si>
    <t>D40250</t>
  </si>
  <si>
    <t>[D40250] 영업외수익</t>
  </si>
  <si>
    <t>D40260</t>
  </si>
  <si>
    <t>[D40260] 경상영업외수익(이자수익포함)</t>
  </si>
  <si>
    <t>D40270</t>
  </si>
  <si>
    <t>[D40270]   이자수익</t>
  </si>
  <si>
    <t>D40280</t>
  </si>
  <si>
    <t>[D40280] 영업외비용</t>
  </si>
  <si>
    <t>D40290</t>
  </si>
  <si>
    <t>[D40290] 경상영업외비용(이자비용포함)</t>
  </si>
  <si>
    <t>D40300</t>
  </si>
  <si>
    <t>[D40300]   이자비용</t>
  </si>
  <si>
    <t>D40310</t>
  </si>
  <si>
    <t>[D40310] 법인세비용차감전계속사업이익(손실)</t>
  </si>
  <si>
    <t>D40320</t>
  </si>
  <si>
    <t>[D40320] 법인세율(%)</t>
  </si>
  <si>
    <t>D40330</t>
  </si>
  <si>
    <t>[D40330] 계속사업손익법인세비용(부의법인세비용)</t>
  </si>
  <si>
    <t>D40340</t>
  </si>
  <si>
    <t>[D40340] 계속사업이익(손실)</t>
  </si>
  <si>
    <t>D40350</t>
  </si>
  <si>
    <t>[D40350] 당기순이익(손실)</t>
  </si>
  <si>
    <t>D40360</t>
  </si>
  <si>
    <t>[D40360] Validation Check(영업외수익)</t>
  </si>
  <si>
    <t>D40370</t>
  </si>
  <si>
    <t>[D40370] Validation Check(영업외비용)</t>
  </si>
  <si>
    <t xml:space="preserve"> </t>
    <phoneticPr fontId="3" type="noConversion"/>
  </si>
  <si>
    <t>#.00</t>
    <phoneticPr fontId="3" type="noConversion"/>
  </si>
  <si>
    <t>D40380</t>
  </si>
  <si>
    <t>[D40380] 매출액 Growth Rate(%)</t>
  </si>
  <si>
    <t xml:space="preserve"> </t>
    <phoneticPr fontId="3" type="noConversion"/>
  </si>
  <si>
    <t>#.00</t>
    <phoneticPr fontId="3" type="noConversion"/>
  </si>
  <si>
    <t>D40390</t>
  </si>
  <si>
    <t>[D40390] 매출원가 % of Sales</t>
  </si>
  <si>
    <t xml:space="preserve"> </t>
    <phoneticPr fontId="3" type="noConversion"/>
  </si>
  <si>
    <t>#.00</t>
    <phoneticPr fontId="3" type="noConversion"/>
  </si>
  <si>
    <t>D40400</t>
  </si>
  <si>
    <t>[D40400] 판매비와관리비 % of Sales</t>
  </si>
  <si>
    <t xml:space="preserve"> </t>
    <phoneticPr fontId="3" type="noConversion"/>
  </si>
  <si>
    <t>#.00</t>
    <phoneticPr fontId="3" type="noConversion"/>
  </si>
  <si>
    <t>D40410</t>
  </si>
  <si>
    <t>[D40410] 영업이익율 (%)</t>
  </si>
  <si>
    <t>20201231K</t>
    <phoneticPr fontId="3" type="noConversion"/>
  </si>
  <si>
    <t>20221231K</t>
    <phoneticPr fontId="3" type="noConversion"/>
  </si>
  <si>
    <t>20231231K</t>
    <phoneticPr fontId="3" type="noConversion"/>
  </si>
  <si>
    <t>D41000</t>
  </si>
  <si>
    <t>[D41000] 영업외손익 계산비율</t>
  </si>
  <si>
    <t>D41010</t>
  </si>
  <si>
    <t>[D41010] 경상영업외수익(이자수익포함)/매출액(%)</t>
  </si>
  <si>
    <t>D41020</t>
  </si>
  <si>
    <t>[D41020] 이자수익/이자수입성자산(%)</t>
  </si>
  <si>
    <t>D41030</t>
  </si>
  <si>
    <t>[D41030] 경상영업외비용(이자비용포함)/매출액(%)</t>
  </si>
  <si>
    <t>D41040</t>
  </si>
  <si>
    <t>[D41040] 이자비용/이자지급성부채(%)</t>
  </si>
  <si>
    <t>ZZZZZZZZC</t>
  </si>
  <si>
    <t>D42000</t>
  </si>
  <si>
    <t>[D42000] 경상영업외수익(이자수익포함) 추정</t>
  </si>
  <si>
    <t>D42010</t>
  </si>
  <si>
    <t>[D42010] 영업외수익</t>
  </si>
  <si>
    <t>D42020</t>
  </si>
  <si>
    <t>[D42020] 경상영업외수익(이자수익포함)</t>
  </si>
  <si>
    <t>D42030</t>
  </si>
  <si>
    <t>[D42030]  이자수익</t>
  </si>
  <si>
    <t>D42040</t>
  </si>
  <si>
    <t>[D42040]  장단기투자증권이자수익</t>
  </si>
  <si>
    <t>D42050</t>
  </si>
  <si>
    <t>[D42050]  배당금수익</t>
  </si>
  <si>
    <t>D42060</t>
  </si>
  <si>
    <t>[D42060]  단기투자자산처분이익</t>
  </si>
  <si>
    <t>D42070</t>
  </si>
  <si>
    <t>[D42070]  단기금융상품처분이익</t>
  </si>
  <si>
    <t>D42080</t>
  </si>
  <si>
    <t>[D42080]  단기금융상품평가이익</t>
  </si>
  <si>
    <t>D42090</t>
  </si>
  <si>
    <t>[D42090]  단기매매증권처분이익</t>
  </si>
  <si>
    <t>D42100</t>
  </si>
  <si>
    <t>[D42100]  단기매매증권평가이익</t>
  </si>
  <si>
    <t>D42110</t>
  </si>
  <si>
    <t>[D42110]  단기투자일임계약자산평가이익</t>
  </si>
  <si>
    <t>D42120</t>
  </si>
  <si>
    <t>[D42120]  매출채권처분이익</t>
  </si>
  <si>
    <t>D42130</t>
  </si>
  <si>
    <t>[D42130]  재고자산평가손실환입</t>
  </si>
  <si>
    <t>D42140</t>
  </si>
  <si>
    <t>[D42140]  임대주택자산처분이익</t>
  </si>
  <si>
    <t>D42150</t>
  </si>
  <si>
    <t>[D42150]  주식배당금수익</t>
  </si>
  <si>
    <t>D42160</t>
  </si>
  <si>
    <t>[D42160]  신주인수권처분이익</t>
  </si>
  <si>
    <t>D42170</t>
  </si>
  <si>
    <t>[D42170]  임대료수익</t>
  </si>
  <si>
    <t>D42180</t>
  </si>
  <si>
    <t>[D42180]  수수료수익</t>
  </si>
  <si>
    <t>D42190</t>
  </si>
  <si>
    <t>[D42190]  원가차익</t>
  </si>
  <si>
    <t>D42200</t>
  </si>
  <si>
    <t>[D42200]  매입할인</t>
  </si>
  <si>
    <t>D42210</t>
  </si>
  <si>
    <t>[D42210]  보험차익</t>
  </si>
  <si>
    <t>D42220</t>
  </si>
  <si>
    <t>[D42220]  외환차익</t>
  </si>
  <si>
    <t>D42230</t>
  </si>
  <si>
    <t>[D42230]  외화환산이익</t>
  </si>
  <si>
    <t>D42240</t>
  </si>
  <si>
    <t>[D42240]  파생상품거래이익</t>
  </si>
  <si>
    <t>D42250</t>
  </si>
  <si>
    <t>[D42250]  파생상품거래대환입</t>
  </si>
  <si>
    <t>D42260</t>
  </si>
  <si>
    <t>[D42260]  파생상품평가이익</t>
  </si>
  <si>
    <t>D42270</t>
  </si>
  <si>
    <t>[D42270]  환율조정대환입</t>
  </si>
  <si>
    <t>D42280</t>
  </si>
  <si>
    <t>[D42280]  대손충당금환입</t>
  </si>
  <si>
    <t>D42290</t>
  </si>
  <si>
    <t>[D42290]  장단기투자증권평가충당금환입</t>
  </si>
  <si>
    <t>D42300</t>
  </si>
  <si>
    <t>[D42300]  투자자산평가이익</t>
  </si>
  <si>
    <t>D42310</t>
  </si>
  <si>
    <t>[D42310]  매도가능증권평가이익</t>
  </si>
  <si>
    <t>D42320</t>
  </si>
  <si>
    <t>[D42320]  투자자산평가충당금환입</t>
  </si>
  <si>
    <t>D42330</t>
  </si>
  <si>
    <t>[D42330]  투자자산처분이익</t>
  </si>
  <si>
    <t>D42340</t>
  </si>
  <si>
    <t>[D42340]  매도가능증권처분이익</t>
  </si>
  <si>
    <t>D42350</t>
  </si>
  <si>
    <t>[D42350]  만기보유증권처분이익</t>
  </si>
  <si>
    <t>D42360</t>
  </si>
  <si>
    <t>[D42360]  지분법주식처분이익</t>
  </si>
  <si>
    <t>D42370</t>
  </si>
  <si>
    <t>[D42370]  기타장단기투자증권처분이익</t>
  </si>
  <si>
    <t>D42380</t>
  </si>
  <si>
    <t>[D42380]  기타장단기투자증권평가이익</t>
  </si>
  <si>
    <t>D42390</t>
  </si>
  <si>
    <t>[D42390]  자전거래이익</t>
  </si>
  <si>
    <t>D42400</t>
  </si>
  <si>
    <t>[D42400]  유,무형,리스자산처분이익</t>
  </si>
  <si>
    <t>D42410</t>
  </si>
  <si>
    <t>[D42410]  공정가액조정이익</t>
  </si>
  <si>
    <t>D42420</t>
  </si>
  <si>
    <t>[D42420]  상각채권추심이익</t>
  </si>
  <si>
    <t>D42430</t>
  </si>
  <si>
    <t>[D42430]  사채상환이익</t>
  </si>
  <si>
    <t>D42440</t>
  </si>
  <si>
    <t>[D42440]  지분법이익</t>
  </si>
  <si>
    <t>D42450</t>
  </si>
  <si>
    <t>[D42450]  임대주택자산감액손실환입</t>
  </si>
  <si>
    <t>D42460</t>
  </si>
  <si>
    <t>[D42460]  투자자산감액손실환입</t>
  </si>
  <si>
    <t>D42470</t>
  </si>
  <si>
    <t>[D42470]  매도가능증권감액손실환입</t>
  </si>
  <si>
    <t>D42480</t>
  </si>
  <si>
    <t>[D42480]  만기보유증권감액손실환입</t>
  </si>
  <si>
    <t>D42490</t>
  </si>
  <si>
    <t>[D42490]  지분법주식감액손실환입</t>
  </si>
  <si>
    <t>D42500</t>
  </si>
  <si>
    <t>[D42500]  유형자산감액손실환입</t>
  </si>
  <si>
    <t>D42510</t>
  </si>
  <si>
    <t>[D42510]  무형자산감액손실환입</t>
  </si>
  <si>
    <t>D42520</t>
  </si>
  <si>
    <t>[D42520]  기타자산감액손실환입</t>
  </si>
  <si>
    <t>D42530</t>
  </si>
  <si>
    <t>[D42530]  주식보상비용환입</t>
  </si>
  <si>
    <t>D42540</t>
  </si>
  <si>
    <t>[D42540]  법인세환급액</t>
  </si>
  <si>
    <t>D42550</t>
  </si>
  <si>
    <t>[D42550]  전환사채전환이익</t>
  </si>
  <si>
    <t>D42560</t>
  </si>
  <si>
    <t>[D42560]  중간기간오류이익</t>
  </si>
  <si>
    <t>D42570</t>
  </si>
  <si>
    <t>[D42570]  중간기간영업외수익조정</t>
  </si>
  <si>
    <t>D42580</t>
  </si>
  <si>
    <t>[D42580]  전기오류수정이익</t>
  </si>
  <si>
    <t>D42590</t>
  </si>
  <si>
    <t>[D42590]  복구충당부채환입액</t>
  </si>
  <si>
    <t>D42600</t>
  </si>
  <si>
    <t>[D42600]  복구공사이익</t>
  </si>
  <si>
    <t>D42610</t>
  </si>
  <si>
    <t>[D42610]  유동화수익</t>
  </si>
  <si>
    <t>D42620</t>
  </si>
  <si>
    <t>[D42620]  자산수증이익</t>
  </si>
  <si>
    <t>D42630</t>
  </si>
  <si>
    <t>[D42630]  채무면제이익</t>
  </si>
  <si>
    <t>D42640</t>
  </si>
  <si>
    <t>[D42640]  해외사업환산이익환입</t>
  </si>
  <si>
    <t>D42650</t>
  </si>
  <si>
    <t>[D42650]  기타영업외수익</t>
  </si>
  <si>
    <t>20231231Y</t>
    <phoneticPr fontId="3" type="noConversion"/>
  </si>
  <si>
    <t>제외</t>
    <phoneticPr fontId="3" type="noConversion"/>
  </si>
  <si>
    <t>D43000</t>
  </si>
  <si>
    <t>[D43000] 경상영업외비용(이자비용포함) 추정</t>
  </si>
  <si>
    <t>D43010</t>
  </si>
  <si>
    <t>[D43010] 영업외비용</t>
  </si>
  <si>
    <t>D43020</t>
  </si>
  <si>
    <t>[D43020] 경상영업외비용(이자비용포함)</t>
  </si>
  <si>
    <t>D43030</t>
  </si>
  <si>
    <t>[D43030]  이자비용</t>
  </si>
  <si>
    <t>D43040</t>
  </si>
  <si>
    <t>[D43040]  사채이자</t>
  </si>
  <si>
    <t>D43050</t>
  </si>
  <si>
    <t>[D43050]  단기투자자산처분손실</t>
  </si>
  <si>
    <t>D43060</t>
  </si>
  <si>
    <t>[D43060]  장기투자자산처분손실</t>
  </si>
  <si>
    <t>D43070</t>
  </si>
  <si>
    <t>[D43070]  단기금융상품처분손실</t>
  </si>
  <si>
    <t>D43080</t>
  </si>
  <si>
    <t>[D43080]  단기매매증권처분손실</t>
  </si>
  <si>
    <t>D43090</t>
  </si>
  <si>
    <t>[D43090]  지분법주식처분손실</t>
  </si>
  <si>
    <t>D43100</t>
  </si>
  <si>
    <t>[D43100]  기타장단기투자증권처분손실</t>
  </si>
  <si>
    <t>D43110</t>
  </si>
  <si>
    <t>[D43110]  매출채권처분손실</t>
  </si>
  <si>
    <t>D43120</t>
  </si>
  <si>
    <t>[D43120]  임대주택자산처분손실</t>
  </si>
  <si>
    <t>D43130</t>
  </si>
  <si>
    <t>[D43130]  신주인수권처분손실</t>
  </si>
  <si>
    <t>D43140</t>
  </si>
  <si>
    <t>[D43140]  기부금</t>
  </si>
  <si>
    <t>D43150</t>
  </si>
  <si>
    <t>[D43150]  외환차손</t>
  </si>
  <si>
    <t>D43160</t>
  </si>
  <si>
    <t>[D43160]  파생상품거래손실</t>
  </si>
  <si>
    <t>D43170</t>
  </si>
  <si>
    <t>[D43170]  파생상품거래차상각</t>
  </si>
  <si>
    <t>D43180</t>
  </si>
  <si>
    <t>[D43180]  파생상품평가손실</t>
  </si>
  <si>
    <t>D43190</t>
  </si>
  <si>
    <t>[D43190]  자산평가손실</t>
  </si>
  <si>
    <t>D43200</t>
  </si>
  <si>
    <t>[D43200]  외화환산손실</t>
  </si>
  <si>
    <t>D43210</t>
  </si>
  <si>
    <t>[D43210]  매출할인</t>
  </si>
  <si>
    <t>D43220</t>
  </si>
  <si>
    <t>[D43220]  수수료비용</t>
  </si>
  <si>
    <t>D43230</t>
  </si>
  <si>
    <t>[D43230]  원가차손</t>
  </si>
  <si>
    <t>D43240</t>
  </si>
  <si>
    <t>[D43240]  기타대손상각비</t>
  </si>
  <si>
    <t>D43250</t>
  </si>
  <si>
    <t>[D43250]  감가상각비</t>
  </si>
  <si>
    <t>D43260</t>
  </si>
  <si>
    <t>[D43260]  유,무형,리스자산처분손실</t>
  </si>
  <si>
    <t>D43270</t>
  </si>
  <si>
    <t>[D43270]  투자자산처분손실</t>
  </si>
  <si>
    <t>D43280</t>
  </si>
  <si>
    <t>[D43280]  매도가능증권처분손실</t>
  </si>
  <si>
    <t>D43290</t>
  </si>
  <si>
    <t>[D43290]  만기보유증권처분손실</t>
  </si>
  <si>
    <t>D43300</t>
  </si>
  <si>
    <t>[D43300]  자전거래손실</t>
  </si>
  <si>
    <t>D43310</t>
  </si>
  <si>
    <t>[D43310]  공정가액조정손실</t>
  </si>
  <si>
    <t>D43320</t>
  </si>
  <si>
    <t>[D43320]  임대주택자산감액손실</t>
  </si>
  <si>
    <t>D43330</t>
  </si>
  <si>
    <t>[D43330]  투자자산감액손실</t>
  </si>
  <si>
    <t>D43340</t>
  </si>
  <si>
    <t>[D43340]  매도가능증권감액손실</t>
  </si>
  <si>
    <t>D43350</t>
  </si>
  <si>
    <t>[D43350]  만기보유증권감액손실</t>
  </si>
  <si>
    <t>D43360</t>
  </si>
  <si>
    <t>[D43360]  지분법주식감액손실</t>
  </si>
  <si>
    <t>D43370</t>
  </si>
  <si>
    <t>[D43370]  유형자산감액손실</t>
  </si>
  <si>
    <t>D43380</t>
  </si>
  <si>
    <t>[D43380]  무형자산감액손실</t>
  </si>
  <si>
    <t>#,##0</t>
    <phoneticPr fontId="3" type="noConversion"/>
  </si>
  <si>
    <t>D43390</t>
  </si>
  <si>
    <t>[D43390]  기타자산감액손실</t>
  </si>
  <si>
    <t>D43400</t>
  </si>
  <si>
    <t>[D43400]  사채상환손실</t>
  </si>
  <si>
    <t>D43410</t>
  </si>
  <si>
    <t>[D43410]  부채상환손실</t>
  </si>
  <si>
    <t>D43420</t>
  </si>
  <si>
    <t>[D43420]  지분법손실</t>
  </si>
  <si>
    <t>D43430</t>
  </si>
  <si>
    <t>[D43430]  법인세추납액</t>
  </si>
  <si>
    <t>D43440</t>
  </si>
  <si>
    <t>[D43440]  전환사채전환손실</t>
  </si>
  <si>
    <t>D43450</t>
  </si>
  <si>
    <t>[D43450]  중간기간오류손실</t>
  </si>
  <si>
    <t>D43460</t>
  </si>
  <si>
    <t>[D43460]  중간기간영업외비용조정</t>
  </si>
  <si>
    <t>D43470</t>
  </si>
  <si>
    <t>[D43470]  전기오류수정손실</t>
  </si>
  <si>
    <t>D43480</t>
  </si>
  <si>
    <t>[D43480]  복구충당부채전입액</t>
  </si>
  <si>
    <t>D43490</t>
  </si>
  <si>
    <t>[D43490]  복구공사손실</t>
  </si>
  <si>
    <t>D43500</t>
  </si>
  <si>
    <t>[D43500]  재해손실</t>
  </si>
  <si>
    <t>D43510</t>
  </si>
  <si>
    <t>[D43510]  특별상각</t>
  </si>
  <si>
    <t>D43520</t>
  </si>
  <si>
    <t>[D43520]  해외사업환산손실상각</t>
  </si>
  <si>
    <t>D43530</t>
  </si>
  <si>
    <t>[D43530]  기타영업외비용</t>
  </si>
  <si>
    <t>20201231K</t>
    <phoneticPr fontId="3" type="noConversion"/>
  </si>
  <si>
    <t>20231231Y</t>
    <phoneticPr fontId="3" type="noConversion"/>
  </si>
  <si>
    <t>D50000</t>
  </si>
  <si>
    <t>[D50000] 순운전자본 추정을 위한 자료</t>
  </si>
  <si>
    <t>D50010</t>
  </si>
  <si>
    <t>[D50010] 매출액</t>
  </si>
  <si>
    <t>D50020</t>
  </si>
  <si>
    <t>[D50020] 매출원가</t>
  </si>
  <si>
    <t>D50030</t>
  </si>
  <si>
    <t>[D50030] 매출액증가율(%)</t>
  </si>
  <si>
    <t>D50040</t>
  </si>
  <si>
    <t>[D50040] 매출채권회전율(%)</t>
  </si>
  <si>
    <t>D50050</t>
  </si>
  <si>
    <t>[D50050] 재고자산회전율(%)</t>
  </si>
  <si>
    <t>D50060</t>
  </si>
  <si>
    <t xml:space="preserve">[D50060] 매입채무회전율(%) </t>
  </si>
  <si>
    <t>D50070</t>
  </si>
  <si>
    <t>[D50070] (매출채권+선급비용)/이자수입성자산(%)</t>
  </si>
  <si>
    <t>D50080</t>
  </si>
  <si>
    <t>[D50080] (매입채무+미지급비용)/이자지급성부채(%)</t>
  </si>
  <si>
    <t>D50090</t>
  </si>
  <si>
    <t>[D50090] 선급비용회전율(%)</t>
  </si>
  <si>
    <t>D50100</t>
  </si>
  <si>
    <t>[D50100] 미지급비용회전율(%)</t>
  </si>
  <si>
    <t>D50110</t>
  </si>
  <si>
    <t>[D50110] 순운전자본 추정</t>
  </si>
  <si>
    <t>D50120</t>
  </si>
  <si>
    <t>[D50120] 매출채권(공사미수금등 포함)</t>
  </si>
  <si>
    <t>D50130</t>
  </si>
  <si>
    <t>[D50130] 선급비용</t>
  </si>
  <si>
    <t>D50140</t>
  </si>
  <si>
    <t>[D50140] 재고자산(계)</t>
  </si>
  <si>
    <t>D50150</t>
  </si>
  <si>
    <t>[D50150] 기타운전자산</t>
  </si>
  <si>
    <t>#,##0</t>
    <phoneticPr fontId="3" type="noConversion"/>
  </si>
  <si>
    <t>D50160</t>
  </si>
  <si>
    <t>[D50160] 운전자산(계)</t>
  </si>
  <si>
    <t>D50170</t>
  </si>
  <si>
    <t>[D50170] 매입채무(공사미지급금등 포함)</t>
  </si>
  <si>
    <t>D50180</t>
  </si>
  <si>
    <t>[D50180] 미지급비용</t>
  </si>
  <si>
    <t>D50190</t>
  </si>
  <si>
    <t>[D50190] 기타운전부채</t>
  </si>
  <si>
    <t>D50200</t>
  </si>
  <si>
    <t>[D50200] 운전부채(계)</t>
  </si>
  <si>
    <t>D50210</t>
  </si>
  <si>
    <t>[D50210] 순운전자본(NWC)</t>
  </si>
  <si>
    <t>D50220</t>
  </si>
  <si>
    <t>[D50220] 순운전자본변동분(△NWC)</t>
  </si>
  <si>
    <t>D50230</t>
  </si>
  <si>
    <t>[D50230] 이자수입성자산 및 이자지급성부채 추정</t>
  </si>
  <si>
    <t>D50240</t>
  </si>
  <si>
    <t>[D50240] 현금및현금등가물</t>
  </si>
  <si>
    <t>D50250</t>
  </si>
  <si>
    <t>[D50250] 단기금융상품</t>
  </si>
  <si>
    <t>D50260</t>
  </si>
  <si>
    <t>[D50260] 단기투자증권</t>
  </si>
  <si>
    <t>D50270</t>
  </si>
  <si>
    <t>[D50270] 단기대여금</t>
  </si>
  <si>
    <t>D50280</t>
  </si>
  <si>
    <t>[D50280] 장기금융상품</t>
  </si>
  <si>
    <t>D50290</t>
  </si>
  <si>
    <t>[D50290] 장기투자증권</t>
  </si>
  <si>
    <t>D50300</t>
  </si>
  <si>
    <t>[D50300] 장기대여금</t>
  </si>
  <si>
    <t>D50310</t>
  </si>
  <si>
    <t>[D50310] 기타이자수입성자산</t>
  </si>
  <si>
    <t>D50320</t>
  </si>
  <si>
    <t>[D50320] 이자수입성자산</t>
  </si>
  <si>
    <t>D50330</t>
  </si>
  <si>
    <t>[D50330] 단기차입금</t>
  </si>
  <si>
    <t>D50340</t>
  </si>
  <si>
    <t>[D50340] 유동성장기부채</t>
  </si>
  <si>
    <t>D50350</t>
  </si>
  <si>
    <t>[D50350] 장기사채(계)</t>
  </si>
  <si>
    <t>D50360</t>
  </si>
  <si>
    <t>[D50360] 장기차입금(계)</t>
  </si>
  <si>
    <t>D50370</t>
  </si>
  <si>
    <t>[D50370] 금융리스부채</t>
  </si>
  <si>
    <t>D50380</t>
  </si>
  <si>
    <t>[D50380] 정리및화의채무</t>
  </si>
  <si>
    <t>D50390</t>
  </si>
  <si>
    <t>[D50390] 기타이자지급성부채</t>
  </si>
  <si>
    <t>D50400</t>
  </si>
  <si>
    <t>[D50400] 이자지급성부채</t>
  </si>
  <si>
    <t>D51000</t>
  </si>
  <si>
    <t>[D51000] 순운전자본 계산비율</t>
  </si>
  <si>
    <t>D51010</t>
  </si>
  <si>
    <t xml:space="preserve">[D51010] 매출채권회전율 </t>
  </si>
  <si>
    <t>D51020</t>
  </si>
  <si>
    <t xml:space="preserve">[D51020] 재고자산회전율 </t>
  </si>
  <si>
    <t>D51030</t>
  </si>
  <si>
    <t xml:space="preserve">[D51030] 매입채무회전율 </t>
  </si>
  <si>
    <t>D51040</t>
  </si>
  <si>
    <t>[D51040] (매출채권+선급비용)/이자수입성자산(%)</t>
  </si>
  <si>
    <t>D51050</t>
  </si>
  <si>
    <t>[D51050] (매입채무+미지급비용)/이자지급성부채(%)</t>
  </si>
  <si>
    <t>D51060</t>
  </si>
  <si>
    <t xml:space="preserve">[D51060] 선급비용회전율 </t>
  </si>
  <si>
    <t>D51070</t>
  </si>
  <si>
    <t xml:space="preserve">[D51070] 미지급비용회전율 </t>
  </si>
  <si>
    <t>D60000</t>
  </si>
  <si>
    <t>[D60000] 대차대조표 추정을 위한 자료</t>
  </si>
  <si>
    <t>D60010</t>
  </si>
  <si>
    <t>[D60010] 매출채권</t>
  </si>
  <si>
    <t>D60020</t>
  </si>
  <si>
    <t>[D60020] 선급비용</t>
  </si>
  <si>
    <t>#,##0</t>
    <phoneticPr fontId="3" type="noConversion"/>
  </si>
  <si>
    <t>D60030</t>
  </si>
  <si>
    <t>[D60030] 재고자산</t>
  </si>
  <si>
    <t>D60040</t>
  </si>
  <si>
    <t>[D60040] 기타운전자산</t>
  </si>
  <si>
    <t>D60050</t>
  </si>
  <si>
    <t>[D60050] 매입채무</t>
  </si>
  <si>
    <t>D60060</t>
  </si>
  <si>
    <t>[D60060] 미지급비용</t>
  </si>
  <si>
    <t>D60070</t>
  </si>
  <si>
    <t>[D60070] 기타운전부채</t>
  </si>
  <si>
    <t>D60080</t>
  </si>
  <si>
    <t>[D60080] 당기순이익(손실)</t>
  </si>
  <si>
    <t>D60090</t>
  </si>
  <si>
    <t>[D60090] (매출채권+선급비용+기타)/당좌자산(%)</t>
  </si>
  <si>
    <t>D60100</t>
  </si>
  <si>
    <t>[D60100] 기타비유동자산/비유동자산(%)</t>
  </si>
  <si>
    <t>#0.00</t>
    <phoneticPr fontId="3" type="noConversion"/>
  </si>
  <si>
    <t>D60110</t>
  </si>
  <si>
    <t>[D60110] (매입채무+미지급비용+기타)/유동부채(%)</t>
  </si>
  <si>
    <t>D60120</t>
  </si>
  <si>
    <t>[D60120] (매입채무+미지급비용+기타)/부채총계(%)</t>
  </si>
  <si>
    <t>D60130</t>
  </si>
  <si>
    <t>[D60130] 대차대조표 추정</t>
  </si>
  <si>
    <t>D60140</t>
  </si>
  <si>
    <t>[D60140]  당좌자산(계)</t>
  </si>
  <si>
    <t>D60150</t>
  </si>
  <si>
    <t>[D60150]  재고자산(계)</t>
  </si>
  <si>
    <t>B</t>
    <phoneticPr fontId="3" type="noConversion"/>
  </si>
  <si>
    <t>D60160</t>
  </si>
  <si>
    <t>[D60160] 유동자산(계)</t>
  </si>
  <si>
    <t>D60170</t>
  </si>
  <si>
    <t>[D60170]  투자자산(계)</t>
  </si>
  <si>
    <t>D60180</t>
  </si>
  <si>
    <t>[D60180]  유형자산(계)</t>
  </si>
  <si>
    <t>D60190</t>
  </si>
  <si>
    <t>[D60190]   토지</t>
  </si>
  <si>
    <t>D60200</t>
  </si>
  <si>
    <t>[D60200]   감가상각대상자산</t>
  </si>
  <si>
    <t>D60210</t>
  </si>
  <si>
    <t>[D60210]   감가상각비</t>
  </si>
  <si>
    <t>D60220</t>
  </si>
  <si>
    <t>[D60220]  무형자산(계)</t>
  </si>
  <si>
    <t>D60230</t>
  </si>
  <si>
    <t>[D60230]   무형자산상각비</t>
  </si>
  <si>
    <t>D60240</t>
  </si>
  <si>
    <t>[D60240]  기타비유동자산(계)</t>
  </si>
  <si>
    <t>D60250</t>
  </si>
  <si>
    <t>[D60250] 비유동자산(계)</t>
  </si>
  <si>
    <t>D60260</t>
  </si>
  <si>
    <t>[D60260] 자산총계</t>
  </si>
  <si>
    <t>D60270</t>
  </si>
  <si>
    <t>[D60270]  유동부채(계)</t>
  </si>
  <si>
    <t>D60280</t>
  </si>
  <si>
    <t>[D60280]  비유동부채(계)</t>
  </si>
  <si>
    <t>D60290</t>
  </si>
  <si>
    <t>[D60290] 부채총계</t>
  </si>
  <si>
    <t>D60300</t>
  </si>
  <si>
    <t>[D60300]  자본금</t>
  </si>
  <si>
    <t>D60310</t>
  </si>
  <si>
    <t>[D60310]  자본잉여금</t>
  </si>
  <si>
    <t>D60320</t>
  </si>
  <si>
    <t>[D60320]  자본조정</t>
  </si>
  <si>
    <t>D60330</t>
  </si>
  <si>
    <t>[D60330]  기타포괄손익누계액</t>
  </si>
  <si>
    <t>D60340</t>
  </si>
  <si>
    <t>[D60340]  이익잉여금</t>
  </si>
  <si>
    <t>D60350</t>
  </si>
  <si>
    <t>[D60350] 자본총계</t>
  </si>
  <si>
    <t>D60360</t>
  </si>
  <si>
    <t>[D60360] 부채와자본총계</t>
  </si>
  <si>
    <t>D61000</t>
  </si>
  <si>
    <t>[D61000] 대차대조표 계산비율</t>
  </si>
  <si>
    <t>#0.00</t>
    <phoneticPr fontId="3" type="noConversion"/>
  </si>
  <si>
    <t>D61010</t>
  </si>
  <si>
    <t>[D61010] (매출채권+선급비용+기타)/당좌자산(%)</t>
  </si>
  <si>
    <t>D61020</t>
  </si>
  <si>
    <t>[D61020] (매입채무+미지급비용+기타)/유동부채(%)</t>
  </si>
  <si>
    <t>D61030</t>
  </si>
  <si>
    <t>[D61030] (매입채무+미지급비용+기타)/부채총계(%)</t>
  </si>
  <si>
    <t>D61040</t>
  </si>
  <si>
    <t>[D61040] 기타비유동자산/비유동자산(%)</t>
  </si>
  <si>
    <t>D70000</t>
  </si>
  <si>
    <t>영업가치 추정을 위한 자료</t>
  </si>
  <si>
    <t>#0.000000</t>
    <phoneticPr fontId="3" type="noConversion"/>
  </si>
  <si>
    <t>D70010</t>
  </si>
  <si>
    <t>D70020</t>
  </si>
  <si>
    <t>D70030</t>
  </si>
  <si>
    <t>Perpetual Growth Rate(%)</t>
  </si>
  <si>
    <t>D70050</t>
  </si>
  <si>
    <t>현금흐름할인법(Discounted Cash Flow)</t>
  </si>
  <si>
    <t>D70060</t>
  </si>
  <si>
    <t>당기순이익(손실)</t>
  </si>
  <si>
    <t>D70070</t>
  </si>
  <si>
    <t>이자비용</t>
  </si>
  <si>
    <t>D70080</t>
  </si>
  <si>
    <t>이자수익</t>
  </si>
  <si>
    <t>D70090</t>
  </si>
  <si>
    <t>법인세율(%)</t>
  </si>
  <si>
    <t>D70100</t>
  </si>
  <si>
    <t>세후순영업이익(NOPLAT)</t>
  </si>
  <si>
    <t>D70110</t>
  </si>
  <si>
    <t>유형자산</t>
  </si>
  <si>
    <t>D70120</t>
  </si>
  <si>
    <t>무형자산</t>
  </si>
  <si>
    <t>D70130</t>
  </si>
  <si>
    <t>유·무형자산</t>
  </si>
  <si>
    <t>D70140</t>
  </si>
  <si>
    <t>유·무형자산변동분(Capital Expenditure)</t>
  </si>
  <si>
    <t>D70190</t>
  </si>
  <si>
    <t>D70200</t>
  </si>
  <si>
    <t>D70210</t>
  </si>
  <si>
    <t>D70220</t>
  </si>
  <si>
    <t>D70230</t>
  </si>
  <si>
    <t>D71000</t>
  </si>
  <si>
    <t>[D71000] 보통주가치 추정을 위한 자료</t>
  </si>
  <si>
    <t>D71010</t>
  </si>
  <si>
    <t>[D71010] 단기금융상품</t>
  </si>
  <si>
    <t>D71020</t>
  </si>
  <si>
    <t>[D71020] 단기투자증권</t>
  </si>
  <si>
    <t>D71030</t>
  </si>
  <si>
    <t>[D71030] 장기금융상품</t>
  </si>
  <si>
    <t>#,##0</t>
    <phoneticPr fontId="3" type="noConversion"/>
  </si>
  <si>
    <t>D71040</t>
  </si>
  <si>
    <t>[D71040] 장기투자증권</t>
  </si>
  <si>
    <t>D71050</t>
  </si>
  <si>
    <t>[D71050] 지분법적용주식</t>
  </si>
  <si>
    <t>D71060</t>
  </si>
  <si>
    <t>[D71060] 투자부동산</t>
  </si>
  <si>
    <t>D71070</t>
  </si>
  <si>
    <t>[D71070] 회원권</t>
  </si>
  <si>
    <t>#,##0</t>
    <phoneticPr fontId="9" type="noConversion"/>
  </si>
  <si>
    <t>D71080</t>
  </si>
  <si>
    <t>[D71080] 기타비영업용자산</t>
  </si>
  <si>
    <t>D71090</t>
  </si>
  <si>
    <t>[D71090] 비영업용자산(계)</t>
  </si>
  <si>
    <t>D71100</t>
  </si>
  <si>
    <t>[D71100] 단기차입금</t>
  </si>
  <si>
    <t>D71110</t>
  </si>
  <si>
    <t>[D71110] 유동성장기부채</t>
  </si>
  <si>
    <t>D71120</t>
  </si>
  <si>
    <t>[D71120] 장기사채(계)</t>
  </si>
  <si>
    <t>D71130</t>
  </si>
  <si>
    <t>[D71130] 장기차입금(계)</t>
  </si>
  <si>
    <t>D71140</t>
  </si>
  <si>
    <t>[D71140] 금융리스부채</t>
  </si>
  <si>
    <t>#,##0</t>
    <phoneticPr fontId="9" type="noConversion"/>
  </si>
  <si>
    <t>D71150</t>
  </si>
  <si>
    <t>[D71150] 기타재무부채</t>
  </si>
  <si>
    <t>D71160</t>
  </si>
  <si>
    <t>[D71160] 현금및현금등가물</t>
  </si>
  <si>
    <t>D71170</t>
  </si>
  <si>
    <t>[D71170] 순부채(계)</t>
  </si>
  <si>
    <t>D71180</t>
  </si>
  <si>
    <t>[D71180] 우선주자본금</t>
  </si>
  <si>
    <t>D71190</t>
  </si>
  <si>
    <t>[D71190] 우선주자본잉여금등</t>
  </si>
  <si>
    <t>D71200</t>
  </si>
  <si>
    <t>[D71200] 우선주(계)</t>
  </si>
  <si>
    <t>20241231Y</t>
  </si>
  <si>
    <t>29991231Z</t>
  </si>
  <si>
    <t>D72000</t>
  </si>
  <si>
    <t>[D72000] 결과(Summary)</t>
  </si>
  <si>
    <t>D72010</t>
  </si>
  <si>
    <t>[D72010] 영업가치(Value of Operations)</t>
  </si>
  <si>
    <t>D72020</t>
  </si>
  <si>
    <t>[D72020] 비영업용자산가치(Value of Non-Operating Assets)</t>
  </si>
  <si>
    <t>D72030</t>
  </si>
  <si>
    <t>[D72030] 기업가치(Enterprise Value)</t>
  </si>
  <si>
    <t>D72040</t>
  </si>
  <si>
    <t>[D72040] 순부채(Net Debt Value)</t>
  </si>
  <si>
    <t>D72050</t>
  </si>
  <si>
    <t>[D72050] 우선주가치(Preferred Shares)</t>
  </si>
  <si>
    <t>D72060</t>
  </si>
  <si>
    <t>[D72060] 보통주가치(Total Equity Value)</t>
  </si>
  <si>
    <t>D72070</t>
  </si>
  <si>
    <t>[D72070] 유통보통주식수(Common Shares Outstanding)</t>
  </si>
  <si>
    <t>D72080</t>
  </si>
  <si>
    <t>[D72080] 보통주주당가치(Value per Common Shares)</t>
  </si>
  <si>
    <t>#,##0</t>
    <phoneticPr fontId="3" type="noConversion"/>
  </si>
  <si>
    <t>D72090</t>
  </si>
  <si>
    <t>[D72090] 보통주주당순자산가치(NAV per Common Shares)</t>
  </si>
  <si>
    <t>D80000</t>
  </si>
  <si>
    <t>[D80000] 과거기업성장률</t>
  </si>
  <si>
    <t>D80010</t>
  </si>
  <si>
    <t>[D80010] 매출액</t>
  </si>
  <si>
    <t>D80020</t>
  </si>
  <si>
    <t>[D80020] 산업성장률(한은평균)(%)</t>
  </si>
  <si>
    <t>20181231K</t>
  </si>
  <si>
    <t>20191231K</t>
  </si>
  <si>
    <t>D81000</t>
  </si>
  <si>
    <t>[D81000] 성장률추정</t>
  </si>
  <si>
    <t>#0.000</t>
  </si>
  <si>
    <t>D81010</t>
  </si>
  <si>
    <t>[D81010] IMF 국내 경제성장률 예측치</t>
  </si>
  <si>
    <t>B</t>
    <phoneticPr fontId="9" type="noConversion"/>
  </si>
  <si>
    <t>#0.00</t>
    <phoneticPr fontId="9" type="noConversion"/>
  </si>
  <si>
    <t>D81020</t>
  </si>
  <si>
    <t>[D81020] 추정 매출액증가율(%)</t>
  </si>
  <si>
    <t>20241231K</t>
  </si>
  <si>
    <t>20251231K</t>
  </si>
  <si>
    <t>20261231K</t>
  </si>
  <si>
    <t>20271231K</t>
  </si>
  <si>
    <t>20281231K</t>
  </si>
  <si>
    <t>20291231K</t>
  </si>
  <si>
    <t>DS0001</t>
  </si>
  <si>
    <t>[DS0001] 추정연장여부</t>
    <phoneticPr fontId="9" type="noConversion"/>
  </si>
  <si>
    <t>DS0002</t>
  </si>
  <si>
    <t>[DS0002] 연장기간</t>
    <phoneticPr fontId="9" type="noConversion"/>
  </si>
  <si>
    <t>DS0003</t>
  </si>
  <si>
    <t>[DS0003] TV사용여부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</si>
</sst>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176" formatCode="_(&quot;₩&quot;* #,##0_);_(&quot;₩&quot;* \(#,##0\);_(&quot;₩&quot;* &quot;-&quot;_);_(@_)"/>
    <numFmt numFmtId="177" formatCode="_(* #,##0_);_(* \(#,##0\);_(* &quot;-&quot;_);_(@_)"/>
    <numFmt numFmtId="178" formatCode="_(&quot;₩&quot;* #,##0.00_);_(&quot;₩&quot;* \(#,##0.00\);_(&quot;₩&quot;* &quot;-&quot;??_);_(@_)"/>
    <numFmt numFmtId="179" formatCode="_(* #,##0.00_);_(* \(#,##0.00\);_(* &quot;-&quot;??_);_(@_)"/>
    <numFmt numFmtId="180" formatCode="0.00_ "/>
    <numFmt numFmtId="181" formatCode="0_ "/>
    <numFmt numFmtId="182" formatCode="#,##0.0000;[Red]\-#,##0.0000"/>
    <numFmt numFmtId="183" formatCode="_-* #,##0.00_-;\-* #,##0.00_-;_-* &quot;-&quot;_-;_-@_-"/>
    <numFmt numFmtId="184" formatCode="#,##0_ "/>
    <numFmt numFmtId="185" formatCode="_-[$€-2]* #,##0.00_-;\-[$€-2]* #,##0.00_-;_-[$€-2]* &quot;-&quot;??_-"/>
    <numFmt numFmtId="186" formatCode="#,##0.000000_ ;[Red]\-#,##0.000000\ "/>
    <numFmt numFmtId="187" formatCode="#,##0.00_ ;[Red]\-#,##0.00\ "/>
    <numFmt numFmtId="188" formatCode="_-* #,##0.0000_-;\-* #,##0.0000_-;_-* &quot;-&quot;_-;_-@_-"/>
    <numFmt numFmtId="189" formatCode="0_ ;[Red]\-0\ "/>
    <numFmt numFmtId="190" formatCode="0.00_ ;[Red]\-0.00\ "/>
    <numFmt numFmtId="191" formatCode="#,##0_ ;[Red]\-#,##0\ "/>
    <numFmt numFmtId="192" formatCode="0.0%"/>
    <numFmt numFmtId="193" formatCode="0.00_);[Red]\(0.00\)"/>
    <numFmt numFmtId="194" formatCode="[Red]\△0.00%;[Blue]\▽0.00%"/>
    <numFmt numFmtId="195" formatCode="0;[Red]0"/>
    <numFmt numFmtId="196" formatCode="0.0000"/>
    <numFmt numFmtId="197" formatCode="#,##0.00_);[Red]\(#,##0.00\)"/>
    <numFmt numFmtId="198" formatCode="0_);[Red]\(0\)"/>
    <numFmt numFmtId="199" formatCode="#,##0.0000_);[Red]\(#,##0.0000\)"/>
    <numFmt numFmtId="200" formatCode="yyyy&quot;년&quot;\ m&quot;월&quot;\ d&quot;일&quot;;@"/>
    <numFmt numFmtId="201" formatCode="0&quot;년&quot;"/>
    <numFmt numFmtId="202" formatCode="0.000"/>
    <numFmt numFmtId="203" formatCode="0&quot;월&quot;"/>
    <numFmt numFmtId="204" formatCode="#,##0&quot;원&quot;"/>
    <numFmt numFmtId="205" formatCode="\(#,##0\)"/>
    <numFmt numFmtId="206" formatCode="#,##0;[Red]\-#,##0;"/>
    <numFmt numFmtId="207" formatCode="0&quot;%&quot;"/>
    <numFmt numFmtId="208" formatCode="#,##0_);[Red]\(#,##0\)"/>
    <numFmt numFmtId="209" formatCode="#,##0.0"/>
    <numFmt numFmtId="210" formatCode="#,##0.000"/>
    <numFmt numFmtId="211" formatCode="_(* #,##0.00_);_(* \(#,##0.00\);_(* &quot;-&quot;_);_(@_)"/>
    <numFmt numFmtId="212" formatCode="_(* #,##0.000_);_(* \(#,##0.000\);_(* &quot;-&quot;_);_(@_)"/>
  </numFmts>
  <fonts count="77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0"/>
      <color theme="0" tint="-0.1499984740745262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u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i/>
      <sz val="11"/>
      <color theme="0" tint="-0.249977111117893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</font>
    <font>
      <sz val="10"/>
      <name val="맑은 고딕"/>
      <family val="3"/>
      <charset val="129"/>
    </font>
    <font>
      <i/>
      <sz val="10"/>
      <color theme="0" tint="-0.34998626667073579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color rgb="FF000000"/>
      <name val="맑은 고딕"/>
      <family val="3"/>
      <charset val="129"/>
    </font>
    <font>
      <i/>
      <sz val="9"/>
      <color theme="1"/>
      <name val="맑은 고딕"/>
      <family val="3"/>
      <charset val="129"/>
    </font>
    <font>
      <sz val="9"/>
      <color theme="1"/>
      <name val="Times New Roman"/>
      <family val="1"/>
    </font>
    <font>
      <sz val="9"/>
      <color rgb="FF000000"/>
      <name val="Arial Unicode MS"/>
      <family val="2"/>
    </font>
    <font>
      <sz val="9"/>
      <color rgb="FF000000"/>
      <name val="맑은 고딕"/>
      <family val="3"/>
      <charset val="129"/>
      <scheme val="minor"/>
    </font>
    <font>
      <vertAlign val="subscript"/>
      <sz val="9"/>
      <color rgb="FF000000"/>
      <name val="맑은 고딕"/>
      <family val="3"/>
      <charset val="129"/>
      <scheme val="minor"/>
    </font>
    <font>
      <sz val="9"/>
      <color theme="1"/>
      <name val="Arial Unicode MS"/>
      <family val="2"/>
    </font>
    <font>
      <b/>
      <sz val="9"/>
      <name val="맑은 고딕"/>
      <family val="3"/>
      <charset val="129"/>
    </font>
    <font>
      <sz val="9"/>
      <name val="맑은 고딕"/>
      <family val="3"/>
      <charset val="129"/>
    </font>
    <font>
      <sz val="9"/>
      <name val="맑은 고딕"/>
      <family val="3"/>
      <charset val="129"/>
      <scheme val="minor"/>
    </font>
    <font>
      <i/>
      <u/>
      <sz val="11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i/>
      <sz val="9"/>
      <color theme="1"/>
      <name val="맑은 고딕"/>
      <family val="3"/>
      <charset val="129"/>
      <scheme val="minor"/>
    </font>
    <font>
      <i/>
      <sz val="10"/>
      <color theme="1"/>
      <name val="맑은 고딕"/>
      <family val="3"/>
      <charset val="129"/>
      <scheme val="minor"/>
    </font>
    <font>
      <i/>
      <sz val="9"/>
      <color theme="1"/>
      <name val="맑은 고딕"/>
      <family val="3"/>
      <charset val="129"/>
      <scheme val="minor"/>
    </font>
    <font>
      <i/>
      <sz val="9"/>
      <name val="맑은 고딕"/>
      <family val="3"/>
      <charset val="129"/>
    </font>
    <font>
      <i/>
      <sz val="11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b/>
      <i/>
      <u/>
      <sz val="11"/>
      <color theme="1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8"/>
      <color theme="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</font>
    <font>
      <sz val="18"/>
      <color theme="3"/>
      <name val="맑은 고딕"/>
      <family val="2"/>
      <charset val="129"/>
      <scheme val="major"/>
    </font>
    <font>
      <sz val="10"/>
      <name val="Arial"/>
      <family val="2"/>
    </font>
    <font>
      <b/>
      <sz val="9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9"/>
      <color theme="0"/>
      <name val="맑은 고딕"/>
      <family val="3"/>
      <charset val="129"/>
      <scheme val="major"/>
    </font>
  </fonts>
  <fills count="4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99FF99"/>
        <bgColor indexed="64"/>
      </patternFill>
    </fill>
    <fill>
      <patternFill patternType="lightDown"/>
    </fill>
    <fill>
      <patternFill patternType="lightDown">
        <bgColor rgb="FFFFFF00"/>
      </patternFill>
    </fill>
    <fill>
      <patternFill patternType="lightDown">
        <bgColor rgb="FF92D050"/>
      </patternFill>
    </fill>
    <fill>
      <patternFill patternType="solid">
        <fgColor rgb="FF6666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D2DCFA"/>
        <bgColor indexed="64"/>
      </patternFill>
    </fill>
    <fill>
      <patternFill patternType="solid">
        <fgColor rgb="FFC6D9F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1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1">
    <xf numFmtId="0" fontId="0" fillId="0" borderId="0">
      <alignment vertical="center"/>
    </xf>
    <xf numFmtId="178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2" fillId="33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66" fillId="0" borderId="0">
      <alignment vertical="center"/>
    </xf>
    <xf numFmtId="0" fontId="1" fillId="0" borderId="0">
      <alignment vertical="center"/>
    </xf>
    <xf numFmtId="0" fontId="67" fillId="0" borderId="0">
      <alignment vertical="center"/>
    </xf>
    <xf numFmtId="9" fontId="67" fillId="0" borderId="0" applyFont="0" applyFill="0" applyBorder="0" applyAlignment="0" applyProtection="0">
      <alignment vertical="center"/>
    </xf>
    <xf numFmtId="0" fontId="69" fillId="0" borderId="0"/>
    <xf numFmtId="0" fontId="4" fillId="0" borderId="0">
      <alignment vertical="center"/>
    </xf>
  </cellStyleXfs>
  <cellXfs count="778">
    <xf numFmtId="0" fontId="0" fillId="0" borderId="0" xfId="0">
      <alignment vertical="center"/>
    </xf>
    <xf numFmtId="0" fontId="0" fillId="2" borderId="0" xfId="0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180" fontId="0" fillId="0" borderId="0" xfId="0" applyNumberFormat="1" applyProtection="1">
      <alignment vertical="center"/>
      <protection locked="0"/>
    </xf>
    <xf numFmtId="14" fontId="0" fillId="0" borderId="0" xfId="0" applyNumberFormat="1" applyProtection="1">
      <alignment vertical="center"/>
      <protection locked="0"/>
    </xf>
    <xf numFmtId="14" fontId="0" fillId="2" borderId="0" xfId="0" applyNumberFormat="1" applyFill="1" applyProtection="1">
      <alignment vertical="center"/>
      <protection locked="0"/>
    </xf>
    <xf numFmtId="180" fontId="0" fillId="2" borderId="0" xfId="0" applyNumberFormat="1" applyFill="1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0" fontId="5" fillId="0" borderId="0" xfId="0" applyFont="1" applyFill="1" applyProtection="1">
      <alignment vertical="center"/>
      <protection locked="0"/>
    </xf>
    <xf numFmtId="0" fontId="6" fillId="2" borderId="0" xfId="0" applyFont="1" applyFill="1" applyProtection="1">
      <alignment vertical="center"/>
      <protection locked="0"/>
    </xf>
    <xf numFmtId="0" fontId="6" fillId="0" borderId="0" xfId="0" applyFont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5" fillId="7" borderId="0" xfId="0" applyFont="1" applyFill="1" applyProtection="1">
      <alignment vertical="center"/>
      <protection locked="0"/>
    </xf>
    <xf numFmtId="0" fontId="0" fillId="0" borderId="0" xfId="0" applyProtection="1">
      <alignment vertical="center"/>
    </xf>
    <xf numFmtId="0" fontId="0" fillId="0" borderId="0" xfId="0" applyFill="1" applyAlignment="1" applyProtection="1">
      <alignment horizontal="left" vertical="center"/>
      <protection locked="0"/>
    </xf>
    <xf numFmtId="181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Alignment="1" applyProtection="1">
      <alignment horizontal="left"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3" borderId="0" xfId="0" applyNumberFormat="1" applyFill="1" applyProtection="1">
      <alignment vertical="center"/>
    </xf>
    <xf numFmtId="38" fontId="5" fillId="3" borderId="0" xfId="0" applyNumberFormat="1" applyFont="1" applyFill="1" applyProtection="1">
      <alignment vertical="center"/>
    </xf>
    <xf numFmtId="40" fontId="5" fillId="4" borderId="0" xfId="0" applyNumberFormat="1" applyFont="1" applyFill="1" applyProtection="1">
      <alignment vertical="center"/>
    </xf>
    <xf numFmtId="40" fontId="0" fillId="3" borderId="0" xfId="0" applyNumberFormat="1" applyFill="1" applyProtection="1">
      <alignment vertical="center"/>
    </xf>
    <xf numFmtId="40" fontId="5" fillId="0" borderId="0" xfId="0" applyNumberFormat="1" applyFont="1" applyFill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38" fontId="0" fillId="3" borderId="0" xfId="1" applyNumberFormat="1" applyFont="1" applyFill="1" applyBorder="1" applyAlignment="1" applyProtection="1">
      <alignment vertical="center"/>
    </xf>
    <xf numFmtId="40" fontId="0" fillId="6" borderId="0" xfId="0" applyNumberFormat="1" applyFill="1" applyProtection="1">
      <alignment vertical="center"/>
    </xf>
    <xf numFmtId="40" fontId="0" fillId="5" borderId="0" xfId="0" applyNumberFormat="1" applyFill="1" applyProtection="1">
      <alignment vertical="center"/>
    </xf>
    <xf numFmtId="38" fontId="5" fillId="0" borderId="0" xfId="0" applyNumberFormat="1" applyFont="1" applyProtection="1">
      <alignment vertical="center"/>
      <protection locked="0"/>
    </xf>
    <xf numFmtId="38" fontId="5" fillId="5" borderId="0" xfId="0" applyNumberFormat="1" applyFont="1" applyFill="1" applyProtection="1">
      <alignment vertical="center"/>
    </xf>
    <xf numFmtId="38" fontId="0" fillId="0" borderId="0" xfId="0" applyNumberFormat="1" applyProtection="1">
      <alignment vertical="center"/>
      <protection locked="0"/>
    </xf>
    <xf numFmtId="38" fontId="0" fillId="5" borderId="0" xfId="0" applyNumberFormat="1" applyFill="1" applyProtection="1">
      <alignment vertical="center"/>
    </xf>
    <xf numFmtId="38" fontId="6" fillId="6" borderId="0" xfId="0" applyNumberFormat="1" applyFont="1" applyFill="1" applyProtection="1">
      <alignment vertical="center"/>
    </xf>
    <xf numFmtId="38" fontId="0" fillId="5" borderId="0" xfId="1" applyNumberFormat="1" applyFont="1" applyFill="1" applyBorder="1" applyAlignment="1" applyProtection="1">
      <alignment vertical="center"/>
    </xf>
    <xf numFmtId="40" fontId="6" fillId="6" borderId="0" xfId="0" applyNumberFormat="1" applyFont="1" applyFill="1" applyProtection="1">
      <alignment vertical="center"/>
    </xf>
    <xf numFmtId="38" fontId="5" fillId="6" borderId="0" xfId="0" applyNumberFormat="1" applyFont="1" applyFill="1" applyProtection="1">
      <alignment vertical="center"/>
    </xf>
    <xf numFmtId="38" fontId="0" fillId="2" borderId="0" xfId="0" applyNumberFormat="1" applyFill="1" applyProtection="1">
      <alignment vertical="center"/>
      <protection locked="0"/>
    </xf>
    <xf numFmtId="40" fontId="5" fillId="6" borderId="0" xfId="0" applyNumberFormat="1" applyFont="1" applyFill="1" applyProtection="1">
      <alignment vertical="center"/>
    </xf>
    <xf numFmtId="38" fontId="6" fillId="5" borderId="0" xfId="0" applyNumberFormat="1" applyFont="1" applyFill="1" applyProtection="1">
      <alignment vertical="center"/>
    </xf>
    <xf numFmtId="38" fontId="5" fillId="8" borderId="0" xfId="0" applyNumberFormat="1" applyFont="1" applyFill="1" applyProtection="1">
      <alignment vertical="center"/>
    </xf>
    <xf numFmtId="38" fontId="7" fillId="8" borderId="0" xfId="0" applyNumberFormat="1" applyFont="1" applyFill="1" applyProtection="1">
      <alignment vertical="center"/>
    </xf>
    <xf numFmtId="38" fontId="6" fillId="0" borderId="0" xfId="0" applyNumberFormat="1" applyFont="1" applyProtection="1">
      <alignment vertical="center"/>
      <protection locked="0"/>
    </xf>
    <xf numFmtId="38" fontId="7" fillId="0" borderId="0" xfId="0" applyNumberFormat="1" applyFont="1" applyProtection="1">
      <alignment vertical="center"/>
      <protection locked="0"/>
    </xf>
    <xf numFmtId="40" fontId="0" fillId="0" borderId="0" xfId="0" applyNumberFormat="1" applyProtection="1">
      <alignment vertical="center"/>
      <protection locked="0"/>
    </xf>
    <xf numFmtId="38" fontId="8" fillId="5" borderId="0" xfId="0" applyNumberFormat="1" applyFont="1" applyFill="1" applyProtection="1">
      <alignment vertical="center"/>
    </xf>
    <xf numFmtId="40" fontId="0" fillId="0" borderId="0" xfId="0" applyNumberFormat="1" applyFill="1" applyProtection="1">
      <alignment vertical="center"/>
      <protection locked="0"/>
    </xf>
    <xf numFmtId="14" fontId="0" fillId="0" borderId="0" xfId="0" applyNumberFormat="1" applyFill="1" applyProtection="1">
      <alignment vertical="center"/>
      <protection locked="0"/>
    </xf>
    <xf numFmtId="180" fontId="0" fillId="0" borderId="0" xfId="0" applyNumberFormat="1" applyFill="1" applyProtection="1">
      <alignment vertical="center"/>
      <protection locked="0"/>
    </xf>
    <xf numFmtId="38" fontId="7" fillId="0" borderId="0" xfId="0" applyNumberFormat="1" applyFont="1" applyFill="1" applyProtection="1">
      <alignment vertical="center"/>
      <protection locked="0"/>
    </xf>
    <xf numFmtId="38" fontId="6" fillId="0" borderId="0" xfId="0" applyNumberFormat="1" applyFont="1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10" fillId="5" borderId="0" xfId="0" applyFont="1" applyFill="1" applyProtection="1">
      <alignment vertical="center"/>
    </xf>
    <xf numFmtId="180" fontId="5" fillId="5" borderId="0" xfId="0" applyNumberFormat="1" applyFont="1" applyFill="1" applyProtection="1">
      <alignment vertical="center"/>
    </xf>
    <xf numFmtId="38" fontId="5" fillId="0" borderId="0" xfId="0" applyNumberFormat="1" applyFont="1" applyFill="1" applyProtection="1">
      <alignment vertical="center"/>
      <protection locked="0"/>
    </xf>
    <xf numFmtId="38" fontId="0" fillId="0" borderId="0" xfId="0" applyNumberFormat="1" applyFont="1" applyFill="1" applyProtection="1">
      <alignment vertical="center"/>
      <protection locked="0"/>
    </xf>
    <xf numFmtId="0" fontId="0" fillId="9" borderId="0" xfId="0" applyFill="1" applyAlignment="1" applyProtection="1">
      <alignment horizontal="center" vertical="center"/>
      <protection locked="0"/>
    </xf>
    <xf numFmtId="38" fontId="0" fillId="6" borderId="0" xfId="0" applyNumberFormat="1" applyFill="1" applyProtection="1">
      <alignment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4" fontId="0" fillId="0" borderId="0" xfId="0" applyNumberFormat="1" applyFill="1" applyAlignment="1" applyProtection="1">
      <alignment horizontal="left" vertical="center"/>
      <protection locked="0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38" fontId="8" fillId="6" borderId="0" xfId="0" applyNumberFormat="1" applyFont="1" applyFill="1" applyProtection="1">
      <alignment vertical="center"/>
    </xf>
    <xf numFmtId="182" fontId="5" fillId="4" borderId="0" xfId="0" applyNumberFormat="1" applyFont="1" applyFill="1" applyProtection="1">
      <alignment vertical="center"/>
    </xf>
    <xf numFmtId="38" fontId="0" fillId="5" borderId="0" xfId="0" applyNumberFormat="1" applyFont="1" applyFill="1" applyProtection="1">
      <alignment vertical="center"/>
    </xf>
    <xf numFmtId="38" fontId="7" fillId="5" borderId="0" xfId="0" applyNumberFormat="1" applyFont="1" applyFill="1" applyProtection="1">
      <alignment vertical="center"/>
    </xf>
    <xf numFmtId="40" fontId="7" fillId="6" borderId="0" xfId="1" applyNumberFormat="1" applyFont="1" applyFill="1" applyBorder="1" applyAlignment="1" applyProtection="1">
      <alignment vertical="center"/>
    </xf>
    <xf numFmtId="40" fontId="0" fillId="0" borderId="0" xfId="0" applyNumberFormat="1" applyFont="1" applyFill="1" applyProtection="1">
      <alignment vertical="center"/>
      <protection locked="0"/>
    </xf>
    <xf numFmtId="40" fontId="7" fillId="6" borderId="0" xfId="3" applyNumberFormat="1" applyFont="1" applyFill="1" applyBorder="1" applyAlignment="1" applyProtection="1">
      <alignment vertical="center"/>
    </xf>
    <xf numFmtId="0" fontId="0" fillId="7" borderId="0" xfId="0" applyFill="1" applyAlignment="1" applyProtection="1">
      <alignment horizontal="center"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5" borderId="0" xfId="0" applyFill="1" applyProtection="1">
      <alignment vertical="center"/>
    </xf>
    <xf numFmtId="0" fontId="0" fillId="0" borderId="0" xfId="0" applyFont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quotePrefix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0" fontId="0" fillId="7" borderId="0" xfId="0" applyFill="1" applyProtection="1">
      <alignment vertical="center"/>
      <protection locked="0"/>
    </xf>
    <xf numFmtId="0" fontId="0" fillId="0" borderId="0" xfId="0" applyFont="1" applyFill="1" applyProtection="1">
      <alignment vertical="center"/>
      <protection locked="0"/>
    </xf>
    <xf numFmtId="0" fontId="0" fillId="7" borderId="0" xfId="0" applyFont="1" applyFill="1" applyProtection="1">
      <alignment vertical="center"/>
      <protection locked="0"/>
    </xf>
    <xf numFmtId="180" fontId="0" fillId="5" borderId="0" xfId="0" applyNumberFormat="1" applyFill="1" applyProtection="1">
      <alignment vertical="center"/>
    </xf>
    <xf numFmtId="0" fontId="0" fillId="5" borderId="0" xfId="0" applyFont="1" applyFill="1" applyProtection="1">
      <alignment vertical="center"/>
    </xf>
    <xf numFmtId="40" fontId="0" fillId="13" borderId="0" xfId="0" applyNumberFormat="1" applyFill="1" applyProtection="1">
      <alignment vertical="center"/>
    </xf>
    <xf numFmtId="0" fontId="0" fillId="0" borderId="0" xfId="0" applyProtection="1">
      <alignment vertical="center"/>
      <protection locked="0"/>
    </xf>
    <xf numFmtId="40" fontId="0" fillId="5" borderId="0" xfId="0" applyNumberFormat="1" applyFill="1" applyProtection="1">
      <alignment vertical="center"/>
    </xf>
    <xf numFmtId="49" fontId="0" fillId="9" borderId="0" xfId="0" applyNumberFormat="1" applyFill="1" applyAlignment="1" applyProtection="1">
      <alignment horizontal="center" vertical="center"/>
      <protection locked="0"/>
    </xf>
    <xf numFmtId="38" fontId="5" fillId="5" borderId="0" xfId="0" applyNumberFormat="1" applyFont="1" applyFill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77" fontId="0" fillId="0" borderId="0" xfId="1" applyNumberFormat="1" applyFont="1" applyFill="1" applyBorder="1" applyAlignment="1" applyProtection="1">
      <alignment vertical="center"/>
      <protection locked="0"/>
    </xf>
    <xf numFmtId="180" fontId="0" fillId="14" borderId="0" xfId="0" applyNumberFormat="1" applyFill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40" fontId="5" fillId="0" borderId="0" xfId="0" applyNumberFormat="1" applyFont="1" applyFill="1" applyProtection="1">
      <alignment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2" fillId="0" borderId="0" xfId="0" applyFont="1" applyProtection="1">
      <alignment vertical="center"/>
      <protection locked="0"/>
    </xf>
    <xf numFmtId="38" fontId="5" fillId="0" borderId="0" xfId="0" applyNumberFormat="1" applyFont="1" applyFill="1" applyProtection="1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Fill="1" applyProtection="1">
      <alignment vertical="center"/>
      <protection locked="0"/>
    </xf>
    <xf numFmtId="38" fontId="0" fillId="0" borderId="0" xfId="0" applyNumberFormat="1" applyFill="1" applyProtection="1">
      <alignment vertical="center"/>
      <protection locked="0"/>
    </xf>
    <xf numFmtId="38" fontId="0" fillId="0" borderId="0" xfId="0" applyNumberFormat="1" applyProtection="1">
      <alignment vertical="center"/>
      <protection locked="0"/>
    </xf>
    <xf numFmtId="38" fontId="0" fillId="6" borderId="0" xfId="0" applyNumberFormat="1" applyFill="1" applyProtection="1">
      <alignment vertical="center"/>
    </xf>
    <xf numFmtId="38" fontId="5" fillId="5" borderId="0" xfId="0" applyNumberFormat="1" applyFont="1" applyFill="1" applyProtection="1">
      <alignment vertical="center"/>
    </xf>
    <xf numFmtId="38" fontId="0" fillId="5" borderId="0" xfId="0" applyNumberFormat="1" applyFill="1" applyProtection="1">
      <alignment vertical="center"/>
    </xf>
    <xf numFmtId="38" fontId="8" fillId="5" borderId="0" xfId="0" applyNumberFormat="1" applyFont="1" applyFill="1" applyProtection="1">
      <alignment vertical="center"/>
    </xf>
    <xf numFmtId="0" fontId="0" fillId="7" borderId="0" xfId="0" applyFill="1" applyProtection="1">
      <alignment vertical="center"/>
      <protection locked="0"/>
    </xf>
    <xf numFmtId="38" fontId="0" fillId="5" borderId="0" xfId="0" applyNumberFormat="1" applyFill="1" applyProtection="1">
      <alignment vertical="center"/>
      <protection locked="0"/>
    </xf>
    <xf numFmtId="0" fontId="5" fillId="16" borderId="9" xfId="0" applyFont="1" applyFill="1" applyBorder="1" applyAlignment="1" applyProtection="1">
      <alignment horizontal="center" vertical="center"/>
      <protection locked="0"/>
    </xf>
    <xf numFmtId="40" fontId="0" fillId="3" borderId="0" xfId="0" applyNumberFormat="1" applyFill="1" applyBorder="1" applyProtection="1">
      <alignment vertical="center"/>
    </xf>
    <xf numFmtId="38" fontId="0" fillId="3" borderId="0" xfId="0" applyNumberFormat="1" applyFill="1" applyBorder="1" applyProtection="1">
      <alignment vertical="center"/>
    </xf>
    <xf numFmtId="38" fontId="5" fillId="3" borderId="0" xfId="0" applyNumberFormat="1" applyFont="1" applyFill="1" applyBorder="1" applyProtection="1">
      <alignment vertical="center"/>
    </xf>
    <xf numFmtId="38" fontId="5" fillId="5" borderId="0" xfId="1" applyNumberFormat="1" applyFont="1" applyFill="1" applyBorder="1" applyAlignment="1" applyProtection="1">
      <alignment vertical="center"/>
    </xf>
    <xf numFmtId="0" fontId="5" fillId="7" borderId="0" xfId="0" applyFont="1" applyFill="1" applyAlignment="1" applyProtection="1">
      <alignment horizontal="center" vertical="center"/>
      <protection locked="0"/>
    </xf>
    <xf numFmtId="0" fontId="5" fillId="7" borderId="0" xfId="0" applyFont="1" applyFill="1" applyBorder="1" applyAlignment="1" applyProtection="1">
      <alignment horizontal="center" vertical="center"/>
      <protection locked="0"/>
    </xf>
    <xf numFmtId="0" fontId="5" fillId="2" borderId="0" xfId="0" applyFont="1" applyFill="1" applyBorder="1" applyAlignment="1" applyProtection="1">
      <alignment horizontal="center" vertical="center"/>
      <protection locked="0"/>
    </xf>
    <xf numFmtId="40" fontId="0" fillId="5" borderId="0" xfId="0" applyNumberFormat="1" applyFill="1" applyBorder="1" applyProtection="1">
      <alignment vertical="center"/>
      <protection locked="0"/>
    </xf>
    <xf numFmtId="38" fontId="0" fillId="6" borderId="0" xfId="0" applyNumberFormat="1" applyFill="1" applyBorder="1" applyProtection="1">
      <alignment vertical="center"/>
      <protection locked="0"/>
    </xf>
    <xf numFmtId="38" fontId="5" fillId="5" borderId="0" xfId="0" applyNumberFormat="1" applyFont="1" applyFill="1" applyBorder="1" applyProtection="1">
      <alignment vertical="center"/>
      <protection locked="0"/>
    </xf>
    <xf numFmtId="0" fontId="0" fillId="2" borderId="0" xfId="0" applyFill="1" applyBorder="1" applyProtection="1">
      <alignment vertical="center"/>
      <protection locked="0"/>
    </xf>
    <xf numFmtId="0" fontId="5" fillId="11" borderId="0" xfId="0" applyFont="1" applyFill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0" fontId="5" fillId="15" borderId="3" xfId="0" applyFont="1" applyFill="1" applyBorder="1" applyAlignment="1" applyProtection="1">
      <alignment horizontal="center" vertical="center"/>
      <protection locked="0"/>
    </xf>
    <xf numFmtId="0" fontId="15" fillId="0" borderId="3" xfId="0" applyFont="1" applyBorder="1" applyAlignment="1" applyProtection="1">
      <alignment horizontal="center" vertical="center"/>
      <protection locked="0"/>
    </xf>
    <xf numFmtId="0" fontId="0" fillId="2" borderId="0" xfId="0" applyFill="1" applyBorder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right" vertical="center"/>
      <protection locked="0"/>
    </xf>
    <xf numFmtId="0" fontId="5" fillId="0" borderId="3" xfId="0" applyFont="1" applyBorder="1" applyAlignment="1" applyProtection="1">
      <alignment horizontal="center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177" fontId="0" fillId="0" borderId="9" xfId="1" applyNumberFormat="1" applyFont="1" applyFill="1" applyBorder="1" applyAlignment="1" applyProtection="1">
      <alignment vertical="center"/>
      <protection locked="0"/>
    </xf>
    <xf numFmtId="0" fontId="17" fillId="0" borderId="3" xfId="0" applyFont="1" applyBorder="1" applyAlignment="1" applyProtection="1">
      <alignment horizontal="center" vertical="center"/>
      <protection locked="0"/>
    </xf>
    <xf numFmtId="183" fontId="18" fillId="0" borderId="3" xfId="1" applyNumberFormat="1" applyFont="1" applyFill="1" applyBorder="1" applyAlignment="1" applyProtection="1">
      <alignment horizontal="right" vertical="center"/>
      <protection locked="0"/>
    </xf>
    <xf numFmtId="10" fontId="0" fillId="5" borderId="0" xfId="4" applyNumberFormat="1" applyFont="1" applyFill="1" applyBorder="1" applyAlignment="1" applyProtection="1">
      <alignment vertical="center"/>
      <protection locked="0"/>
    </xf>
    <xf numFmtId="185" fontId="16" fillId="11" borderId="21" xfId="7" applyNumberFormat="1" applyFont="1" applyFill="1" applyBorder="1" applyAlignment="1" applyProtection="1">
      <alignment horizontal="center" vertical="center"/>
    </xf>
    <xf numFmtId="185" fontId="16" fillId="11" borderId="22" xfId="7" applyNumberFormat="1" applyFont="1" applyFill="1" applyBorder="1" applyAlignment="1" applyProtection="1">
      <alignment horizontal="center" vertical="center"/>
    </xf>
    <xf numFmtId="185" fontId="16" fillId="11" borderId="25" xfId="7" applyNumberFormat="1" applyFont="1" applyFill="1" applyBorder="1" applyAlignment="1" applyProtection="1">
      <alignment horizontal="center" vertical="center"/>
    </xf>
    <xf numFmtId="185" fontId="16" fillId="11" borderId="28" xfId="7" applyNumberFormat="1" applyFont="1" applyFill="1" applyBorder="1" applyAlignment="1" applyProtection="1">
      <alignment horizontal="center" vertical="center"/>
    </xf>
    <xf numFmtId="0" fontId="13" fillId="15" borderId="9" xfId="7" applyNumberFormat="1" applyFont="1" applyFill="1" applyBorder="1" applyAlignment="1" applyProtection="1">
      <alignment horizontal="center" vertical="center"/>
    </xf>
    <xf numFmtId="186" fontId="0" fillId="2" borderId="0" xfId="0" applyNumberFormat="1" applyFill="1" applyProtection="1">
      <alignment vertical="center"/>
      <protection locked="0"/>
    </xf>
    <xf numFmtId="186" fontId="0" fillId="0" borderId="0" xfId="0" applyNumberFormat="1" applyProtection="1">
      <alignment vertical="center"/>
      <protection locked="0"/>
    </xf>
    <xf numFmtId="187" fontId="0" fillId="2" borderId="0" xfId="0" applyNumberFormat="1" applyFill="1" applyProtection="1">
      <alignment vertical="center"/>
      <protection locked="0"/>
    </xf>
    <xf numFmtId="187" fontId="0" fillId="0" borderId="0" xfId="0" applyNumberFormat="1" applyProtection="1">
      <alignment vertical="center"/>
      <protection locked="0"/>
    </xf>
    <xf numFmtId="38" fontId="5" fillId="6" borderId="0" xfId="0" applyNumberFormat="1" applyFont="1" applyFill="1" applyProtection="1">
      <alignment vertical="center"/>
      <protection locked="0"/>
    </xf>
    <xf numFmtId="0" fontId="5" fillId="21" borderId="0" xfId="0" applyFont="1" applyFill="1" applyAlignment="1" applyProtection="1">
      <alignment horizontal="center" vertical="center"/>
      <protection locked="0"/>
    </xf>
    <xf numFmtId="0" fontId="12" fillId="0" borderId="18" xfId="0" applyFont="1" applyBorder="1" applyAlignment="1" applyProtection="1">
      <alignment horizontal="center" vertical="center"/>
      <protection locked="0"/>
    </xf>
    <xf numFmtId="0" fontId="6" fillId="0" borderId="0" xfId="2" applyNumberFormat="1" applyFont="1" applyFill="1" applyBorder="1" applyAlignment="1" applyProtection="1">
      <alignment horizontal="left" vertical="center" wrapText="1"/>
      <protection locked="0"/>
    </xf>
    <xf numFmtId="177" fontId="0" fillId="3" borderId="0" xfId="1" applyNumberFormat="1" applyFont="1" applyFill="1" applyBorder="1" applyAlignment="1" applyProtection="1">
      <alignment vertical="center"/>
    </xf>
    <xf numFmtId="189" fontId="0" fillId="17" borderId="0" xfId="0" applyNumberFormat="1" applyFill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3" fontId="5" fillId="0" borderId="0" xfId="1" applyNumberFormat="1" applyFont="1" applyFill="1" applyBorder="1" applyAlignment="1" applyProtection="1">
      <alignment vertical="center"/>
    </xf>
    <xf numFmtId="188" fontId="5" fillId="0" borderId="0" xfId="1" applyNumberFormat="1" applyFont="1" applyFill="1" applyBorder="1" applyAlignment="1" applyProtection="1">
      <alignment vertical="center"/>
    </xf>
    <xf numFmtId="0" fontId="5" fillId="16" borderId="3" xfId="0" applyFont="1" applyFill="1" applyBorder="1" applyAlignment="1" applyProtection="1">
      <alignment horizontal="center" vertical="center"/>
      <protection locked="0"/>
    </xf>
    <xf numFmtId="0" fontId="5" fillId="16" borderId="3" xfId="0" applyFont="1" applyFill="1" applyBorder="1" applyAlignment="1" applyProtection="1">
      <alignment horizontal="center" vertical="center" shrinkToFit="1"/>
      <protection locked="0"/>
    </xf>
    <xf numFmtId="0" fontId="12" fillId="16" borderId="3" xfId="0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Border="1" applyAlignment="1" applyProtection="1">
      <alignment horizontal="center" vertical="center"/>
      <protection locked="0"/>
    </xf>
    <xf numFmtId="183" fontId="0" fillId="5" borderId="0" xfId="1" applyNumberFormat="1" applyFont="1" applyFill="1" applyBorder="1" applyAlignment="1" applyProtection="1">
      <alignment vertical="center"/>
      <protection locked="0"/>
    </xf>
    <xf numFmtId="183" fontId="5" fillId="19" borderId="0" xfId="1" applyNumberFormat="1" applyFont="1" applyFill="1" applyBorder="1" applyAlignment="1" applyProtection="1">
      <alignment vertical="center"/>
      <protection locked="0"/>
    </xf>
    <xf numFmtId="0" fontId="0" fillId="2" borderId="0" xfId="0" applyFill="1" applyAlignment="1" applyProtection="1">
      <alignment horizontal="center" vertical="center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10" fontId="0" fillId="5" borderId="14" xfId="4" applyNumberFormat="1" applyFont="1" applyFill="1" applyBorder="1" applyAlignment="1" applyProtection="1">
      <alignment vertical="center"/>
      <protection locked="0"/>
    </xf>
    <xf numFmtId="0" fontId="19" fillId="18" borderId="11" xfId="0" applyFont="1" applyFill="1" applyBorder="1" applyAlignment="1" applyProtection="1">
      <alignment horizontal="center" vertical="center" shrinkToFit="1"/>
      <protection locked="0"/>
    </xf>
    <xf numFmtId="0" fontId="5" fillId="0" borderId="12" xfId="0" applyFont="1" applyBorder="1" applyAlignment="1" applyProtection="1">
      <alignment horizontal="center" vertical="center"/>
      <protection locked="0"/>
    </xf>
    <xf numFmtId="10" fontId="0" fillId="5" borderId="17" xfId="4" applyNumberFormat="1" applyFont="1" applyFill="1" applyBorder="1" applyAlignment="1" applyProtection="1">
      <alignment vertical="center"/>
      <protection locked="0"/>
    </xf>
    <xf numFmtId="0" fontId="19" fillId="18" borderId="13" xfId="0" applyFont="1" applyFill="1" applyBorder="1" applyAlignment="1" applyProtection="1">
      <alignment horizontal="center" vertical="center" shrinkToFit="1"/>
      <protection locked="0"/>
    </xf>
    <xf numFmtId="0" fontId="5" fillId="0" borderId="10" xfId="0" applyFont="1" applyFill="1" applyBorder="1" applyAlignment="1" applyProtection="1">
      <alignment horizontal="left" vertical="center"/>
      <protection locked="0"/>
    </xf>
    <xf numFmtId="0" fontId="5" fillId="0" borderId="15" xfId="0" applyFont="1" applyFill="1" applyBorder="1" applyAlignment="1" applyProtection="1">
      <alignment horizontal="left" vertical="center"/>
      <protection locked="0"/>
    </xf>
    <xf numFmtId="0" fontId="5" fillId="0" borderId="12" xfId="0" applyFont="1" applyFill="1" applyBorder="1" applyAlignment="1" applyProtection="1">
      <alignment horizontal="left"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0" fillId="7" borderId="31" xfId="0" applyFill="1" applyBorder="1" applyAlignment="1" applyProtection="1">
      <alignment horizontal="center" vertical="center"/>
      <protection locked="0"/>
    </xf>
    <xf numFmtId="0" fontId="5" fillId="7" borderId="1" xfId="0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 applyProtection="1">
      <alignment horizontal="center" vertical="center"/>
      <protection locked="0"/>
    </xf>
    <xf numFmtId="0" fontId="0" fillId="0" borderId="32" xfId="0" applyBorder="1" applyProtection="1">
      <alignment vertical="center"/>
      <protection locked="0"/>
    </xf>
    <xf numFmtId="177" fontId="0" fillId="0" borderId="4" xfId="1" applyNumberFormat="1" applyFont="1" applyFill="1" applyBorder="1" applyAlignment="1" applyProtection="1">
      <alignment vertical="center"/>
      <protection locked="0"/>
    </xf>
    <xf numFmtId="0" fontId="0" fillId="0" borderId="33" xfId="0" applyBorder="1" applyProtection="1">
      <alignment vertical="center"/>
      <protection locked="0"/>
    </xf>
    <xf numFmtId="177" fontId="0" fillId="0" borderId="5" xfId="1" applyNumberFormat="1" applyFont="1" applyFill="1" applyBorder="1" applyAlignment="1" applyProtection="1">
      <alignment vertical="center"/>
      <protection locked="0"/>
    </xf>
    <xf numFmtId="177" fontId="0" fillId="0" borderId="6" xfId="1" applyNumberFormat="1" applyFont="1" applyFill="1" applyBorder="1" applyAlignment="1" applyProtection="1">
      <alignment vertical="center"/>
      <protection locked="0"/>
    </xf>
    <xf numFmtId="0" fontId="7" fillId="11" borderId="3" xfId="0" applyFont="1" applyFill="1" applyBorder="1" applyAlignment="1" applyProtection="1">
      <alignment horizontal="center" vertical="center"/>
      <protection locked="0"/>
    </xf>
    <xf numFmtId="180" fontId="6" fillId="0" borderId="3" xfId="0" applyNumberFormat="1" applyFont="1" applyBorder="1" applyAlignment="1" applyProtection="1">
      <alignment horizontal="center" vertical="center"/>
      <protection locked="0"/>
    </xf>
    <xf numFmtId="180" fontId="6" fillId="0" borderId="3" xfId="0" applyNumberFormat="1" applyFont="1" applyFill="1" applyBorder="1" applyAlignment="1" applyProtection="1">
      <alignment horizontal="center" vertical="center"/>
      <protection locked="0"/>
    </xf>
    <xf numFmtId="0" fontId="0" fillId="2" borderId="0" xfId="0" applyNumberFormat="1" applyFill="1" applyProtection="1">
      <alignment vertical="center"/>
      <protection locked="0"/>
    </xf>
    <xf numFmtId="0" fontId="0" fillId="0" borderId="0" xfId="0" applyNumberFormat="1" applyProtection="1">
      <alignment vertical="center"/>
      <protection locked="0"/>
    </xf>
    <xf numFmtId="0" fontId="5" fillId="0" borderId="10" xfId="0" applyFont="1" applyFill="1" applyBorder="1" applyAlignment="1" applyProtection="1">
      <alignment horizontal="center" vertical="center"/>
      <protection locked="0"/>
    </xf>
    <xf numFmtId="0" fontId="5" fillId="0" borderId="15" xfId="0" applyFont="1" applyFill="1" applyBorder="1" applyAlignment="1" applyProtection="1">
      <alignment horizontal="center" vertical="center"/>
      <protection locked="0"/>
    </xf>
    <xf numFmtId="0" fontId="5" fillId="0" borderId="12" xfId="0" applyFont="1" applyFill="1" applyBorder="1" applyAlignment="1" applyProtection="1">
      <alignment horizontal="center" vertical="center"/>
      <protection locked="0"/>
    </xf>
    <xf numFmtId="38" fontId="6" fillId="6" borderId="0" xfId="0" applyNumberFormat="1" applyFont="1" applyFill="1" applyBorder="1" applyProtection="1">
      <alignment vertical="center"/>
    </xf>
    <xf numFmtId="40" fontId="7" fillId="6" borderId="0" xfId="1" applyNumberFormat="1" applyFont="1" applyFill="1" applyBorder="1" applyAlignment="1" applyProtection="1">
      <alignment vertical="center"/>
      <protection locked="0"/>
    </xf>
    <xf numFmtId="191" fontId="0" fillId="5" borderId="0" xfId="1" applyNumberFormat="1" applyFont="1" applyFill="1" applyBorder="1" applyAlignment="1" applyProtection="1">
      <alignment vertical="center"/>
      <protection locked="0"/>
    </xf>
    <xf numFmtId="191" fontId="0" fillId="6" borderId="14" xfId="1" applyNumberFormat="1" applyFont="1" applyFill="1" applyBorder="1" applyAlignment="1" applyProtection="1">
      <alignment vertical="center"/>
      <protection locked="0"/>
    </xf>
    <xf numFmtId="191" fontId="0" fillId="6" borderId="11" xfId="1" applyNumberFormat="1" applyFont="1" applyFill="1" applyBorder="1" applyAlignment="1" applyProtection="1">
      <alignment vertical="center"/>
      <protection locked="0"/>
    </xf>
    <xf numFmtId="191" fontId="0" fillId="6" borderId="0" xfId="1" applyNumberFormat="1" applyFont="1" applyFill="1" applyBorder="1" applyAlignment="1" applyProtection="1">
      <alignment vertical="center"/>
      <protection locked="0"/>
    </xf>
    <xf numFmtId="191" fontId="0" fillId="6" borderId="16" xfId="1" applyNumberFormat="1" applyFont="1" applyFill="1" applyBorder="1" applyAlignment="1" applyProtection="1">
      <alignment vertical="center"/>
      <protection locked="0"/>
    </xf>
    <xf numFmtId="191" fontId="0" fillId="6" borderId="17" xfId="1" applyNumberFormat="1" applyFont="1" applyFill="1" applyBorder="1" applyAlignment="1" applyProtection="1">
      <alignment vertical="center"/>
      <protection locked="0"/>
    </xf>
    <xf numFmtId="191" fontId="0" fillId="6" borderId="13" xfId="1" applyNumberFormat="1" applyFont="1" applyFill="1" applyBorder="1" applyAlignment="1" applyProtection="1">
      <alignment vertical="center"/>
      <protection locked="0"/>
    </xf>
    <xf numFmtId="187" fontId="0" fillId="5" borderId="14" xfId="1" applyNumberFormat="1" applyFont="1" applyFill="1" applyBorder="1" applyAlignment="1" applyProtection="1">
      <alignment vertical="center"/>
      <protection locked="0"/>
    </xf>
    <xf numFmtId="187" fontId="0" fillId="5" borderId="11" xfId="1" applyNumberFormat="1" applyFont="1" applyFill="1" applyBorder="1" applyAlignment="1" applyProtection="1">
      <alignment vertical="center"/>
      <protection locked="0"/>
    </xf>
    <xf numFmtId="187" fontId="0" fillId="5" borderId="0" xfId="1" applyNumberFormat="1" applyFont="1" applyFill="1" applyBorder="1" applyAlignment="1" applyProtection="1">
      <alignment vertical="center"/>
      <protection locked="0"/>
    </xf>
    <xf numFmtId="187" fontId="0" fillId="5" borderId="16" xfId="1" applyNumberFormat="1" applyFont="1" applyFill="1" applyBorder="1" applyAlignment="1" applyProtection="1">
      <alignment vertical="center"/>
      <protection locked="0"/>
    </xf>
    <xf numFmtId="187" fontId="0" fillId="5" borderId="17" xfId="1" applyNumberFormat="1" applyFont="1" applyFill="1" applyBorder="1" applyAlignment="1" applyProtection="1">
      <alignment vertical="center"/>
      <protection locked="0"/>
    </xf>
    <xf numFmtId="177" fontId="0" fillId="6" borderId="0" xfId="1" applyNumberFormat="1" applyFont="1" applyFill="1" applyBorder="1" applyAlignment="1" applyProtection="1">
      <alignment vertical="center"/>
      <protection locked="0"/>
    </xf>
    <xf numFmtId="14" fontId="11" fillId="0" borderId="3" xfId="6" applyNumberFormat="1" applyFont="1" applyFill="1" applyBorder="1" applyAlignment="1" applyProtection="1">
      <alignment horizontal="center" vertical="center"/>
    </xf>
    <xf numFmtId="187" fontId="0" fillId="5" borderId="13" xfId="1" applyNumberFormat="1" applyFont="1" applyFill="1" applyBorder="1" applyAlignment="1" applyProtection="1">
      <alignment vertical="center"/>
      <protection locked="0"/>
    </xf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5" fillId="0" borderId="0" xfId="0" applyFont="1" applyProtection="1">
      <alignment vertical="center"/>
      <protection locked="0"/>
    </xf>
    <xf numFmtId="177" fontId="0" fillId="0" borderId="3" xfId="1" applyNumberFormat="1" applyFont="1" applyFill="1" applyBorder="1" applyAlignment="1" applyProtection="1">
      <alignment vertical="center"/>
      <protection locked="0"/>
    </xf>
    <xf numFmtId="0" fontId="5" fillId="7" borderId="3" xfId="0" applyFont="1" applyFill="1" applyBorder="1" applyAlignment="1" applyProtection="1">
      <alignment horizontal="center" vertical="center"/>
      <protection locked="0"/>
    </xf>
    <xf numFmtId="191" fontId="0" fillId="17" borderId="0" xfId="1" applyNumberFormat="1" applyFont="1" applyFill="1" applyBorder="1" applyAlignment="1" applyProtection="1">
      <alignment vertical="center"/>
      <protection locked="0"/>
    </xf>
    <xf numFmtId="189" fontId="0" fillId="0" borderId="0" xfId="0" applyNumberFormat="1" applyProtection="1">
      <alignment vertical="center"/>
      <protection locked="0"/>
    </xf>
    <xf numFmtId="190" fontId="5" fillId="16" borderId="19" xfId="0" applyNumberFormat="1" applyFont="1" applyFill="1" applyBorder="1" applyProtection="1">
      <alignment vertical="center"/>
    </xf>
    <xf numFmtId="190" fontId="5" fillId="16" borderId="20" xfId="0" applyNumberFormat="1" applyFont="1" applyFill="1" applyBorder="1" applyProtection="1">
      <alignment vertical="center"/>
    </xf>
    <xf numFmtId="187" fontId="18" fillId="0" borderId="3" xfId="1" applyNumberFormat="1" applyFont="1" applyFill="1" applyBorder="1" applyAlignment="1" applyProtection="1">
      <alignment vertical="center"/>
      <protection locked="0"/>
    </xf>
    <xf numFmtId="187" fontId="18" fillId="0" borderId="9" xfId="1" applyNumberFormat="1" applyFont="1" applyFill="1" applyBorder="1" applyAlignment="1" applyProtection="1">
      <alignment vertical="center"/>
      <protection locked="0"/>
    </xf>
    <xf numFmtId="183" fontId="0" fillId="0" borderId="3" xfId="5" applyNumberFormat="1" applyFont="1" applyFill="1" applyBorder="1" applyAlignment="1" applyProtection="1">
      <alignment horizontal="center" vertical="center"/>
      <protection locked="0"/>
    </xf>
    <xf numFmtId="187" fontId="0" fillId="17" borderId="0" xfId="1" applyNumberFormat="1" applyFont="1" applyFill="1" applyBorder="1" applyAlignment="1" applyProtection="1">
      <alignment vertical="center"/>
      <protection locked="0"/>
    </xf>
    <xf numFmtId="38" fontId="20" fillId="18" borderId="0" xfId="0" applyNumberFormat="1" applyFont="1" applyFill="1" applyProtection="1">
      <alignment vertical="center"/>
      <protection locked="0"/>
    </xf>
    <xf numFmtId="38" fontId="19" fillId="18" borderId="0" xfId="0" applyNumberFormat="1" applyFont="1" applyFill="1" applyProtection="1">
      <alignment vertical="center"/>
    </xf>
    <xf numFmtId="38" fontId="20" fillId="18" borderId="0" xfId="0" applyNumberFormat="1" applyFont="1" applyFill="1" applyProtection="1">
      <alignment vertical="center"/>
    </xf>
    <xf numFmtId="191" fontId="19" fillId="18" borderId="0" xfId="1" applyNumberFormat="1" applyFont="1" applyFill="1" applyBorder="1" applyAlignment="1" applyProtection="1">
      <alignment vertical="center"/>
      <protection locked="0"/>
    </xf>
    <xf numFmtId="10" fontId="19" fillId="18" borderId="0" xfId="4" applyNumberFormat="1" applyFont="1" applyFill="1" applyBorder="1" applyAlignment="1" applyProtection="1">
      <alignment vertical="center"/>
      <protection locked="0"/>
    </xf>
    <xf numFmtId="0" fontId="19" fillId="18" borderId="0" xfId="0" applyFont="1" applyFill="1" applyBorder="1" applyAlignment="1" applyProtection="1">
      <alignment horizontal="center" vertical="center" shrinkToFit="1"/>
      <protection locked="0"/>
    </xf>
    <xf numFmtId="0" fontId="0" fillId="0" borderId="3" xfId="0" applyBorder="1" applyAlignment="1" applyProtection="1">
      <alignment horizontal="center" vertical="center" shrinkToFit="1"/>
      <protection locked="0"/>
    </xf>
    <xf numFmtId="184" fontId="0" fillId="0" borderId="3" xfId="5" applyNumberFormat="1" applyFont="1" applyFill="1" applyBorder="1" applyAlignment="1" applyProtection="1">
      <alignment horizontal="center" vertical="center"/>
      <protection locked="0"/>
    </xf>
    <xf numFmtId="0" fontId="0" fillId="6" borderId="0" xfId="0" applyFill="1" applyProtection="1">
      <alignment vertical="center"/>
    </xf>
    <xf numFmtId="0" fontId="5" fillId="0" borderId="0" xfId="0" applyFont="1" applyAlignment="1" applyProtection="1">
      <alignment horizontal="center" vertical="center"/>
      <protection locked="0"/>
    </xf>
    <xf numFmtId="10" fontId="15" fillId="0" borderId="0" xfId="4" applyNumberFormat="1" applyFont="1" applyFill="1" applyBorder="1" applyAlignment="1" applyProtection="1">
      <alignment vertical="center"/>
      <protection locked="0"/>
    </xf>
    <xf numFmtId="0" fontId="5" fillId="2" borderId="0" xfId="0" applyFont="1" applyFill="1" applyAlignment="1" applyProtection="1">
      <alignment horizontal="center" vertical="center" shrinkToFit="1"/>
      <protection locked="0"/>
    </xf>
    <xf numFmtId="177" fontId="4" fillId="19" borderId="0" xfId="1" applyNumberFormat="1" applyFont="1" applyFill="1" applyBorder="1" applyAlignment="1" applyProtection="1">
      <alignment vertical="center" shrinkToFit="1"/>
      <protection locked="0"/>
    </xf>
    <xf numFmtId="38" fontId="0" fillId="6" borderId="0" xfId="0" applyNumberFormat="1" applyFill="1" applyBorder="1" applyAlignment="1" applyProtection="1">
      <alignment horizontal="center" vertical="center" shrinkToFit="1"/>
      <protection locked="0"/>
    </xf>
    <xf numFmtId="4" fontId="15" fillId="0" borderId="0" xfId="0" applyNumberFormat="1" applyFont="1" applyFill="1" applyProtection="1">
      <alignment vertical="center"/>
      <protection locked="0"/>
    </xf>
    <xf numFmtId="0" fontId="11" fillId="0" borderId="0" xfId="0" applyFont="1" applyFill="1" applyAlignment="1" applyProtection="1">
      <alignment horizontal="center" vertical="center"/>
      <protection locked="0"/>
    </xf>
    <xf numFmtId="192" fontId="11" fillId="0" borderId="0" xfId="4" applyNumberFormat="1" applyFont="1" applyFill="1" applyBorder="1" applyAlignment="1" applyProtection="1">
      <alignment vertical="center"/>
      <protection locked="0"/>
    </xf>
    <xf numFmtId="38" fontId="15" fillId="0" borderId="0" xfId="0" applyNumberFormat="1" applyFont="1" applyFill="1" applyProtection="1">
      <alignment vertical="center"/>
      <protection locked="0"/>
    </xf>
    <xf numFmtId="183" fontId="0" fillId="0" borderId="0" xfId="1" applyNumberFormat="1" applyFont="1" applyFill="1" applyBorder="1" applyAlignment="1" applyProtection="1">
      <alignment vertical="center"/>
      <protection locked="0"/>
    </xf>
    <xf numFmtId="187" fontId="5" fillId="5" borderId="3" xfId="0" applyNumberFormat="1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horizontal="right" vertical="center"/>
      <protection locked="0"/>
    </xf>
    <xf numFmtId="0" fontId="5" fillId="16" borderId="34" xfId="0" applyFont="1" applyFill="1" applyBorder="1" applyAlignment="1" applyProtection="1">
      <alignment horizontal="center" vertical="center"/>
      <protection locked="0"/>
    </xf>
    <xf numFmtId="187" fontId="0" fillId="0" borderId="34" xfId="0" applyNumberFormat="1" applyBorder="1" applyAlignment="1" applyProtection="1">
      <alignment vertical="center"/>
      <protection locked="0"/>
    </xf>
    <xf numFmtId="0" fontId="6" fillId="0" borderId="0" xfId="2" applyNumberFormat="1" applyFont="1" applyFill="1" applyBorder="1" applyAlignment="1" applyProtection="1">
      <alignment horizontal="right" vertical="center"/>
      <protection locked="0"/>
    </xf>
    <xf numFmtId="0" fontId="7" fillId="16" borderId="34" xfId="2" applyNumberFormat="1" applyFont="1" applyFill="1" applyBorder="1" applyAlignment="1" applyProtection="1">
      <alignment horizontal="center" vertical="center"/>
      <protection locked="0"/>
    </xf>
    <xf numFmtId="187" fontId="5" fillId="23" borderId="34" xfId="0" applyNumberFormat="1" applyFont="1" applyFill="1" applyBorder="1" applyAlignment="1" applyProtection="1">
      <alignment vertical="center"/>
      <protection locked="0"/>
    </xf>
    <xf numFmtId="0" fontId="5" fillId="16" borderId="35" xfId="0" applyFont="1" applyFill="1" applyBorder="1" applyAlignment="1" applyProtection="1">
      <alignment horizontal="center" vertical="center"/>
      <protection locked="0"/>
    </xf>
    <xf numFmtId="187" fontId="5" fillId="23" borderId="35" xfId="0" applyNumberFormat="1" applyFont="1" applyFill="1" applyBorder="1" applyAlignment="1" applyProtection="1">
      <alignment vertical="center"/>
      <protection locked="0"/>
    </xf>
    <xf numFmtId="187" fontId="0" fillId="0" borderId="35" xfId="0" applyNumberFormat="1" applyBorder="1" applyAlignment="1" applyProtection="1">
      <alignment vertical="center"/>
      <protection locked="0"/>
    </xf>
    <xf numFmtId="4" fontId="15" fillId="0" borderId="0" xfId="4" applyNumberFormat="1" applyFont="1" applyFill="1" applyBorder="1" applyAlignment="1" applyProtection="1">
      <alignment vertical="center"/>
      <protection locked="0"/>
    </xf>
    <xf numFmtId="192" fontId="13" fillId="11" borderId="36" xfId="4" applyNumberFormat="1" applyFont="1" applyFill="1" applyBorder="1" applyAlignment="1" applyProtection="1">
      <alignment vertical="center"/>
      <protection locked="0"/>
    </xf>
    <xf numFmtId="192" fontId="13" fillId="11" borderId="37" xfId="4" applyNumberFormat="1" applyFont="1" applyFill="1" applyBorder="1" applyAlignment="1" applyProtection="1">
      <alignment vertical="center"/>
      <protection locked="0"/>
    </xf>
    <xf numFmtId="40" fontId="6" fillId="0" borderId="0" xfId="0" applyNumberFormat="1" applyFont="1" applyFill="1" applyProtection="1">
      <alignment vertical="center"/>
    </xf>
    <xf numFmtId="191" fontId="11" fillId="0" borderId="3" xfId="6" applyNumberFormat="1" applyFont="1" applyFill="1" applyBorder="1" applyAlignment="1" applyProtection="1">
      <alignment vertical="center"/>
    </xf>
    <xf numFmtId="184" fontId="11" fillId="0" borderId="9" xfId="6" applyNumberFormat="1" applyFont="1" applyFill="1" applyBorder="1" applyAlignment="1" applyProtection="1">
      <alignment vertical="center"/>
    </xf>
    <xf numFmtId="184" fontId="11" fillId="0" borderId="3" xfId="6" applyNumberFormat="1" applyFont="1" applyFill="1" applyBorder="1" applyAlignment="1" applyProtection="1">
      <alignment vertical="center"/>
    </xf>
    <xf numFmtId="0" fontId="15" fillId="0" borderId="0" xfId="0" applyFont="1" applyAlignment="1" applyProtection="1">
      <alignment horizontal="right" vertical="center"/>
    </xf>
    <xf numFmtId="0" fontId="21" fillId="0" borderId="0" xfId="0" applyFont="1" applyAlignment="1" applyProtection="1">
      <alignment horizontal="center" vertical="center" shrinkToFit="1"/>
      <protection locked="0"/>
    </xf>
    <xf numFmtId="0" fontId="16" fillId="11" borderId="21" xfId="7" applyNumberFormat="1" applyFont="1" applyFill="1" applyBorder="1" applyAlignment="1" applyProtection="1">
      <alignment horizontal="center" vertical="center"/>
    </xf>
    <xf numFmtId="40" fontId="0" fillId="23" borderId="0" xfId="0" applyNumberFormat="1" applyFill="1" applyProtection="1">
      <alignment vertical="center"/>
      <protection locked="0"/>
    </xf>
    <xf numFmtId="40" fontId="0" fillId="23" borderId="0" xfId="0" applyNumberFormat="1" applyFill="1" applyProtection="1">
      <alignment vertical="center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" fontId="0" fillId="0" borderId="0" xfId="1" applyNumberFormat="1" applyFont="1" applyFill="1" applyBorder="1" applyAlignment="1" applyProtection="1">
      <alignment vertical="center"/>
      <protection locked="0"/>
    </xf>
    <xf numFmtId="38" fontId="7" fillId="24" borderId="0" xfId="0" applyNumberFormat="1" applyFont="1" applyFill="1" applyProtection="1">
      <alignment vertical="center"/>
      <protection locked="0"/>
    </xf>
    <xf numFmtId="38" fontId="5" fillId="25" borderId="0" xfId="0" applyNumberFormat="1" applyFont="1" applyFill="1" applyProtection="1">
      <alignment vertical="center"/>
    </xf>
    <xf numFmtId="38" fontId="0" fillId="26" borderId="0" xfId="0" applyNumberFormat="1" applyFill="1" applyProtection="1">
      <alignment vertical="center"/>
    </xf>
    <xf numFmtId="38" fontId="0" fillId="25" borderId="0" xfId="0" applyNumberFormat="1" applyFill="1" applyProtection="1">
      <alignment vertical="center"/>
    </xf>
    <xf numFmtId="38" fontId="0" fillId="24" borderId="0" xfId="0" applyNumberFormat="1" applyFill="1" applyProtection="1">
      <alignment vertical="center"/>
      <protection locked="0"/>
    </xf>
    <xf numFmtId="38" fontId="6" fillId="24" borderId="0" xfId="0" applyNumberFormat="1" applyFont="1" applyFill="1" applyProtection="1">
      <alignment vertical="center"/>
      <protection locked="0"/>
    </xf>
    <xf numFmtId="4" fontId="0" fillId="0" borderId="0" xfId="0" applyNumberFormat="1" applyProtection="1">
      <alignment vertical="center"/>
      <protection locked="0"/>
    </xf>
    <xf numFmtId="38" fontId="5" fillId="23" borderId="0" xfId="0" applyNumberFormat="1" applyFont="1" applyFill="1" applyProtection="1">
      <alignment vertical="center"/>
    </xf>
    <xf numFmtId="14" fontId="8" fillId="28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left" vertical="center" indent="1"/>
      <protection locked="0"/>
    </xf>
    <xf numFmtId="2" fontId="0" fillId="0" borderId="0" xfId="0" applyNumberFormat="1" applyProtection="1">
      <alignment vertical="center"/>
      <protection locked="0"/>
    </xf>
    <xf numFmtId="0" fontId="0" fillId="0" borderId="41" xfId="0" applyBorder="1" applyProtection="1">
      <alignment vertical="center"/>
      <protection locked="0"/>
    </xf>
    <xf numFmtId="0" fontId="0" fillId="0" borderId="41" xfId="0" applyBorder="1" applyAlignment="1" applyProtection="1">
      <alignment horizontal="left" vertical="center" indent="1"/>
      <protection locked="0"/>
    </xf>
    <xf numFmtId="2" fontId="0" fillId="0" borderId="41" xfId="0" applyNumberFormat="1" applyBorder="1" applyProtection="1">
      <alignment vertical="center"/>
      <protection locked="0"/>
    </xf>
    <xf numFmtId="0" fontId="15" fillId="0" borderId="10" xfId="0" applyFont="1" applyBorder="1" applyAlignment="1" applyProtection="1">
      <alignment horizontal="center" vertical="center" shrinkToFit="1"/>
      <protection locked="0"/>
    </xf>
    <xf numFmtId="2" fontId="0" fillId="0" borderId="11" xfId="0" applyNumberFormat="1" applyBorder="1" applyAlignment="1" applyProtection="1">
      <alignment vertical="center"/>
      <protection locked="0"/>
    </xf>
    <xf numFmtId="0" fontId="15" fillId="0" borderId="12" xfId="0" applyFont="1" applyBorder="1" applyAlignment="1" applyProtection="1">
      <alignment horizontal="center" vertical="center" shrinkToFit="1"/>
      <protection locked="0"/>
    </xf>
    <xf numFmtId="2" fontId="0" fillId="0" borderId="13" xfId="0" applyNumberFormat="1" applyBorder="1" applyAlignment="1" applyProtection="1">
      <alignment vertical="center"/>
      <protection locked="0"/>
    </xf>
    <xf numFmtId="0" fontId="22" fillId="16" borderId="3" xfId="0" applyFont="1" applyFill="1" applyBorder="1" applyAlignment="1" applyProtection="1">
      <alignment horizontal="center" vertical="center"/>
      <protection locked="0"/>
    </xf>
    <xf numFmtId="0" fontId="22" fillId="0" borderId="3" xfId="0" applyFont="1" applyFill="1" applyBorder="1" applyAlignment="1" applyProtection="1">
      <alignment horizontal="center" vertical="center"/>
      <protection locked="0"/>
    </xf>
    <xf numFmtId="0" fontId="23" fillId="0" borderId="3" xfId="0" applyFont="1" applyFill="1" applyBorder="1" applyAlignment="1" applyProtection="1">
      <alignment horizontal="center" vertical="center"/>
      <protection locked="0"/>
    </xf>
    <xf numFmtId="14" fontId="23" fillId="0" borderId="3" xfId="0" applyNumberFormat="1" applyFont="1" applyFill="1" applyBorder="1" applyAlignment="1" applyProtection="1">
      <alignment horizontal="center" vertical="center"/>
      <protection locked="0"/>
    </xf>
    <xf numFmtId="184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3" fillId="0" borderId="3" xfId="0" applyNumberFormat="1" applyFont="1" applyFill="1" applyBorder="1" applyAlignment="1" applyProtection="1">
      <alignment horizontal="center" vertical="center"/>
      <protection locked="0"/>
    </xf>
    <xf numFmtId="191" fontId="22" fillId="5" borderId="3" xfId="0" applyNumberFormat="1" applyFont="1" applyFill="1" applyBorder="1" applyAlignment="1" applyProtection="1">
      <alignment horizontal="center" vertical="center"/>
      <protection locked="0"/>
    </xf>
    <xf numFmtId="187" fontId="7" fillId="10" borderId="39" xfId="0" applyNumberFormat="1" applyFont="1" applyFill="1" applyBorder="1" applyAlignment="1" applyProtection="1">
      <alignment horizontal="center" vertical="center"/>
      <protection locked="0"/>
    </xf>
    <xf numFmtId="14" fontId="25" fillId="0" borderId="3" xfId="0" applyNumberFormat="1" applyFont="1" applyBorder="1" applyAlignment="1" applyProtection="1">
      <alignment horizontal="center" vertical="center"/>
      <protection locked="0"/>
    </xf>
    <xf numFmtId="3" fontId="24" fillId="0" borderId="3" xfId="0" applyNumberFormat="1" applyFont="1" applyBorder="1" applyAlignment="1" applyProtection="1">
      <alignment horizontal="center" vertical="center"/>
      <protection locked="0"/>
    </xf>
    <xf numFmtId="0" fontId="25" fillId="0" borderId="3" xfId="0" applyFont="1" applyBorder="1" applyAlignment="1" applyProtection="1">
      <alignment horizontal="center" vertical="center" wrapText="1"/>
      <protection locked="0"/>
    </xf>
    <xf numFmtId="3" fontId="25" fillId="0" borderId="3" xfId="0" applyNumberFormat="1" applyFont="1" applyBorder="1" applyAlignment="1" applyProtection="1">
      <alignment horizontal="center" vertical="center"/>
      <protection locked="0"/>
    </xf>
    <xf numFmtId="40" fontId="0" fillId="0" borderId="0" xfId="0" applyNumberFormat="1">
      <alignment vertical="center"/>
    </xf>
    <xf numFmtId="0" fontId="17" fillId="0" borderId="0" xfId="0" applyFont="1" applyProtection="1">
      <alignment vertical="center"/>
      <protection locked="0"/>
    </xf>
    <xf numFmtId="14" fontId="5" fillId="0" borderId="0" xfId="0" applyNumberFormat="1" applyFont="1" applyFill="1" applyBorder="1" applyAlignment="1" applyProtection="1">
      <alignment horizontal="center" vertical="center" shrinkToFit="1"/>
      <protection locked="0"/>
    </xf>
    <xf numFmtId="0" fontId="5" fillId="0" borderId="0" xfId="0" applyFont="1" applyFill="1" applyBorder="1" applyAlignment="1" applyProtection="1">
      <alignment horizontal="left" vertical="center" indent="2"/>
      <protection locked="0"/>
    </xf>
    <xf numFmtId="183" fontId="5" fillId="0" borderId="0" xfId="0" applyNumberFormat="1" applyFont="1" applyFill="1" applyBorder="1" applyAlignment="1" applyProtection="1">
      <alignment horizontal="center" vertical="center"/>
      <protection locked="0"/>
    </xf>
    <xf numFmtId="183" fontId="5" fillId="0" borderId="0" xfId="0" applyNumberFormat="1" applyFont="1" applyFill="1" applyBorder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  <protection locked="0"/>
    </xf>
    <xf numFmtId="0" fontId="27" fillId="0" borderId="0" xfId="0" applyFont="1" applyAlignment="1" applyProtection="1">
      <alignment horizontal="center" vertical="center"/>
      <protection locked="0"/>
    </xf>
    <xf numFmtId="0" fontId="28" fillId="16" borderId="3" xfId="0" applyFont="1" applyFill="1" applyBorder="1" applyAlignment="1">
      <alignment horizontal="center" vertical="center"/>
    </xf>
    <xf numFmtId="0" fontId="15" fillId="0" borderId="3" xfId="0" applyFont="1" applyBorder="1" applyProtection="1">
      <alignment vertical="center"/>
      <protection locked="0"/>
    </xf>
    <xf numFmtId="14" fontId="0" fillId="5" borderId="0" xfId="0" applyNumberFormat="1" applyFill="1" applyProtection="1">
      <alignment vertical="center"/>
      <protection locked="0"/>
    </xf>
    <xf numFmtId="0" fontId="29" fillId="0" borderId="3" xfId="0" applyFont="1" applyBorder="1" applyAlignment="1" applyProtection="1">
      <alignment horizontal="center" vertical="center" wrapText="1"/>
      <protection locked="0"/>
    </xf>
    <xf numFmtId="0" fontId="28" fillId="0" borderId="3" xfId="0" applyFont="1" applyBorder="1" applyAlignment="1" applyProtection="1">
      <alignment horizontal="center" vertical="center"/>
      <protection locked="0"/>
    </xf>
    <xf numFmtId="0" fontId="15" fillId="0" borderId="0" xfId="0" applyFont="1" applyProtection="1">
      <alignment vertical="center"/>
      <protection locked="0"/>
    </xf>
    <xf numFmtId="0" fontId="28" fillId="0" borderId="0" xfId="0" applyFont="1" applyBorder="1" applyAlignment="1" applyProtection="1">
      <alignment horizontal="center" vertical="center"/>
      <protection locked="0"/>
    </xf>
    <xf numFmtId="0" fontId="30" fillId="0" borderId="3" xfId="0" applyFont="1" applyBorder="1" applyAlignment="1" applyProtection="1">
      <alignment horizontal="center" vertical="center" wrapText="1"/>
      <protection locked="0"/>
    </xf>
    <xf numFmtId="2" fontId="28" fillId="0" borderId="3" xfId="0" applyNumberFormat="1" applyFont="1" applyBorder="1" applyAlignment="1" applyProtection="1">
      <alignment horizontal="center" vertical="center"/>
      <protection locked="0"/>
    </xf>
    <xf numFmtId="2" fontId="28" fillId="0" borderId="3" xfId="0" applyNumberFormat="1" applyFont="1" applyBorder="1" applyAlignment="1" applyProtection="1">
      <alignment horizontal="right" vertical="center"/>
      <protection locked="0"/>
    </xf>
    <xf numFmtId="10" fontId="15" fillId="0" borderId="0" xfId="0" applyNumberFormat="1" applyFont="1" applyBorder="1" applyProtection="1">
      <alignment vertical="center"/>
      <protection locked="0"/>
    </xf>
    <xf numFmtId="0" fontId="15" fillId="0" borderId="0" xfId="0" applyFont="1" applyBorder="1" applyProtection="1">
      <alignment vertical="center"/>
      <protection locked="0"/>
    </xf>
    <xf numFmtId="10" fontId="30" fillId="0" borderId="3" xfId="0" applyNumberFormat="1" applyFont="1" applyBorder="1" applyAlignment="1" applyProtection="1">
      <alignment vertical="center" wrapText="1"/>
      <protection locked="0"/>
    </xf>
    <xf numFmtId="183" fontId="30" fillId="0" borderId="3" xfId="0" applyNumberFormat="1" applyFont="1" applyBorder="1" applyAlignment="1" applyProtection="1">
      <alignment horizontal="center" vertical="center" wrapText="1"/>
      <protection locked="0"/>
    </xf>
    <xf numFmtId="10" fontId="30" fillId="0" borderId="3" xfId="0" applyNumberFormat="1" applyFont="1" applyBorder="1" applyAlignment="1" applyProtection="1">
      <alignment horizontal="center" vertical="center" wrapText="1"/>
      <protection locked="0"/>
    </xf>
    <xf numFmtId="183" fontId="29" fillId="8" borderId="3" xfId="0" applyNumberFormat="1" applyFont="1" applyFill="1" applyBorder="1" applyAlignment="1" applyProtection="1">
      <alignment horizontal="center" vertical="center" wrapText="1"/>
      <protection locked="0"/>
    </xf>
    <xf numFmtId="177" fontId="28" fillId="0" borderId="3" xfId="0" applyNumberFormat="1" applyFont="1" applyBorder="1" applyProtection="1">
      <alignment vertical="center"/>
      <protection locked="0"/>
    </xf>
    <xf numFmtId="0" fontId="0" fillId="0" borderId="42" xfId="0" applyBorder="1" applyAlignment="1" applyProtection="1">
      <alignment horizontal="center" vertical="center"/>
      <protection locked="0"/>
    </xf>
    <xf numFmtId="193" fontId="8" fillId="0" borderId="43" xfId="0" applyNumberFormat="1" applyFont="1" applyBorder="1" applyAlignment="1" applyProtection="1">
      <alignment horizontal="center" vertical="center"/>
      <protection locked="0"/>
    </xf>
    <xf numFmtId="193" fontId="8" fillId="0" borderId="44" xfId="0" applyNumberFormat="1" applyFont="1" applyBorder="1" applyAlignment="1" applyProtection="1">
      <alignment horizontal="center" vertical="center"/>
      <protection locked="0"/>
    </xf>
    <xf numFmtId="0" fontId="5" fillId="0" borderId="45" xfId="0" applyFont="1" applyBorder="1" applyAlignment="1" applyProtection="1">
      <alignment horizontal="center" vertical="center"/>
      <protection locked="0"/>
    </xf>
    <xf numFmtId="3" fontId="0" fillId="0" borderId="0" xfId="0" applyNumberFormat="1" applyBorder="1" applyProtection="1">
      <alignment vertical="center"/>
      <protection locked="0"/>
    </xf>
    <xf numFmtId="3" fontId="0" fillId="0" borderId="46" xfId="0" applyNumberFormat="1" applyBorder="1" applyProtection="1">
      <alignment vertical="center"/>
      <protection locked="0"/>
    </xf>
    <xf numFmtId="0" fontId="5" fillId="0" borderId="47" xfId="0" applyFont="1" applyBorder="1" applyAlignment="1" applyProtection="1">
      <alignment horizontal="center" vertical="center"/>
      <protection locked="0"/>
    </xf>
    <xf numFmtId="3" fontId="0" fillId="0" borderId="41" xfId="0" applyNumberFormat="1" applyBorder="1" applyProtection="1">
      <alignment vertical="center"/>
      <protection locked="0"/>
    </xf>
    <xf numFmtId="3" fontId="0" fillId="0" borderId="48" xfId="0" applyNumberFormat="1" applyBorder="1" applyProtection="1">
      <alignment vertical="center"/>
      <protection locked="0"/>
    </xf>
    <xf numFmtId="192" fontId="13" fillId="11" borderId="38" xfId="0" applyNumberFormat="1" applyFont="1" applyFill="1" applyBorder="1" applyProtection="1">
      <alignment vertical="center"/>
      <protection locked="0"/>
    </xf>
    <xf numFmtId="183" fontId="15" fillId="0" borderId="3" xfId="0" applyNumberFormat="1" applyFont="1" applyBorder="1" applyProtection="1">
      <alignment vertical="center"/>
    </xf>
    <xf numFmtId="183" fontId="28" fillId="0" borderId="3" xfId="0" applyNumberFormat="1" applyFont="1" applyBorder="1" applyProtection="1">
      <alignment vertical="center"/>
    </xf>
    <xf numFmtId="14" fontId="15" fillId="0" borderId="0" xfId="0" applyNumberFormat="1" applyFont="1" applyAlignment="1" applyProtection="1">
      <alignment horizontal="center" vertical="center"/>
      <protection locked="0"/>
    </xf>
    <xf numFmtId="0" fontId="0" fillId="29" borderId="0" xfId="0" applyFill="1" applyAlignment="1" applyProtection="1">
      <alignment horizontal="center" vertical="center"/>
      <protection locked="0"/>
    </xf>
    <xf numFmtId="193" fontId="0" fillId="0" borderId="0" xfId="0" applyNumberFormat="1" applyProtection="1">
      <alignment vertical="center"/>
      <protection locked="0"/>
    </xf>
    <xf numFmtId="193" fontId="0" fillId="0" borderId="9" xfId="0" applyNumberFormat="1" applyBorder="1" applyProtection="1">
      <alignment vertical="center"/>
      <protection locked="0"/>
    </xf>
    <xf numFmtId="193" fontId="0" fillId="0" borderId="26" xfId="0" applyNumberFormat="1" applyBorder="1" applyProtection="1">
      <alignment vertical="center"/>
      <protection locked="0"/>
    </xf>
    <xf numFmtId="193" fontId="0" fillId="0" borderId="3" xfId="0" applyNumberFormat="1" applyBorder="1" applyProtection="1">
      <alignment vertical="center"/>
      <protection locked="0"/>
    </xf>
    <xf numFmtId="177" fontId="0" fillId="0" borderId="23" xfId="0" applyNumberFormat="1" applyFont="1" applyBorder="1" applyAlignment="1" applyProtection="1">
      <alignment vertical="center"/>
      <protection locked="0"/>
    </xf>
    <xf numFmtId="177" fontId="0" fillId="0" borderId="29" xfId="0" applyNumberFormat="1" applyFont="1" applyBorder="1" applyAlignment="1" applyProtection="1">
      <alignment vertical="center"/>
      <protection locked="0"/>
    </xf>
    <xf numFmtId="177" fontId="0" fillId="0" borderId="26" xfId="0" applyNumberFormat="1" applyFont="1" applyBorder="1" applyAlignment="1" applyProtection="1">
      <alignment vertical="center"/>
      <protection locked="0"/>
    </xf>
    <xf numFmtId="187" fontId="0" fillId="20" borderId="24" xfId="0" applyNumberFormat="1" applyFont="1" applyFill="1" applyBorder="1" applyProtection="1">
      <alignment vertical="center"/>
      <protection locked="0"/>
    </xf>
    <xf numFmtId="187" fontId="0" fillId="20" borderId="30" xfId="0" applyNumberFormat="1" applyFont="1" applyFill="1" applyBorder="1" applyProtection="1">
      <alignment vertical="center"/>
      <protection locked="0"/>
    </xf>
    <xf numFmtId="187" fontId="0" fillId="20" borderId="27" xfId="0" applyNumberFormat="1" applyFont="1" applyFill="1" applyBorder="1" applyProtection="1">
      <alignment vertical="center"/>
      <protection locked="0"/>
    </xf>
    <xf numFmtId="0" fontId="6" fillId="0" borderId="0" xfId="0" applyFont="1" applyBorder="1" applyAlignment="1" applyProtection="1">
      <alignment horizontal="left" vertical="center" wrapText="1"/>
      <protection locked="0"/>
    </xf>
    <xf numFmtId="187" fontId="7" fillId="23" borderId="34" xfId="0" applyNumberFormat="1" applyFont="1" applyFill="1" applyBorder="1" applyAlignment="1" applyProtection="1">
      <alignment vertical="center"/>
      <protection locked="0"/>
    </xf>
    <xf numFmtId="187" fontId="6" fillId="0" borderId="34" xfId="0" applyNumberFormat="1" applyFont="1" applyBorder="1" applyAlignment="1" applyProtection="1">
      <alignment vertical="center"/>
      <protection locked="0"/>
    </xf>
    <xf numFmtId="10" fontId="15" fillId="0" borderId="0" xfId="0" applyNumberFormat="1" applyFont="1" applyProtection="1">
      <alignment vertical="center"/>
      <protection locked="0"/>
    </xf>
    <xf numFmtId="194" fontId="15" fillId="0" borderId="0" xfId="0" applyNumberFormat="1" applyFont="1" applyProtection="1">
      <alignment vertical="center"/>
      <protection locked="0"/>
    </xf>
    <xf numFmtId="3" fontId="0" fillId="0" borderId="0" xfId="0" applyNumberFormat="1" applyProtection="1">
      <alignment vertical="center"/>
      <protection locked="0"/>
    </xf>
    <xf numFmtId="40" fontId="0" fillId="0" borderId="3" xfId="0" applyNumberFormat="1" applyFill="1" applyBorder="1" applyProtection="1">
      <alignment vertical="center"/>
      <protection locked="0"/>
    </xf>
    <xf numFmtId="38" fontId="0" fillId="0" borderId="49" xfId="0" applyNumberFormat="1" applyBorder="1" applyProtection="1">
      <alignment vertical="center"/>
      <protection locked="0"/>
    </xf>
    <xf numFmtId="0" fontId="5" fillId="0" borderId="7" xfId="0" applyFont="1" applyBorder="1" applyAlignment="1" applyProtection="1">
      <alignment horizontal="center" vertical="center"/>
      <protection locked="0"/>
    </xf>
    <xf numFmtId="9" fontId="0" fillId="32" borderId="8" xfId="0" applyNumberFormat="1" applyFill="1" applyBorder="1" applyAlignment="1" applyProtection="1">
      <alignment horizontal="center" vertical="center"/>
      <protection locked="0"/>
    </xf>
    <xf numFmtId="194" fontId="0" fillId="0" borderId="0" xfId="0" applyNumberFormat="1" applyProtection="1">
      <alignment vertical="center"/>
      <protection locked="0"/>
    </xf>
    <xf numFmtId="0" fontId="26" fillId="0" borderId="0" xfId="0" applyFont="1" applyAlignment="1" applyProtection="1">
      <alignment horizontal="center" vertical="center"/>
    </xf>
    <xf numFmtId="38" fontId="32" fillId="0" borderId="0" xfId="0" applyNumberFormat="1" applyFont="1" applyProtection="1">
      <alignment vertical="center"/>
      <protection locked="0"/>
    </xf>
    <xf numFmtId="40" fontId="0" fillId="5" borderId="0" xfId="0" applyNumberFormat="1" applyFill="1" applyBorder="1" applyProtection="1">
      <alignment vertical="center"/>
    </xf>
    <xf numFmtId="0" fontId="0" fillId="2" borderId="0" xfId="0" applyFill="1" applyBorder="1" applyAlignment="1" applyProtection="1">
      <alignment horizontal="center" vertical="center"/>
    </xf>
    <xf numFmtId="0" fontId="0" fillId="2" borderId="0" xfId="0" applyFill="1" applyAlignment="1" applyProtection="1">
      <alignment horizontal="center" vertical="center"/>
    </xf>
    <xf numFmtId="40" fontId="5" fillId="0" borderId="7" xfId="0" applyNumberFormat="1" applyFont="1" applyFill="1" applyBorder="1" applyProtection="1">
      <alignment vertical="center"/>
    </xf>
    <xf numFmtId="40" fontId="5" fillId="0" borderId="51" xfId="0" applyNumberFormat="1" applyFont="1" applyFill="1" applyBorder="1" applyProtection="1">
      <alignment vertical="center"/>
    </xf>
    <xf numFmtId="40" fontId="5" fillId="0" borderId="8" xfId="0" applyNumberFormat="1" applyFont="1" applyFill="1" applyBorder="1" applyProtection="1">
      <alignment vertical="center"/>
    </xf>
    <xf numFmtId="0" fontId="20" fillId="0" borderId="0" xfId="0" applyFont="1" applyProtection="1">
      <alignment vertical="center"/>
    </xf>
    <xf numFmtId="0" fontId="5" fillId="2" borderId="7" xfId="0" applyFont="1" applyFill="1" applyBorder="1" applyAlignment="1" applyProtection="1">
      <alignment horizontal="center" vertical="center"/>
    </xf>
    <xf numFmtId="40" fontId="5" fillId="18" borderId="51" xfId="0" applyNumberFormat="1" applyFont="1" applyFill="1" applyBorder="1" applyProtection="1">
      <alignment vertical="center"/>
    </xf>
    <xf numFmtId="40" fontId="5" fillId="18" borderId="8" xfId="0" applyNumberFormat="1" applyFont="1" applyFill="1" applyBorder="1" applyProtection="1">
      <alignment vertical="center"/>
    </xf>
    <xf numFmtId="0" fontId="0" fillId="2" borderId="0" xfId="0" applyFont="1" applyFill="1" applyBorder="1" applyAlignment="1" applyProtection="1">
      <alignment horizontal="center" vertical="center"/>
    </xf>
    <xf numFmtId="183" fontId="0" fillId="5" borderId="0" xfId="1" applyNumberFormat="1" applyFont="1" applyFill="1" applyBorder="1" applyAlignment="1" applyProtection="1">
      <alignment vertical="center"/>
    </xf>
    <xf numFmtId="4" fontId="15" fillId="0" borderId="0" xfId="4" applyNumberFormat="1" applyFont="1" applyFill="1" applyBorder="1" applyAlignment="1" applyProtection="1">
      <alignment vertical="center"/>
    </xf>
    <xf numFmtId="4" fontId="15" fillId="0" borderId="0" xfId="0" applyNumberFormat="1" applyFont="1" applyProtection="1">
      <alignment vertical="center"/>
    </xf>
    <xf numFmtId="0" fontId="0" fillId="2" borderId="0" xfId="0" applyFill="1" applyProtection="1">
      <alignment vertical="center"/>
    </xf>
    <xf numFmtId="40" fontId="5" fillId="0" borderId="0" xfId="0" applyNumberFormat="1" applyFont="1" applyFill="1" applyProtection="1">
      <alignment vertical="center"/>
    </xf>
    <xf numFmtId="38" fontId="33" fillId="27" borderId="52" xfId="8" applyNumberFormat="1" applyFont="1" applyFill="1" applyBorder="1" applyAlignment="1" applyProtection="1">
      <alignment vertical="center" wrapText="1" shrinkToFit="1"/>
    </xf>
    <xf numFmtId="38" fontId="33" fillId="27" borderId="53" xfId="8" applyNumberFormat="1" applyFont="1" applyFill="1" applyBorder="1" applyAlignment="1" applyProtection="1">
      <alignment horizontal="center" vertical="center" shrinkToFit="1"/>
    </xf>
    <xf numFmtId="195" fontId="33" fillId="27" borderId="53" xfId="8" applyNumberFormat="1" applyFont="1" applyFill="1" applyBorder="1" applyAlignment="1" applyProtection="1">
      <alignment horizontal="center" vertical="center" shrinkToFit="1"/>
    </xf>
    <xf numFmtId="0" fontId="23" fillId="0" borderId="0" xfId="0" applyFont="1">
      <alignment vertical="center"/>
    </xf>
    <xf numFmtId="181" fontId="23" fillId="0" borderId="0" xfId="0" applyNumberFormat="1" applyFont="1">
      <alignment vertical="center"/>
    </xf>
    <xf numFmtId="195" fontId="23" fillId="0" borderId="0" xfId="0" applyNumberFormat="1" applyFont="1">
      <alignment vertical="center"/>
    </xf>
    <xf numFmtId="3" fontId="23" fillId="0" borderId="0" xfId="0" applyNumberFormat="1" applyFont="1">
      <alignment vertical="center"/>
    </xf>
    <xf numFmtId="38" fontId="15" fillId="0" borderId="0" xfId="8" applyNumberFormat="1" applyFont="1" applyFill="1" applyBorder="1" applyAlignment="1" applyProtection="1"/>
    <xf numFmtId="40" fontId="0" fillId="22" borderId="49" xfId="0" applyNumberFormat="1" applyFill="1" applyBorder="1" applyProtection="1">
      <alignment vertical="center"/>
    </xf>
    <xf numFmtId="40" fontId="0" fillId="0" borderId="0" xfId="0" applyNumberFormat="1" applyAlignment="1" applyProtection="1">
      <alignment horizontal="center" vertical="center"/>
      <protection locked="0"/>
    </xf>
    <xf numFmtId="40" fontId="0" fillId="5" borderId="0" xfId="0" applyNumberFormat="1" applyFont="1" applyFill="1" applyProtection="1">
      <alignment vertical="center"/>
    </xf>
    <xf numFmtId="10" fontId="0" fillId="0" borderId="0" xfId="4" applyNumberFormat="1" applyFont="1" applyFill="1" applyBorder="1" applyAlignment="1" applyProtection="1">
      <alignment vertical="center"/>
    </xf>
    <xf numFmtId="0" fontId="27" fillId="0" borderId="0" xfId="0" applyFont="1" applyProtection="1">
      <alignment vertical="center"/>
      <protection locked="0"/>
    </xf>
    <xf numFmtId="10" fontId="23" fillId="0" borderId="0" xfId="0" applyNumberFormat="1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14" fontId="17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6" fillId="36" borderId="53" xfId="0" applyFont="1" applyFill="1" applyBorder="1" applyAlignment="1">
      <alignment horizontal="center" vertical="center" wrapText="1"/>
    </xf>
    <xf numFmtId="0" fontId="37" fillId="36" borderId="53" xfId="0" applyFont="1" applyFill="1" applyBorder="1" applyAlignment="1">
      <alignment horizontal="center" vertical="center" wrapText="1"/>
    </xf>
    <xf numFmtId="0" fontId="36" fillId="37" borderId="53" xfId="0" applyFont="1" applyFill="1" applyBorder="1" applyAlignment="1">
      <alignment horizontal="center" vertical="center"/>
    </xf>
    <xf numFmtId="0" fontId="36" fillId="37" borderId="53" xfId="0" applyFont="1" applyFill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 wrapText="1"/>
    </xf>
    <xf numFmtId="38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center" vertical="center" wrapText="1"/>
    </xf>
    <xf numFmtId="0" fontId="38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 wrapText="1"/>
    </xf>
    <xf numFmtId="38" fontId="38" fillId="0" borderId="53" xfId="0" applyNumberFormat="1" applyFont="1" applyBorder="1" applyAlignment="1">
      <alignment horizontal="center" vertical="center" wrapText="1"/>
    </xf>
    <xf numFmtId="2" fontId="39" fillId="0" borderId="53" xfId="0" applyNumberFormat="1" applyFont="1" applyBorder="1" applyAlignment="1">
      <alignment horizontal="center" vertical="center" wrapText="1"/>
    </xf>
    <xf numFmtId="4" fontId="39" fillId="0" borderId="53" xfId="0" applyNumberFormat="1" applyFont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justify" vertical="center" wrapText="1"/>
    </xf>
    <xf numFmtId="3" fontId="39" fillId="0" borderId="53" xfId="0" applyNumberFormat="1" applyFont="1" applyBorder="1" applyAlignment="1">
      <alignment horizontal="right" vertical="center" wrapText="1"/>
    </xf>
    <xf numFmtId="0" fontId="36" fillId="38" borderId="53" xfId="0" applyFont="1" applyFill="1" applyBorder="1" applyAlignment="1">
      <alignment horizontal="center" vertical="center"/>
    </xf>
    <xf numFmtId="3" fontId="36" fillId="38" borderId="53" xfId="0" applyNumberFormat="1" applyFont="1" applyFill="1" applyBorder="1" applyAlignment="1">
      <alignment horizontal="center" vertical="center" wrapText="1"/>
    </xf>
    <xf numFmtId="0" fontId="40" fillId="38" borderId="53" xfId="0" applyFont="1" applyFill="1" applyBorder="1" applyAlignment="1">
      <alignment horizontal="center" vertical="center"/>
    </xf>
    <xf numFmtId="10" fontId="40" fillId="38" borderId="53" xfId="0" applyNumberFormat="1" applyFont="1" applyFill="1" applyBorder="1" applyAlignment="1">
      <alignment horizontal="center" vertical="center" wrapText="1"/>
    </xf>
    <xf numFmtId="0" fontId="38" fillId="36" borderId="53" xfId="0" applyFont="1" applyFill="1" applyBorder="1" applyAlignment="1">
      <alignment horizontal="left" vertical="center" wrapText="1" indent="1"/>
    </xf>
    <xf numFmtId="38" fontId="39" fillId="0" borderId="53" xfId="0" applyNumberFormat="1" applyFont="1" applyBorder="1" applyAlignment="1">
      <alignment horizontal="right" vertical="center" wrapText="1"/>
    </xf>
    <xf numFmtId="3" fontId="39" fillId="0" borderId="53" xfId="0" applyNumberFormat="1" applyFont="1" applyBorder="1" applyAlignment="1">
      <alignment horizontal="center" vertical="center" wrapText="1"/>
    </xf>
    <xf numFmtId="0" fontId="36" fillId="38" borderId="53" xfId="0" applyFont="1" applyFill="1" applyBorder="1" applyAlignment="1">
      <alignment horizontal="center" vertical="center" wrapText="1"/>
    </xf>
    <xf numFmtId="0" fontId="39" fillId="36" borderId="53" xfId="0" applyFont="1" applyFill="1" applyBorder="1" applyAlignment="1">
      <alignment horizontal="left" vertical="center" wrapText="1" indent="1"/>
    </xf>
    <xf numFmtId="0" fontId="39" fillId="36" borderId="53" xfId="0" applyFont="1" applyFill="1" applyBorder="1" applyAlignment="1">
      <alignment horizontal="justify" vertical="center" wrapText="1"/>
    </xf>
    <xf numFmtId="2" fontId="37" fillId="38" borderId="53" xfId="0" applyNumberFormat="1" applyFont="1" applyFill="1" applyBorder="1" applyAlignment="1">
      <alignment horizontal="center" vertical="center" wrapText="1"/>
    </xf>
    <xf numFmtId="0" fontId="37" fillId="0" borderId="53" xfId="0" applyFont="1" applyBorder="1" applyAlignment="1">
      <alignment horizontal="center" vertical="center" wrapText="1"/>
    </xf>
    <xf numFmtId="10" fontId="39" fillId="0" borderId="53" xfId="0" applyNumberFormat="1" applyFont="1" applyBorder="1" applyAlignment="1">
      <alignment horizontal="right" vertical="center" wrapText="1"/>
    </xf>
    <xf numFmtId="10" fontId="39" fillId="0" borderId="53" xfId="0" applyNumberFormat="1" applyFont="1" applyBorder="1" applyAlignment="1">
      <alignment horizontal="center" vertical="center" wrapText="1"/>
    </xf>
    <xf numFmtId="40" fontId="39" fillId="0" borderId="53" xfId="0" applyNumberFormat="1" applyFont="1" applyBorder="1" applyAlignment="1">
      <alignment horizontal="right" vertical="center" wrapText="1"/>
    </xf>
    <xf numFmtId="0" fontId="36" fillId="0" borderId="53" xfId="0" applyFont="1" applyBorder="1" applyAlignment="1">
      <alignment horizontal="center" vertical="center"/>
    </xf>
    <xf numFmtId="3" fontId="36" fillId="0" borderId="53" xfId="0" applyNumberFormat="1" applyFont="1" applyBorder="1" applyAlignment="1">
      <alignment horizontal="center" vertical="center"/>
    </xf>
    <xf numFmtId="0" fontId="40" fillId="0" borderId="53" xfId="0" applyFont="1" applyBorder="1" applyAlignment="1">
      <alignment horizontal="center" vertical="center"/>
    </xf>
    <xf numFmtId="10" fontId="40" fillId="0" borderId="53" xfId="0" applyNumberFormat="1" applyFont="1" applyBorder="1" applyAlignment="1">
      <alignment horizontal="center" vertical="center"/>
    </xf>
    <xf numFmtId="0" fontId="38" fillId="0" borderId="0" xfId="0" applyFont="1" applyAlignment="1">
      <alignment horizontal="right" vertical="center" wrapText="1"/>
    </xf>
    <xf numFmtId="38" fontId="38" fillId="0" borderId="0" xfId="0" applyNumberFormat="1" applyFont="1" applyAlignment="1">
      <alignment horizontal="right" vertical="center" wrapText="1"/>
    </xf>
    <xf numFmtId="0" fontId="23" fillId="0" borderId="54" xfId="0" applyFont="1" applyBorder="1" applyAlignment="1" applyProtection="1">
      <alignment vertical="center"/>
      <protection locked="0"/>
    </xf>
    <xf numFmtId="0" fontId="45" fillId="36" borderId="53" xfId="0" applyFont="1" applyFill="1" applyBorder="1" applyAlignment="1">
      <alignment horizontal="justify" vertical="center" wrapText="1"/>
    </xf>
    <xf numFmtId="0" fontId="38" fillId="0" borderId="54" xfId="0" applyFont="1" applyBorder="1" applyAlignment="1">
      <alignment vertical="center"/>
    </xf>
    <xf numFmtId="0" fontId="39" fillId="0" borderId="53" xfId="0" applyFont="1" applyBorder="1" applyAlignment="1">
      <alignment horizontal="center" vertical="center"/>
    </xf>
    <xf numFmtId="3" fontId="38" fillId="0" borderId="53" xfId="0" applyNumberFormat="1" applyFont="1" applyBorder="1" applyAlignment="1">
      <alignment horizontal="center" vertical="center"/>
    </xf>
    <xf numFmtId="10" fontId="38" fillId="0" borderId="0" xfId="0" applyNumberFormat="1" applyFont="1" applyAlignment="1">
      <alignment horizontal="right" vertical="center" wrapText="1"/>
    </xf>
    <xf numFmtId="0" fontId="36" fillId="0" borderId="53" xfId="0" applyFont="1" applyBorder="1" applyAlignment="1">
      <alignment horizontal="center" vertical="center" wrapText="1"/>
    </xf>
    <xf numFmtId="3" fontId="36" fillId="0" borderId="53" xfId="0" applyNumberFormat="1" applyFont="1" applyBorder="1" applyAlignment="1">
      <alignment horizontal="center" vertical="center" wrapText="1"/>
    </xf>
    <xf numFmtId="38" fontId="36" fillId="0" borderId="53" xfId="0" applyNumberFormat="1" applyFont="1" applyBorder="1" applyAlignment="1">
      <alignment horizontal="center" vertical="center" wrapText="1"/>
    </xf>
    <xf numFmtId="40" fontId="37" fillId="0" borderId="53" xfId="0" applyNumberFormat="1" applyFont="1" applyBorder="1" applyAlignment="1">
      <alignment horizontal="center" vertical="center" wrapText="1"/>
    </xf>
    <xf numFmtId="0" fontId="46" fillId="37" borderId="53" xfId="0" applyFont="1" applyFill="1" applyBorder="1" applyAlignment="1">
      <alignment horizontal="center" vertical="center"/>
    </xf>
    <xf numFmtId="9" fontId="15" fillId="0" borderId="0" xfId="0" applyNumberFormat="1" applyFont="1" applyProtection="1">
      <alignment vertical="center"/>
      <protection locked="0"/>
    </xf>
    <xf numFmtId="38" fontId="0" fillId="30" borderId="0" xfId="0" applyNumberFormat="1" applyFill="1" applyProtection="1">
      <alignment vertical="center"/>
    </xf>
    <xf numFmtId="0" fontId="49" fillId="0" borderId="0" xfId="0" applyFont="1">
      <alignment vertical="center"/>
    </xf>
    <xf numFmtId="0" fontId="26" fillId="0" borderId="0" xfId="0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7" fillId="0" borderId="0" xfId="0" applyFont="1" applyProtection="1">
      <alignment vertical="center"/>
      <protection locked="0"/>
    </xf>
    <xf numFmtId="4" fontId="0" fillId="0" borderId="0" xfId="0" applyNumberFormat="1">
      <alignment vertical="center"/>
    </xf>
    <xf numFmtId="0" fontId="38" fillId="36" borderId="53" xfId="10" applyNumberFormat="1" applyFont="1" applyFill="1" applyBorder="1" applyAlignment="1" applyProtection="1">
      <alignment horizontal="center" vertical="center" wrapText="1"/>
    </xf>
    <xf numFmtId="14" fontId="36" fillId="36" borderId="53" xfId="10" applyNumberFormat="1" applyFont="1" applyFill="1" applyBorder="1" applyAlignment="1" applyProtection="1">
      <alignment horizontal="center" vertical="center" wrapText="1"/>
    </xf>
    <xf numFmtId="4" fontId="39" fillId="0" borderId="53" xfId="10" applyNumberFormat="1" applyFont="1" applyFill="1" applyBorder="1" applyAlignment="1" applyProtection="1">
      <alignment horizontal="right" vertical="center" wrapText="1"/>
    </xf>
    <xf numFmtId="0" fontId="38" fillId="36" borderId="53" xfId="10" applyNumberFormat="1" applyFont="1" applyFill="1" applyBorder="1" applyAlignment="1" applyProtection="1">
      <alignment horizontal="justify" vertical="center" wrapText="1"/>
    </xf>
    <xf numFmtId="0" fontId="4" fillId="0" borderId="0" xfId="10" applyNumberFormat="1" applyFont="1" applyFill="1" applyBorder="1" applyAlignment="1" applyProtection="1">
      <alignment vertical="center"/>
    </xf>
    <xf numFmtId="0" fontId="36" fillId="36" borderId="53" xfId="10" applyNumberFormat="1" applyFont="1" applyFill="1" applyBorder="1" applyAlignment="1" applyProtection="1">
      <alignment horizontal="center" vertical="center" wrapText="1"/>
    </xf>
    <xf numFmtId="3" fontId="39" fillId="0" borderId="53" xfId="10" applyNumberFormat="1" applyFont="1" applyFill="1" applyBorder="1" applyAlignment="1" applyProtection="1">
      <alignment horizontal="right" vertical="center" wrapText="1"/>
    </xf>
    <xf numFmtId="0" fontId="37" fillId="36" borderId="53" xfId="11" applyNumberFormat="1" applyFont="1" applyFill="1" applyBorder="1" applyAlignment="1" applyProtection="1">
      <alignment horizontal="center" vertical="center" wrapText="1"/>
    </xf>
    <xf numFmtId="38" fontId="39" fillId="0" borderId="53" xfId="11" applyNumberFormat="1" applyFont="1" applyFill="1" applyBorder="1" applyAlignment="1" applyProtection="1">
      <alignment horizontal="center" vertical="center" wrapText="1"/>
    </xf>
    <xf numFmtId="0" fontId="36" fillId="36" borderId="53" xfId="11" applyNumberFormat="1" applyFont="1" applyFill="1" applyBorder="1" applyAlignment="1" applyProtection="1">
      <alignment horizontal="center" vertical="center" wrapText="1"/>
    </xf>
    <xf numFmtId="0" fontId="37" fillId="0" borderId="53" xfId="11" applyNumberFormat="1" applyFont="1" applyFill="1" applyBorder="1" applyAlignment="1" applyProtection="1">
      <alignment horizontal="center" vertical="center" wrapText="1"/>
    </xf>
    <xf numFmtId="0" fontId="23" fillId="0" borderId="53" xfId="11" applyNumberFormat="1" applyFont="1" applyFill="1" applyBorder="1" applyAlignment="1" applyProtection="1">
      <alignment vertical="center"/>
    </xf>
    <xf numFmtId="0" fontId="43" fillId="0" borderId="53" xfId="11" applyNumberFormat="1" applyFont="1" applyFill="1" applyBorder="1" applyAlignment="1" applyProtection="1">
      <alignment vertical="center"/>
    </xf>
    <xf numFmtId="4" fontId="39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</xf>
    <xf numFmtId="3" fontId="23" fillId="0" borderId="0" xfId="10" applyNumberFormat="1" applyFont="1" applyFill="1" applyBorder="1" applyAlignment="1" applyProtection="1">
      <alignment horizontal="center" vertical="center"/>
    </xf>
    <xf numFmtId="0" fontId="23" fillId="0" borderId="0" xfId="10" applyNumberFormat="1" applyFont="1" applyFill="1" applyBorder="1" applyAlignment="1" applyProtection="1">
      <alignment horizontal="center" vertical="center"/>
    </xf>
    <xf numFmtId="0" fontId="38" fillId="36" borderId="53" xfId="10" applyNumberFormat="1" applyFont="1" applyFill="1" applyBorder="1" applyAlignment="1" applyProtection="1">
      <alignment horizontal="left" vertical="center" wrapText="1" indent="1"/>
    </xf>
    <xf numFmtId="38" fontId="23" fillId="0" borderId="0" xfId="8" applyNumberFormat="1" applyFont="1" applyFill="1" applyBorder="1" applyAlignment="1" applyProtection="1"/>
    <xf numFmtId="0" fontId="39" fillId="36" borderId="53" xfId="10" applyNumberFormat="1" applyFont="1" applyFill="1" applyBorder="1" applyAlignment="1" applyProtection="1">
      <alignment horizontal="left" vertical="center" wrapText="1" indent="1"/>
    </xf>
    <xf numFmtId="0" fontId="39" fillId="36" borderId="53" xfId="10" applyNumberFormat="1" applyFont="1" applyFill="1" applyBorder="1" applyAlignment="1" applyProtection="1">
      <alignment horizontal="justify" vertical="center" wrapText="1"/>
    </xf>
    <xf numFmtId="0" fontId="45" fillId="36" borderId="53" xfId="10" applyNumberFormat="1" applyFont="1" applyFill="1" applyBorder="1" applyAlignment="1" applyProtection="1">
      <alignment horizontal="justify" vertical="center" wrapText="1"/>
    </xf>
    <xf numFmtId="0" fontId="23" fillId="0" borderId="0" xfId="10" applyNumberFormat="1" applyFont="1" applyFill="1" applyBorder="1" applyAlignment="1" applyProtection="1">
      <alignment horizontal="left" vertical="center" indent="1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38" fillId="0" borderId="0" xfId="10" applyNumberFormat="1" applyFont="1" applyFill="1" applyBorder="1" applyAlignment="1" applyProtection="1">
      <alignment horizontal="right" vertical="center" wrapText="1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14" fontId="23" fillId="0" borderId="0" xfId="10" applyNumberFormat="1" applyFont="1" applyFill="1" applyBorder="1" applyAlignment="1" applyProtection="1">
      <alignment vertical="center"/>
      <protection locked="0"/>
    </xf>
    <xf numFmtId="180" fontId="23" fillId="0" borderId="0" xfId="10" applyNumberFormat="1" applyFont="1" applyFill="1" applyBorder="1" applyAlignment="1" applyProtection="1">
      <alignment vertical="center"/>
      <protection locked="0"/>
    </xf>
    <xf numFmtId="0" fontId="50" fillId="39" borderId="0" xfId="0" applyFont="1" applyFill="1">
      <alignment vertical="center"/>
    </xf>
    <xf numFmtId="0" fontId="23" fillId="39" borderId="0" xfId="0" applyFont="1" applyFill="1">
      <alignment vertical="center"/>
    </xf>
    <xf numFmtId="0" fontId="22" fillId="0" borderId="0" xfId="0" applyFont="1">
      <alignment vertical="center"/>
    </xf>
    <xf numFmtId="192" fontId="23" fillId="0" borderId="0" xfId="12" applyNumberFormat="1" applyFont="1" applyFill="1" applyBorder="1" applyAlignment="1" applyProtection="1">
      <alignment horizontal="center"/>
    </xf>
    <xf numFmtId="0" fontId="23" fillId="0" borderId="0" xfId="10" applyNumberFormat="1" applyFont="1" applyFill="1" applyBorder="1" applyAlignment="1" applyProtection="1">
      <alignment vertical="center"/>
      <protection locked="0"/>
    </xf>
    <xf numFmtId="9" fontId="23" fillId="0" borderId="0" xfId="12" applyNumberFormat="1" applyFont="1" applyFill="1" applyBorder="1" applyAlignment="1" applyProtection="1"/>
    <xf numFmtId="3" fontId="39" fillId="0" borderId="53" xfId="10" applyNumberFormat="1" applyFont="1" applyFill="1" applyBorder="1" applyAlignment="1" applyProtection="1">
      <alignment horizontal="right" vertical="center" wrapText="1"/>
    </xf>
    <xf numFmtId="38" fontId="39" fillId="0" borderId="53" xfId="10" applyNumberFormat="1" applyFont="1" applyFill="1" applyBorder="1" applyAlignment="1" applyProtection="1">
      <alignment horizontal="right" vertical="center" wrapText="1"/>
    </xf>
    <xf numFmtId="1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0" applyNumberFormat="1" applyFont="1" applyFill="1" applyBorder="1" applyAlignment="1" applyProtection="1">
      <alignment horizontal="right" vertical="center" wrapText="1"/>
    </xf>
    <xf numFmtId="40" fontId="39" fillId="0" borderId="53" xfId="11" applyNumberFormat="1" applyFont="1" applyFill="1" applyBorder="1" applyAlignment="1" applyProtection="1">
      <alignment horizontal="center" vertical="center" wrapText="1"/>
    </xf>
    <xf numFmtId="10" fontId="39" fillId="0" borderId="53" xfId="11" applyNumberFormat="1" applyFont="1" applyFill="1" applyBorder="1" applyAlignment="1" applyProtection="1">
      <alignment horizontal="center" vertical="center" wrapText="1"/>
    </xf>
    <xf numFmtId="2" fontId="39" fillId="0" borderId="53" xfId="11" applyNumberFormat="1" applyFont="1" applyFill="1" applyBorder="1" applyAlignment="1" applyProtection="1">
      <alignment horizontal="center" vertical="center" wrapText="1"/>
    </xf>
    <xf numFmtId="4" fontId="39" fillId="0" borderId="53" xfId="11" applyNumberFormat="1" applyFont="1" applyFill="1" applyBorder="1" applyAlignment="1" applyProtection="1">
      <alignment horizontal="center" vertical="center" wrapText="1"/>
    </xf>
    <xf numFmtId="202" fontId="39" fillId="0" borderId="53" xfId="11" applyNumberFormat="1" applyFont="1" applyFill="1" applyBorder="1" applyAlignment="1" applyProtection="1">
      <alignment horizontal="center" vertical="center" wrapText="1"/>
    </xf>
    <xf numFmtId="0" fontId="36" fillId="12" borderId="53" xfId="11" applyNumberFormat="1" applyFont="1" applyFill="1" applyBorder="1" applyAlignment="1" applyProtection="1">
      <alignment horizontal="center" vertical="center" wrapText="1"/>
    </xf>
    <xf numFmtId="2" fontId="37" fillId="12" borderId="53" xfId="11" applyNumberFormat="1" applyFont="1" applyFill="1" applyBorder="1" applyAlignment="1" applyProtection="1">
      <alignment horizontal="center" vertical="center" wrapText="1"/>
    </xf>
    <xf numFmtId="4" fontId="39" fillId="5" borderId="53" xfId="10" applyNumberFormat="1" applyFont="1" applyFill="1" applyBorder="1" applyAlignment="1" applyProtection="1">
      <alignment horizontal="right" vertical="center" wrapText="1"/>
    </xf>
    <xf numFmtId="0" fontId="51" fillId="0" borderId="0" xfId="0" applyFont="1">
      <alignment vertical="center"/>
    </xf>
    <xf numFmtId="0" fontId="0" fillId="2" borderId="15" xfId="0" applyFill="1" applyBorder="1" applyProtection="1">
      <alignment vertical="center"/>
      <protection locked="0"/>
    </xf>
    <xf numFmtId="3" fontId="15" fillId="0" borderId="0" xfId="4" applyNumberFormat="1" applyFont="1" applyFill="1" applyBorder="1" applyAlignment="1" applyProtection="1">
      <alignment vertical="center"/>
    </xf>
    <xf numFmtId="0" fontId="27" fillId="0" borderId="0" xfId="0" applyFont="1" applyAlignment="1" applyProtection="1">
      <alignment horizontal="left" vertical="center"/>
      <protection locked="0"/>
    </xf>
    <xf numFmtId="38" fontId="0" fillId="10" borderId="0" xfId="0" applyNumberFormat="1" applyFill="1" applyProtection="1">
      <alignment vertical="center"/>
    </xf>
    <xf numFmtId="38" fontId="0" fillId="32" borderId="0" xfId="0" applyNumberFormat="1" applyFill="1" applyProtection="1">
      <alignment vertical="center"/>
    </xf>
    <xf numFmtId="0" fontId="6" fillId="2" borderId="0" xfId="0" applyFont="1" applyFill="1" applyProtection="1">
      <alignment vertical="center"/>
    </xf>
    <xf numFmtId="0" fontId="5" fillId="0" borderId="0" xfId="0" applyFont="1" applyAlignment="1" applyProtection="1">
      <alignment horizontal="left" vertical="center" indent="1"/>
      <protection locked="0"/>
    </xf>
    <xf numFmtId="0" fontId="17" fillId="0" borderId="0" xfId="0" applyFont="1" applyAlignment="1" applyProtection="1">
      <alignment horizontal="left" vertical="center" indent="2"/>
      <protection locked="0"/>
    </xf>
    <xf numFmtId="38" fontId="0" fillId="5" borderId="0" xfId="0" applyNumberFormat="1" applyFill="1" applyProtection="1">
      <alignment vertical="center"/>
    </xf>
    <xf numFmtId="0" fontId="32" fillId="0" borderId="0" xfId="0" applyFont="1" applyProtection="1">
      <alignment vertical="center"/>
      <protection locked="0"/>
    </xf>
    <xf numFmtId="40" fontId="5" fillId="18" borderId="0" xfId="0" applyNumberFormat="1" applyFont="1" applyFill="1" applyProtection="1">
      <alignment vertical="center"/>
    </xf>
    <xf numFmtId="38" fontId="8" fillId="0" borderId="0" xfId="0" applyNumberFormat="1" applyFont="1" applyFill="1" applyProtection="1">
      <alignment vertical="center"/>
    </xf>
    <xf numFmtId="201" fontId="0" fillId="0" borderId="0" xfId="0" applyNumberFormat="1" applyAlignment="1" applyProtection="1">
      <alignment horizontal="center" vertical="center"/>
      <protection locked="0"/>
    </xf>
    <xf numFmtId="0" fontId="48" fillId="0" borderId="0" xfId="0" applyFont="1">
      <alignment vertical="center"/>
    </xf>
    <xf numFmtId="14" fontId="48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48" fillId="0" borderId="0" xfId="0" applyFont="1" applyAlignment="1">
      <alignment horizontal="center" vertical="center"/>
    </xf>
    <xf numFmtId="200" fontId="48" fillId="0" borderId="0" xfId="0" applyNumberFormat="1" applyFont="1" applyAlignment="1">
      <alignment horizontal="center" vertical="center"/>
    </xf>
    <xf numFmtId="38" fontId="11" fillId="0" borderId="0" xfId="8" applyNumberFormat="1" applyFont="1" applyFill="1" applyBorder="1" applyAlignment="1" applyProtection="1"/>
    <xf numFmtId="203" fontId="48" fillId="0" borderId="0" xfId="0" applyNumberFormat="1" applyFont="1" applyAlignment="1">
      <alignment horizontal="center" vertical="center"/>
    </xf>
    <xf numFmtId="3" fontId="48" fillId="0" borderId="0" xfId="0" applyNumberFormat="1" applyFont="1" applyAlignment="1">
      <alignment horizontal="center" vertical="center"/>
    </xf>
    <xf numFmtId="38" fontId="11" fillId="0" borderId="0" xfId="13" applyNumberFormat="1" applyFont="1" applyFill="1" applyAlignment="1"/>
    <xf numFmtId="10" fontId="54" fillId="38" borderId="53" xfId="0" applyNumberFormat="1" applyFont="1" applyFill="1" applyBorder="1" applyAlignment="1">
      <alignment horizontal="center" vertical="center" wrapText="1"/>
    </xf>
    <xf numFmtId="0" fontId="55" fillId="0" borderId="0" xfId="0" applyFont="1">
      <alignment vertical="center"/>
    </xf>
    <xf numFmtId="38" fontId="15" fillId="0" borderId="0" xfId="8" applyNumberFormat="1" applyFont="1" applyFill="1" applyBorder="1" applyAlignment="1" applyProtection="1">
      <protection locked="0"/>
    </xf>
    <xf numFmtId="38" fontId="15" fillId="0" borderId="0" xfId="8" applyNumberFormat="1" applyFont="1" applyFill="1" applyBorder="1" applyAlignment="1" applyProtection="1">
      <alignment horizontal="center"/>
      <protection locked="0"/>
    </xf>
    <xf numFmtId="196" fontId="15" fillId="0" borderId="0" xfId="8" applyNumberFormat="1" applyFont="1" applyFill="1" applyBorder="1" applyAlignment="1" applyProtection="1">
      <protection locked="0"/>
    </xf>
    <xf numFmtId="198" fontId="1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center"/>
      <protection locked="0"/>
    </xf>
    <xf numFmtId="196" fontId="52" fillId="0" borderId="0" xfId="8" applyNumberFormat="1" applyFont="1" applyFill="1" applyBorder="1" applyAlignment="1" applyProtection="1">
      <protection locked="0"/>
    </xf>
    <xf numFmtId="38" fontId="35" fillId="0" borderId="0" xfId="8" applyNumberFormat="1" applyFont="1" applyFill="1" applyBorder="1" applyAlignment="1" applyProtection="1">
      <protection locked="0"/>
    </xf>
    <xf numFmtId="38" fontId="52" fillId="0" borderId="0" xfId="8" applyNumberFormat="1" applyFont="1" applyFill="1" applyBorder="1" applyAlignment="1" applyProtection="1">
      <alignment horizontal="left"/>
      <protection locked="0"/>
    </xf>
    <xf numFmtId="38" fontId="28" fillId="0" borderId="0" xfId="8" applyNumberFormat="1" applyFont="1" applyFill="1" applyBorder="1" applyAlignment="1" applyProtection="1">
      <alignment horizontal="center"/>
      <protection locked="0"/>
    </xf>
    <xf numFmtId="38" fontId="28" fillId="0" borderId="0" xfId="8" applyNumberFormat="1" applyFont="1" applyFill="1" applyBorder="1" applyAlignment="1" applyProtection="1">
      <alignment horizontal="center" vertical="center"/>
      <protection locked="0"/>
    </xf>
    <xf numFmtId="38" fontId="53" fillId="0" borderId="55" xfId="8" applyNumberFormat="1" applyFont="1" applyFill="1" applyBorder="1" applyAlignment="1" applyProtection="1">
      <alignment horizontal="center"/>
      <protection locked="0"/>
    </xf>
    <xf numFmtId="3" fontId="39" fillId="0" borderId="53" xfId="0" applyNumberFormat="1" applyFont="1" applyFill="1" applyBorder="1" applyAlignment="1">
      <alignment horizontal="center" vertical="center" wrapText="1"/>
    </xf>
    <xf numFmtId="205" fontId="39" fillId="0" borderId="53" xfId="0" applyNumberFormat="1" applyFont="1" applyBorder="1" applyAlignment="1">
      <alignment horizontal="right" vertical="center" wrapText="1"/>
    </xf>
    <xf numFmtId="10" fontId="36" fillId="36" borderId="53" xfId="0" applyNumberFormat="1" applyFont="1" applyFill="1" applyBorder="1" applyAlignment="1">
      <alignment horizontal="center" vertical="center" wrapText="1"/>
    </xf>
    <xf numFmtId="0" fontId="47" fillId="0" borderId="53" xfId="0" applyFont="1" applyBorder="1" applyAlignment="1">
      <alignment horizontal="left" vertical="center"/>
    </xf>
    <xf numFmtId="0" fontId="0" fillId="0" borderId="0" xfId="0" applyAlignment="1">
      <alignment vertical="center"/>
    </xf>
    <xf numFmtId="31" fontId="47" fillId="0" borderId="53" xfId="0" applyNumberFormat="1" applyFont="1" applyBorder="1" applyAlignment="1">
      <alignment horizontal="left" vertical="center"/>
    </xf>
    <xf numFmtId="204" fontId="47" fillId="0" borderId="53" xfId="0" applyNumberFormat="1" applyFont="1" applyBorder="1" applyAlignment="1">
      <alignment horizontal="left" vertical="center"/>
    </xf>
    <xf numFmtId="0" fontId="36" fillId="36" borderId="53" xfId="0" applyFont="1" applyFill="1" applyBorder="1" applyAlignment="1">
      <alignment horizontal="center" vertical="center"/>
    </xf>
    <xf numFmtId="0" fontId="37" fillId="36" borderId="53" xfId="0" applyFont="1" applyFill="1" applyBorder="1" applyAlignment="1">
      <alignment horizontal="center" vertical="center"/>
    </xf>
    <xf numFmtId="38" fontId="39" fillId="0" borderId="53" xfId="0" applyNumberFormat="1" applyFont="1" applyBorder="1" applyAlignment="1">
      <alignment horizontal="center" vertical="center"/>
    </xf>
    <xf numFmtId="40" fontId="39" fillId="0" borderId="53" xfId="0" applyNumberFormat="1" applyFont="1" applyBorder="1" applyAlignment="1">
      <alignment horizontal="center" vertical="center"/>
    </xf>
    <xf numFmtId="3" fontId="39" fillId="0" borderId="53" xfId="0" applyNumberFormat="1" applyFont="1" applyBorder="1" applyAlignment="1">
      <alignment horizontal="center" vertical="center"/>
    </xf>
    <xf numFmtId="0" fontId="0" fillId="0" borderId="58" xfId="0" applyBorder="1" applyAlignment="1">
      <alignment vertical="center"/>
    </xf>
    <xf numFmtId="38" fontId="37" fillId="0" borderId="53" xfId="0" applyNumberFormat="1" applyFont="1" applyBorder="1" applyAlignment="1">
      <alignment horizontal="center" vertical="center"/>
    </xf>
    <xf numFmtId="181" fontId="38" fillId="0" borderId="53" xfId="0" applyNumberFormat="1" applyFont="1" applyBorder="1" applyAlignment="1">
      <alignment horizontal="center" vertical="center"/>
    </xf>
    <xf numFmtId="31" fontId="38" fillId="0" borderId="53" xfId="0" applyNumberFormat="1" applyFont="1" applyBorder="1" applyAlignment="1">
      <alignment horizontal="center" vertical="center"/>
    </xf>
    <xf numFmtId="203" fontId="38" fillId="0" borderId="53" xfId="0" applyNumberFormat="1" applyFont="1" applyBorder="1" applyAlignment="1">
      <alignment horizontal="center" vertical="center"/>
    </xf>
    <xf numFmtId="0" fontId="56" fillId="37" borderId="54" xfId="0" applyFont="1" applyFill="1" applyBorder="1" applyAlignment="1">
      <alignment horizontal="center" vertical="center"/>
    </xf>
    <xf numFmtId="0" fontId="36" fillId="37" borderId="54" xfId="0" applyFont="1" applyFill="1" applyBorder="1" applyAlignment="1">
      <alignment horizontal="center" vertical="center"/>
    </xf>
    <xf numFmtId="0" fontId="38" fillId="0" borderId="53" xfId="0" applyFont="1" applyBorder="1" applyAlignment="1">
      <alignment vertical="center" shrinkToFit="1"/>
    </xf>
    <xf numFmtId="0" fontId="36" fillId="0" borderId="53" xfId="0" applyFont="1" applyBorder="1" applyAlignment="1">
      <alignment vertical="center" shrinkToFit="1"/>
    </xf>
    <xf numFmtId="0" fontId="23" fillId="0" borderId="53" xfId="0" applyFont="1" applyBorder="1" applyAlignment="1">
      <alignment horizontal="center" vertical="center" shrinkToFit="1"/>
    </xf>
    <xf numFmtId="0" fontId="43" fillId="0" borderId="53" xfId="0" applyFont="1" applyBorder="1" applyAlignment="1">
      <alignment horizontal="center" vertical="center" shrinkToFit="1"/>
    </xf>
    <xf numFmtId="38" fontId="15" fillId="0" borderId="9" xfId="8" applyNumberFormat="1" applyFont="1" applyFill="1" applyBorder="1" applyAlignment="1" applyProtection="1">
      <alignment horizontal="center" wrapText="1"/>
      <protection locked="0"/>
    </xf>
    <xf numFmtId="38" fontId="22" fillId="0" borderId="9" xfId="8" applyNumberFormat="1" applyFont="1" applyFill="1" applyBorder="1" applyAlignment="1" applyProtection="1">
      <alignment horizontal="center" wrapText="1"/>
      <protection locked="0"/>
    </xf>
    <xf numFmtId="1" fontId="33" fillId="27" borderId="52" xfId="0" applyNumberFormat="1" applyFont="1" applyFill="1" applyBorder="1" applyAlignment="1">
      <alignment horizontal="center" vertical="center" wrapText="1" shrinkToFit="1"/>
    </xf>
    <xf numFmtId="0" fontId="57" fillId="40" borderId="3" xfId="0" applyFont="1" applyFill="1" applyBorder="1" applyAlignment="1">
      <alignment horizontal="center" vertical="center"/>
    </xf>
    <xf numFmtId="0" fontId="57" fillId="40" borderId="3" xfId="0" applyFont="1" applyFill="1" applyBorder="1" applyAlignment="1">
      <alignment horizontal="center" vertical="center" wrapText="1"/>
    </xf>
    <xf numFmtId="0" fontId="0" fillId="0" borderId="3" xfId="0" applyBorder="1" applyProtection="1">
      <alignment vertical="center"/>
      <protection locked="0"/>
    </xf>
    <xf numFmtId="14" fontId="13" fillId="41" borderId="3" xfId="6" applyNumberFormat="1" applyFont="1" applyFill="1" applyBorder="1" applyAlignment="1" applyProtection="1">
      <alignment horizontal="center" vertical="center"/>
    </xf>
    <xf numFmtId="191" fontId="13" fillId="41" borderId="3" xfId="6" applyNumberFormat="1" applyFont="1" applyFill="1" applyBorder="1" applyAlignment="1" applyProtection="1">
      <alignment vertical="center"/>
    </xf>
    <xf numFmtId="184" fontId="13" fillId="41" borderId="3" xfId="6" applyNumberFormat="1" applyFont="1" applyFill="1" applyBorder="1" applyAlignment="1" applyProtection="1">
      <alignment vertical="center"/>
    </xf>
    <xf numFmtId="187" fontId="13" fillId="41" borderId="3" xfId="1" applyNumberFormat="1" applyFont="1" applyFill="1" applyBorder="1" applyAlignment="1" applyProtection="1">
      <alignment vertical="center"/>
    </xf>
    <xf numFmtId="187" fontId="13" fillId="41" borderId="3" xfId="6" applyNumberFormat="1" applyFont="1" applyFill="1" applyBorder="1" applyAlignment="1" applyProtection="1">
      <alignment vertical="center"/>
    </xf>
    <xf numFmtId="0" fontId="0" fillId="41" borderId="3" xfId="0" applyFill="1" applyBorder="1" applyProtection="1">
      <alignment vertical="center"/>
      <protection locked="0"/>
    </xf>
    <xf numFmtId="14" fontId="25" fillId="41" borderId="3" xfId="0" applyNumberFormat="1" applyFont="1" applyFill="1" applyBorder="1" applyAlignment="1" applyProtection="1">
      <alignment horizontal="center" vertical="center"/>
      <protection locked="0"/>
    </xf>
    <xf numFmtId="3" fontId="24" fillId="41" borderId="3" xfId="0" applyNumberFormat="1" applyFont="1" applyFill="1" applyBorder="1" applyAlignment="1" applyProtection="1">
      <alignment horizontal="center" vertical="center"/>
      <protection locked="0"/>
    </xf>
    <xf numFmtId="0" fontId="25" fillId="41" borderId="3" xfId="0" applyFont="1" applyFill="1" applyBorder="1" applyAlignment="1" applyProtection="1">
      <alignment horizontal="center" vertical="center" wrapText="1"/>
      <protection locked="0"/>
    </xf>
    <xf numFmtId="3" fontId="25" fillId="41" borderId="3" xfId="0" applyNumberFormat="1" applyFont="1" applyFill="1" applyBorder="1" applyAlignment="1" applyProtection="1">
      <alignment horizontal="center" vertical="center"/>
      <protection locked="0"/>
    </xf>
    <xf numFmtId="0" fontId="23" fillId="0" borderId="0" xfId="0" applyNumberFormat="1" applyFont="1" applyAlignment="1">
      <alignment horizontal="fill" vertical="center"/>
    </xf>
    <xf numFmtId="0" fontId="0" fillId="2" borderId="15" xfId="0" applyFill="1" applyBorder="1" applyProtection="1">
      <alignment vertical="center"/>
    </xf>
    <xf numFmtId="0" fontId="0" fillId="42" borderId="0" xfId="0" applyFill="1">
      <alignment vertical="center"/>
    </xf>
    <xf numFmtId="0" fontId="8" fillId="7" borderId="0" xfId="0" applyFont="1" applyFill="1">
      <alignment vertical="center"/>
    </xf>
    <xf numFmtId="0" fontId="0" fillId="7" borderId="0" xfId="0" applyFill="1">
      <alignment vertical="center"/>
    </xf>
    <xf numFmtId="206" fontId="0" fillId="0" borderId="0" xfId="0" applyNumberFormat="1" applyProtection="1">
      <alignment vertical="center"/>
      <protection locked="0"/>
    </xf>
    <xf numFmtId="206" fontId="5" fillId="0" borderId="0" xfId="0" applyNumberFormat="1" applyFont="1" applyFill="1" applyProtection="1">
      <alignment vertical="center"/>
    </xf>
    <xf numFmtId="207" fontId="0" fillId="0" borderId="0" xfId="0" applyNumberFormat="1">
      <alignment vertical="center"/>
    </xf>
    <xf numFmtId="14" fontId="0" fillId="0" borderId="0" xfId="0" applyNumberFormat="1" applyAlignment="1" applyProtection="1">
      <alignment horizontal="center" vertical="center"/>
      <protection locked="0"/>
    </xf>
    <xf numFmtId="0" fontId="5" fillId="9" borderId="0" xfId="0" applyFont="1" applyFill="1" applyAlignment="1" applyProtection="1">
      <alignment horizontal="center" vertical="center"/>
      <protection locked="0"/>
    </xf>
    <xf numFmtId="38" fontId="5" fillId="6" borderId="0" xfId="0" applyNumberFormat="1" applyFont="1" applyFill="1" applyAlignment="1" applyProtection="1">
      <alignment horizontal="center" vertical="center"/>
      <protection locked="0"/>
    </xf>
    <xf numFmtId="0" fontId="19" fillId="43" borderId="0" xfId="0" applyFont="1" applyFill="1" applyAlignment="1" applyProtection="1">
      <alignment horizontal="center" vertical="center"/>
      <protection locked="0"/>
    </xf>
    <xf numFmtId="0" fontId="58" fillId="0" borderId="0" xfId="0" quotePrefix="1" applyFont="1" applyProtection="1">
      <alignment vertical="center"/>
      <protection locked="0"/>
    </xf>
    <xf numFmtId="3" fontId="0" fillId="0" borderId="3" xfId="0" applyNumberFormat="1" applyFont="1" applyBorder="1" applyProtection="1">
      <alignment vertical="center"/>
      <protection locked="0"/>
    </xf>
    <xf numFmtId="3" fontId="0" fillId="0" borderId="4" xfId="0" applyNumberFormat="1" applyFont="1" applyBorder="1" applyProtection="1">
      <alignment vertical="center"/>
      <protection locked="0"/>
    </xf>
    <xf numFmtId="3" fontId="0" fillId="0" borderId="5" xfId="0" applyNumberFormat="1" applyFont="1" applyBorder="1" applyProtection="1">
      <alignment vertical="center"/>
      <protection locked="0"/>
    </xf>
    <xf numFmtId="3" fontId="0" fillId="0" borderId="6" xfId="0" applyNumberFormat="1" applyFont="1" applyBorder="1" applyProtection="1">
      <alignment vertical="center"/>
      <protection locked="0"/>
    </xf>
    <xf numFmtId="0" fontId="5" fillId="0" borderId="0" xfId="0" quotePrefix="1" applyFont="1" applyProtection="1">
      <alignment vertical="center"/>
      <protection locked="0"/>
    </xf>
    <xf numFmtId="0" fontId="0" fillId="45" borderId="0" xfId="0" applyFill="1" applyProtection="1">
      <alignment vertical="center"/>
      <protection locked="0"/>
    </xf>
    <xf numFmtId="0" fontId="5" fillId="45" borderId="0" xfId="0" quotePrefix="1" applyFont="1" applyFill="1" applyProtection="1">
      <alignment vertical="center"/>
      <protection locked="0"/>
    </xf>
    <xf numFmtId="0" fontId="59" fillId="0" borderId="0" xfId="0" applyFont="1" applyAlignment="1" applyProtection="1">
      <alignment horizontal="center" vertical="center"/>
      <protection locked="0"/>
    </xf>
    <xf numFmtId="3" fontId="5" fillId="0" borderId="0" xfId="0" applyNumberFormat="1" applyFont="1" applyProtection="1">
      <alignment vertical="center"/>
      <protection locked="0"/>
    </xf>
    <xf numFmtId="0" fontId="5" fillId="0" borderId="27" xfId="0" applyFont="1" applyBorder="1" applyAlignment="1" applyProtection="1">
      <alignment horizontal="center" vertical="center"/>
      <protection locked="0"/>
    </xf>
    <xf numFmtId="0" fontId="5" fillId="46" borderId="0" xfId="0" applyFont="1" applyFill="1" applyBorder="1" applyAlignment="1" applyProtection="1">
      <alignment horizontal="center" vertical="center"/>
      <protection locked="0"/>
    </xf>
    <xf numFmtId="4" fontId="5" fillId="46" borderId="0" xfId="0" applyNumberFormat="1" applyFont="1" applyFill="1" applyBorder="1" applyAlignment="1" applyProtection="1">
      <alignment horizontal="center" vertical="center"/>
      <protection locked="0"/>
    </xf>
    <xf numFmtId="3" fontId="0" fillId="46" borderId="0" xfId="0" applyNumberFormat="1" applyFill="1" applyBorder="1" applyProtection="1">
      <alignment vertical="center"/>
      <protection locked="0"/>
    </xf>
    <xf numFmtId="0" fontId="0" fillId="46" borderId="0" xfId="0" applyFill="1" applyBorder="1" applyAlignment="1" applyProtection="1">
      <alignment horizontal="center" vertical="center"/>
      <protection locked="0"/>
    </xf>
    <xf numFmtId="0" fontId="5" fillId="29" borderId="0" xfId="0" applyFont="1" applyFill="1" applyAlignment="1" applyProtection="1">
      <alignment horizontal="center" vertical="center"/>
      <protection locked="0"/>
    </xf>
    <xf numFmtId="14" fontId="0" fillId="29" borderId="0" xfId="0" applyNumberFormat="1" applyFill="1" applyProtection="1">
      <alignment vertical="center"/>
      <protection locked="0"/>
    </xf>
    <xf numFmtId="0" fontId="5" fillId="44" borderId="0" xfId="0" applyFont="1" applyFill="1" applyAlignment="1" applyProtection="1">
      <alignment horizontal="center" vertical="center"/>
      <protection locked="0"/>
    </xf>
    <xf numFmtId="4" fontId="0" fillId="44" borderId="0" xfId="0" applyNumberFormat="1" applyFill="1" applyProtection="1">
      <alignment vertical="center"/>
      <protection locked="0"/>
    </xf>
    <xf numFmtId="4" fontId="0" fillId="11" borderId="0" xfId="0" applyNumberFormat="1" applyFill="1" applyProtection="1">
      <alignment vertical="center"/>
      <protection locked="0"/>
    </xf>
    <xf numFmtId="0" fontId="8" fillId="41" borderId="0" xfId="0" applyFont="1" applyFill="1" applyAlignment="1" applyProtection="1">
      <alignment horizontal="center" vertical="center"/>
      <protection locked="0"/>
    </xf>
    <xf numFmtId="0" fontId="0" fillId="47" borderId="0" xfId="0" applyFill="1" applyProtection="1">
      <alignment vertical="center"/>
      <protection locked="0"/>
    </xf>
    <xf numFmtId="4" fontId="0" fillId="41" borderId="0" xfId="0" applyNumberFormat="1" applyFont="1" applyFill="1" applyAlignment="1" applyProtection="1">
      <alignment horizontal="center" vertical="center"/>
      <protection locked="0"/>
    </xf>
    <xf numFmtId="2" fontId="0" fillId="47" borderId="0" xfId="0" applyNumberFormat="1" applyFill="1" applyProtection="1">
      <alignment vertical="center"/>
      <protection locked="0"/>
    </xf>
    <xf numFmtId="0" fontId="5" fillId="47" borderId="0" xfId="0" applyFont="1" applyFill="1" applyAlignment="1" applyProtection="1">
      <alignment horizontal="center" vertical="center"/>
      <protection locked="0"/>
    </xf>
    <xf numFmtId="49" fontId="5" fillId="9" borderId="0" xfId="0" applyNumberFormat="1" applyFont="1" applyFill="1" applyAlignment="1" applyProtection="1">
      <alignment horizontal="center" vertical="center"/>
      <protection locked="0"/>
    </xf>
    <xf numFmtId="38" fontId="0" fillId="9" borderId="0" xfId="0" applyNumberFormat="1" applyFill="1" applyProtection="1">
      <alignment vertical="center"/>
      <protection locked="0"/>
    </xf>
    <xf numFmtId="0" fontId="0" fillId="38" borderId="0" xfId="0" applyFont="1" applyFill="1" applyAlignment="1" applyProtection="1">
      <alignment horizontal="center" vertical="center"/>
      <protection locked="0"/>
    </xf>
    <xf numFmtId="4" fontId="0" fillId="41" borderId="0" xfId="0" applyNumberFormat="1" applyFill="1" applyAlignment="1" applyProtection="1">
      <alignment horizontal="center" vertical="center"/>
      <protection locked="0"/>
    </xf>
    <xf numFmtId="3" fontId="0" fillId="38" borderId="0" xfId="0" applyNumberFormat="1" applyFill="1" applyProtection="1">
      <alignment vertical="center"/>
      <protection locked="0"/>
    </xf>
    <xf numFmtId="0" fontId="5" fillId="38" borderId="0" xfId="0" applyFont="1" applyFill="1" applyAlignment="1" applyProtection="1">
      <alignment horizontal="center" vertical="center"/>
      <protection locked="0"/>
    </xf>
    <xf numFmtId="0" fontId="0" fillId="0" borderId="27" xfId="0" applyFill="1" applyBorder="1" applyAlignment="1" applyProtection="1">
      <alignment horizontal="center" vertical="center"/>
      <protection locked="0"/>
    </xf>
    <xf numFmtId="10" fontId="7" fillId="0" borderId="27" xfId="0" applyNumberFormat="1" applyFont="1" applyFill="1" applyBorder="1" applyAlignment="1" applyProtection="1">
      <alignment horizontal="center" vertical="center"/>
      <protection locked="0"/>
    </xf>
    <xf numFmtId="0" fontId="5" fillId="20" borderId="0" xfId="0" applyFont="1" applyFill="1" applyAlignment="1" applyProtection="1">
      <alignment horizontal="center" vertical="center"/>
      <protection locked="0"/>
    </xf>
    <xf numFmtId="4" fontId="0" fillId="20" borderId="0" xfId="0" applyNumberFormat="1" applyFill="1" applyBorder="1" applyAlignment="1" applyProtection="1">
      <alignment horizontal="center" vertical="center"/>
      <protection locked="0"/>
    </xf>
    <xf numFmtId="3" fontId="0" fillId="20" borderId="0" xfId="0" applyNumberFormat="1" applyFill="1" applyBorder="1" applyProtection="1">
      <alignment vertical="center"/>
      <protection locked="0"/>
    </xf>
    <xf numFmtId="0" fontId="0" fillId="20" borderId="0" xfId="0" applyFill="1" applyProtection="1">
      <alignment vertical="center"/>
      <protection locked="0"/>
    </xf>
    <xf numFmtId="4" fontId="0" fillId="21" borderId="0" xfId="0" applyNumberFormat="1" applyFont="1" applyFill="1" applyBorder="1" applyAlignment="1" applyProtection="1">
      <alignment horizontal="center" vertical="center"/>
      <protection locked="0"/>
    </xf>
    <xf numFmtId="3" fontId="0" fillId="21" borderId="0" xfId="0" applyNumberFormat="1" applyFill="1" applyBorder="1" applyProtection="1">
      <alignment vertical="center"/>
      <protection locked="0"/>
    </xf>
    <xf numFmtId="0" fontId="0" fillId="21" borderId="0" xfId="0" applyFill="1" applyAlignment="1" applyProtection="1">
      <alignment horizontal="center" vertical="center"/>
      <protection locked="0"/>
    </xf>
    <xf numFmtId="0" fontId="0" fillId="38" borderId="0" xfId="0" applyFill="1" applyAlignment="1" applyProtection="1">
      <alignment horizontal="center" vertical="center"/>
      <protection locked="0"/>
    </xf>
    <xf numFmtId="4" fontId="0" fillId="38" borderId="0" xfId="0" applyNumberFormat="1" applyFont="1" applyFill="1" applyBorder="1" applyAlignment="1" applyProtection="1">
      <alignment horizontal="center" vertical="center"/>
      <protection locked="0"/>
    </xf>
    <xf numFmtId="3" fontId="0" fillId="38" borderId="0" xfId="0" applyNumberFormat="1" applyFill="1" applyBorder="1" applyProtection="1">
      <alignment vertical="center"/>
      <protection locked="0"/>
    </xf>
    <xf numFmtId="0" fontId="0" fillId="47" borderId="0" xfId="0" applyFill="1" applyAlignment="1" applyProtection="1">
      <alignment horizontal="center" vertical="center"/>
      <protection locked="0"/>
    </xf>
    <xf numFmtId="4" fontId="0" fillId="47" borderId="0" xfId="0" applyNumberFormat="1" applyFont="1" applyFill="1" applyBorder="1" applyAlignment="1" applyProtection="1">
      <alignment horizontal="center" vertical="center"/>
      <protection locked="0"/>
    </xf>
    <xf numFmtId="3" fontId="0" fillId="47" borderId="0" xfId="0" applyNumberFormat="1" applyFill="1" applyBorder="1" applyProtection="1">
      <alignment vertical="center"/>
      <protection locked="0"/>
    </xf>
    <xf numFmtId="4" fontId="19" fillId="27" borderId="40" xfId="0" applyNumberFormat="1" applyFont="1" applyFill="1" applyBorder="1" applyAlignment="1" applyProtection="1">
      <alignment horizontal="center" vertical="center"/>
      <protection locked="0"/>
    </xf>
    <xf numFmtId="3" fontId="0" fillId="0" borderId="5" xfId="0" applyNumberFormat="1" applyFont="1" applyFill="1" applyBorder="1" applyProtection="1">
      <alignment vertical="center"/>
      <protection locked="0"/>
    </xf>
    <xf numFmtId="0" fontId="0" fillId="45" borderId="0" xfId="0" applyFill="1">
      <alignment vertical="center"/>
    </xf>
    <xf numFmtId="0" fontId="0" fillId="0" borderId="27" xfId="0" applyBorder="1" applyProtection="1">
      <alignment vertical="center"/>
      <protection locked="0"/>
    </xf>
    <xf numFmtId="0" fontId="5" fillId="45" borderId="0" xfId="0" applyFont="1" applyFill="1" applyAlignment="1" applyProtection="1">
      <alignment horizontal="center" vertical="center"/>
      <protection locked="0"/>
    </xf>
    <xf numFmtId="0" fontId="5" fillId="45" borderId="0" xfId="0" applyFont="1" applyFill="1" applyAlignment="1">
      <alignment horizontal="center" vertical="center"/>
    </xf>
    <xf numFmtId="0" fontId="27" fillId="45" borderId="0" xfId="0" applyFont="1" applyFill="1" applyProtection="1">
      <alignment vertical="center"/>
      <protection locked="0"/>
    </xf>
    <xf numFmtId="49" fontId="5" fillId="0" borderId="31" xfId="0" applyNumberFormat="1" applyFont="1" applyBorder="1" applyAlignment="1" applyProtection="1">
      <alignment horizontal="center" vertical="center" wrapText="1"/>
      <protection locked="0"/>
    </xf>
    <xf numFmtId="4" fontId="5" fillId="0" borderId="1" xfId="0" applyNumberFormat="1" applyFont="1" applyBorder="1" applyAlignment="1" applyProtection="1">
      <alignment horizontal="center" vertical="center"/>
      <protection locked="0"/>
    </xf>
    <xf numFmtId="4" fontId="5" fillId="0" borderId="2" xfId="0" applyNumberFormat="1" applyFont="1" applyBorder="1" applyAlignment="1" applyProtection="1">
      <alignment horizontal="center" vertical="center"/>
      <protection locked="0"/>
    </xf>
    <xf numFmtId="10" fontId="5" fillId="0" borderId="32" xfId="0" applyNumberFormat="1" applyFont="1" applyBorder="1" applyAlignment="1" applyProtection="1">
      <alignment horizontal="center" vertical="center"/>
      <protection locked="0"/>
    </xf>
    <xf numFmtId="10" fontId="5" fillId="0" borderId="33" xfId="0" applyNumberFormat="1" applyFont="1" applyBorder="1" applyAlignment="1" applyProtection="1">
      <alignment horizontal="center" vertical="center"/>
      <protection locked="0"/>
    </xf>
    <xf numFmtId="49" fontId="5" fillId="42" borderId="1" xfId="0" applyNumberFormat="1" applyFont="1" applyFill="1" applyBorder="1" applyAlignment="1" applyProtection="1">
      <alignment horizontal="center" vertical="center"/>
      <protection locked="0"/>
    </xf>
    <xf numFmtId="49" fontId="5" fillId="42" borderId="2" xfId="0" applyNumberFormat="1" applyFont="1" applyFill="1" applyBorder="1" applyAlignment="1" applyProtection="1">
      <alignment horizontal="center" vertical="center"/>
      <protection locked="0"/>
    </xf>
    <xf numFmtId="49" fontId="5" fillId="42" borderId="32" xfId="0" applyNumberFormat="1" applyFont="1" applyFill="1" applyBorder="1" applyAlignment="1" applyProtection="1">
      <alignment horizontal="center" vertical="center"/>
      <protection locked="0"/>
    </xf>
    <xf numFmtId="49" fontId="5" fillId="42" borderId="33" xfId="0" applyNumberFormat="1" applyFont="1" applyFill="1" applyBorder="1" applyAlignment="1" applyProtection="1">
      <alignment horizontal="center" vertical="center"/>
      <protection locked="0"/>
    </xf>
    <xf numFmtId="209" fontId="0" fillId="0" borderId="0" xfId="0" applyNumberFormat="1">
      <alignment vertical="center"/>
    </xf>
    <xf numFmtId="3" fontId="0" fillId="0" borderId="0" xfId="0" applyNumberFormat="1">
      <alignment vertical="center"/>
    </xf>
    <xf numFmtId="3" fontId="0" fillId="0" borderId="0" xfId="0" applyNumberFormat="1" applyBorder="1">
      <alignment vertical="center"/>
    </xf>
    <xf numFmtId="0" fontId="0" fillId="0" borderId="45" xfId="0" applyBorder="1" applyAlignment="1" applyProtection="1">
      <alignment horizontal="center" vertical="center"/>
      <protection locked="0"/>
    </xf>
    <xf numFmtId="0" fontId="19" fillId="31" borderId="0" xfId="0" applyFont="1" applyFill="1" applyBorder="1" applyAlignment="1" applyProtection="1">
      <alignment horizontal="center" vertical="center"/>
      <protection locked="0"/>
    </xf>
    <xf numFmtId="0" fontId="19" fillId="31" borderId="50" xfId="0" applyFont="1" applyFill="1" applyBorder="1" applyAlignment="1" applyProtection="1">
      <alignment horizontal="center" vertical="center"/>
      <protection locked="0"/>
    </xf>
    <xf numFmtId="0" fontId="19" fillId="31" borderId="45" xfId="0" applyFont="1" applyFill="1" applyBorder="1" applyAlignment="1" applyProtection="1">
      <alignment horizontal="center" vertical="center"/>
      <protection locked="0"/>
    </xf>
    <xf numFmtId="209" fontId="0" fillId="0" borderId="0" xfId="0" applyNumberFormat="1" applyBorder="1">
      <alignment vertical="center"/>
    </xf>
    <xf numFmtId="0" fontId="0" fillId="0" borderId="3" xfId="0" applyBorder="1" applyAlignment="1" applyProtection="1">
      <alignment horizontal="center" vertical="center"/>
      <protection locked="0"/>
    </xf>
    <xf numFmtId="0" fontId="64" fillId="31" borderId="3" xfId="0" applyFont="1" applyFill="1" applyBorder="1" applyAlignment="1" applyProtection="1">
      <alignment horizontal="center" vertical="center"/>
      <protection locked="0"/>
    </xf>
    <xf numFmtId="3" fontId="31" fillId="0" borderId="3" xfId="0" applyNumberFormat="1" applyFont="1" applyBorder="1">
      <alignment vertical="center"/>
    </xf>
    <xf numFmtId="209" fontId="31" fillId="0" borderId="3" xfId="0" applyNumberFormat="1" applyFont="1" applyBorder="1">
      <alignment vertical="center"/>
    </xf>
    <xf numFmtId="0" fontId="31" fillId="0" borderId="3" xfId="0" applyFont="1" applyBorder="1">
      <alignment vertical="center"/>
    </xf>
    <xf numFmtId="0" fontId="31" fillId="0" borderId="3" xfId="0" applyFont="1" applyBorder="1" applyAlignment="1" applyProtection="1">
      <alignment horizontal="center" vertical="center"/>
      <protection locked="0"/>
    </xf>
    <xf numFmtId="0" fontId="23" fillId="0" borderId="0" xfId="0" applyFont="1" applyProtection="1">
      <alignment vertical="center"/>
      <protection locked="0"/>
    </xf>
    <xf numFmtId="10" fontId="0" fillId="46" borderId="0" xfId="0" applyNumberFormat="1" applyFill="1" applyBorder="1" applyProtection="1">
      <alignment vertical="center"/>
      <protection locked="0"/>
    </xf>
    <xf numFmtId="4" fontId="0" fillId="0" borderId="0" xfId="14" applyNumberFormat="1" applyFont="1" applyProtection="1">
      <alignment vertical="center"/>
      <protection locked="0"/>
    </xf>
    <xf numFmtId="208" fontId="33" fillId="27" borderId="52" xfId="0" applyNumberFormat="1" applyFont="1" applyFill="1" applyBorder="1" applyAlignment="1">
      <alignment vertical="center" wrapText="1" shrinkToFit="1"/>
    </xf>
    <xf numFmtId="0" fontId="26" fillId="0" borderId="0" xfId="0" applyFont="1" applyAlignment="1">
      <alignment horizontal="center" vertical="center"/>
    </xf>
    <xf numFmtId="0" fontId="2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>
      <alignment vertical="center"/>
    </xf>
    <xf numFmtId="0" fontId="65" fillId="0" borderId="0" xfId="2" applyNumberFormat="1" applyFont="1" applyFill="1" applyBorder="1" applyAlignment="1" applyProtection="1">
      <alignment horizontal="center" vertical="center"/>
    </xf>
    <xf numFmtId="0" fontId="65" fillId="0" borderId="0" xfId="0" applyFont="1" applyAlignment="1">
      <alignment horizontal="center" vertical="center"/>
    </xf>
    <xf numFmtId="0" fontId="15" fillId="0" borderId="0" xfId="2" applyNumberFormat="1" applyFont="1" applyFill="1" applyBorder="1" applyAlignment="1" applyProtection="1">
      <alignment horizontal="center" vertical="center"/>
    </xf>
    <xf numFmtId="0" fontId="34" fillId="0" borderId="0" xfId="2" applyNumberFormat="1" applyFont="1" applyFill="1" applyBorder="1" applyAlignment="1" applyProtection="1">
      <alignment horizontal="center" vertical="center"/>
    </xf>
    <xf numFmtId="0" fontId="15" fillId="0" borderId="0" xfId="2" applyNumberFormat="1" applyFont="1" applyFill="1" applyBorder="1" applyAlignment="1" applyProtection="1">
      <alignment vertical="center"/>
    </xf>
    <xf numFmtId="14" fontId="15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17" fillId="0" borderId="0" xfId="0" quotePrefix="1" applyFont="1" applyAlignment="1" applyProtection="1">
      <alignment horizontal="left" vertical="center" indent="1"/>
      <protection locked="0"/>
    </xf>
    <xf numFmtId="187" fontId="10" fillId="0" borderId="3" xfId="1" applyNumberFormat="1" applyFont="1" applyFill="1" applyBorder="1" applyAlignment="1" applyProtection="1">
      <alignment vertical="center"/>
    </xf>
    <xf numFmtId="187" fontId="10" fillId="0" borderId="3" xfId="6" applyNumberFormat="1" applyFont="1" applyFill="1" applyBorder="1" applyAlignment="1" applyProtection="1">
      <alignment vertical="center"/>
    </xf>
    <xf numFmtId="3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8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3" fontId="25" fillId="5" borderId="56" xfId="8" applyNumberFormat="1" applyFont="1" applyFill="1" applyBorder="1" applyAlignment="1" applyProtection="1">
      <alignment horizontal="center" vertical="center" shrinkToFit="1"/>
      <protection locked="0"/>
    </xf>
    <xf numFmtId="199" fontId="34" fillId="0" borderId="56" xfId="8" applyNumberFormat="1" applyFont="1" applyFill="1" applyBorder="1" applyAlignment="1" applyProtection="1">
      <alignment vertical="center" shrinkToFit="1"/>
      <protection locked="0"/>
    </xf>
    <xf numFmtId="182" fontId="34" fillId="1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8" fontId="15" fillId="0" borderId="8" xfId="8" applyNumberFormat="1" applyFont="1" applyFill="1" applyBorder="1" applyAlignment="1" applyProtection="1">
      <protection locked="0"/>
    </xf>
    <xf numFmtId="38" fontId="13" fillId="0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0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50" fillId="34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3" fontId="50" fillId="35" borderId="3" xfId="8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3" xfId="8" applyNumberFormat="1" applyFont="1" applyFill="1" applyBorder="1" applyAlignment="1" applyProtection="1">
      <alignment horizontal="center" vertical="center" shrinkToFit="1"/>
      <protection locked="0"/>
    </xf>
    <xf numFmtId="0" fontId="56" fillId="36" borderId="53" xfId="0" applyFont="1" applyFill="1" applyBorder="1" applyAlignment="1">
      <alignment horizontal="center" vertical="center" wrapText="1"/>
    </xf>
    <xf numFmtId="0" fontId="7" fillId="15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5" fillId="0" borderId="0" xfId="0" applyFont="1">
      <alignment vertical="center"/>
    </xf>
    <xf numFmtId="10" fontId="54" fillId="0" borderId="53" xfId="0" applyNumberFormat="1" applyFont="1" applyBorder="1" applyAlignment="1">
      <alignment horizontal="center" vertical="center"/>
    </xf>
    <xf numFmtId="38" fontId="0" fillId="0" borderId="0" xfId="0" applyNumberFormat="1">
      <alignment vertical="center"/>
    </xf>
    <xf numFmtId="0" fontId="5" fillId="0" borderId="0" xfId="0" quotePrefix="1" applyFont="1">
      <alignment vertical="center"/>
    </xf>
    <xf numFmtId="0" fontId="58" fillId="0" borderId="0" xfId="0" applyFont="1">
      <alignment vertical="center"/>
    </xf>
    <xf numFmtId="10" fontId="0" fillId="0" borderId="0" xfId="0" applyNumberFormat="1">
      <alignment vertical="center"/>
    </xf>
    <xf numFmtId="202" fontId="0" fillId="0" borderId="0" xfId="0" applyNumberFormat="1">
      <alignment vertical="center"/>
    </xf>
    <xf numFmtId="38" fontId="13" fillId="0" borderId="9" xfId="8" applyNumberFormat="1" applyFont="1" applyFill="1" applyBorder="1" applyAlignment="1" applyProtection="1">
      <alignment horizontal="center" vertical="center" shrinkToFit="1"/>
      <protection locked="0"/>
    </xf>
    <xf numFmtId="10" fontId="50" fillId="35" borderId="9" xfId="9" quotePrefix="1" applyNumberFormat="1" applyFont="1" applyFill="1" applyBorder="1" applyAlignment="1" applyProtection="1">
      <alignment horizontal="center" vertical="center" shrinkToFit="1"/>
      <protection locked="0"/>
    </xf>
    <xf numFmtId="197" fontId="13" fillId="23" borderId="9" xfId="8" applyNumberFormat="1" applyFont="1" applyFill="1" applyBorder="1" applyAlignment="1" applyProtection="1">
      <alignment horizontal="center" vertical="center" shrinkToFit="1"/>
      <protection locked="0"/>
    </xf>
    <xf numFmtId="198" fontId="33" fillId="27" borderId="52" xfId="0" applyNumberFormat="1" applyFont="1" applyFill="1" applyBorder="1" applyAlignment="1">
      <alignment horizontal="center" vertical="center" wrapText="1" shrinkToFit="1"/>
    </xf>
    <xf numFmtId="198" fontId="23" fillId="0" borderId="0" xfId="0" applyNumberFormat="1" applyFont="1">
      <alignment vertical="center"/>
    </xf>
    <xf numFmtId="192" fontId="23" fillId="0" borderId="0" xfId="0" applyNumberFormat="1" applyFont="1">
      <alignment vertical="center"/>
    </xf>
    <xf numFmtId="192" fontId="33" fillId="27" borderId="52" xfId="0" applyNumberFormat="1" applyFont="1" applyFill="1" applyBorder="1" applyAlignment="1">
      <alignment horizontal="center" vertical="center" wrapText="1" shrinkToFit="1"/>
    </xf>
    <xf numFmtId="192" fontId="0" fillId="0" borderId="0" xfId="0" applyNumberFormat="1">
      <alignment vertical="center"/>
    </xf>
    <xf numFmtId="198" fontId="0" fillId="0" borderId="0" xfId="0" applyNumberFormat="1">
      <alignment vertical="center"/>
    </xf>
    <xf numFmtId="3" fontId="33" fillId="27" borderId="53" xfId="8" applyNumberFormat="1" applyFont="1" applyFill="1" applyBorder="1" applyAlignment="1" applyProtection="1">
      <alignment horizontal="center" vertical="center" shrinkToFit="1"/>
    </xf>
    <xf numFmtId="3" fontId="33" fillId="27" borderId="52" xfId="8" applyNumberFormat="1" applyFont="1" applyFill="1" applyBorder="1" applyAlignment="1" applyProtection="1">
      <alignment vertical="center" wrapText="1" shrinkToFit="1"/>
    </xf>
    <xf numFmtId="202" fontId="33" fillId="27" borderId="52" xfId="8" applyNumberFormat="1" applyFont="1" applyFill="1" applyBorder="1" applyAlignment="1" applyProtection="1">
      <alignment vertical="center" wrapText="1" shrinkToFit="1"/>
    </xf>
    <xf numFmtId="202" fontId="23" fillId="0" borderId="0" xfId="0" applyNumberFormat="1" applyFont="1">
      <alignment vertical="center"/>
    </xf>
    <xf numFmtId="196" fontId="13" fillId="13" borderId="59" xfId="8" applyNumberFormat="1" applyFont="1" applyFill="1" applyBorder="1" applyAlignment="1" applyProtection="1">
      <alignment horizontal="center" vertical="center" wrapText="1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wrapText="1" shrinkToFit="1"/>
      <protection locked="0"/>
    </xf>
    <xf numFmtId="38" fontId="13" fillId="13" borderId="35" xfId="8" applyNumberFormat="1" applyFont="1" applyFill="1" applyBorder="1" applyAlignment="1" applyProtection="1">
      <alignment horizontal="center" vertical="center" shrinkToFit="1"/>
      <protection locked="0"/>
    </xf>
    <xf numFmtId="196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8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3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210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82" fontId="34" fillId="0" borderId="56" xfId="8" applyNumberFormat="1" applyFont="1" applyFill="1" applyBorder="1" applyAlignment="1" applyProtection="1">
      <alignment horizontal="center" vertical="center" shrinkToFit="1"/>
      <protection locked="0"/>
    </xf>
    <xf numFmtId="192" fontId="35" fillId="0" borderId="0" xfId="8" applyNumberFormat="1" applyFont="1" applyFill="1" applyBorder="1" applyAlignment="1" applyProtection="1">
      <protection locked="0"/>
    </xf>
    <xf numFmtId="192" fontId="15" fillId="0" borderId="0" xfId="8" applyNumberFormat="1" applyFont="1" applyFill="1" applyBorder="1" applyAlignment="1" applyProtection="1">
      <alignment horizontal="center"/>
      <protection locked="0"/>
    </xf>
    <xf numFmtId="192" fontId="13" fillId="13" borderId="3" xfId="8" applyNumberFormat="1" applyFont="1" applyFill="1" applyBorder="1" applyAlignment="1" applyProtection="1">
      <alignment horizontal="center" vertical="center" shrinkToFit="1"/>
      <protection locked="0"/>
    </xf>
    <xf numFmtId="192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192" fontId="0" fillId="0" borderId="0" xfId="0" applyNumberFormat="1" applyProtection="1">
      <alignment vertical="center"/>
      <protection locked="0"/>
    </xf>
    <xf numFmtId="192" fontId="15" fillId="0" borderId="0" xfId="8" applyNumberFormat="1" applyFont="1" applyFill="1" applyBorder="1" applyAlignment="1" applyProtection="1">
      <protection locked="0"/>
    </xf>
    <xf numFmtId="10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3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4" fontId="34" fillId="10" borderId="57" xfId="8" applyNumberFormat="1" applyFont="1" applyFill="1" applyBorder="1" applyAlignment="1" applyProtection="1">
      <alignment horizontal="center" vertical="center" shrinkToFit="1"/>
      <protection locked="0"/>
    </xf>
    <xf numFmtId="2" fontId="33" fillId="27" borderId="52" xfId="0" applyNumberFormat="1" applyFont="1" applyFill="1" applyBorder="1" applyAlignment="1">
      <alignment horizontal="center" vertical="center" wrapText="1" shrinkToFit="1"/>
    </xf>
    <xf numFmtId="2" fontId="23" fillId="0" borderId="0" xfId="0" applyNumberFormat="1" applyFont="1">
      <alignment vertical="center"/>
    </xf>
    <xf numFmtId="2" fontId="0" fillId="0" borderId="0" xfId="0" applyNumberFormat="1">
      <alignment vertical="center"/>
    </xf>
    <xf numFmtId="10" fontId="33" fillId="27" borderId="52" xfId="0" applyNumberFormat="1" applyFont="1" applyFill="1" applyBorder="1" applyAlignment="1">
      <alignment vertical="center" wrapText="1" shrinkToFit="1"/>
    </xf>
    <xf numFmtId="201" fontId="48" fillId="0" borderId="0" xfId="0" quotePrefix="1" applyNumberFormat="1" applyFont="1" applyAlignment="1">
      <alignment horizontal="center" vertical="center"/>
    </xf>
    <xf numFmtId="0" fontId="70" fillId="17" borderId="60" xfId="19" applyFont="1" applyFill="1" applyBorder="1" applyAlignment="1">
      <alignment horizontal="center"/>
    </xf>
    <xf numFmtId="0" fontId="71" fillId="0" borderId="0" xfId="0" applyFont="1">
      <alignment vertical="center"/>
    </xf>
    <xf numFmtId="0" fontId="72" fillId="17" borderId="60" xfId="19" applyFont="1" applyFill="1" applyBorder="1" applyAlignment="1">
      <alignment horizontal="center"/>
    </xf>
    <xf numFmtId="0" fontId="72" fillId="22" borderId="60" xfId="19" applyFont="1" applyFill="1" applyBorder="1" applyAlignment="1">
      <alignment horizontal="center"/>
    </xf>
    <xf numFmtId="177" fontId="71" fillId="0" borderId="61" xfId="2" applyFont="1" applyFill="1" applyBorder="1">
      <alignment vertical="center"/>
    </xf>
    <xf numFmtId="177" fontId="74" fillId="0" borderId="61" xfId="2" applyFont="1" applyFill="1" applyBorder="1">
      <alignment vertical="center"/>
    </xf>
    <xf numFmtId="177" fontId="74" fillId="0" borderId="61" xfId="2" applyFont="1" applyBorder="1">
      <alignment vertical="center"/>
    </xf>
    <xf numFmtId="177" fontId="71" fillId="0" borderId="61" xfId="2" applyFont="1" applyFill="1" applyBorder="1" applyAlignment="1">
      <alignment horizontal="left" vertical="center" indent="1"/>
    </xf>
    <xf numFmtId="177" fontId="71" fillId="0" borderId="61" xfId="2" applyFont="1" applyBorder="1">
      <alignment vertical="center"/>
    </xf>
    <xf numFmtId="0" fontId="74" fillId="0" borderId="0" xfId="0" applyFont="1">
      <alignment vertical="center"/>
    </xf>
    <xf numFmtId="211" fontId="71" fillId="0" borderId="61" xfId="2" applyNumberFormat="1" applyFont="1" applyFill="1" applyBorder="1">
      <alignment vertical="center"/>
    </xf>
    <xf numFmtId="38" fontId="74" fillId="0" borderId="61" xfId="0" applyNumberFormat="1" applyFont="1" applyFill="1" applyBorder="1">
      <alignment vertical="center"/>
    </xf>
    <xf numFmtId="10" fontId="71" fillId="0" borderId="61" xfId="14" applyNumberFormat="1" applyFont="1" applyFill="1" applyBorder="1">
      <alignment vertical="center"/>
    </xf>
    <xf numFmtId="0" fontId="72" fillId="0" borderId="0" xfId="0" applyFont="1" applyAlignment="1">
      <alignment horizontal="right" vertical="center" wrapText="1"/>
    </xf>
    <xf numFmtId="38" fontId="72" fillId="0" borderId="0" xfId="0" applyNumberFormat="1" applyFont="1" applyAlignment="1">
      <alignment horizontal="right" vertical="center" wrapText="1"/>
    </xf>
    <xf numFmtId="10" fontId="72" fillId="0" borderId="0" xfId="0" applyNumberFormat="1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72" fillId="0" borderId="0" xfId="19" applyFont="1"/>
    <xf numFmtId="0" fontId="72" fillId="0" borderId="0" xfId="19" applyFont="1" applyFill="1"/>
    <xf numFmtId="4" fontId="72" fillId="0" borderId="0" xfId="19" applyNumberFormat="1" applyFont="1"/>
    <xf numFmtId="0" fontId="71" fillId="0" borderId="61" xfId="0" applyFont="1" applyFill="1" applyBorder="1" applyAlignment="1">
      <alignment horizontal="left" vertical="center" indent="1"/>
    </xf>
    <xf numFmtId="177" fontId="74" fillId="0" borderId="61" xfId="0" applyNumberFormat="1" applyFont="1" applyBorder="1">
      <alignment vertical="center"/>
    </xf>
    <xf numFmtId="177" fontId="71" fillId="0" borderId="61" xfId="2" applyNumberFormat="1" applyFont="1" applyFill="1" applyBorder="1">
      <alignment vertical="center"/>
    </xf>
    <xf numFmtId="211" fontId="71" fillId="0" borderId="61" xfId="2" applyNumberFormat="1" applyFont="1" applyBorder="1">
      <alignment vertical="center"/>
    </xf>
    <xf numFmtId="9" fontId="71" fillId="0" borderId="61" xfId="14" applyFont="1" applyBorder="1" applyAlignment="1">
      <alignment horizontal="center" vertical="center"/>
    </xf>
    <xf numFmtId="2" fontId="71" fillId="0" borderId="61" xfId="0" applyNumberFormat="1" applyFont="1" applyBorder="1" applyAlignment="1">
      <alignment horizontal="center" vertical="center"/>
    </xf>
    <xf numFmtId="0" fontId="71" fillId="0" borderId="61" xfId="0" applyFont="1" applyBorder="1" applyAlignment="1">
      <alignment horizontal="center" vertical="center"/>
    </xf>
    <xf numFmtId="0" fontId="75" fillId="22" borderId="53" xfId="0" applyFont="1" applyFill="1" applyBorder="1" applyAlignment="1">
      <alignment horizontal="center" vertical="center"/>
    </xf>
    <xf numFmtId="14" fontId="71" fillId="0" borderId="61" xfId="0" applyNumberFormat="1" applyFont="1" applyBorder="1">
      <alignment vertical="center"/>
    </xf>
    <xf numFmtId="0" fontId="71" fillId="0" borderId="0" xfId="0" applyFont="1" applyAlignment="1">
      <alignment vertical="center"/>
    </xf>
    <xf numFmtId="0" fontId="71" fillId="0" borderId="0" xfId="0" quotePrefix="1" applyFont="1" applyAlignment="1">
      <alignment vertical="center"/>
    </xf>
    <xf numFmtId="177" fontId="74" fillId="0" borderId="61" xfId="2" applyFont="1" applyFill="1" applyBorder="1" applyAlignment="1">
      <alignment horizontal="center" vertical="center"/>
    </xf>
    <xf numFmtId="0" fontId="75" fillId="0" borderId="53" xfId="0" applyFont="1" applyBorder="1" applyAlignment="1">
      <alignment horizontal="center" vertical="center"/>
    </xf>
    <xf numFmtId="40" fontId="75" fillId="0" borderId="53" xfId="20" applyNumberFormat="1" applyFont="1" applyBorder="1" applyAlignment="1">
      <alignment horizontal="center" vertical="center" wrapText="1"/>
    </xf>
    <xf numFmtId="10" fontId="75" fillId="0" borderId="53" xfId="20" applyNumberFormat="1" applyFont="1" applyBorder="1" applyAlignment="1">
      <alignment horizontal="center" vertical="center" wrapText="1"/>
    </xf>
    <xf numFmtId="0" fontId="72" fillId="48" borderId="60" xfId="19" applyFont="1" applyFill="1" applyBorder="1" applyAlignment="1">
      <alignment horizontal="center"/>
    </xf>
    <xf numFmtId="177" fontId="74" fillId="48" borderId="61" xfId="2" applyFont="1" applyFill="1" applyBorder="1">
      <alignment vertical="center"/>
    </xf>
    <xf numFmtId="177" fontId="71" fillId="48" borderId="61" xfId="2" applyFont="1" applyFill="1" applyBorder="1">
      <alignment vertical="center"/>
    </xf>
    <xf numFmtId="177" fontId="71" fillId="5" borderId="61" xfId="2" applyFont="1" applyFill="1" applyBorder="1">
      <alignment vertical="center"/>
    </xf>
    <xf numFmtId="177" fontId="71" fillId="48" borderId="61" xfId="2" applyFont="1" applyFill="1" applyBorder="1" applyAlignment="1">
      <alignment horizontal="left" vertical="center" indent="1"/>
    </xf>
    <xf numFmtId="0" fontId="72" fillId="5" borderId="60" xfId="19" applyFont="1" applyFill="1" applyBorder="1" applyAlignment="1">
      <alignment horizontal="center"/>
    </xf>
    <xf numFmtId="211" fontId="71" fillId="5" borderId="61" xfId="2" applyNumberFormat="1" applyFont="1" applyFill="1" applyBorder="1">
      <alignment vertical="center"/>
    </xf>
    <xf numFmtId="0" fontId="76" fillId="0" borderId="0" xfId="0" applyFont="1">
      <alignment vertical="center"/>
    </xf>
    <xf numFmtId="177" fontId="74" fillId="48" borderId="61" xfId="0" applyNumberFormat="1" applyFont="1" applyFill="1" applyBorder="1">
      <alignment vertical="center"/>
    </xf>
    <xf numFmtId="2" fontId="71" fillId="0" borderId="0" xfId="0" applyNumberFormat="1" applyFont="1">
      <alignment vertical="center"/>
    </xf>
    <xf numFmtId="38" fontId="71" fillId="5" borderId="61" xfId="0" applyNumberFormat="1" applyFont="1" applyFill="1" applyBorder="1" applyAlignment="1">
      <alignment horizontal="center" vertical="center"/>
    </xf>
    <xf numFmtId="0" fontId="71" fillId="5" borderId="61" xfId="0" applyFont="1" applyFill="1" applyBorder="1" applyAlignment="1">
      <alignment horizontal="center" vertical="center"/>
    </xf>
    <xf numFmtId="212" fontId="71" fillId="0" borderId="61" xfId="2" applyNumberFormat="1" applyFont="1" applyFill="1" applyBorder="1">
      <alignment vertical="center"/>
    </xf>
    <xf numFmtId="211" fontId="74" fillId="0" borderId="61" xfId="2" applyNumberFormat="1" applyFont="1" applyFill="1" applyBorder="1" applyAlignment="1">
      <alignment horizontal="center" vertical="center"/>
    </xf>
    <xf numFmtId="0" fontId="5" fillId="2" borderId="0" xfId="0" applyFont="1" applyFill="1" applyProtection="1">
      <alignment vertical="center"/>
      <protection locked="0"/>
    </xf>
    <xf numFmtId="0" fontId="5" fillId="2" borderId="0" xfId="0" quotePrefix="1" applyFont="1" applyFill="1" applyProtection="1">
      <alignment vertical="center"/>
      <protection locked="0"/>
    </xf>
  </cellXfs>
  <cellStyles count="14">
    <cellStyle name="40% - 강조색3 2" xfId="13"/>
    <cellStyle name="백분율" xfId="14" builtinId="5"/>
    <cellStyle name="백분율 2 2 2" xfId="18"/>
    <cellStyle name="쉼표" xfId="3" builtinId="3"/>
    <cellStyle name="쉼표 [0]" xfId="2" builtinId="6"/>
    <cellStyle name="제목" xfId="4" builtinId="15"/>
    <cellStyle name="통화" xfId="1" builtinId="4"/>
    <cellStyle name="통화 [0]" xfId="5" builtinId="7"/>
    <cellStyle name="표준" xfId="0" builtinId="0"/>
    <cellStyle name="표준 2" xfId="20"/>
    <cellStyle name="표준 2 2" xfId="16"/>
    <cellStyle name="표준 2 2 12" xfId="19"/>
    <cellStyle name="표준 2 2 2 2" xfId="17"/>
    <cellStyle name="표준 4" xfId="15"/>
  </cellStyles>
  <dxfs count="470">
    <dxf>
      <font>
        <b/>
        <i val="0"/>
      </font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  <protection locked="0" hidden="0"/>
    </dxf>
    <dxf>
      <numFmt numFmtId="3" formatCode="#,##0"/>
    </dxf>
    <dxf>
      <numFmt numFmtId="209" formatCode="#,##0.0"/>
    </dxf>
    <dxf>
      <numFmt numFmtId="3" formatCode="#,##0"/>
    </dxf>
    <dxf>
      <border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b/>
        <i val="0"/>
      </font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3" tint="0.59996337778862885"/>
        </patternFill>
      </fill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9C0006"/>
      </font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2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8" formatCode="0_);[Red]\(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0" formatCode="General"/>
      <alignment horizontal="fil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02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95" formatCode="0;[Red]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 outline="0">
        <bottom style="thin">
          <color theme="0" tint="-0.34998626667073579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scheme val="none"/>
      </font>
      <numFmt numFmtId="208" formatCode="#,##0_);[Red]\(#,##0\)"/>
      <fill>
        <patternFill patternType="solid">
          <fgColor indexed="64"/>
          <bgColor rgb="FF666699"/>
        </patternFill>
      </fill>
      <alignment horizontal="general" vertical="center" textRotation="0" wrapText="1" indent="0" justifyLastLine="0" shrinkToFit="1" readingOrder="0"/>
      <border diagonalUp="0" diagonalDown="0" outline="0">
        <left style="thin">
          <color theme="0" tint="-0.34998626667073579"/>
        </left>
        <right style="thin">
          <color theme="0" tint="-0.34998626667073579"/>
        </right>
        <top/>
        <bottom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C000"/>
        </patternFill>
      </fill>
    </dxf>
    <dxf>
      <font>
        <b/>
        <i val="0"/>
        <color rgb="FFFF0000"/>
      </font>
    </dxf>
    <dxf>
      <font>
        <b/>
        <i val="0"/>
        <color theme="0" tint="-0.24994659260841701"/>
      </font>
    </dxf>
    <dxf>
      <font>
        <b/>
        <i val="0"/>
      </font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666699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BS추정!$D$48</c:f>
              <c:strCache>
                <c:ptCount val="1"/>
                <c:pt idx="0">
                  <c:v>[D60220]  무형자산(계)</c:v>
                </c:pt>
              </c:strCache>
            </c:strRef>
          </c:tx>
          <c:invertIfNegative val="0"/>
          <c:val>
            <c:numRef>
              <c:f>BS추정!$E$48:$I$48</c:f>
              <c:numCache>
                <c:formatCode>#,##0_ ;[Red]\-#,##0\ </c:formatCode>
                <c:ptCount val="5"/>
                <c:pt idx="0">
                  <c:v>65</c:v>
                </c:pt>
                <c:pt idx="1">
                  <c:v>515</c:v>
                </c:pt>
                <c:pt idx="2">
                  <c:v>1589</c:v>
                </c:pt>
                <c:pt idx="3">
                  <c:v>3471</c:v>
                </c:pt>
                <c:pt idx="4">
                  <c:v>3471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1-4D63-A841-E2B2F70B51A0}"/>
            </c:ext>
          </c:extLst>
        </c:ser>
        <c:ser>
          <c:idx val="1"/>
          <c:order val="1"/>
          <c:tx>
            <c:strRef>
              <c:f>BS추정!$D$49</c:f>
              <c:strCache>
                <c:ptCount val="1"/>
                <c:pt idx="0">
                  <c:v>[D60180]  유형자산(계)</c:v>
                </c:pt>
              </c:strCache>
            </c:strRef>
          </c:tx>
          <c:invertIfNegative val="0"/>
          <c:val>
            <c:numRef>
              <c:f>BS추정!$E$49:$I$49</c:f>
              <c:numCache>
                <c:formatCode>#,##0_ ;[Red]\-#,##0\ </c:formatCode>
                <c:ptCount val="5"/>
                <c:pt idx="0">
                  <c:v>3315</c:v>
                </c:pt>
                <c:pt idx="1">
                  <c:v>11973</c:v>
                </c:pt>
                <c:pt idx="2">
                  <c:v>30426</c:v>
                </c:pt>
                <c:pt idx="3">
                  <c:v>40541</c:v>
                </c:pt>
                <c:pt idx="4">
                  <c:v>40541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1-4D63-A841-E2B2F70B51A0}"/>
            </c:ext>
          </c:extLst>
        </c:ser>
        <c:ser>
          <c:idx val="2"/>
          <c:order val="2"/>
          <c:tx>
            <c:strRef>
              <c:f>BS추정!$D$50</c:f>
              <c:strCache>
                <c:ptCount val="1"/>
                <c:pt idx="0">
                  <c:v>[D60170]  투자자산(계)</c:v>
                </c:pt>
              </c:strCache>
            </c:strRef>
          </c:tx>
          <c:invertIfNegative val="0"/>
          <c:val>
            <c:numRef>
              <c:f>BS추정!$E$50:$I$50</c:f>
              <c:numCache>
                <c:formatCode>#,##0_ ;[Red]\-#,##0\ </c:formatCode>
                <c:ptCount val="5"/>
                <c:pt idx="0">
                  <c:v>194</c:v>
                </c:pt>
                <c:pt idx="1">
                  <c:v>257</c:v>
                </c:pt>
                <c:pt idx="2">
                  <c:v>11112</c:v>
                </c:pt>
                <c:pt idx="3">
                  <c:v>8371</c:v>
                </c:pt>
                <c:pt idx="4">
                  <c:v>8371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1-4D63-A841-E2B2F70B51A0}"/>
            </c:ext>
          </c:extLst>
        </c:ser>
        <c:ser>
          <c:idx val="3"/>
          <c:order val="3"/>
          <c:tx>
            <c:strRef>
              <c:f>BS추정!$D$51</c:f>
              <c:strCache>
                <c:ptCount val="1"/>
                <c:pt idx="0">
                  <c:v>[D60150]  재고자산(계)</c:v>
                </c:pt>
              </c:strCache>
            </c:strRef>
          </c:tx>
          <c:invertIfNegative val="0"/>
          <c:val>
            <c:numRef>
              <c:f>BS추정!$E$51:$I$51</c:f>
              <c:numCache>
                <c:formatCode>#,##0_ ;[Red]\-#,##0\ </c:formatCode>
                <c:ptCount val="5"/>
                <c:pt idx="0">
                  <c:v>2528</c:v>
                </c:pt>
                <c:pt idx="1">
                  <c:v>4381</c:v>
                </c:pt>
                <c:pt idx="2">
                  <c:v>5847</c:v>
                </c:pt>
                <c:pt idx="3">
                  <c:v>4990</c:v>
                </c:pt>
                <c:pt idx="4">
                  <c:v>4990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B1-4D63-A841-E2B2F70B51A0}"/>
            </c:ext>
          </c:extLst>
        </c:ser>
        <c:ser>
          <c:idx val="4"/>
          <c:order val="4"/>
          <c:tx>
            <c:strRef>
              <c:f>BS추정!$D$52</c:f>
              <c:strCache>
                <c:ptCount val="1"/>
                <c:pt idx="0">
                  <c:v>[D60140]  당좌자산(계)</c:v>
                </c:pt>
              </c:strCache>
            </c:strRef>
          </c:tx>
          <c:invertIfNegative val="0"/>
          <c:val>
            <c:numRef>
              <c:f>BS추정!$E$52:$I$52</c:f>
              <c:numCache>
                <c:formatCode>#,##0_ ;[Red]\-#,##0\ </c:formatCode>
                <c:ptCount val="5"/>
                <c:pt idx="0">
                  <c:v>5709</c:v>
                </c:pt>
                <c:pt idx="1">
                  <c:v>19758</c:v>
                </c:pt>
                <c:pt idx="2">
                  <c:v>13542</c:v>
                </c:pt>
                <c:pt idx="3">
                  <c:v>4217</c:v>
                </c:pt>
                <c:pt idx="4">
                  <c:v>4217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B1-4D63-A841-E2B2F70B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5845504"/>
        <c:axId val="215863680"/>
      </c:barChart>
      <c:catAx>
        <c:axId val="215845504"/>
        <c:scaling>
          <c:orientation val="minMax"/>
        </c:scaling>
        <c:delete val="0"/>
        <c:axPos val="b"/>
        <c:majorTickMark val="out"/>
        <c:minorTickMark val="none"/>
        <c:tickLblPos val="nextTo"/>
        <c:crossAx val="215863680"/>
        <c:crosses val="autoZero"/>
        <c:auto val="1"/>
        <c:lblAlgn val="ctr"/>
        <c:lblOffset val="100"/>
        <c:noMultiLvlLbl val="0"/>
      </c:catAx>
      <c:valAx>
        <c:axId val="215863680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5845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BS추정!$D$60</c:f>
              <c:strCache>
                <c:ptCount val="1"/>
                <c:pt idx="0">
                  <c:v>[D60340]  이익잉여금</c:v>
                </c:pt>
              </c:strCache>
            </c:strRef>
          </c:tx>
          <c:invertIfNegative val="0"/>
          <c:val>
            <c:numRef>
              <c:f>BS추정!$E$60:$I$60</c:f>
              <c:numCache>
                <c:formatCode>#,##0_ ;[Red]\-#,##0\ </c:formatCode>
                <c:ptCount val="5"/>
                <c:pt idx="0">
                  <c:v>6270</c:v>
                </c:pt>
                <c:pt idx="1">
                  <c:v>6714</c:v>
                </c:pt>
                <c:pt idx="2">
                  <c:v>3415</c:v>
                </c:pt>
                <c:pt idx="3">
                  <c:v>-6572</c:v>
                </c:pt>
                <c:pt idx="4">
                  <c:v>-6572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1-46F0-91F8-0846C1BE66C6}"/>
            </c:ext>
          </c:extLst>
        </c:ser>
        <c:ser>
          <c:idx val="1"/>
          <c:order val="1"/>
          <c:tx>
            <c:strRef>
              <c:f>BS추정!$D$61</c:f>
              <c:strCache>
                <c:ptCount val="1"/>
                <c:pt idx="0">
                  <c:v>[D60310]  자본잉여금</c:v>
                </c:pt>
              </c:strCache>
            </c:strRef>
          </c:tx>
          <c:invertIfNegative val="0"/>
          <c:val>
            <c:numRef>
              <c:f>BS추정!$E$61:$I$61</c:f>
              <c:numCache>
                <c:formatCode>#,##0_ ;[Red]\-#,##0\ </c:formatCode>
                <c:ptCount val="5"/>
                <c:pt idx="0">
                  <c:v>0</c:v>
                </c:pt>
                <c:pt idx="1">
                  <c:v>3090</c:v>
                </c:pt>
                <c:pt idx="2">
                  <c:v>28683</c:v>
                </c:pt>
                <c:pt idx="3">
                  <c:v>28683</c:v>
                </c:pt>
                <c:pt idx="4">
                  <c:v>28683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1-46F0-91F8-0846C1BE66C6}"/>
            </c:ext>
          </c:extLst>
        </c:ser>
        <c:ser>
          <c:idx val="2"/>
          <c:order val="2"/>
          <c:tx>
            <c:strRef>
              <c:f>BS추정!$D$62</c:f>
              <c:strCache>
                <c:ptCount val="1"/>
                <c:pt idx="0">
                  <c:v>[D60300]  자본금</c:v>
                </c:pt>
              </c:strCache>
            </c:strRef>
          </c:tx>
          <c:invertIfNegative val="0"/>
          <c:val>
            <c:numRef>
              <c:f>BS추정!$E$62:$I$62</c:f>
              <c:numCache>
                <c:formatCode>#,##0_ ;[Red]\-#,##0\ </c:formatCode>
                <c:ptCount val="5"/>
                <c:pt idx="0">
                  <c:v>300</c:v>
                </c:pt>
                <c:pt idx="1">
                  <c:v>368</c:v>
                </c:pt>
                <c:pt idx="2">
                  <c:v>753</c:v>
                </c:pt>
                <c:pt idx="3">
                  <c:v>753</c:v>
                </c:pt>
                <c:pt idx="4">
                  <c:v>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1-46F0-91F8-0846C1BE66C6}"/>
            </c:ext>
          </c:extLst>
        </c:ser>
        <c:ser>
          <c:idx val="3"/>
          <c:order val="3"/>
          <c:tx>
            <c:strRef>
              <c:f>BS추정!$D$63</c:f>
              <c:strCache>
                <c:ptCount val="1"/>
                <c:pt idx="0">
                  <c:v>[D60280]  비유동부채(계)</c:v>
                </c:pt>
              </c:strCache>
            </c:strRef>
          </c:tx>
          <c:invertIfNegative val="0"/>
          <c:val>
            <c:numRef>
              <c:f>BS추정!$E$63:$I$63</c:f>
              <c:numCache>
                <c:formatCode>#,##0_ ;[Red]\-#,##0\ </c:formatCode>
                <c:ptCount val="5"/>
                <c:pt idx="0">
                  <c:v>1167</c:v>
                </c:pt>
                <c:pt idx="1">
                  <c:v>16621</c:v>
                </c:pt>
                <c:pt idx="2">
                  <c:v>23640</c:v>
                </c:pt>
                <c:pt idx="3">
                  <c:v>14095</c:v>
                </c:pt>
                <c:pt idx="4">
                  <c:v>14095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1-46F0-91F8-0846C1BE66C6}"/>
            </c:ext>
          </c:extLst>
        </c:ser>
        <c:ser>
          <c:idx val="4"/>
          <c:order val="4"/>
          <c:tx>
            <c:strRef>
              <c:f>BS추정!$D$64</c:f>
              <c:strCache>
                <c:ptCount val="1"/>
                <c:pt idx="0">
                  <c:v>[D60270]  유동부채(계)</c:v>
                </c:pt>
              </c:strCache>
            </c:strRef>
          </c:tx>
          <c:invertIfNegative val="0"/>
          <c:val>
            <c:numRef>
              <c:f>BS추정!$E$64:$I$64</c:f>
              <c:numCache>
                <c:formatCode>#,##0_ ;[Red]\-#,##0\ </c:formatCode>
                <c:ptCount val="5"/>
                <c:pt idx="0">
                  <c:v>4171</c:v>
                </c:pt>
                <c:pt idx="1">
                  <c:v>10263</c:v>
                </c:pt>
                <c:pt idx="2">
                  <c:v>7792</c:v>
                </c:pt>
                <c:pt idx="3">
                  <c:v>24953</c:v>
                </c:pt>
                <c:pt idx="4">
                  <c:v>24953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21-46F0-91F8-0846C1BE6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6085632"/>
        <c:axId val="216087168"/>
      </c:barChart>
      <c:catAx>
        <c:axId val="2160856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6087168"/>
        <c:crosses val="autoZero"/>
        <c:auto val="1"/>
        <c:lblAlgn val="ctr"/>
        <c:lblOffset val="100"/>
        <c:noMultiLvlLbl val="0"/>
      </c:catAx>
      <c:valAx>
        <c:axId val="216087168"/>
        <c:scaling>
          <c:orientation val="minMax"/>
        </c:scaling>
        <c:delete val="0"/>
        <c:axPos val="l"/>
        <c:majorGridlines/>
        <c:numFmt formatCode="#,##0_ ;[Red]\-#,##0\ " sourceLinked="1"/>
        <c:majorTickMark val="out"/>
        <c:minorTickMark val="none"/>
        <c:tickLblPos val="nextTo"/>
        <c:crossAx val="2160856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Spin" dx="22" fmlaLink="영구g" max="1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694764</xdr:colOff>
      <xdr:row>45</xdr:row>
      <xdr:rowOff>179294</xdr:rowOff>
    </xdr:from>
    <xdr:to>
      <xdr:col>15</xdr:col>
      <xdr:colOff>549087</xdr:colOff>
      <xdr:row>58</xdr:row>
      <xdr:rowOff>134470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683559</xdr:colOff>
      <xdr:row>59</xdr:row>
      <xdr:rowOff>134470</xdr:rowOff>
    </xdr:from>
    <xdr:to>
      <xdr:col>15</xdr:col>
      <xdr:colOff>537882</xdr:colOff>
      <xdr:row>72</xdr:row>
      <xdr:rowOff>100854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28575</xdr:colOff>
          <xdr:row>3</xdr:row>
          <xdr:rowOff>0</xdr:rowOff>
        </xdr:from>
        <xdr:to>
          <xdr:col>13</xdr:col>
          <xdr:colOff>238125</xdr:colOff>
          <xdr:row>4</xdr:row>
          <xdr:rowOff>0</xdr:rowOff>
        </xdr:to>
        <xdr:sp macro="" textlink="">
          <xdr:nvSpPr>
            <xdr:cNvPr id="4098" name="Spinner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D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CF&#52628;&#51221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추정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테이블" displayName="테이블" ref="A1:AH2600" totalsRowShown="0" headerRowDxfId="54" dataDxfId="52" headerRowBorderDxfId="53">
  <autoFilter ref="A1:AH2600"/>
  <tableColumns count="34">
    <tableColumn id="1" name="Ticker" dataDxfId="51"/>
    <tableColumn id="2" name="Symbol" dataDxfId="50"/>
    <tableColumn id="3" name="종목명(Eng)" dataDxfId="49"/>
    <tableColumn id="4" name="법인번호" dataDxfId="48"/>
    <tableColumn id="5" name="종목명" dataDxfId="47"/>
    <tableColumn id="6" name="10차표준(세분류)" dataDxfId="46"/>
    <tableColumn id="7" name="10차표준(세세분류)" dataDxfId="45"/>
    <tableColumn id="8" name="거래소 업종" dataDxfId="44"/>
    <tableColumn id="9" name="거래소(시장)" dataDxfId="43"/>
    <tableColumn id="10" name="매출액(직전4분기)" dataDxfId="42"/>
    <tableColumn id="11" name="영업이익" dataDxfId="41"/>
    <tableColumn id="12" name="세전이익" dataDxfId="40"/>
    <tableColumn id="13" name="자본총계" dataDxfId="39"/>
    <tableColumn id="14" name="베타" dataDxfId="38"/>
    <tableColumn id="15" name="차입금/시총" dataDxfId="37"/>
    <tableColumn id="16" name="거래정지" dataDxfId="36"/>
    <tableColumn id="17" name="관리종목" dataDxfId="35"/>
    <tableColumn id="18" name="상장일자" dataDxfId="34"/>
    <tableColumn id="19" name="주요상품" dataDxfId="33"/>
    <tableColumn id="20" name="한계세율" dataDxfId="32"/>
    <tableColumn id="21" name="홈페이지" dataDxfId="31"/>
    <tableColumn id="22" name="EV/EBITDA" dataDxfId="30"/>
    <tableColumn id="23" name="PBR" dataDxfId="29"/>
    <tableColumn id="24" name="PSR" dataDxfId="28"/>
    <tableColumn id="25" name="PER" dataDxfId="27"/>
    <tableColumn id="26" name="3개년(2023~2026) CAGR" dataDxfId="26"/>
    <tableColumn id="27" name="2,020 " dataDxfId="25"/>
    <tableColumn id="28" name="2,021 " dataDxfId="24"/>
    <tableColumn id="29" name="2,022 " dataDxfId="23"/>
    <tableColumn id="30" name="2,023 " dataDxfId="22"/>
    <tableColumn id="31" name="2,024 " dataDxfId="21"/>
    <tableColumn id="32" name="2,025 " dataDxfId="20"/>
    <tableColumn id="33" name="2,026 " dataDxfId="19"/>
    <tableColumn id="34" name="2,027 " dataDxfId="18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2" name="법인세" displayName="법인세" ref="I11:L15" totalsRowShown="0" tableBorderDxfId="5">
  <autoFilter ref="I11:L15"/>
  <tableColumns count="4">
    <tableColumn id="1" name="과세표준" dataDxfId="4"/>
    <tableColumn id="2" name="세율(*)" dataDxfId="3"/>
    <tableColumn id="3" name="누진공제" dataDxfId="2"/>
    <tableColumn id="4" name="기준" dataDxfId="1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28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F28" sqref="F28"/>
    </sheetView>
  </sheetViews>
  <sheetFormatPr defaultColWidth="9" defaultRowHeight="16.5"/>
  <cols>
    <col min="1" max="1" width="7.875" style="2" hidden="1" customWidth="1"/>
    <col min="2" max="2" width="13.875" style="2" hidden="1" customWidth="1"/>
    <col min="3" max="3" width="7.875" style="2" bestFit="1" customWidth="1"/>
    <col min="4" max="4" width="17.875" style="2" customWidth="1"/>
    <col min="5" max="5" width="46.875" style="2" customWidth="1"/>
    <col min="6" max="6" width="23.625" style="2" bestFit="1" customWidth="1"/>
    <col min="7" max="7" width="29.375" style="2" bestFit="1" customWidth="1"/>
    <col min="8" max="8" width="45.5" style="2" bestFit="1" customWidth="1"/>
    <col min="9" max="9" width="7.875" style="2" bestFit="1" customWidth="1"/>
    <col min="10" max="10" width="135.125" style="2" bestFit="1" customWidth="1"/>
    <col min="11" max="11" width="9" style="2"/>
    <col min="12" max="12" width="10" style="2" bestFit="1" customWidth="1"/>
    <col min="13" max="16384" width="9" style="2"/>
  </cols>
  <sheetData>
    <row r="1" spans="1:7">
      <c r="A1" s="1">
        <v>13</v>
      </c>
      <c r="B1" s="1"/>
      <c r="C1" s="1" t="s">
        <v>16331</v>
      </c>
      <c r="D1" s="1" t="s">
        <v>16332</v>
      </c>
      <c r="E1" s="6" t="s">
        <v>16333</v>
      </c>
      <c r="G1" s="269" t="s">
        <v>134</v>
      </c>
    </row>
    <row r="2" spans="1:7">
      <c r="A2" s="1" t="s">
        <v>12</v>
      </c>
      <c r="B2" s="1"/>
      <c r="C2" s="1" t="s">
        <v>16334</v>
      </c>
      <c r="D2" s="2" t="s">
        <v>355</v>
      </c>
      <c r="E2" s="58" t="s">
        <v>16335</v>
      </c>
      <c r="G2" s="301" t="str">
        <f>MID(COMPANY!E1,1,10)</f>
        <v>2024-12-31</v>
      </c>
    </row>
    <row r="3" spans="1:7">
      <c r="A3" s="1" t="s">
        <v>12</v>
      </c>
      <c r="B3" s="1"/>
      <c r="C3" s="1" t="s">
        <v>16336</v>
      </c>
      <c r="D3" s="2" t="s">
        <v>356</v>
      </c>
      <c r="E3" s="15" t="s">
        <v>16337</v>
      </c>
    </row>
    <row r="4" spans="1:7">
      <c r="A4" s="1" t="s">
        <v>12</v>
      </c>
      <c r="B4" s="1"/>
      <c r="C4" s="1" t="s">
        <v>16338</v>
      </c>
      <c r="D4" s="2" t="s">
        <v>366</v>
      </c>
      <c r="E4" s="59">
        <v>36537</v>
      </c>
      <c r="G4" s="206" t="s">
        <v>141</v>
      </c>
    </row>
    <row r="5" spans="1:7">
      <c r="A5" s="1" t="s">
        <v>12</v>
      </c>
      <c r="B5" s="1"/>
      <c r="C5" s="1" t="s">
        <v>16339</v>
      </c>
      <c r="D5" s="2" t="s">
        <v>365</v>
      </c>
      <c r="E5" s="16" t="s">
        <v>16340</v>
      </c>
      <c r="G5" s="206" t="s">
        <v>136</v>
      </c>
    </row>
    <row r="6" spans="1:7">
      <c r="A6" s="1" t="s">
        <v>12</v>
      </c>
      <c r="B6" s="1"/>
      <c r="C6" s="1" t="s">
        <v>16341</v>
      </c>
      <c r="D6" s="2" t="s">
        <v>372</v>
      </c>
      <c r="E6" s="15">
        <v>12</v>
      </c>
      <c r="G6" s="206" t="s">
        <v>137</v>
      </c>
    </row>
    <row r="7" spans="1:7">
      <c r="A7" s="1" t="s">
        <v>12</v>
      </c>
      <c r="B7" s="1" t="s">
        <v>16342</v>
      </c>
      <c r="C7" s="1" t="s">
        <v>16343</v>
      </c>
      <c r="D7" s="2" t="s">
        <v>16344</v>
      </c>
      <c r="E7" s="15">
        <v>10000</v>
      </c>
      <c r="G7" s="206" t="s">
        <v>138</v>
      </c>
    </row>
    <row r="8" spans="1:7">
      <c r="A8" s="1" t="s">
        <v>12</v>
      </c>
      <c r="B8" s="1"/>
      <c r="C8" s="1" t="s">
        <v>16345</v>
      </c>
      <c r="D8" s="2" t="s">
        <v>371</v>
      </c>
      <c r="E8" s="15"/>
      <c r="G8" s="206" t="s">
        <v>139</v>
      </c>
    </row>
    <row r="9" spans="1:7">
      <c r="A9" s="1" t="s">
        <v>12</v>
      </c>
      <c r="B9" s="1" t="s">
        <v>16346</v>
      </c>
      <c r="C9" s="1" t="s">
        <v>16347</v>
      </c>
      <c r="D9" s="2" t="s">
        <v>16348</v>
      </c>
      <c r="E9" s="15">
        <v>90</v>
      </c>
      <c r="G9" s="206" t="s">
        <v>140</v>
      </c>
    </row>
    <row r="10" spans="1:7">
      <c r="A10" s="1" t="s">
        <v>12</v>
      </c>
      <c r="B10" s="1"/>
      <c r="C10" s="1" t="s">
        <v>16349</v>
      </c>
      <c r="D10" s="2" t="s">
        <v>16350</v>
      </c>
      <c r="E10" s="15" t="s">
        <v>16351</v>
      </c>
      <c r="G10" s="206" t="s">
        <v>202</v>
      </c>
    </row>
    <row r="11" spans="1:7">
      <c r="A11" s="1" t="s">
        <v>12</v>
      </c>
      <c r="B11" s="1"/>
      <c r="C11" s="1" t="s">
        <v>16352</v>
      </c>
      <c r="D11" s="2" t="s">
        <v>386</v>
      </c>
      <c r="E11" s="15" t="s">
        <v>16353</v>
      </c>
      <c r="G11" s="206" t="s">
        <v>135</v>
      </c>
    </row>
    <row r="12" spans="1:7">
      <c r="A12" s="1" t="s">
        <v>12</v>
      </c>
      <c r="B12" s="1"/>
      <c r="C12" s="1" t="s">
        <v>16354</v>
      </c>
      <c r="D12" s="2" t="s">
        <v>16355</v>
      </c>
      <c r="E12" s="17" t="s">
        <v>16356</v>
      </c>
      <c r="G12" s="206" t="s">
        <v>142</v>
      </c>
    </row>
    <row r="13" spans="1:7">
      <c r="A13" s="2" t="s">
        <v>12</v>
      </c>
      <c r="C13" s="1" t="s">
        <v>16357</v>
      </c>
      <c r="D13" s="2" t="s">
        <v>16358</v>
      </c>
      <c r="E13" s="15" t="s">
        <v>16359</v>
      </c>
      <c r="G13" s="206"/>
    </row>
    <row r="14" spans="1:7">
      <c r="A14" s="2" t="s">
        <v>12</v>
      </c>
      <c r="C14" s="1" t="s">
        <v>16360</v>
      </c>
      <c r="D14" s="2" t="s">
        <v>91</v>
      </c>
      <c r="E14" s="2" t="s">
        <v>16361</v>
      </c>
      <c r="G14" s="2" t="str">
        <f>"DCF_"&amp;SUBSTITUTE(TRIM(COMPANY!E2),"(주)","")&amp;"("&amp;평가기준일&amp;")"&amp;".xlsm"</f>
        <v>DCF_미래세라텍(2024-12-31).xlsm</v>
      </c>
    </row>
    <row r="20" spans="5:5">
      <c r="E20" s="206"/>
    </row>
    <row r="21" spans="5:5">
      <c r="E21" s="206"/>
    </row>
    <row r="22" spans="5:5">
      <c r="E22" s="206"/>
    </row>
    <row r="23" spans="5:5">
      <c r="E23" s="206"/>
    </row>
    <row r="24" spans="5:5">
      <c r="E24" s="206"/>
    </row>
    <row r="25" spans="5:5">
      <c r="E25" s="206"/>
    </row>
    <row r="26" spans="5:5">
      <c r="E26" s="206"/>
    </row>
    <row r="27" spans="5:5">
      <c r="E27" s="206"/>
    </row>
    <row r="28" spans="5:5">
      <c r="E28" s="206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9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0" sqref="J10"/>
    </sheetView>
  </sheetViews>
  <sheetFormatPr defaultColWidth="9" defaultRowHeight="16.5"/>
  <cols>
    <col min="1" max="2" width="0" style="2" hidden="1" customWidth="1"/>
    <col min="3" max="3" width="7.875" style="2" bestFit="1" customWidth="1"/>
    <col min="4" max="4" width="22.5" style="2" bestFit="1" customWidth="1"/>
    <col min="5" max="5" width="11.125" style="2" bestFit="1" customWidth="1"/>
    <col min="6" max="6" width="9" style="4"/>
    <col min="7" max="16384" width="9" style="2"/>
  </cols>
  <sheetData>
    <row r="1" spans="1:9">
      <c r="A1" s="1">
        <v>8</v>
      </c>
      <c r="B1" s="1"/>
      <c r="C1" s="1" t="s">
        <v>16362</v>
      </c>
      <c r="D1" s="1" t="s">
        <v>16363</v>
      </c>
      <c r="E1" s="1" t="s">
        <v>16376</v>
      </c>
      <c r="F1" s="7" t="s">
        <v>16377</v>
      </c>
      <c r="I1" s="2" t="s">
        <v>143</v>
      </c>
    </row>
    <row r="2" spans="1:9">
      <c r="A2" s="1" t="s">
        <v>12</v>
      </c>
      <c r="B2" s="1" t="s">
        <v>16365</v>
      </c>
      <c r="C2" s="1" t="s">
        <v>16366</v>
      </c>
      <c r="D2" s="2" t="s">
        <v>16367</v>
      </c>
      <c r="E2" s="47"/>
      <c r="I2" s="5" t="str">
        <f>평가기준일</f>
        <v>2024-12-31</v>
      </c>
    </row>
    <row r="3" spans="1:9">
      <c r="A3" s="1" t="s">
        <v>12</v>
      </c>
      <c r="B3" s="1" t="s">
        <v>16368</v>
      </c>
      <c r="C3" s="1" t="s">
        <v>16369</v>
      </c>
      <c r="D3" s="2" t="s">
        <v>458</v>
      </c>
      <c r="E3" s="5">
        <v>45596</v>
      </c>
      <c r="F3" s="4">
        <v>1.94</v>
      </c>
    </row>
    <row r="4" spans="1:9">
      <c r="A4" s="1" t="s">
        <v>12</v>
      </c>
      <c r="B4" s="1" t="s">
        <v>16365</v>
      </c>
      <c r="C4" s="1" t="s">
        <v>16370</v>
      </c>
      <c r="D4" s="2" t="s">
        <v>459</v>
      </c>
      <c r="E4" s="5">
        <v>45596</v>
      </c>
      <c r="F4" s="4">
        <v>0.77</v>
      </c>
    </row>
    <row r="5" spans="1:9">
      <c r="A5" s="1" t="s">
        <v>12</v>
      </c>
      <c r="B5" s="1" t="s">
        <v>16365</v>
      </c>
      <c r="C5" s="1" t="s">
        <v>16371</v>
      </c>
      <c r="D5" s="2" t="s">
        <v>460</v>
      </c>
      <c r="E5" s="5">
        <v>45596</v>
      </c>
      <c r="F5" s="4">
        <v>1.94</v>
      </c>
    </row>
    <row r="6" spans="1:9">
      <c r="A6" s="1" t="s">
        <v>12</v>
      </c>
      <c r="B6" s="1" t="s">
        <v>3</v>
      </c>
      <c r="C6" s="1" t="s">
        <v>16372</v>
      </c>
      <c r="D6" s="2" t="s">
        <v>771</v>
      </c>
      <c r="E6" s="5"/>
    </row>
    <row r="7" spans="1:9">
      <c r="A7" s="1" t="s">
        <v>12</v>
      </c>
      <c r="B7" s="1" t="s">
        <v>16365</v>
      </c>
      <c r="C7" s="1" t="s">
        <v>16373</v>
      </c>
      <c r="D7" s="2" t="s">
        <v>447</v>
      </c>
      <c r="E7" s="5">
        <v>45596</v>
      </c>
      <c r="F7" s="4">
        <v>3.35</v>
      </c>
    </row>
    <row r="8" spans="1:9">
      <c r="A8" s="1" t="s">
        <v>12</v>
      </c>
      <c r="B8" s="1" t="s">
        <v>3</v>
      </c>
      <c r="C8" s="1" t="s">
        <v>16374</v>
      </c>
      <c r="D8" s="2" t="s">
        <v>448</v>
      </c>
      <c r="E8" s="5">
        <v>45596</v>
      </c>
      <c r="F8" s="4">
        <v>11.97</v>
      </c>
    </row>
    <row r="9" spans="1:9">
      <c r="A9" s="1" t="s">
        <v>12</v>
      </c>
      <c r="B9" s="1" t="s">
        <v>16365</v>
      </c>
      <c r="C9" s="1" t="s">
        <v>16375</v>
      </c>
      <c r="D9" s="3" t="s">
        <v>461</v>
      </c>
      <c r="E9" s="47">
        <v>45596</v>
      </c>
      <c r="F9" s="48">
        <v>1.66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63"/>
  <sheetViews>
    <sheetView showGridLines="0" zoomScale="85" zoomScaleNormal="85" workbookViewId="0">
      <pane ySplit="1" topLeftCell="A2" activePane="bottomLeft" state="frozen"/>
      <selection pane="bottomLeft" activeCell="L24" sqref="L24"/>
    </sheetView>
  </sheetViews>
  <sheetFormatPr defaultColWidth="9" defaultRowHeight="16.5"/>
  <cols>
    <col min="1" max="1" width="11.125" style="2" bestFit="1" customWidth="1"/>
    <col min="2" max="2" width="7.125" style="2" bestFit="1" customWidth="1"/>
    <col min="3" max="3" width="5.5" style="183" customWidth="1"/>
    <col min="4" max="4" width="15.125" style="2" bestFit="1" customWidth="1"/>
    <col min="5" max="6" width="10" style="140" bestFit="1" customWidth="1"/>
    <col min="7" max="7" width="10.125" style="142" customWidth="1"/>
    <col min="8" max="8" width="5.25" style="2" bestFit="1" customWidth="1"/>
    <col min="9" max="9" width="9" style="2"/>
    <col min="10" max="10" width="11.25" style="2" customWidth="1"/>
    <col min="11" max="16384" width="9" style="2"/>
  </cols>
  <sheetData>
    <row r="1" spans="1:12">
      <c r="A1" s="1" t="s">
        <v>16378</v>
      </c>
      <c r="B1" s="1" t="s">
        <v>16379</v>
      </c>
      <c r="C1" s="182" t="s">
        <v>16380</v>
      </c>
      <c r="D1" s="1" t="s">
        <v>16381</v>
      </c>
      <c r="E1" s="139" t="s">
        <v>220</v>
      </c>
      <c r="F1" s="139" t="s">
        <v>16382</v>
      </c>
      <c r="G1" s="141" t="s">
        <v>16383</v>
      </c>
      <c r="H1" s="1" t="s">
        <v>16384</v>
      </c>
      <c r="J1" s="56" t="s">
        <v>0</v>
      </c>
    </row>
    <row r="2" spans="1:12">
      <c r="A2" s="5">
        <v>44227</v>
      </c>
      <c r="B2" s="5" t="s">
        <v>16385</v>
      </c>
      <c r="C2" s="183">
        <v>5</v>
      </c>
      <c r="D2" s="5" t="s">
        <v>16386</v>
      </c>
      <c r="E2" s="140">
        <v>0.71567099999999995</v>
      </c>
      <c r="F2" s="140">
        <v>0.73179399999999994</v>
      </c>
      <c r="H2" s="2">
        <v>0</v>
      </c>
      <c r="J2" s="57" t="e">
        <f>#REF!</f>
        <v>#REF!</v>
      </c>
      <c r="L2" s="2" t="s">
        <v>210</v>
      </c>
    </row>
    <row r="3" spans="1:12">
      <c r="A3" s="5">
        <v>44227</v>
      </c>
      <c r="B3" s="5" t="s">
        <v>16385</v>
      </c>
      <c r="C3" s="183">
        <v>6</v>
      </c>
      <c r="D3" s="5" t="s">
        <v>16387</v>
      </c>
      <c r="E3" s="140">
        <v>0.93872500000000003</v>
      </c>
      <c r="F3" s="140">
        <v>0.70623199999999997</v>
      </c>
      <c r="H3" s="2">
        <v>0</v>
      </c>
    </row>
    <row r="4" spans="1:12">
      <c r="A4" s="5">
        <v>44227</v>
      </c>
      <c r="B4" s="5" t="s">
        <v>16385</v>
      </c>
      <c r="C4" s="183">
        <v>7</v>
      </c>
      <c r="D4" s="5" t="s">
        <v>16388</v>
      </c>
      <c r="E4" s="140">
        <v>0.80708899999999995</v>
      </c>
      <c r="F4" s="140">
        <v>0.59453999999999996</v>
      </c>
      <c r="H4" s="2">
        <v>0</v>
      </c>
    </row>
    <row r="5" spans="1:12">
      <c r="A5" s="5">
        <v>44227</v>
      </c>
      <c r="B5" s="5" t="s">
        <v>16385</v>
      </c>
      <c r="C5" s="183">
        <v>8</v>
      </c>
      <c r="D5" s="5" t="s">
        <v>16389</v>
      </c>
      <c r="E5" s="140">
        <v>1.1172820000000001</v>
      </c>
      <c r="F5" s="140">
        <v>0.88213299999999994</v>
      </c>
      <c r="H5" s="2">
        <v>0</v>
      </c>
    </row>
    <row r="6" spans="1:12">
      <c r="A6" s="5">
        <v>44227</v>
      </c>
      <c r="B6" s="5" t="s">
        <v>16385</v>
      </c>
      <c r="C6" s="183">
        <v>9</v>
      </c>
      <c r="D6" s="5" t="s">
        <v>1344</v>
      </c>
      <c r="E6" s="140">
        <v>0.79291599999999995</v>
      </c>
      <c r="F6" s="140">
        <v>0.55085899999999999</v>
      </c>
      <c r="H6" s="2">
        <v>0</v>
      </c>
    </row>
    <row r="7" spans="1:12">
      <c r="A7" s="5">
        <v>44227</v>
      </c>
      <c r="B7" s="5" t="s">
        <v>16385</v>
      </c>
      <c r="C7" s="183">
        <v>10</v>
      </c>
      <c r="D7" s="5" t="s">
        <v>16390</v>
      </c>
      <c r="E7" s="140">
        <v>1.014024</v>
      </c>
      <c r="F7" s="140">
        <v>0.76219499999999996</v>
      </c>
      <c r="H7" s="2">
        <v>0</v>
      </c>
    </row>
    <row r="8" spans="1:12">
      <c r="A8" s="5">
        <v>44227</v>
      </c>
      <c r="B8" s="5" t="s">
        <v>16385</v>
      </c>
      <c r="C8" s="183">
        <v>11</v>
      </c>
      <c r="D8" s="5" t="s">
        <v>16391</v>
      </c>
      <c r="E8" s="140">
        <v>1.0344629999999999</v>
      </c>
      <c r="F8" s="140">
        <v>0.82722300000000004</v>
      </c>
      <c r="H8" s="2">
        <v>0</v>
      </c>
    </row>
    <row r="9" spans="1:12">
      <c r="A9" s="5">
        <v>44227</v>
      </c>
      <c r="B9" s="5" t="s">
        <v>16385</v>
      </c>
      <c r="C9" s="183">
        <v>12</v>
      </c>
      <c r="D9" s="5" t="s">
        <v>16392</v>
      </c>
      <c r="E9" s="140">
        <v>1.0099370000000001</v>
      </c>
      <c r="F9" s="140">
        <v>0.77013900000000002</v>
      </c>
      <c r="H9" s="2">
        <v>0</v>
      </c>
    </row>
    <row r="10" spans="1:12">
      <c r="A10" s="5">
        <v>44227</v>
      </c>
      <c r="B10" s="5" t="s">
        <v>16385</v>
      </c>
      <c r="C10" s="183">
        <v>13</v>
      </c>
      <c r="D10" s="5" t="s">
        <v>16393</v>
      </c>
      <c r="E10" s="140">
        <v>1.10361</v>
      </c>
      <c r="F10" s="140">
        <v>0.888131</v>
      </c>
      <c r="H10" s="2">
        <v>0</v>
      </c>
    </row>
    <row r="11" spans="1:12">
      <c r="A11" s="5">
        <v>44227</v>
      </c>
      <c r="B11" s="5" t="s">
        <v>16385</v>
      </c>
      <c r="C11" s="183">
        <v>14</v>
      </c>
      <c r="D11" s="5" t="s">
        <v>16394</v>
      </c>
      <c r="E11" s="140">
        <v>1.1319349999999999</v>
      </c>
      <c r="F11" s="140">
        <v>0.72609199999999996</v>
      </c>
      <c r="H11" s="2">
        <v>0</v>
      </c>
    </row>
    <row r="12" spans="1:12">
      <c r="A12" s="5">
        <v>44227</v>
      </c>
      <c r="B12" s="5" t="s">
        <v>16385</v>
      </c>
      <c r="C12" s="183">
        <v>15</v>
      </c>
      <c r="D12" s="5" t="s">
        <v>16395</v>
      </c>
      <c r="E12" s="140">
        <v>1.219106</v>
      </c>
      <c r="F12" s="140">
        <v>0.81629600000000002</v>
      </c>
      <c r="H12" s="99">
        <v>0</v>
      </c>
    </row>
    <row r="13" spans="1:12">
      <c r="A13" s="5">
        <v>44227</v>
      </c>
      <c r="B13" s="5" t="s">
        <v>16385</v>
      </c>
      <c r="C13" s="183">
        <v>16</v>
      </c>
      <c r="D13" s="5" t="s">
        <v>16396</v>
      </c>
      <c r="E13" s="140">
        <v>0.97072899999999995</v>
      </c>
      <c r="F13" s="140">
        <v>0.86388699999999996</v>
      </c>
      <c r="H13" s="99">
        <v>0</v>
      </c>
    </row>
    <row r="14" spans="1:12">
      <c r="A14" s="5">
        <v>44227</v>
      </c>
      <c r="B14" s="5" t="s">
        <v>16385</v>
      </c>
      <c r="C14" s="183">
        <v>17</v>
      </c>
      <c r="D14" s="5" t="s">
        <v>16397</v>
      </c>
      <c r="E14" s="140">
        <v>0.68863399999999997</v>
      </c>
      <c r="F14" s="140">
        <v>0.54321699999999995</v>
      </c>
      <c r="H14" s="99">
        <v>0</v>
      </c>
    </row>
    <row r="15" spans="1:12">
      <c r="A15" s="5">
        <v>44227</v>
      </c>
      <c r="B15" s="5" t="s">
        <v>16385</v>
      </c>
      <c r="C15" s="183">
        <v>18</v>
      </c>
      <c r="D15" s="5" t="s">
        <v>16398</v>
      </c>
      <c r="E15" s="140">
        <v>1.131945</v>
      </c>
      <c r="F15" s="140">
        <v>0.81999900000000003</v>
      </c>
      <c r="H15" s="99">
        <v>0</v>
      </c>
    </row>
    <row r="16" spans="1:12">
      <c r="A16" s="5">
        <v>44227</v>
      </c>
      <c r="B16" s="5" t="s">
        <v>16385</v>
      </c>
      <c r="C16" s="183">
        <v>19</v>
      </c>
      <c r="D16" s="5" t="s">
        <v>16399</v>
      </c>
      <c r="E16" s="140">
        <v>0.98737799999999998</v>
      </c>
      <c r="F16" s="140">
        <v>0.71490100000000001</v>
      </c>
      <c r="H16" s="99">
        <v>0</v>
      </c>
    </row>
    <row r="17" spans="1:8">
      <c r="A17" s="5">
        <v>44227</v>
      </c>
      <c r="B17" s="5" t="s">
        <v>16385</v>
      </c>
      <c r="C17" s="183">
        <v>20</v>
      </c>
      <c r="D17" s="5" t="s">
        <v>16400</v>
      </c>
      <c r="E17" s="140">
        <v>0.58899199999999996</v>
      </c>
      <c r="F17" s="140">
        <v>0.63037699999999997</v>
      </c>
      <c r="H17" s="99">
        <v>0</v>
      </c>
    </row>
    <row r="18" spans="1:8">
      <c r="A18" s="5">
        <v>44227</v>
      </c>
      <c r="B18" s="5" t="s">
        <v>16385</v>
      </c>
      <c r="C18" s="183">
        <v>21</v>
      </c>
      <c r="D18" s="5" t="s">
        <v>16401</v>
      </c>
      <c r="E18" s="140">
        <v>1.04095</v>
      </c>
      <c r="F18" s="140">
        <v>0.87731099999999995</v>
      </c>
      <c r="H18" s="99">
        <v>0</v>
      </c>
    </row>
    <row r="19" spans="1:8">
      <c r="A19" s="5">
        <v>44227</v>
      </c>
      <c r="B19" s="5" t="s">
        <v>16385</v>
      </c>
      <c r="C19" s="183">
        <v>22</v>
      </c>
      <c r="D19" s="5" t="s">
        <v>16402</v>
      </c>
      <c r="E19" s="140">
        <v>1.052778</v>
      </c>
      <c r="F19" s="140">
        <v>0.75544599999999995</v>
      </c>
      <c r="H19" s="99">
        <v>0</v>
      </c>
    </row>
    <row r="20" spans="1:8">
      <c r="A20" s="5">
        <v>44227</v>
      </c>
      <c r="B20" s="5" t="s">
        <v>16385</v>
      </c>
      <c r="C20" s="183">
        <v>24</v>
      </c>
      <c r="D20" s="5" t="s">
        <v>16403</v>
      </c>
      <c r="E20" s="140">
        <v>1.2731399999999999</v>
      </c>
      <c r="F20" s="140">
        <v>0.84729699999999997</v>
      </c>
      <c r="H20" s="99">
        <v>0</v>
      </c>
    </row>
    <row r="21" spans="1:8">
      <c r="A21" s="5">
        <v>44227</v>
      </c>
      <c r="B21" s="5" t="s">
        <v>16385</v>
      </c>
      <c r="C21" s="183">
        <v>25</v>
      </c>
      <c r="D21" s="5" t="s">
        <v>16404</v>
      </c>
      <c r="E21" s="140">
        <v>0.90593999999999997</v>
      </c>
      <c r="F21" s="140">
        <v>0.68502600000000002</v>
      </c>
      <c r="H21" s="99">
        <v>0</v>
      </c>
    </row>
    <row r="22" spans="1:8">
      <c r="A22" s="5">
        <v>44227</v>
      </c>
      <c r="B22" s="5" t="s">
        <v>16385</v>
      </c>
      <c r="C22" s="183">
        <v>26</v>
      </c>
      <c r="D22" s="5" t="s">
        <v>16405</v>
      </c>
      <c r="E22" s="140">
        <v>0.76199300000000003</v>
      </c>
      <c r="F22" s="140">
        <v>0.76465000000000005</v>
      </c>
      <c r="H22" s="99">
        <v>0</v>
      </c>
    </row>
    <row r="23" spans="1:8">
      <c r="A23" s="5">
        <v>44227</v>
      </c>
      <c r="B23" s="5" t="s">
        <v>16385</v>
      </c>
      <c r="C23" s="183">
        <v>27</v>
      </c>
      <c r="D23" s="5" t="s">
        <v>16406</v>
      </c>
      <c r="E23" s="140">
        <v>1.0499080000000001</v>
      </c>
      <c r="F23" s="140">
        <v>0.98670199999999997</v>
      </c>
      <c r="H23" s="99">
        <v>0</v>
      </c>
    </row>
    <row r="24" spans="1:8">
      <c r="A24" s="5">
        <v>44227</v>
      </c>
      <c r="B24" s="5" t="s">
        <v>16385</v>
      </c>
      <c r="C24" s="183">
        <v>99</v>
      </c>
      <c r="D24" s="5" t="s">
        <v>16407</v>
      </c>
      <c r="H24" s="2">
        <v>0</v>
      </c>
    </row>
    <row r="25" spans="1:8">
      <c r="A25" s="5">
        <v>44227</v>
      </c>
      <c r="B25" s="5" t="s">
        <v>862</v>
      </c>
      <c r="C25" s="183">
        <v>6</v>
      </c>
      <c r="D25" s="5" t="s">
        <v>16408</v>
      </c>
      <c r="H25" s="2">
        <v>0</v>
      </c>
    </row>
    <row r="26" spans="1:8">
      <c r="A26" s="5">
        <v>44227</v>
      </c>
      <c r="B26" s="5" t="s">
        <v>862</v>
      </c>
      <c r="C26" s="183">
        <v>12</v>
      </c>
      <c r="D26" s="5" t="s">
        <v>16409</v>
      </c>
      <c r="E26" s="140">
        <v>1.0912649999999999</v>
      </c>
      <c r="F26" s="140">
        <v>0.86354500000000001</v>
      </c>
      <c r="H26" s="2">
        <v>0</v>
      </c>
    </row>
    <row r="27" spans="1:8">
      <c r="A27" s="5">
        <v>44227</v>
      </c>
      <c r="B27" s="5" t="s">
        <v>862</v>
      </c>
      <c r="C27" s="183">
        <v>14</v>
      </c>
      <c r="D27" s="5" t="s">
        <v>16410</v>
      </c>
      <c r="H27" s="2">
        <v>0</v>
      </c>
    </row>
    <row r="28" spans="1:8">
      <c r="A28" s="5">
        <v>44227</v>
      </c>
      <c r="B28" s="5" t="s">
        <v>862</v>
      </c>
      <c r="C28" s="183">
        <v>15</v>
      </c>
      <c r="D28" s="5" t="s">
        <v>16411</v>
      </c>
      <c r="E28" s="140">
        <v>1.000005</v>
      </c>
      <c r="F28" s="140">
        <v>0.95601000000000003</v>
      </c>
      <c r="H28" s="2">
        <v>0</v>
      </c>
    </row>
    <row r="29" spans="1:8">
      <c r="A29" s="5">
        <v>44227</v>
      </c>
      <c r="B29" s="5" t="s">
        <v>862</v>
      </c>
      <c r="C29" s="183">
        <v>16</v>
      </c>
      <c r="D29" s="5" t="s">
        <v>16412</v>
      </c>
      <c r="H29" s="2">
        <v>0</v>
      </c>
    </row>
    <row r="30" spans="1:8">
      <c r="A30" s="5">
        <v>44227</v>
      </c>
      <c r="B30" s="5" t="s">
        <v>862</v>
      </c>
      <c r="C30" s="183">
        <v>24</v>
      </c>
      <c r="D30" s="5" t="s">
        <v>16413</v>
      </c>
      <c r="E30" s="140">
        <v>0.99883999999999995</v>
      </c>
      <c r="F30" s="140">
        <v>0.98412999999999995</v>
      </c>
      <c r="H30" s="2">
        <v>0</v>
      </c>
    </row>
    <row r="31" spans="1:8">
      <c r="A31" s="5">
        <v>44227</v>
      </c>
      <c r="B31" s="5" t="s">
        <v>862</v>
      </c>
      <c r="C31" s="183">
        <v>26</v>
      </c>
      <c r="D31" s="5" t="s">
        <v>16414</v>
      </c>
      <c r="E31" s="140">
        <v>0.75994399999999995</v>
      </c>
      <c r="F31" s="140">
        <v>0.79212499999999997</v>
      </c>
      <c r="H31" s="2">
        <v>0</v>
      </c>
    </row>
    <row r="32" spans="1:8">
      <c r="A32" s="5">
        <v>44227</v>
      </c>
      <c r="B32" s="5" t="s">
        <v>862</v>
      </c>
      <c r="C32" s="183">
        <v>27</v>
      </c>
      <c r="D32" s="5" t="s">
        <v>16415</v>
      </c>
      <c r="E32" s="140">
        <v>0.94811900000000005</v>
      </c>
      <c r="F32" s="140">
        <v>0.71742799999999995</v>
      </c>
      <c r="H32" s="2">
        <v>0</v>
      </c>
    </row>
    <row r="33" spans="1:8">
      <c r="A33" s="5">
        <v>44227</v>
      </c>
      <c r="B33" s="5" t="s">
        <v>862</v>
      </c>
      <c r="C33" s="183">
        <v>28</v>
      </c>
      <c r="D33" s="5" t="s">
        <v>16416</v>
      </c>
      <c r="H33" s="2">
        <v>0</v>
      </c>
    </row>
    <row r="34" spans="1:8">
      <c r="A34" s="5">
        <v>44227</v>
      </c>
      <c r="B34" s="5" t="s">
        <v>862</v>
      </c>
      <c r="C34" s="183">
        <v>29</v>
      </c>
      <c r="D34" s="5" t="s">
        <v>13161</v>
      </c>
      <c r="E34" s="140">
        <v>0.85184400000000005</v>
      </c>
      <c r="F34" s="140">
        <v>0.68889500000000004</v>
      </c>
      <c r="H34" s="2">
        <v>0</v>
      </c>
    </row>
    <row r="35" spans="1:8">
      <c r="A35" s="5">
        <v>44227</v>
      </c>
      <c r="B35" s="5" t="s">
        <v>862</v>
      </c>
      <c r="C35" s="183">
        <v>31</v>
      </c>
      <c r="D35" s="5" t="s">
        <v>16417</v>
      </c>
      <c r="E35" s="140">
        <v>0.91972600000000004</v>
      </c>
      <c r="F35" s="140">
        <v>0.87422299999999997</v>
      </c>
      <c r="H35" s="2">
        <v>0</v>
      </c>
    </row>
    <row r="36" spans="1:8">
      <c r="A36" s="5">
        <v>44227</v>
      </c>
      <c r="B36" s="5" t="s">
        <v>862</v>
      </c>
      <c r="C36" s="183">
        <v>37</v>
      </c>
      <c r="D36" s="5" t="s">
        <v>16418</v>
      </c>
      <c r="E36" s="140">
        <v>0.93199500000000002</v>
      </c>
      <c r="F36" s="140">
        <v>0.78732100000000005</v>
      </c>
      <c r="H36" s="2">
        <v>0</v>
      </c>
    </row>
    <row r="37" spans="1:8">
      <c r="A37" s="5">
        <v>44227</v>
      </c>
      <c r="B37" s="5" t="s">
        <v>862</v>
      </c>
      <c r="C37" s="183">
        <v>41</v>
      </c>
      <c r="D37" s="5" t="s">
        <v>16419</v>
      </c>
      <c r="E37" s="140">
        <v>0.833789</v>
      </c>
      <c r="F37" s="140">
        <v>0.77223200000000003</v>
      </c>
      <c r="H37" s="2">
        <v>0</v>
      </c>
    </row>
    <row r="38" spans="1:8">
      <c r="A38" s="5">
        <v>44227</v>
      </c>
      <c r="B38" s="5" t="s">
        <v>862</v>
      </c>
      <c r="C38" s="183">
        <v>42</v>
      </c>
      <c r="D38" s="5" t="s">
        <v>16420</v>
      </c>
      <c r="E38" s="140">
        <v>0.91225599999999996</v>
      </c>
      <c r="F38" s="140">
        <v>0.91651099999999996</v>
      </c>
      <c r="H38" s="2">
        <v>0</v>
      </c>
    </row>
    <row r="39" spans="1:8">
      <c r="A39" s="5">
        <v>44227</v>
      </c>
      <c r="B39" s="5" t="s">
        <v>862</v>
      </c>
      <c r="C39" s="183">
        <v>43</v>
      </c>
      <c r="D39" s="5" t="s">
        <v>16421</v>
      </c>
      <c r="E39" s="140">
        <v>1.0602990000000001</v>
      </c>
      <c r="F39" s="140">
        <v>0.92957000000000001</v>
      </c>
      <c r="H39" s="2">
        <v>0</v>
      </c>
    </row>
    <row r="40" spans="1:8">
      <c r="A40" s="5">
        <v>44227</v>
      </c>
      <c r="B40" s="5" t="s">
        <v>862</v>
      </c>
      <c r="C40" s="183">
        <v>50</v>
      </c>
      <c r="D40" s="5" t="s">
        <v>16422</v>
      </c>
      <c r="H40" s="2">
        <v>0</v>
      </c>
    </row>
    <row r="41" spans="1:8">
      <c r="A41" s="5">
        <v>44227</v>
      </c>
      <c r="B41" s="5" t="s">
        <v>862</v>
      </c>
      <c r="C41" s="183">
        <v>56</v>
      </c>
      <c r="D41" s="5" t="s">
        <v>16423</v>
      </c>
      <c r="E41" s="140">
        <v>0.92226200000000003</v>
      </c>
      <c r="F41" s="140">
        <v>0.858653</v>
      </c>
      <c r="H41" s="2">
        <v>0</v>
      </c>
    </row>
    <row r="42" spans="1:8">
      <c r="A42" s="5">
        <v>44227</v>
      </c>
      <c r="B42" s="5" t="s">
        <v>862</v>
      </c>
      <c r="C42" s="183">
        <v>58</v>
      </c>
      <c r="D42" s="5" t="s">
        <v>16424</v>
      </c>
      <c r="E42" s="140">
        <v>0.80562100000000003</v>
      </c>
      <c r="F42" s="140">
        <v>0.70436299999999996</v>
      </c>
      <c r="H42" s="2">
        <v>0</v>
      </c>
    </row>
    <row r="43" spans="1:8">
      <c r="A43" s="5">
        <v>44227</v>
      </c>
      <c r="B43" s="5" t="s">
        <v>862</v>
      </c>
      <c r="C43" s="183">
        <v>62</v>
      </c>
      <c r="D43" s="5" t="s">
        <v>16425</v>
      </c>
      <c r="E43" s="140">
        <v>0.94954300000000003</v>
      </c>
      <c r="F43" s="140">
        <v>0.60139799999999999</v>
      </c>
      <c r="H43" s="2">
        <v>0</v>
      </c>
    </row>
    <row r="44" spans="1:8">
      <c r="A44" s="5">
        <v>44227</v>
      </c>
      <c r="B44" s="5" t="s">
        <v>862</v>
      </c>
      <c r="C44" s="183">
        <v>63</v>
      </c>
      <c r="D44" s="5" t="s">
        <v>16426</v>
      </c>
      <c r="E44" s="140">
        <v>0.87709099999999995</v>
      </c>
      <c r="F44" s="140">
        <v>0.75782099999999997</v>
      </c>
      <c r="H44" s="2">
        <v>0</v>
      </c>
    </row>
    <row r="45" spans="1:8">
      <c r="A45" s="5">
        <v>44227</v>
      </c>
      <c r="B45" s="5" t="s">
        <v>862</v>
      </c>
      <c r="C45" s="183">
        <v>65</v>
      </c>
      <c r="D45" s="5" t="s">
        <v>16389</v>
      </c>
      <c r="E45" s="140">
        <v>1.013989</v>
      </c>
      <c r="F45" s="140">
        <v>0.90278400000000003</v>
      </c>
      <c r="H45" s="2">
        <v>0</v>
      </c>
    </row>
    <row r="46" spans="1:8">
      <c r="A46" s="5">
        <v>44227</v>
      </c>
      <c r="B46" s="5" t="s">
        <v>862</v>
      </c>
      <c r="C46" s="183">
        <v>66</v>
      </c>
      <c r="D46" s="5" t="s">
        <v>16427</v>
      </c>
      <c r="E46" s="140">
        <v>0.99116599999999999</v>
      </c>
      <c r="F46" s="140">
        <v>0.85893699999999995</v>
      </c>
      <c r="H46" s="2">
        <v>0</v>
      </c>
    </row>
    <row r="47" spans="1:8">
      <c r="A47" s="5">
        <v>44227</v>
      </c>
      <c r="B47" s="5" t="s">
        <v>862</v>
      </c>
      <c r="C47" s="183">
        <v>67</v>
      </c>
      <c r="D47" s="5" t="s">
        <v>16428</v>
      </c>
      <c r="E47" s="140">
        <v>1.1064940000000001</v>
      </c>
      <c r="F47" s="140">
        <v>0.84878600000000004</v>
      </c>
      <c r="H47" s="2">
        <v>0</v>
      </c>
    </row>
    <row r="48" spans="1:8">
      <c r="A48" s="5">
        <v>44227</v>
      </c>
      <c r="B48" s="5" t="s">
        <v>862</v>
      </c>
      <c r="C48" s="183">
        <v>68</v>
      </c>
      <c r="D48" s="5" t="s">
        <v>16429</v>
      </c>
      <c r="E48" s="140">
        <v>0.95977699999999999</v>
      </c>
      <c r="F48" s="140">
        <v>0.85651699999999997</v>
      </c>
      <c r="H48" s="2">
        <v>0</v>
      </c>
    </row>
    <row r="49" spans="1:8">
      <c r="A49" s="5">
        <v>44227</v>
      </c>
      <c r="B49" s="5" t="s">
        <v>862</v>
      </c>
      <c r="C49" s="183">
        <v>70</v>
      </c>
      <c r="D49" s="5" t="s">
        <v>16430</v>
      </c>
      <c r="E49" s="140">
        <v>1.0694619999999999</v>
      </c>
      <c r="F49" s="140">
        <v>0.91642299999999999</v>
      </c>
      <c r="H49" s="2">
        <v>0</v>
      </c>
    </row>
    <row r="50" spans="1:8">
      <c r="A50" s="5">
        <v>44227</v>
      </c>
      <c r="B50" s="5" t="s">
        <v>862</v>
      </c>
      <c r="C50" s="183">
        <v>72</v>
      </c>
      <c r="D50" s="5" t="s">
        <v>16431</v>
      </c>
      <c r="E50" s="140">
        <v>1.048192</v>
      </c>
      <c r="F50" s="140">
        <v>0.87351400000000001</v>
      </c>
      <c r="H50" s="2">
        <v>0</v>
      </c>
    </row>
    <row r="51" spans="1:8">
      <c r="A51" s="5">
        <v>44227</v>
      </c>
      <c r="B51" s="5" t="s">
        <v>862</v>
      </c>
      <c r="C51" s="183">
        <v>74</v>
      </c>
      <c r="D51" s="5" t="s">
        <v>16432</v>
      </c>
      <c r="E51" s="140">
        <v>0.98389199999999999</v>
      </c>
      <c r="F51" s="140">
        <v>0.90667500000000001</v>
      </c>
      <c r="H51" s="2">
        <v>0</v>
      </c>
    </row>
    <row r="52" spans="1:8">
      <c r="A52" s="5">
        <v>44227</v>
      </c>
      <c r="B52" s="5" t="s">
        <v>862</v>
      </c>
      <c r="C52" s="183">
        <v>75</v>
      </c>
      <c r="D52" s="5" t="s">
        <v>16433</v>
      </c>
      <c r="E52" s="140">
        <v>0.99178500000000003</v>
      </c>
      <c r="F52" s="140">
        <v>0.62787599999999999</v>
      </c>
      <c r="H52" s="2">
        <v>0</v>
      </c>
    </row>
    <row r="53" spans="1:8">
      <c r="A53" s="5">
        <v>44227</v>
      </c>
      <c r="B53" s="5" t="s">
        <v>862</v>
      </c>
      <c r="C53" s="183">
        <v>77</v>
      </c>
      <c r="D53" s="5" t="s">
        <v>16434</v>
      </c>
      <c r="E53" s="140">
        <v>0.73133800000000004</v>
      </c>
      <c r="F53" s="140">
        <v>0.64168899999999995</v>
      </c>
      <c r="H53" s="2">
        <v>0</v>
      </c>
    </row>
    <row r="54" spans="1:8">
      <c r="A54" s="5">
        <v>44227</v>
      </c>
      <c r="B54" s="5" t="s">
        <v>862</v>
      </c>
      <c r="C54" s="183">
        <v>151</v>
      </c>
      <c r="D54" s="5" t="s">
        <v>16435</v>
      </c>
      <c r="E54" s="140">
        <v>0.80472500000000002</v>
      </c>
      <c r="F54" s="140">
        <v>0.78273499999999996</v>
      </c>
      <c r="H54" s="2">
        <v>0</v>
      </c>
    </row>
    <row r="55" spans="1:8">
      <c r="A55" s="5">
        <v>44227</v>
      </c>
      <c r="B55" s="5" t="s">
        <v>862</v>
      </c>
      <c r="C55" s="183">
        <v>152</v>
      </c>
      <c r="D55" s="5" t="s">
        <v>16436</v>
      </c>
      <c r="E55" s="140">
        <v>0.84362999999999999</v>
      </c>
      <c r="F55" s="140">
        <v>0.70850800000000003</v>
      </c>
      <c r="H55" s="2">
        <v>0</v>
      </c>
    </row>
    <row r="56" spans="1:8">
      <c r="A56" s="5">
        <v>44227</v>
      </c>
      <c r="B56" s="5" t="s">
        <v>862</v>
      </c>
      <c r="C56" s="183">
        <v>153</v>
      </c>
      <c r="D56" s="5" t="s">
        <v>16437</v>
      </c>
      <c r="E56" s="140">
        <v>0.86443000000000003</v>
      </c>
      <c r="F56" s="140">
        <v>0.746529</v>
      </c>
      <c r="H56" s="2">
        <v>0</v>
      </c>
    </row>
    <row r="57" spans="1:8">
      <c r="A57" s="5">
        <v>44227</v>
      </c>
      <c r="B57" s="5" t="s">
        <v>862</v>
      </c>
      <c r="C57" s="183">
        <v>154</v>
      </c>
      <c r="D57" s="5" t="s">
        <v>16438</v>
      </c>
      <c r="E57" s="140">
        <v>0.885849</v>
      </c>
      <c r="F57" s="140">
        <v>0.81365100000000001</v>
      </c>
      <c r="H57" s="2">
        <v>0</v>
      </c>
    </row>
    <row r="58" spans="1:8">
      <c r="A58" s="5">
        <v>44227</v>
      </c>
      <c r="B58" s="5" t="s">
        <v>862</v>
      </c>
      <c r="C58" s="183">
        <v>155</v>
      </c>
      <c r="D58" s="5" t="s">
        <v>16439</v>
      </c>
      <c r="E58" s="140">
        <v>0.94774000000000003</v>
      </c>
      <c r="F58" s="140">
        <v>0.90307499999999996</v>
      </c>
      <c r="H58" s="2">
        <v>0</v>
      </c>
    </row>
    <row r="59" spans="1:8">
      <c r="A59" s="5">
        <v>44227</v>
      </c>
      <c r="B59" s="5" t="s">
        <v>862</v>
      </c>
      <c r="C59" s="183">
        <v>156</v>
      </c>
      <c r="D59" s="5" t="s">
        <v>16440</v>
      </c>
      <c r="E59" s="140">
        <v>0.91606799999999999</v>
      </c>
      <c r="F59" s="140">
        <v>0.77116499999999999</v>
      </c>
      <c r="H59" s="2">
        <v>0</v>
      </c>
    </row>
    <row r="60" spans="1:8">
      <c r="A60" s="5">
        <v>44227</v>
      </c>
      <c r="B60" s="2" t="s">
        <v>862</v>
      </c>
      <c r="C60" s="183">
        <v>157</v>
      </c>
      <c r="D60" s="2" t="s">
        <v>16441</v>
      </c>
      <c r="E60" s="140">
        <v>0.93679400000000002</v>
      </c>
      <c r="F60" s="140">
        <v>0.75240899999999999</v>
      </c>
      <c r="H60" s="2">
        <v>0</v>
      </c>
    </row>
    <row r="61" spans="1:8">
      <c r="A61" s="5">
        <v>44227</v>
      </c>
      <c r="B61" s="2" t="s">
        <v>862</v>
      </c>
      <c r="C61" s="183">
        <v>158</v>
      </c>
      <c r="D61" s="2" t="s">
        <v>16442</v>
      </c>
      <c r="E61" s="140">
        <v>0.87976600000000005</v>
      </c>
      <c r="F61" s="140">
        <v>0.81984999999999997</v>
      </c>
      <c r="H61" s="2">
        <v>0</v>
      </c>
    </row>
    <row r="62" spans="1:8">
      <c r="A62" s="5">
        <v>44227</v>
      </c>
      <c r="B62" s="2" t="s">
        <v>862</v>
      </c>
      <c r="C62" s="183">
        <v>159</v>
      </c>
      <c r="D62" s="2" t="s">
        <v>4685</v>
      </c>
      <c r="E62" s="140">
        <v>1.1127670000000001</v>
      </c>
      <c r="F62" s="140">
        <v>0.885602</v>
      </c>
      <c r="H62" s="2">
        <v>0</v>
      </c>
    </row>
    <row r="63" spans="1:8">
      <c r="A63" s="5">
        <v>44227</v>
      </c>
      <c r="B63" s="2" t="s">
        <v>862</v>
      </c>
      <c r="C63" s="183">
        <v>160</v>
      </c>
      <c r="D63" s="2" t="s">
        <v>4280</v>
      </c>
      <c r="E63" s="140">
        <v>1.0573079999999999</v>
      </c>
      <c r="F63" s="140">
        <v>0.92567999999999995</v>
      </c>
      <c r="H63" s="2">
        <v>0</v>
      </c>
    </row>
  </sheetData>
  <phoneticPr fontId="3" type="noConversion"/>
  <conditionalFormatting sqref="A2">
    <cfRule type="expression" dxfId="469" priority="406">
      <formula>$H2=1</formula>
    </cfRule>
  </conditionalFormatting>
  <conditionalFormatting sqref="B2">
    <cfRule type="expression" dxfId="468" priority="405">
      <formula>$H2=1</formula>
    </cfRule>
  </conditionalFormatting>
  <conditionalFormatting sqref="C2">
    <cfRule type="expression" dxfId="467" priority="404">
      <formula>$H2=1</formula>
    </cfRule>
  </conditionalFormatting>
  <conditionalFormatting sqref="D2">
    <cfRule type="expression" dxfId="466" priority="403">
      <formula>$H2=1</formula>
    </cfRule>
  </conditionalFormatting>
  <conditionalFormatting sqref="E2">
    <cfRule type="expression" dxfId="465" priority="402">
      <formula>$H2=1</formula>
    </cfRule>
  </conditionalFormatting>
  <conditionalFormatting sqref="F2">
    <cfRule type="expression" dxfId="464" priority="401">
      <formula>$H2=1</formula>
    </cfRule>
  </conditionalFormatting>
  <conditionalFormatting sqref="G2">
    <cfRule type="expression" dxfId="463" priority="400">
      <formula>$H2=1</formula>
    </cfRule>
  </conditionalFormatting>
  <conditionalFormatting sqref="A3">
    <cfRule type="expression" dxfId="462" priority="399">
      <formula>$H3=1</formula>
    </cfRule>
  </conditionalFormatting>
  <conditionalFormatting sqref="B3">
    <cfRule type="expression" dxfId="461" priority="398">
      <formula>$H3=1</formula>
    </cfRule>
  </conditionalFormatting>
  <conditionalFormatting sqref="C3">
    <cfRule type="expression" dxfId="460" priority="397">
      <formula>$H3=1</formula>
    </cfRule>
  </conditionalFormatting>
  <conditionalFormatting sqref="D3">
    <cfRule type="expression" dxfId="459" priority="396">
      <formula>$H3=1</formula>
    </cfRule>
  </conditionalFormatting>
  <conditionalFormatting sqref="E3">
    <cfRule type="expression" dxfId="458" priority="395">
      <formula>$H3=1</formula>
    </cfRule>
  </conditionalFormatting>
  <conditionalFormatting sqref="F3">
    <cfRule type="expression" dxfId="457" priority="394">
      <formula>$H3=1</formula>
    </cfRule>
  </conditionalFormatting>
  <conditionalFormatting sqref="G3">
    <cfRule type="expression" dxfId="456" priority="393">
      <formula>$H3=1</formula>
    </cfRule>
  </conditionalFormatting>
  <conditionalFormatting sqref="A4">
    <cfRule type="expression" dxfId="455" priority="392">
      <formula>$H4=1</formula>
    </cfRule>
  </conditionalFormatting>
  <conditionalFormatting sqref="B4">
    <cfRule type="expression" dxfId="454" priority="391">
      <formula>$H4=1</formula>
    </cfRule>
  </conditionalFormatting>
  <conditionalFormatting sqref="C4">
    <cfRule type="expression" dxfId="453" priority="390">
      <formula>$H4=1</formula>
    </cfRule>
  </conditionalFormatting>
  <conditionalFormatting sqref="D4">
    <cfRule type="expression" dxfId="452" priority="389">
      <formula>$H4=1</formula>
    </cfRule>
  </conditionalFormatting>
  <conditionalFormatting sqref="E4">
    <cfRule type="expression" dxfId="451" priority="388">
      <formula>$H4=1</formula>
    </cfRule>
  </conditionalFormatting>
  <conditionalFormatting sqref="F4">
    <cfRule type="expression" dxfId="450" priority="387">
      <formula>$H4=1</formula>
    </cfRule>
  </conditionalFormatting>
  <conditionalFormatting sqref="G4">
    <cfRule type="expression" dxfId="449" priority="386">
      <formula>$H4=1</formula>
    </cfRule>
  </conditionalFormatting>
  <conditionalFormatting sqref="A5">
    <cfRule type="expression" dxfId="448" priority="385">
      <formula>$H5=1</formula>
    </cfRule>
  </conditionalFormatting>
  <conditionalFormatting sqref="B5">
    <cfRule type="expression" dxfId="447" priority="384">
      <formula>$H5=1</formula>
    </cfRule>
  </conditionalFormatting>
  <conditionalFormatting sqref="C5">
    <cfRule type="expression" dxfId="446" priority="383">
      <formula>$H5=1</formula>
    </cfRule>
  </conditionalFormatting>
  <conditionalFormatting sqref="D5">
    <cfRule type="expression" dxfId="445" priority="382">
      <formula>$H5=1</formula>
    </cfRule>
  </conditionalFormatting>
  <conditionalFormatting sqref="E5">
    <cfRule type="expression" dxfId="444" priority="381">
      <formula>$H5=1</formula>
    </cfRule>
  </conditionalFormatting>
  <conditionalFormatting sqref="F5">
    <cfRule type="expression" dxfId="443" priority="380">
      <formula>$H5=1</formula>
    </cfRule>
  </conditionalFormatting>
  <conditionalFormatting sqref="G5">
    <cfRule type="expression" dxfId="442" priority="379">
      <formula>$H5=1</formula>
    </cfRule>
  </conditionalFormatting>
  <conditionalFormatting sqref="A6">
    <cfRule type="expression" dxfId="441" priority="378">
      <formula>$H6=1</formula>
    </cfRule>
  </conditionalFormatting>
  <conditionalFormatting sqref="B6">
    <cfRule type="expression" dxfId="440" priority="377">
      <formula>$H6=1</formula>
    </cfRule>
  </conditionalFormatting>
  <conditionalFormatting sqref="C6">
    <cfRule type="expression" dxfId="439" priority="376">
      <formula>$H6=1</formula>
    </cfRule>
  </conditionalFormatting>
  <conditionalFormatting sqref="D6">
    <cfRule type="expression" dxfId="438" priority="375">
      <formula>$H6=1</formula>
    </cfRule>
  </conditionalFormatting>
  <conditionalFormatting sqref="E6">
    <cfRule type="expression" dxfId="437" priority="374">
      <formula>$H6=1</formula>
    </cfRule>
  </conditionalFormatting>
  <conditionalFormatting sqref="F6">
    <cfRule type="expression" dxfId="436" priority="373">
      <formula>$H6=1</formula>
    </cfRule>
  </conditionalFormatting>
  <conditionalFormatting sqref="G6">
    <cfRule type="expression" dxfId="435" priority="372">
      <formula>$H6=1</formula>
    </cfRule>
  </conditionalFormatting>
  <conditionalFormatting sqref="A7">
    <cfRule type="expression" dxfId="434" priority="371">
      <formula>$H7=1</formula>
    </cfRule>
  </conditionalFormatting>
  <conditionalFormatting sqref="B7">
    <cfRule type="expression" dxfId="433" priority="370">
      <formula>$H7=1</formula>
    </cfRule>
  </conditionalFormatting>
  <conditionalFormatting sqref="C7">
    <cfRule type="expression" dxfId="432" priority="369">
      <formula>$H7=1</formula>
    </cfRule>
  </conditionalFormatting>
  <conditionalFormatting sqref="D7">
    <cfRule type="expression" dxfId="431" priority="368">
      <formula>$H7=1</formula>
    </cfRule>
  </conditionalFormatting>
  <conditionalFormatting sqref="E7">
    <cfRule type="expression" dxfId="430" priority="367">
      <formula>$H7=1</formula>
    </cfRule>
  </conditionalFormatting>
  <conditionalFormatting sqref="F7">
    <cfRule type="expression" dxfId="429" priority="366">
      <formula>$H7=1</formula>
    </cfRule>
  </conditionalFormatting>
  <conditionalFormatting sqref="G7">
    <cfRule type="expression" dxfId="428" priority="365">
      <formula>$H7=1</formula>
    </cfRule>
  </conditionalFormatting>
  <conditionalFormatting sqref="A8">
    <cfRule type="expression" dxfId="427" priority="364">
      <formula>$H8=1</formula>
    </cfRule>
  </conditionalFormatting>
  <conditionalFormatting sqref="B8">
    <cfRule type="expression" dxfId="426" priority="363">
      <formula>$H8=1</formula>
    </cfRule>
  </conditionalFormatting>
  <conditionalFormatting sqref="C8">
    <cfRule type="expression" dxfId="425" priority="362">
      <formula>$H8=1</formula>
    </cfRule>
  </conditionalFormatting>
  <conditionalFormatting sqref="D8">
    <cfRule type="expression" dxfId="424" priority="361">
      <formula>$H8=1</formula>
    </cfRule>
  </conditionalFormatting>
  <conditionalFormatting sqref="E8">
    <cfRule type="expression" dxfId="423" priority="360">
      <formula>$H8=1</formula>
    </cfRule>
  </conditionalFormatting>
  <conditionalFormatting sqref="F8">
    <cfRule type="expression" dxfId="422" priority="359">
      <formula>$H8=1</formula>
    </cfRule>
  </conditionalFormatting>
  <conditionalFormatting sqref="G8">
    <cfRule type="expression" dxfId="421" priority="358">
      <formula>$H8=1</formula>
    </cfRule>
  </conditionalFormatting>
  <conditionalFormatting sqref="A9">
    <cfRule type="expression" dxfId="420" priority="357">
      <formula>$H9=1</formula>
    </cfRule>
  </conditionalFormatting>
  <conditionalFormatting sqref="B9">
    <cfRule type="expression" dxfId="419" priority="356">
      <formula>$H9=1</formula>
    </cfRule>
  </conditionalFormatting>
  <conditionalFormatting sqref="C9">
    <cfRule type="expression" dxfId="418" priority="355">
      <formula>$H9=1</formula>
    </cfRule>
  </conditionalFormatting>
  <conditionalFormatting sqref="D9">
    <cfRule type="expression" dxfId="417" priority="354">
      <formula>$H9=1</formula>
    </cfRule>
  </conditionalFormatting>
  <conditionalFormatting sqref="E9">
    <cfRule type="expression" dxfId="416" priority="353">
      <formula>$H9=1</formula>
    </cfRule>
  </conditionalFormatting>
  <conditionalFormatting sqref="F9">
    <cfRule type="expression" dxfId="415" priority="352">
      <formula>$H9=1</formula>
    </cfRule>
  </conditionalFormatting>
  <conditionalFormatting sqref="G9">
    <cfRule type="expression" dxfId="414" priority="351">
      <formula>$H9=1</formula>
    </cfRule>
  </conditionalFormatting>
  <conditionalFormatting sqref="A10">
    <cfRule type="expression" dxfId="413" priority="350">
      <formula>$H10=1</formula>
    </cfRule>
  </conditionalFormatting>
  <conditionalFormatting sqref="B10">
    <cfRule type="expression" dxfId="412" priority="349">
      <formula>$H10=1</formula>
    </cfRule>
  </conditionalFormatting>
  <conditionalFormatting sqref="C10">
    <cfRule type="expression" dxfId="411" priority="348">
      <formula>$H10=1</formula>
    </cfRule>
  </conditionalFormatting>
  <conditionalFormatting sqref="D10">
    <cfRule type="expression" dxfId="410" priority="347">
      <formula>$H10=1</formula>
    </cfRule>
  </conditionalFormatting>
  <conditionalFormatting sqref="E10">
    <cfRule type="expression" dxfId="409" priority="346">
      <formula>$H10=1</formula>
    </cfRule>
  </conditionalFormatting>
  <conditionalFormatting sqref="F10">
    <cfRule type="expression" dxfId="408" priority="345">
      <formula>$H10=1</formula>
    </cfRule>
  </conditionalFormatting>
  <conditionalFormatting sqref="G10">
    <cfRule type="expression" dxfId="407" priority="344">
      <formula>$H10=1</formula>
    </cfRule>
  </conditionalFormatting>
  <conditionalFormatting sqref="A11">
    <cfRule type="expression" dxfId="406" priority="343">
      <formula>$H11=1</formula>
    </cfRule>
  </conditionalFormatting>
  <conditionalFormatting sqref="B11">
    <cfRule type="expression" dxfId="405" priority="342">
      <formula>$H11=1</formula>
    </cfRule>
  </conditionalFormatting>
  <conditionalFormatting sqref="C11">
    <cfRule type="expression" dxfId="404" priority="341">
      <formula>$H11=1</formula>
    </cfRule>
  </conditionalFormatting>
  <conditionalFormatting sqref="D11">
    <cfRule type="expression" dxfId="403" priority="340">
      <formula>$H11=1</formula>
    </cfRule>
  </conditionalFormatting>
  <conditionalFormatting sqref="E11">
    <cfRule type="expression" dxfId="402" priority="339">
      <formula>$H11=1</formula>
    </cfRule>
  </conditionalFormatting>
  <conditionalFormatting sqref="F11">
    <cfRule type="expression" dxfId="401" priority="338">
      <formula>$H11=1</formula>
    </cfRule>
  </conditionalFormatting>
  <conditionalFormatting sqref="G11">
    <cfRule type="expression" dxfId="400" priority="337">
      <formula>$H11=1</formula>
    </cfRule>
  </conditionalFormatting>
  <conditionalFormatting sqref="A12">
    <cfRule type="expression" dxfId="399" priority="336">
      <formula>$H12=1</formula>
    </cfRule>
  </conditionalFormatting>
  <conditionalFormatting sqref="B12">
    <cfRule type="expression" dxfId="398" priority="335">
      <formula>$H12=1</formula>
    </cfRule>
  </conditionalFormatting>
  <conditionalFormatting sqref="C12">
    <cfRule type="expression" dxfId="397" priority="334">
      <formula>$H12=1</formula>
    </cfRule>
  </conditionalFormatting>
  <conditionalFormatting sqref="D12">
    <cfRule type="expression" dxfId="396" priority="333">
      <formula>$H12=1</formula>
    </cfRule>
  </conditionalFormatting>
  <conditionalFormatting sqref="E12">
    <cfRule type="expression" dxfId="395" priority="332">
      <formula>$H12=1</formula>
    </cfRule>
  </conditionalFormatting>
  <conditionalFormatting sqref="F12">
    <cfRule type="expression" dxfId="394" priority="331">
      <formula>$H12=1</formula>
    </cfRule>
  </conditionalFormatting>
  <conditionalFormatting sqref="G12">
    <cfRule type="expression" dxfId="393" priority="330">
      <formula>$H12=1</formula>
    </cfRule>
  </conditionalFormatting>
  <conditionalFormatting sqref="A13">
    <cfRule type="expression" dxfId="392" priority="329">
      <formula>$H13=1</formula>
    </cfRule>
  </conditionalFormatting>
  <conditionalFormatting sqref="B13">
    <cfRule type="expression" dxfId="391" priority="328">
      <formula>$H13=1</formula>
    </cfRule>
  </conditionalFormatting>
  <conditionalFormatting sqref="C13">
    <cfRule type="expression" dxfId="390" priority="327">
      <formula>$H13=1</formula>
    </cfRule>
  </conditionalFormatting>
  <conditionalFormatting sqref="D13">
    <cfRule type="expression" dxfId="389" priority="326">
      <formula>$H13=1</formula>
    </cfRule>
  </conditionalFormatting>
  <conditionalFormatting sqref="E13">
    <cfRule type="expression" dxfId="388" priority="325">
      <formula>$H13=1</formula>
    </cfRule>
  </conditionalFormatting>
  <conditionalFormatting sqref="F13">
    <cfRule type="expression" dxfId="387" priority="324">
      <formula>$H13=1</formula>
    </cfRule>
  </conditionalFormatting>
  <conditionalFormatting sqref="G13">
    <cfRule type="expression" dxfId="386" priority="323">
      <formula>$H13=1</formula>
    </cfRule>
  </conditionalFormatting>
  <conditionalFormatting sqref="A14">
    <cfRule type="expression" dxfId="385" priority="322">
      <formula>$H14=1</formula>
    </cfRule>
  </conditionalFormatting>
  <conditionalFormatting sqref="B14">
    <cfRule type="expression" dxfId="384" priority="321">
      <formula>$H14=1</formula>
    </cfRule>
  </conditionalFormatting>
  <conditionalFormatting sqref="C14">
    <cfRule type="expression" dxfId="383" priority="320">
      <formula>$H14=1</formula>
    </cfRule>
  </conditionalFormatting>
  <conditionalFormatting sqref="D14">
    <cfRule type="expression" dxfId="382" priority="319">
      <formula>$H14=1</formula>
    </cfRule>
  </conditionalFormatting>
  <conditionalFormatting sqref="E14">
    <cfRule type="expression" dxfId="381" priority="318">
      <formula>$H14=1</formula>
    </cfRule>
  </conditionalFormatting>
  <conditionalFormatting sqref="F14">
    <cfRule type="expression" dxfId="380" priority="317">
      <formula>$H14=1</formula>
    </cfRule>
  </conditionalFormatting>
  <conditionalFormatting sqref="G14">
    <cfRule type="expression" dxfId="379" priority="316">
      <formula>$H14=1</formula>
    </cfRule>
  </conditionalFormatting>
  <conditionalFormatting sqref="A15">
    <cfRule type="expression" dxfId="378" priority="315">
      <formula>$H15=1</formula>
    </cfRule>
  </conditionalFormatting>
  <conditionalFormatting sqref="B15">
    <cfRule type="expression" dxfId="377" priority="314">
      <formula>$H15=1</formula>
    </cfRule>
  </conditionalFormatting>
  <conditionalFormatting sqref="C15">
    <cfRule type="expression" dxfId="376" priority="313">
      <formula>$H15=1</formula>
    </cfRule>
  </conditionalFormatting>
  <conditionalFormatting sqref="D15">
    <cfRule type="expression" dxfId="375" priority="312">
      <formula>$H15=1</formula>
    </cfRule>
  </conditionalFormatting>
  <conditionalFormatting sqref="E15">
    <cfRule type="expression" dxfId="374" priority="311">
      <formula>$H15=1</formula>
    </cfRule>
  </conditionalFormatting>
  <conditionalFormatting sqref="F15">
    <cfRule type="expression" dxfId="373" priority="310">
      <formula>$H15=1</formula>
    </cfRule>
  </conditionalFormatting>
  <conditionalFormatting sqref="G15">
    <cfRule type="expression" dxfId="372" priority="309">
      <formula>$H15=1</formula>
    </cfRule>
  </conditionalFormatting>
  <conditionalFormatting sqref="A16">
    <cfRule type="expression" dxfId="371" priority="308">
      <formula>$H16=1</formula>
    </cfRule>
  </conditionalFormatting>
  <conditionalFormatting sqref="B16">
    <cfRule type="expression" dxfId="370" priority="307">
      <formula>$H16=1</formula>
    </cfRule>
  </conditionalFormatting>
  <conditionalFormatting sqref="C16">
    <cfRule type="expression" dxfId="369" priority="306">
      <formula>$H16=1</formula>
    </cfRule>
  </conditionalFormatting>
  <conditionalFormatting sqref="D16">
    <cfRule type="expression" dxfId="368" priority="305">
      <formula>$H16=1</formula>
    </cfRule>
  </conditionalFormatting>
  <conditionalFormatting sqref="E16">
    <cfRule type="expression" dxfId="367" priority="304">
      <formula>$H16=1</formula>
    </cfRule>
  </conditionalFormatting>
  <conditionalFormatting sqref="F16">
    <cfRule type="expression" dxfId="366" priority="303">
      <formula>$H16=1</formula>
    </cfRule>
  </conditionalFormatting>
  <conditionalFormatting sqref="G16">
    <cfRule type="expression" dxfId="365" priority="302">
      <formula>$H16=1</formula>
    </cfRule>
  </conditionalFormatting>
  <conditionalFormatting sqref="A17">
    <cfRule type="expression" dxfId="364" priority="301">
      <formula>$H17=1</formula>
    </cfRule>
  </conditionalFormatting>
  <conditionalFormatting sqref="B17">
    <cfRule type="expression" dxfId="363" priority="300">
      <formula>$H17=1</formula>
    </cfRule>
  </conditionalFormatting>
  <conditionalFormatting sqref="C17">
    <cfRule type="expression" dxfId="362" priority="299">
      <formula>$H17=1</formula>
    </cfRule>
  </conditionalFormatting>
  <conditionalFormatting sqref="D17">
    <cfRule type="expression" dxfId="361" priority="298">
      <formula>$H17=1</formula>
    </cfRule>
  </conditionalFormatting>
  <conditionalFormatting sqref="E17">
    <cfRule type="expression" dxfId="360" priority="297">
      <formula>$H17=1</formula>
    </cfRule>
  </conditionalFormatting>
  <conditionalFormatting sqref="F17">
    <cfRule type="expression" dxfId="359" priority="296">
      <formula>$H17=1</formula>
    </cfRule>
  </conditionalFormatting>
  <conditionalFormatting sqref="G17">
    <cfRule type="expression" dxfId="358" priority="295">
      <formula>$H17=1</formula>
    </cfRule>
  </conditionalFormatting>
  <conditionalFormatting sqref="A18">
    <cfRule type="expression" dxfId="357" priority="294">
      <formula>$H18=1</formula>
    </cfRule>
  </conditionalFormatting>
  <conditionalFormatting sqref="B18">
    <cfRule type="expression" dxfId="356" priority="293">
      <formula>$H18=1</formula>
    </cfRule>
  </conditionalFormatting>
  <conditionalFormatting sqref="C18">
    <cfRule type="expression" dxfId="355" priority="292">
      <formula>$H18=1</formula>
    </cfRule>
  </conditionalFormatting>
  <conditionalFormatting sqref="D18">
    <cfRule type="expression" dxfId="354" priority="291">
      <formula>$H18=1</formula>
    </cfRule>
  </conditionalFormatting>
  <conditionalFormatting sqref="E18">
    <cfRule type="expression" dxfId="353" priority="290">
      <formula>$H18=1</formula>
    </cfRule>
  </conditionalFormatting>
  <conditionalFormatting sqref="F18">
    <cfRule type="expression" dxfId="352" priority="289">
      <formula>$H18=1</formula>
    </cfRule>
  </conditionalFormatting>
  <conditionalFormatting sqref="G18">
    <cfRule type="expression" dxfId="351" priority="288">
      <formula>$H18=1</formula>
    </cfRule>
  </conditionalFormatting>
  <conditionalFormatting sqref="A19">
    <cfRule type="expression" dxfId="350" priority="287">
      <formula>$H19=1</formula>
    </cfRule>
  </conditionalFormatting>
  <conditionalFormatting sqref="B19">
    <cfRule type="expression" dxfId="349" priority="286">
      <formula>$H19=1</formula>
    </cfRule>
  </conditionalFormatting>
  <conditionalFormatting sqref="C19">
    <cfRule type="expression" dxfId="348" priority="285">
      <formula>$H19=1</formula>
    </cfRule>
  </conditionalFormatting>
  <conditionalFormatting sqref="D19">
    <cfRule type="expression" dxfId="347" priority="284">
      <formula>$H19=1</formula>
    </cfRule>
  </conditionalFormatting>
  <conditionalFormatting sqref="E19">
    <cfRule type="expression" dxfId="346" priority="283">
      <formula>$H19=1</formula>
    </cfRule>
  </conditionalFormatting>
  <conditionalFormatting sqref="F19">
    <cfRule type="expression" dxfId="345" priority="282">
      <formula>$H19=1</formula>
    </cfRule>
  </conditionalFormatting>
  <conditionalFormatting sqref="G19">
    <cfRule type="expression" dxfId="344" priority="281">
      <formula>$H19=1</formula>
    </cfRule>
  </conditionalFormatting>
  <conditionalFormatting sqref="A20">
    <cfRule type="expression" dxfId="343" priority="280">
      <formula>$H20=1</formula>
    </cfRule>
  </conditionalFormatting>
  <conditionalFormatting sqref="B20">
    <cfRule type="expression" dxfId="342" priority="279">
      <formula>$H20=1</formula>
    </cfRule>
  </conditionalFormatting>
  <conditionalFormatting sqref="C20">
    <cfRule type="expression" dxfId="341" priority="278">
      <formula>$H20=1</formula>
    </cfRule>
  </conditionalFormatting>
  <conditionalFormatting sqref="D20">
    <cfRule type="expression" dxfId="340" priority="277">
      <formula>$H20=1</formula>
    </cfRule>
  </conditionalFormatting>
  <conditionalFormatting sqref="E20">
    <cfRule type="expression" dxfId="339" priority="276">
      <formula>$H20=1</formula>
    </cfRule>
  </conditionalFormatting>
  <conditionalFormatting sqref="F20">
    <cfRule type="expression" dxfId="338" priority="275">
      <formula>$H20=1</formula>
    </cfRule>
  </conditionalFormatting>
  <conditionalFormatting sqref="G20">
    <cfRule type="expression" dxfId="337" priority="274">
      <formula>$H20=1</formula>
    </cfRule>
  </conditionalFormatting>
  <conditionalFormatting sqref="A21">
    <cfRule type="expression" dxfId="336" priority="273">
      <formula>$H21=1</formula>
    </cfRule>
  </conditionalFormatting>
  <conditionalFormatting sqref="B21">
    <cfRule type="expression" dxfId="335" priority="272">
      <formula>$H21=1</formula>
    </cfRule>
  </conditionalFormatting>
  <conditionalFormatting sqref="C21">
    <cfRule type="expression" dxfId="334" priority="271">
      <formula>$H21=1</formula>
    </cfRule>
  </conditionalFormatting>
  <conditionalFormatting sqref="D21">
    <cfRule type="expression" dxfId="333" priority="270">
      <formula>$H21=1</formula>
    </cfRule>
  </conditionalFormatting>
  <conditionalFormatting sqref="E21">
    <cfRule type="expression" dxfId="332" priority="269">
      <formula>$H21=1</formula>
    </cfRule>
  </conditionalFormatting>
  <conditionalFormatting sqref="F21">
    <cfRule type="expression" dxfId="331" priority="268">
      <formula>$H21=1</formula>
    </cfRule>
  </conditionalFormatting>
  <conditionalFormatting sqref="G21">
    <cfRule type="expression" dxfId="330" priority="267">
      <formula>$H21=1</formula>
    </cfRule>
  </conditionalFormatting>
  <conditionalFormatting sqref="A22">
    <cfRule type="expression" dxfId="329" priority="266">
      <formula>$H22=1</formula>
    </cfRule>
  </conditionalFormatting>
  <conditionalFormatting sqref="B22">
    <cfRule type="expression" dxfId="328" priority="265">
      <formula>$H22=1</formula>
    </cfRule>
  </conditionalFormatting>
  <conditionalFormatting sqref="C22">
    <cfRule type="expression" dxfId="327" priority="264">
      <formula>$H22=1</formula>
    </cfRule>
  </conditionalFormatting>
  <conditionalFormatting sqref="D22">
    <cfRule type="expression" dxfId="326" priority="263">
      <formula>$H22=1</formula>
    </cfRule>
  </conditionalFormatting>
  <conditionalFormatting sqref="E22">
    <cfRule type="expression" dxfId="325" priority="262">
      <formula>$H22=1</formula>
    </cfRule>
  </conditionalFormatting>
  <conditionalFormatting sqref="F22">
    <cfRule type="expression" dxfId="324" priority="261">
      <formula>$H22=1</formula>
    </cfRule>
  </conditionalFormatting>
  <conditionalFormatting sqref="G22">
    <cfRule type="expression" dxfId="323" priority="260">
      <formula>$H22=1</formula>
    </cfRule>
  </conditionalFormatting>
  <conditionalFormatting sqref="A23">
    <cfRule type="expression" dxfId="322" priority="259">
      <formula>$H23=1</formula>
    </cfRule>
  </conditionalFormatting>
  <conditionalFormatting sqref="B23">
    <cfRule type="expression" dxfId="321" priority="258">
      <formula>$H23=1</formula>
    </cfRule>
  </conditionalFormatting>
  <conditionalFormatting sqref="C23">
    <cfRule type="expression" dxfId="320" priority="257">
      <formula>$H23=1</formula>
    </cfRule>
  </conditionalFormatting>
  <conditionalFormatting sqref="D23">
    <cfRule type="expression" dxfId="319" priority="256">
      <formula>$H23=1</formula>
    </cfRule>
  </conditionalFormatting>
  <conditionalFormatting sqref="E23">
    <cfRule type="expression" dxfId="318" priority="255">
      <formula>$H23=1</formula>
    </cfRule>
  </conditionalFormatting>
  <conditionalFormatting sqref="F23">
    <cfRule type="expression" dxfId="317" priority="254">
      <formula>$H23=1</formula>
    </cfRule>
  </conditionalFormatting>
  <conditionalFormatting sqref="G23">
    <cfRule type="expression" dxfId="316" priority="253">
      <formula>$H23=1</formula>
    </cfRule>
  </conditionalFormatting>
  <conditionalFormatting sqref="A24">
    <cfRule type="expression" dxfId="315" priority="252">
      <formula>$H24=1</formula>
    </cfRule>
  </conditionalFormatting>
  <conditionalFormatting sqref="B24">
    <cfRule type="expression" dxfId="314" priority="251">
      <formula>$H24=1</formula>
    </cfRule>
  </conditionalFormatting>
  <conditionalFormatting sqref="C24">
    <cfRule type="expression" dxfId="313" priority="250">
      <formula>$H24=1</formula>
    </cfRule>
  </conditionalFormatting>
  <conditionalFormatting sqref="D24">
    <cfRule type="expression" dxfId="312" priority="249">
      <formula>$H24=1</formula>
    </cfRule>
  </conditionalFormatting>
  <conditionalFormatting sqref="E24">
    <cfRule type="expression" dxfId="311" priority="248">
      <formula>$H24=1</formula>
    </cfRule>
  </conditionalFormatting>
  <conditionalFormatting sqref="F24">
    <cfRule type="expression" dxfId="310" priority="247">
      <formula>$H24=1</formula>
    </cfRule>
  </conditionalFormatting>
  <conditionalFormatting sqref="G24">
    <cfRule type="expression" dxfId="309" priority="246">
      <formula>$H24=1</formula>
    </cfRule>
  </conditionalFormatting>
  <conditionalFormatting sqref="A25">
    <cfRule type="expression" dxfId="308" priority="245">
      <formula>$H25=1</formula>
    </cfRule>
  </conditionalFormatting>
  <conditionalFormatting sqref="B25">
    <cfRule type="expression" dxfId="307" priority="244">
      <formula>$H25=1</formula>
    </cfRule>
  </conditionalFormatting>
  <conditionalFormatting sqref="C25">
    <cfRule type="expression" dxfId="306" priority="243">
      <formula>$H25=1</formula>
    </cfRule>
  </conditionalFormatting>
  <conditionalFormatting sqref="D25">
    <cfRule type="expression" dxfId="305" priority="242">
      <formula>$H25=1</formula>
    </cfRule>
  </conditionalFormatting>
  <conditionalFormatting sqref="E25">
    <cfRule type="expression" dxfId="304" priority="241">
      <formula>$H25=1</formula>
    </cfRule>
  </conditionalFormatting>
  <conditionalFormatting sqref="F25">
    <cfRule type="expression" dxfId="303" priority="240">
      <formula>$H25=1</formula>
    </cfRule>
  </conditionalFormatting>
  <conditionalFormatting sqref="G25">
    <cfRule type="expression" dxfId="302" priority="239">
      <formula>$H25=1</formula>
    </cfRule>
  </conditionalFormatting>
  <conditionalFormatting sqref="A26">
    <cfRule type="expression" dxfId="301" priority="238">
      <formula>$H26=1</formula>
    </cfRule>
  </conditionalFormatting>
  <conditionalFormatting sqref="B26">
    <cfRule type="expression" dxfId="300" priority="237">
      <formula>$H26=1</formula>
    </cfRule>
  </conditionalFormatting>
  <conditionalFormatting sqref="C26">
    <cfRule type="expression" dxfId="299" priority="236">
      <formula>$H26=1</formula>
    </cfRule>
  </conditionalFormatting>
  <conditionalFormatting sqref="D26">
    <cfRule type="expression" dxfId="298" priority="235">
      <formula>$H26=1</formula>
    </cfRule>
  </conditionalFormatting>
  <conditionalFormatting sqref="E26">
    <cfRule type="expression" dxfId="297" priority="234">
      <formula>$H26=1</formula>
    </cfRule>
  </conditionalFormatting>
  <conditionalFormatting sqref="F26">
    <cfRule type="expression" dxfId="296" priority="233">
      <formula>$H26=1</formula>
    </cfRule>
  </conditionalFormatting>
  <conditionalFormatting sqref="G26">
    <cfRule type="expression" dxfId="295" priority="232">
      <formula>$H26=1</formula>
    </cfRule>
  </conditionalFormatting>
  <conditionalFormatting sqref="A27">
    <cfRule type="expression" dxfId="294" priority="231">
      <formula>$H27=1</formula>
    </cfRule>
  </conditionalFormatting>
  <conditionalFormatting sqref="B27">
    <cfRule type="expression" dxfId="293" priority="230">
      <formula>$H27=1</formula>
    </cfRule>
  </conditionalFormatting>
  <conditionalFormatting sqref="C27">
    <cfRule type="expression" dxfId="292" priority="229">
      <formula>$H27=1</formula>
    </cfRule>
  </conditionalFormatting>
  <conditionalFormatting sqref="D27">
    <cfRule type="expression" dxfId="291" priority="228">
      <formula>$H27=1</formula>
    </cfRule>
  </conditionalFormatting>
  <conditionalFormatting sqref="E27">
    <cfRule type="expression" dxfId="290" priority="227">
      <formula>$H27=1</formula>
    </cfRule>
  </conditionalFormatting>
  <conditionalFormatting sqref="F27">
    <cfRule type="expression" dxfId="289" priority="226">
      <formula>$H27=1</formula>
    </cfRule>
  </conditionalFormatting>
  <conditionalFormatting sqref="G27">
    <cfRule type="expression" dxfId="288" priority="225">
      <formula>$H27=1</formula>
    </cfRule>
  </conditionalFormatting>
  <conditionalFormatting sqref="A28">
    <cfRule type="expression" dxfId="287" priority="224">
      <formula>$H28=1</formula>
    </cfRule>
  </conditionalFormatting>
  <conditionalFormatting sqref="B28">
    <cfRule type="expression" dxfId="286" priority="223">
      <formula>$H28=1</formula>
    </cfRule>
  </conditionalFormatting>
  <conditionalFormatting sqref="C28">
    <cfRule type="expression" dxfId="285" priority="222">
      <formula>$H28=1</formula>
    </cfRule>
  </conditionalFormatting>
  <conditionalFormatting sqref="D28">
    <cfRule type="expression" dxfId="284" priority="221">
      <formula>$H28=1</formula>
    </cfRule>
  </conditionalFormatting>
  <conditionalFormatting sqref="E28">
    <cfRule type="expression" dxfId="283" priority="220">
      <formula>$H28=1</formula>
    </cfRule>
  </conditionalFormatting>
  <conditionalFormatting sqref="F28">
    <cfRule type="expression" dxfId="282" priority="219">
      <formula>$H28=1</formula>
    </cfRule>
  </conditionalFormatting>
  <conditionalFormatting sqref="G28">
    <cfRule type="expression" dxfId="281" priority="218">
      <formula>$H28=1</formula>
    </cfRule>
  </conditionalFormatting>
  <conditionalFormatting sqref="A29">
    <cfRule type="expression" dxfId="280" priority="217">
      <formula>$H29=1</formula>
    </cfRule>
  </conditionalFormatting>
  <conditionalFormatting sqref="B29">
    <cfRule type="expression" dxfId="279" priority="216">
      <formula>$H29=1</formula>
    </cfRule>
  </conditionalFormatting>
  <conditionalFormatting sqref="C29">
    <cfRule type="expression" dxfId="278" priority="215">
      <formula>$H29=1</formula>
    </cfRule>
  </conditionalFormatting>
  <conditionalFormatting sqref="D29">
    <cfRule type="expression" dxfId="277" priority="214">
      <formula>$H29=1</formula>
    </cfRule>
  </conditionalFormatting>
  <conditionalFormatting sqref="E29">
    <cfRule type="expression" dxfId="276" priority="213">
      <formula>$H29=1</formula>
    </cfRule>
  </conditionalFormatting>
  <conditionalFormatting sqref="F29">
    <cfRule type="expression" dxfId="275" priority="212">
      <formula>$H29=1</formula>
    </cfRule>
  </conditionalFormatting>
  <conditionalFormatting sqref="G29">
    <cfRule type="expression" dxfId="274" priority="211">
      <formula>$H29=1</formula>
    </cfRule>
  </conditionalFormatting>
  <conditionalFormatting sqref="A30">
    <cfRule type="expression" dxfId="273" priority="210">
      <formula>$H30=1</formula>
    </cfRule>
  </conditionalFormatting>
  <conditionalFormatting sqref="B30">
    <cfRule type="expression" dxfId="272" priority="209">
      <formula>$H30=1</formula>
    </cfRule>
  </conditionalFormatting>
  <conditionalFormatting sqref="C30">
    <cfRule type="expression" dxfId="271" priority="208">
      <formula>$H30=1</formula>
    </cfRule>
  </conditionalFormatting>
  <conditionalFormatting sqref="D30">
    <cfRule type="expression" dxfId="270" priority="207">
      <formula>$H30=1</formula>
    </cfRule>
  </conditionalFormatting>
  <conditionalFormatting sqref="E30">
    <cfRule type="expression" dxfId="269" priority="206">
      <formula>$H30=1</formula>
    </cfRule>
  </conditionalFormatting>
  <conditionalFormatting sqref="F30">
    <cfRule type="expression" dxfId="268" priority="205">
      <formula>$H30=1</formula>
    </cfRule>
  </conditionalFormatting>
  <conditionalFormatting sqref="G30">
    <cfRule type="expression" dxfId="267" priority="204">
      <formula>$H30=1</formula>
    </cfRule>
  </conditionalFormatting>
  <conditionalFormatting sqref="A31">
    <cfRule type="expression" dxfId="266" priority="203">
      <formula>$H31=1</formula>
    </cfRule>
  </conditionalFormatting>
  <conditionalFormatting sqref="B31">
    <cfRule type="expression" dxfId="265" priority="202">
      <formula>$H31=1</formula>
    </cfRule>
  </conditionalFormatting>
  <conditionalFormatting sqref="C31">
    <cfRule type="expression" dxfId="264" priority="201">
      <formula>$H31=1</formula>
    </cfRule>
  </conditionalFormatting>
  <conditionalFormatting sqref="D31">
    <cfRule type="expression" dxfId="263" priority="200">
      <formula>$H31=1</formula>
    </cfRule>
  </conditionalFormatting>
  <conditionalFormatting sqref="E31">
    <cfRule type="expression" dxfId="262" priority="199">
      <formula>$H31=1</formula>
    </cfRule>
  </conditionalFormatting>
  <conditionalFormatting sqref="F31">
    <cfRule type="expression" dxfId="261" priority="198">
      <formula>$H31=1</formula>
    </cfRule>
  </conditionalFormatting>
  <conditionalFormatting sqref="G31">
    <cfRule type="expression" dxfId="260" priority="197">
      <formula>$H31=1</formula>
    </cfRule>
  </conditionalFormatting>
  <conditionalFormatting sqref="A32">
    <cfRule type="expression" dxfId="259" priority="196">
      <formula>$H32=1</formula>
    </cfRule>
  </conditionalFormatting>
  <conditionalFormatting sqref="B32">
    <cfRule type="expression" dxfId="258" priority="195">
      <formula>$H32=1</formula>
    </cfRule>
  </conditionalFormatting>
  <conditionalFormatting sqref="C32">
    <cfRule type="expression" dxfId="257" priority="194">
      <formula>$H32=1</formula>
    </cfRule>
  </conditionalFormatting>
  <conditionalFormatting sqref="D32">
    <cfRule type="expression" dxfId="256" priority="193">
      <formula>$H32=1</formula>
    </cfRule>
  </conditionalFormatting>
  <conditionalFormatting sqref="E32">
    <cfRule type="expression" dxfId="255" priority="192">
      <formula>$H32=1</formula>
    </cfRule>
  </conditionalFormatting>
  <conditionalFormatting sqref="F32">
    <cfRule type="expression" dxfId="254" priority="191">
      <formula>$H32=1</formula>
    </cfRule>
  </conditionalFormatting>
  <conditionalFormatting sqref="G32">
    <cfRule type="expression" dxfId="253" priority="190">
      <formula>$H32=1</formula>
    </cfRule>
  </conditionalFormatting>
  <conditionalFormatting sqref="A33">
    <cfRule type="expression" dxfId="252" priority="189">
      <formula>$H33=1</formula>
    </cfRule>
  </conditionalFormatting>
  <conditionalFormatting sqref="B33">
    <cfRule type="expression" dxfId="251" priority="188">
      <formula>$H33=1</formula>
    </cfRule>
  </conditionalFormatting>
  <conditionalFormatting sqref="C33">
    <cfRule type="expression" dxfId="250" priority="187">
      <formula>$H33=1</formula>
    </cfRule>
  </conditionalFormatting>
  <conditionalFormatting sqref="D33">
    <cfRule type="expression" dxfId="249" priority="186">
      <formula>$H33=1</formula>
    </cfRule>
  </conditionalFormatting>
  <conditionalFormatting sqref="E33">
    <cfRule type="expression" dxfId="248" priority="185">
      <formula>$H33=1</formula>
    </cfRule>
  </conditionalFormatting>
  <conditionalFormatting sqref="F33">
    <cfRule type="expression" dxfId="247" priority="184">
      <formula>$H33=1</formula>
    </cfRule>
  </conditionalFormatting>
  <conditionalFormatting sqref="G33">
    <cfRule type="expression" dxfId="246" priority="183">
      <formula>$H33=1</formula>
    </cfRule>
  </conditionalFormatting>
  <conditionalFormatting sqref="A34">
    <cfRule type="expression" dxfId="245" priority="182">
      <formula>$H34=1</formula>
    </cfRule>
  </conditionalFormatting>
  <conditionalFormatting sqref="B34">
    <cfRule type="expression" dxfId="244" priority="181">
      <formula>$H34=1</formula>
    </cfRule>
  </conditionalFormatting>
  <conditionalFormatting sqref="C34">
    <cfRule type="expression" dxfId="243" priority="180">
      <formula>$H34=1</formula>
    </cfRule>
  </conditionalFormatting>
  <conditionalFormatting sqref="D34">
    <cfRule type="expression" dxfId="242" priority="179">
      <formula>$H34=1</formula>
    </cfRule>
  </conditionalFormatting>
  <conditionalFormatting sqref="E34">
    <cfRule type="expression" dxfId="241" priority="178">
      <formula>$H34=1</formula>
    </cfRule>
  </conditionalFormatting>
  <conditionalFormatting sqref="F34">
    <cfRule type="expression" dxfId="240" priority="177">
      <formula>$H34=1</formula>
    </cfRule>
  </conditionalFormatting>
  <conditionalFormatting sqref="G34">
    <cfRule type="expression" dxfId="239" priority="176">
      <formula>$H34=1</formula>
    </cfRule>
  </conditionalFormatting>
  <conditionalFormatting sqref="A35">
    <cfRule type="expression" dxfId="238" priority="175">
      <formula>$H35=1</formula>
    </cfRule>
  </conditionalFormatting>
  <conditionalFormatting sqref="B35">
    <cfRule type="expression" dxfId="237" priority="174">
      <formula>$H35=1</formula>
    </cfRule>
  </conditionalFormatting>
  <conditionalFormatting sqref="C35">
    <cfRule type="expression" dxfId="236" priority="173">
      <formula>$H35=1</formula>
    </cfRule>
  </conditionalFormatting>
  <conditionalFormatting sqref="D35">
    <cfRule type="expression" dxfId="235" priority="172">
      <formula>$H35=1</formula>
    </cfRule>
  </conditionalFormatting>
  <conditionalFormatting sqref="E35">
    <cfRule type="expression" dxfId="234" priority="171">
      <formula>$H35=1</formula>
    </cfRule>
  </conditionalFormatting>
  <conditionalFormatting sqref="F35">
    <cfRule type="expression" dxfId="233" priority="170">
      <formula>$H35=1</formula>
    </cfRule>
  </conditionalFormatting>
  <conditionalFormatting sqref="G35">
    <cfRule type="expression" dxfId="232" priority="169">
      <formula>$H35=1</formula>
    </cfRule>
  </conditionalFormatting>
  <conditionalFormatting sqref="A36">
    <cfRule type="expression" dxfId="231" priority="168">
      <formula>$H36=1</formula>
    </cfRule>
  </conditionalFormatting>
  <conditionalFormatting sqref="B36">
    <cfRule type="expression" dxfId="230" priority="167">
      <formula>$H36=1</formula>
    </cfRule>
  </conditionalFormatting>
  <conditionalFormatting sqref="C36">
    <cfRule type="expression" dxfId="229" priority="166">
      <formula>$H36=1</formula>
    </cfRule>
  </conditionalFormatting>
  <conditionalFormatting sqref="D36">
    <cfRule type="expression" dxfId="228" priority="165">
      <formula>$H36=1</formula>
    </cfRule>
  </conditionalFormatting>
  <conditionalFormatting sqref="E36">
    <cfRule type="expression" dxfId="227" priority="164">
      <formula>$H36=1</formula>
    </cfRule>
  </conditionalFormatting>
  <conditionalFormatting sqref="F36">
    <cfRule type="expression" dxfId="226" priority="163">
      <formula>$H36=1</formula>
    </cfRule>
  </conditionalFormatting>
  <conditionalFormatting sqref="G36">
    <cfRule type="expression" dxfId="225" priority="162">
      <formula>$H36=1</formula>
    </cfRule>
  </conditionalFormatting>
  <conditionalFormatting sqref="A37">
    <cfRule type="expression" dxfId="224" priority="161">
      <formula>$H37=1</formula>
    </cfRule>
  </conditionalFormatting>
  <conditionalFormatting sqref="B37">
    <cfRule type="expression" dxfId="223" priority="160">
      <formula>$H37=1</formula>
    </cfRule>
  </conditionalFormatting>
  <conditionalFormatting sqref="C37">
    <cfRule type="expression" dxfId="222" priority="159">
      <formula>$H37=1</formula>
    </cfRule>
  </conditionalFormatting>
  <conditionalFormatting sqref="D37">
    <cfRule type="expression" dxfId="221" priority="158">
      <formula>$H37=1</formula>
    </cfRule>
  </conditionalFormatting>
  <conditionalFormatting sqref="E37">
    <cfRule type="expression" dxfId="220" priority="157">
      <formula>$H37=1</formula>
    </cfRule>
  </conditionalFormatting>
  <conditionalFormatting sqref="F37">
    <cfRule type="expression" dxfId="219" priority="156">
      <formula>$H37=1</formula>
    </cfRule>
  </conditionalFormatting>
  <conditionalFormatting sqref="G37">
    <cfRule type="expression" dxfId="218" priority="155">
      <formula>$H37=1</formula>
    </cfRule>
  </conditionalFormatting>
  <conditionalFormatting sqref="A38">
    <cfRule type="expression" dxfId="217" priority="154">
      <formula>$H38=1</formula>
    </cfRule>
  </conditionalFormatting>
  <conditionalFormatting sqref="B38">
    <cfRule type="expression" dxfId="216" priority="153">
      <formula>$H38=1</formula>
    </cfRule>
  </conditionalFormatting>
  <conditionalFormatting sqref="C38">
    <cfRule type="expression" dxfId="215" priority="152">
      <formula>$H38=1</formula>
    </cfRule>
  </conditionalFormatting>
  <conditionalFormatting sqref="D38">
    <cfRule type="expression" dxfId="214" priority="151">
      <formula>$H38=1</formula>
    </cfRule>
  </conditionalFormatting>
  <conditionalFormatting sqref="E38">
    <cfRule type="expression" dxfId="213" priority="150">
      <formula>$H38=1</formula>
    </cfRule>
  </conditionalFormatting>
  <conditionalFormatting sqref="F38">
    <cfRule type="expression" dxfId="212" priority="149">
      <formula>$H38=1</formula>
    </cfRule>
  </conditionalFormatting>
  <conditionalFormatting sqref="G38">
    <cfRule type="expression" dxfId="211" priority="148">
      <formula>$H38=1</formula>
    </cfRule>
  </conditionalFormatting>
  <conditionalFormatting sqref="A39">
    <cfRule type="expression" dxfId="210" priority="147">
      <formula>$H39=1</formula>
    </cfRule>
  </conditionalFormatting>
  <conditionalFormatting sqref="B39">
    <cfRule type="expression" dxfId="209" priority="146">
      <formula>$H39=1</formula>
    </cfRule>
  </conditionalFormatting>
  <conditionalFormatting sqref="C39">
    <cfRule type="expression" dxfId="208" priority="145">
      <formula>$H39=1</formula>
    </cfRule>
  </conditionalFormatting>
  <conditionalFormatting sqref="D39">
    <cfRule type="expression" dxfId="207" priority="144">
      <formula>$H39=1</formula>
    </cfRule>
  </conditionalFormatting>
  <conditionalFormatting sqref="E39">
    <cfRule type="expression" dxfId="206" priority="143">
      <formula>$H39=1</formula>
    </cfRule>
  </conditionalFormatting>
  <conditionalFormatting sqref="F39">
    <cfRule type="expression" dxfId="205" priority="142">
      <formula>$H39=1</formula>
    </cfRule>
  </conditionalFormatting>
  <conditionalFormatting sqref="G39">
    <cfRule type="expression" dxfId="204" priority="141">
      <formula>$H39=1</formula>
    </cfRule>
  </conditionalFormatting>
  <conditionalFormatting sqref="A40">
    <cfRule type="expression" dxfId="203" priority="140">
      <formula>$H40=1</formula>
    </cfRule>
  </conditionalFormatting>
  <conditionalFormatting sqref="B40">
    <cfRule type="expression" dxfId="202" priority="139">
      <formula>$H40=1</formula>
    </cfRule>
  </conditionalFormatting>
  <conditionalFormatting sqref="C40">
    <cfRule type="expression" dxfId="201" priority="138">
      <formula>$H40=1</formula>
    </cfRule>
  </conditionalFormatting>
  <conditionalFormatting sqref="D40">
    <cfRule type="expression" dxfId="200" priority="137">
      <formula>$H40=1</formula>
    </cfRule>
  </conditionalFormatting>
  <conditionalFormatting sqref="E40">
    <cfRule type="expression" dxfId="199" priority="136">
      <formula>$H40=1</formula>
    </cfRule>
  </conditionalFormatting>
  <conditionalFormatting sqref="F40">
    <cfRule type="expression" dxfId="198" priority="135">
      <formula>$H40=1</formula>
    </cfRule>
  </conditionalFormatting>
  <conditionalFormatting sqref="G40">
    <cfRule type="expression" dxfId="197" priority="134">
      <formula>$H40=1</formula>
    </cfRule>
  </conditionalFormatting>
  <conditionalFormatting sqref="A41">
    <cfRule type="expression" dxfId="196" priority="133">
      <formula>$H41=1</formula>
    </cfRule>
  </conditionalFormatting>
  <conditionalFormatting sqref="B41">
    <cfRule type="expression" dxfId="195" priority="132">
      <formula>$H41=1</formula>
    </cfRule>
  </conditionalFormatting>
  <conditionalFormatting sqref="C41">
    <cfRule type="expression" dxfId="194" priority="131">
      <formula>$H41=1</formula>
    </cfRule>
  </conditionalFormatting>
  <conditionalFormatting sqref="D41">
    <cfRule type="expression" dxfId="193" priority="130">
      <formula>$H41=1</formula>
    </cfRule>
  </conditionalFormatting>
  <conditionalFormatting sqref="E41">
    <cfRule type="expression" dxfId="192" priority="129">
      <formula>$H41=1</formula>
    </cfRule>
  </conditionalFormatting>
  <conditionalFormatting sqref="F41">
    <cfRule type="expression" dxfId="191" priority="128">
      <formula>$H41=1</formula>
    </cfRule>
  </conditionalFormatting>
  <conditionalFormatting sqref="G41">
    <cfRule type="expression" dxfId="190" priority="127">
      <formula>$H41=1</formula>
    </cfRule>
  </conditionalFormatting>
  <conditionalFormatting sqref="A42">
    <cfRule type="expression" dxfId="189" priority="126">
      <formula>$H42=1</formula>
    </cfRule>
  </conditionalFormatting>
  <conditionalFormatting sqref="B42">
    <cfRule type="expression" dxfId="188" priority="125">
      <formula>$H42=1</formula>
    </cfRule>
  </conditionalFormatting>
  <conditionalFormatting sqref="C42">
    <cfRule type="expression" dxfId="187" priority="124">
      <formula>$H42=1</formula>
    </cfRule>
  </conditionalFormatting>
  <conditionalFormatting sqref="D42">
    <cfRule type="expression" dxfId="186" priority="123">
      <formula>$H42=1</formula>
    </cfRule>
  </conditionalFormatting>
  <conditionalFormatting sqref="E42">
    <cfRule type="expression" dxfId="185" priority="122">
      <formula>$H42=1</formula>
    </cfRule>
  </conditionalFormatting>
  <conditionalFormatting sqref="F42">
    <cfRule type="expression" dxfId="184" priority="121">
      <formula>$H42=1</formula>
    </cfRule>
  </conditionalFormatting>
  <conditionalFormatting sqref="G42">
    <cfRule type="expression" dxfId="183" priority="120">
      <formula>$H42=1</formula>
    </cfRule>
  </conditionalFormatting>
  <conditionalFormatting sqref="A43">
    <cfRule type="expression" dxfId="182" priority="119">
      <formula>$H43=1</formula>
    </cfRule>
  </conditionalFormatting>
  <conditionalFormatting sqref="B43">
    <cfRule type="expression" dxfId="181" priority="118">
      <formula>$H43=1</formula>
    </cfRule>
  </conditionalFormatting>
  <conditionalFormatting sqref="C43">
    <cfRule type="expression" dxfId="180" priority="117">
      <formula>$H43=1</formula>
    </cfRule>
  </conditionalFormatting>
  <conditionalFormatting sqref="D43">
    <cfRule type="expression" dxfId="179" priority="116">
      <formula>$H43=1</formula>
    </cfRule>
  </conditionalFormatting>
  <conditionalFormatting sqref="E43">
    <cfRule type="expression" dxfId="178" priority="115">
      <formula>$H43=1</formula>
    </cfRule>
  </conditionalFormatting>
  <conditionalFormatting sqref="F43">
    <cfRule type="expression" dxfId="177" priority="114">
      <formula>$H43=1</formula>
    </cfRule>
  </conditionalFormatting>
  <conditionalFormatting sqref="G43">
    <cfRule type="expression" dxfId="176" priority="113">
      <formula>$H43=1</formula>
    </cfRule>
  </conditionalFormatting>
  <conditionalFormatting sqref="A44">
    <cfRule type="expression" dxfId="175" priority="112">
      <formula>$H44=1</formula>
    </cfRule>
  </conditionalFormatting>
  <conditionalFormatting sqref="B44">
    <cfRule type="expression" dxfId="174" priority="111">
      <formula>$H44=1</formula>
    </cfRule>
  </conditionalFormatting>
  <conditionalFormatting sqref="C44">
    <cfRule type="expression" dxfId="173" priority="110">
      <formula>$H44=1</formula>
    </cfRule>
  </conditionalFormatting>
  <conditionalFormatting sqref="D44">
    <cfRule type="expression" dxfId="172" priority="109">
      <formula>$H44=1</formula>
    </cfRule>
  </conditionalFormatting>
  <conditionalFormatting sqref="E44">
    <cfRule type="expression" dxfId="171" priority="108">
      <formula>$H44=1</formula>
    </cfRule>
  </conditionalFormatting>
  <conditionalFormatting sqref="F44">
    <cfRule type="expression" dxfId="170" priority="107">
      <formula>$H44=1</formula>
    </cfRule>
  </conditionalFormatting>
  <conditionalFormatting sqref="G44">
    <cfRule type="expression" dxfId="169" priority="106">
      <formula>$H44=1</formula>
    </cfRule>
  </conditionalFormatting>
  <conditionalFormatting sqref="A45">
    <cfRule type="expression" dxfId="168" priority="105">
      <formula>$H45=1</formula>
    </cfRule>
  </conditionalFormatting>
  <conditionalFormatting sqref="B45">
    <cfRule type="expression" dxfId="167" priority="104">
      <formula>$H45=1</formula>
    </cfRule>
  </conditionalFormatting>
  <conditionalFormatting sqref="C45">
    <cfRule type="expression" dxfId="166" priority="103">
      <formula>$H45=1</formula>
    </cfRule>
  </conditionalFormatting>
  <conditionalFormatting sqref="D45">
    <cfRule type="expression" dxfId="165" priority="102">
      <formula>$H45=1</formula>
    </cfRule>
  </conditionalFormatting>
  <conditionalFormatting sqref="E45">
    <cfRule type="expression" dxfId="164" priority="101">
      <formula>$H45=1</formula>
    </cfRule>
  </conditionalFormatting>
  <conditionalFormatting sqref="F45">
    <cfRule type="expression" dxfId="163" priority="100">
      <formula>$H45=1</formula>
    </cfRule>
  </conditionalFormatting>
  <conditionalFormatting sqref="G45">
    <cfRule type="expression" dxfId="162" priority="99">
      <formula>$H45=1</formula>
    </cfRule>
  </conditionalFormatting>
  <conditionalFormatting sqref="A46">
    <cfRule type="expression" dxfId="161" priority="98">
      <formula>$H46=1</formula>
    </cfRule>
  </conditionalFormatting>
  <conditionalFormatting sqref="B46">
    <cfRule type="expression" dxfId="160" priority="97">
      <formula>$H46=1</formula>
    </cfRule>
  </conditionalFormatting>
  <conditionalFormatting sqref="C46">
    <cfRule type="expression" dxfId="159" priority="96">
      <formula>$H46=1</formula>
    </cfRule>
  </conditionalFormatting>
  <conditionalFormatting sqref="D46">
    <cfRule type="expression" dxfId="158" priority="95">
      <formula>$H46=1</formula>
    </cfRule>
  </conditionalFormatting>
  <conditionalFormatting sqref="E46">
    <cfRule type="expression" dxfId="157" priority="94">
      <formula>$H46=1</formula>
    </cfRule>
  </conditionalFormatting>
  <conditionalFormatting sqref="F46">
    <cfRule type="expression" dxfId="156" priority="93">
      <formula>$H46=1</formula>
    </cfRule>
  </conditionalFormatting>
  <conditionalFormatting sqref="G46">
    <cfRule type="expression" dxfId="155" priority="92">
      <formula>$H46=1</formula>
    </cfRule>
  </conditionalFormatting>
  <conditionalFormatting sqref="A47">
    <cfRule type="expression" dxfId="154" priority="91">
      <formula>$H47=1</formula>
    </cfRule>
  </conditionalFormatting>
  <conditionalFormatting sqref="B47">
    <cfRule type="expression" dxfId="153" priority="90">
      <formula>$H47=1</formula>
    </cfRule>
  </conditionalFormatting>
  <conditionalFormatting sqref="C47">
    <cfRule type="expression" dxfId="152" priority="89">
      <formula>$H47=1</formula>
    </cfRule>
  </conditionalFormatting>
  <conditionalFormatting sqref="D47">
    <cfRule type="expression" dxfId="151" priority="88">
      <formula>$H47=1</formula>
    </cfRule>
  </conditionalFormatting>
  <conditionalFormatting sqref="E47">
    <cfRule type="expression" dxfId="150" priority="87">
      <formula>$H47=1</formula>
    </cfRule>
  </conditionalFormatting>
  <conditionalFormatting sqref="F47">
    <cfRule type="expression" dxfId="149" priority="86">
      <formula>$H47=1</formula>
    </cfRule>
  </conditionalFormatting>
  <conditionalFormatting sqref="G47">
    <cfRule type="expression" dxfId="148" priority="85">
      <formula>$H47=1</formula>
    </cfRule>
  </conditionalFormatting>
  <conditionalFormatting sqref="A48">
    <cfRule type="expression" dxfId="147" priority="84">
      <formula>$H48=1</formula>
    </cfRule>
  </conditionalFormatting>
  <conditionalFormatting sqref="B48">
    <cfRule type="expression" dxfId="146" priority="83">
      <formula>$H48=1</formula>
    </cfRule>
  </conditionalFormatting>
  <conditionalFormatting sqref="C48">
    <cfRule type="expression" dxfId="145" priority="82">
      <formula>$H48=1</formula>
    </cfRule>
  </conditionalFormatting>
  <conditionalFormatting sqref="D48">
    <cfRule type="expression" dxfId="144" priority="81">
      <formula>$H48=1</formula>
    </cfRule>
  </conditionalFormatting>
  <conditionalFormatting sqref="E48">
    <cfRule type="expression" dxfId="143" priority="80">
      <formula>$H48=1</formula>
    </cfRule>
  </conditionalFormatting>
  <conditionalFormatting sqref="F48">
    <cfRule type="expression" dxfId="142" priority="79">
      <formula>$H48=1</formula>
    </cfRule>
  </conditionalFormatting>
  <conditionalFormatting sqref="G48">
    <cfRule type="expression" dxfId="141" priority="78">
      <formula>$H48=1</formula>
    </cfRule>
  </conditionalFormatting>
  <conditionalFormatting sqref="A49">
    <cfRule type="expression" dxfId="140" priority="77">
      <formula>$H49=1</formula>
    </cfRule>
  </conditionalFormatting>
  <conditionalFormatting sqref="B49">
    <cfRule type="expression" dxfId="139" priority="76">
      <formula>$H49=1</formula>
    </cfRule>
  </conditionalFormatting>
  <conditionalFormatting sqref="C49">
    <cfRule type="expression" dxfId="138" priority="75">
      <formula>$H49=1</formula>
    </cfRule>
  </conditionalFormatting>
  <conditionalFormatting sqref="D49">
    <cfRule type="expression" dxfId="137" priority="74">
      <formula>$H49=1</formula>
    </cfRule>
  </conditionalFormatting>
  <conditionalFormatting sqref="E49">
    <cfRule type="expression" dxfId="136" priority="73">
      <formula>$H49=1</formula>
    </cfRule>
  </conditionalFormatting>
  <conditionalFormatting sqref="F49">
    <cfRule type="expression" dxfId="135" priority="72">
      <formula>$H49=1</formula>
    </cfRule>
  </conditionalFormatting>
  <conditionalFormatting sqref="G49">
    <cfRule type="expression" dxfId="134" priority="71">
      <formula>$H49=1</formula>
    </cfRule>
  </conditionalFormatting>
  <conditionalFormatting sqref="A50">
    <cfRule type="expression" dxfId="133" priority="70">
      <formula>$H50=1</formula>
    </cfRule>
  </conditionalFormatting>
  <conditionalFormatting sqref="B50">
    <cfRule type="expression" dxfId="132" priority="69">
      <formula>$H50=1</formula>
    </cfRule>
  </conditionalFormatting>
  <conditionalFormatting sqref="C50">
    <cfRule type="expression" dxfId="131" priority="68">
      <formula>$H50=1</formula>
    </cfRule>
  </conditionalFormatting>
  <conditionalFormatting sqref="D50">
    <cfRule type="expression" dxfId="130" priority="67">
      <formula>$H50=1</formula>
    </cfRule>
  </conditionalFormatting>
  <conditionalFormatting sqref="E50">
    <cfRule type="expression" dxfId="129" priority="66">
      <formula>$H50=1</formula>
    </cfRule>
  </conditionalFormatting>
  <conditionalFormatting sqref="F50">
    <cfRule type="expression" dxfId="128" priority="65">
      <formula>$H50=1</formula>
    </cfRule>
  </conditionalFormatting>
  <conditionalFormatting sqref="G50">
    <cfRule type="expression" dxfId="127" priority="64">
      <formula>$H50=1</formula>
    </cfRule>
  </conditionalFormatting>
  <conditionalFormatting sqref="A51">
    <cfRule type="expression" dxfId="126" priority="63">
      <formula>$H51=1</formula>
    </cfRule>
  </conditionalFormatting>
  <conditionalFormatting sqref="B51">
    <cfRule type="expression" dxfId="125" priority="62">
      <formula>$H51=1</formula>
    </cfRule>
  </conditionalFormatting>
  <conditionalFormatting sqref="C51">
    <cfRule type="expression" dxfId="124" priority="61">
      <formula>$H51=1</formula>
    </cfRule>
  </conditionalFormatting>
  <conditionalFormatting sqref="D51">
    <cfRule type="expression" dxfId="123" priority="60">
      <formula>$H51=1</formula>
    </cfRule>
  </conditionalFormatting>
  <conditionalFormatting sqref="E51">
    <cfRule type="expression" dxfId="122" priority="59">
      <formula>$H51=1</formula>
    </cfRule>
  </conditionalFormatting>
  <conditionalFormatting sqref="F51">
    <cfRule type="expression" dxfId="121" priority="58">
      <formula>$H51=1</formula>
    </cfRule>
  </conditionalFormatting>
  <conditionalFormatting sqref="G51">
    <cfRule type="expression" dxfId="120" priority="57">
      <formula>$H51=1</formula>
    </cfRule>
  </conditionalFormatting>
  <conditionalFormatting sqref="A52">
    <cfRule type="expression" dxfId="119" priority="56">
      <formula>$H52=1</formula>
    </cfRule>
  </conditionalFormatting>
  <conditionalFormatting sqref="B52">
    <cfRule type="expression" dxfId="118" priority="55">
      <formula>$H52=1</formula>
    </cfRule>
  </conditionalFormatting>
  <conditionalFormatting sqref="C52">
    <cfRule type="expression" dxfId="117" priority="54">
      <formula>$H52=1</formula>
    </cfRule>
  </conditionalFormatting>
  <conditionalFormatting sqref="D52">
    <cfRule type="expression" dxfId="116" priority="53">
      <formula>$H52=1</formula>
    </cfRule>
  </conditionalFormatting>
  <conditionalFormatting sqref="E52">
    <cfRule type="expression" dxfId="115" priority="52">
      <formula>$H52=1</formula>
    </cfRule>
  </conditionalFormatting>
  <conditionalFormatting sqref="F52">
    <cfRule type="expression" dxfId="114" priority="51">
      <formula>$H52=1</formula>
    </cfRule>
  </conditionalFormatting>
  <conditionalFormatting sqref="G52">
    <cfRule type="expression" dxfId="113" priority="50">
      <formula>$H52=1</formula>
    </cfRule>
  </conditionalFormatting>
  <conditionalFormatting sqref="A53">
    <cfRule type="expression" dxfId="112" priority="49">
      <formula>$H53=1</formula>
    </cfRule>
  </conditionalFormatting>
  <conditionalFormatting sqref="B53">
    <cfRule type="expression" dxfId="111" priority="48">
      <formula>$H53=1</formula>
    </cfRule>
  </conditionalFormatting>
  <conditionalFormatting sqref="C53">
    <cfRule type="expression" dxfId="110" priority="47">
      <formula>$H53=1</formula>
    </cfRule>
  </conditionalFormatting>
  <conditionalFormatting sqref="D53">
    <cfRule type="expression" dxfId="109" priority="46">
      <formula>$H53=1</formula>
    </cfRule>
  </conditionalFormatting>
  <conditionalFormatting sqref="E53">
    <cfRule type="expression" dxfId="108" priority="45">
      <formula>$H53=1</formula>
    </cfRule>
  </conditionalFormatting>
  <conditionalFormatting sqref="F53">
    <cfRule type="expression" dxfId="107" priority="44">
      <formula>$H53=1</formula>
    </cfRule>
  </conditionalFormatting>
  <conditionalFormatting sqref="G53">
    <cfRule type="expression" dxfId="106" priority="43">
      <formula>$H53=1</formula>
    </cfRule>
  </conditionalFormatting>
  <conditionalFormatting sqref="A54">
    <cfRule type="expression" dxfId="105" priority="42">
      <formula>$H54=1</formula>
    </cfRule>
  </conditionalFormatting>
  <conditionalFormatting sqref="B54">
    <cfRule type="expression" dxfId="104" priority="41">
      <formula>$H54=1</formula>
    </cfRule>
  </conditionalFormatting>
  <conditionalFormatting sqref="C54">
    <cfRule type="expression" dxfId="103" priority="40">
      <formula>$H54=1</formula>
    </cfRule>
  </conditionalFormatting>
  <conditionalFormatting sqref="D54">
    <cfRule type="expression" dxfId="102" priority="39">
      <formula>$H54=1</formula>
    </cfRule>
  </conditionalFormatting>
  <conditionalFormatting sqref="E54">
    <cfRule type="expression" dxfId="101" priority="38">
      <formula>$H54=1</formula>
    </cfRule>
  </conditionalFormatting>
  <conditionalFormatting sqref="F54">
    <cfRule type="expression" dxfId="100" priority="37">
      <formula>$H54=1</formula>
    </cfRule>
  </conditionalFormatting>
  <conditionalFormatting sqref="G54">
    <cfRule type="expression" dxfId="99" priority="36">
      <formula>$H54=1</formula>
    </cfRule>
  </conditionalFormatting>
  <conditionalFormatting sqref="A55">
    <cfRule type="expression" dxfId="98" priority="35">
      <formula>$H55=1</formula>
    </cfRule>
  </conditionalFormatting>
  <conditionalFormatting sqref="B55">
    <cfRule type="expression" dxfId="97" priority="34">
      <formula>$H55=1</formula>
    </cfRule>
  </conditionalFormatting>
  <conditionalFormatting sqref="C55">
    <cfRule type="expression" dxfId="96" priority="33">
      <formula>$H55=1</formula>
    </cfRule>
  </conditionalFormatting>
  <conditionalFormatting sqref="D55">
    <cfRule type="expression" dxfId="95" priority="32">
      <formula>$H55=1</formula>
    </cfRule>
  </conditionalFormatting>
  <conditionalFormatting sqref="E55">
    <cfRule type="expression" dxfId="94" priority="31">
      <formula>$H55=1</formula>
    </cfRule>
  </conditionalFormatting>
  <conditionalFormatting sqref="F55">
    <cfRule type="expression" dxfId="93" priority="30">
      <formula>$H55=1</formula>
    </cfRule>
  </conditionalFormatting>
  <conditionalFormatting sqref="G55">
    <cfRule type="expression" dxfId="92" priority="29">
      <formula>$H55=1</formula>
    </cfRule>
  </conditionalFormatting>
  <conditionalFormatting sqref="A56">
    <cfRule type="expression" dxfId="91" priority="28">
      <formula>$H56=1</formula>
    </cfRule>
  </conditionalFormatting>
  <conditionalFormatting sqref="B56">
    <cfRule type="expression" dxfId="90" priority="27">
      <formula>$H56=1</formula>
    </cfRule>
  </conditionalFormatting>
  <conditionalFormatting sqref="C56">
    <cfRule type="expression" dxfId="89" priority="26">
      <formula>$H56=1</formula>
    </cfRule>
  </conditionalFormatting>
  <conditionalFormatting sqref="D56">
    <cfRule type="expression" dxfId="88" priority="25">
      <formula>$H56=1</formula>
    </cfRule>
  </conditionalFormatting>
  <conditionalFormatting sqref="E56">
    <cfRule type="expression" dxfId="87" priority="24">
      <formula>$H56=1</formula>
    </cfRule>
  </conditionalFormatting>
  <conditionalFormatting sqref="F56">
    <cfRule type="expression" dxfId="86" priority="23">
      <formula>$H56=1</formula>
    </cfRule>
  </conditionalFormatting>
  <conditionalFormatting sqref="G56">
    <cfRule type="expression" dxfId="85" priority="22">
      <formula>$H56=1</formula>
    </cfRule>
  </conditionalFormatting>
  <conditionalFormatting sqref="A57">
    <cfRule type="expression" dxfId="84" priority="21">
      <formula>$H57=1</formula>
    </cfRule>
  </conditionalFormatting>
  <conditionalFormatting sqref="B57">
    <cfRule type="expression" dxfId="83" priority="20">
      <formula>$H57=1</formula>
    </cfRule>
  </conditionalFormatting>
  <conditionalFormatting sqref="C57">
    <cfRule type="expression" dxfId="82" priority="19">
      <formula>$H57=1</formula>
    </cfRule>
  </conditionalFormatting>
  <conditionalFormatting sqref="D57">
    <cfRule type="expression" dxfId="81" priority="18">
      <formula>$H57=1</formula>
    </cfRule>
  </conditionalFormatting>
  <conditionalFormatting sqref="E57">
    <cfRule type="expression" dxfId="80" priority="17">
      <formula>$H57=1</formula>
    </cfRule>
  </conditionalFormatting>
  <conditionalFormatting sqref="F57">
    <cfRule type="expression" dxfId="79" priority="16">
      <formula>$H57=1</formula>
    </cfRule>
  </conditionalFormatting>
  <conditionalFormatting sqref="G57">
    <cfRule type="expression" dxfId="78" priority="15">
      <formula>$H57=1</formula>
    </cfRule>
  </conditionalFormatting>
  <conditionalFormatting sqref="A58">
    <cfRule type="expression" dxfId="77" priority="14">
      <formula>$H58=1</formula>
    </cfRule>
  </conditionalFormatting>
  <conditionalFormatting sqref="B58">
    <cfRule type="expression" dxfId="76" priority="13">
      <formula>$H58=1</formula>
    </cfRule>
  </conditionalFormatting>
  <conditionalFormatting sqref="C58">
    <cfRule type="expression" dxfId="75" priority="12">
      <formula>$H58=1</formula>
    </cfRule>
  </conditionalFormatting>
  <conditionalFormatting sqref="D58">
    <cfRule type="expression" dxfId="74" priority="11">
      <formula>$H58=1</formula>
    </cfRule>
  </conditionalFormatting>
  <conditionalFormatting sqref="E58">
    <cfRule type="expression" dxfId="73" priority="10">
      <formula>$H58=1</formula>
    </cfRule>
  </conditionalFormatting>
  <conditionalFormatting sqref="F58">
    <cfRule type="expression" dxfId="72" priority="9">
      <formula>$H58=1</formula>
    </cfRule>
  </conditionalFormatting>
  <conditionalFormatting sqref="G58">
    <cfRule type="expression" dxfId="71" priority="8">
      <formula>$H58=1</formula>
    </cfRule>
  </conditionalFormatting>
  <conditionalFormatting sqref="A59">
    <cfRule type="expression" dxfId="70" priority="7">
      <formula>$H59=1</formula>
    </cfRule>
  </conditionalFormatting>
  <conditionalFormatting sqref="B59">
    <cfRule type="expression" dxfId="69" priority="6">
      <formula>$H59=1</formula>
    </cfRule>
  </conditionalFormatting>
  <conditionalFormatting sqref="C59">
    <cfRule type="expression" dxfId="68" priority="5">
      <formula>$H59=1</formula>
    </cfRule>
  </conditionalFormatting>
  <conditionalFormatting sqref="D59">
    <cfRule type="expression" dxfId="67" priority="4">
      <formula>$H59=1</formula>
    </cfRule>
  </conditionalFormatting>
  <conditionalFormatting sqref="E59">
    <cfRule type="expression" dxfId="66" priority="3">
      <formula>$H59=1</formula>
    </cfRule>
  </conditionalFormatting>
  <conditionalFormatting sqref="F59">
    <cfRule type="expression" dxfId="65" priority="2">
      <formula>$H59=1</formula>
    </cfRule>
  </conditionalFormatting>
  <conditionalFormatting sqref="G59">
    <cfRule type="expression" dxfId="64" priority="1">
      <formula>$H59=1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T25"/>
  <sheetViews>
    <sheetView showGridLines="0" topLeftCell="B3" zoomScale="85" zoomScaleNormal="85" workbookViewId="0">
      <selection activeCell="Q25" sqref="Q25"/>
    </sheetView>
  </sheetViews>
  <sheetFormatPr defaultColWidth="9" defaultRowHeight="15" customHeight="1"/>
  <cols>
    <col min="1" max="1" width="6.5" style="512" hidden="1" customWidth="1"/>
    <col min="2" max="2" width="15.625" style="512" customWidth="1"/>
    <col min="3" max="3" width="16.125" style="512" bestFit="1" customWidth="1"/>
    <col min="4" max="4" width="9.625" style="513" customWidth="1"/>
    <col min="5" max="5" width="9.625" style="512" customWidth="1"/>
    <col min="6" max="6" width="15.625" style="512" customWidth="1"/>
    <col min="7" max="10" width="7.625" style="512" customWidth="1"/>
    <col min="11" max="12" width="11.625" style="514" customWidth="1"/>
    <col min="13" max="13" width="9.25" style="512" bestFit="1" customWidth="1"/>
    <col min="14" max="14" width="7.625" style="512" customWidth="1"/>
    <col min="15" max="15" width="8.625" style="512" customWidth="1"/>
    <col min="16" max="20" width="9.625" style="512" customWidth="1"/>
    <col min="21" max="21" width="7.625" style="512" customWidth="1"/>
    <col min="22" max="22" width="7.625" style="718" customWidth="1"/>
    <col min="23" max="23" width="12.75" style="512" customWidth="1"/>
    <col min="24" max="24" width="40.625" style="512" customWidth="1"/>
    <col min="25" max="25" width="11.5" style="512" bestFit="1" customWidth="1"/>
    <col min="26" max="30" width="9" style="512"/>
    <col min="31" max="31" width="12.625" style="512" customWidth="1"/>
    <col min="32" max="39" width="7.625" style="512" customWidth="1"/>
    <col min="40" max="16384" width="9" style="512"/>
  </cols>
  <sheetData>
    <row r="1" spans="1:39" ht="15" hidden="1" customHeight="1">
      <c r="B1" s="516" t="s">
        <v>515</v>
      </c>
      <c r="C1" s="516"/>
      <c r="D1" s="517"/>
      <c r="E1" s="516"/>
      <c r="F1" s="516"/>
      <c r="G1" s="516"/>
      <c r="H1" s="516"/>
      <c r="I1" s="516"/>
      <c r="J1" s="516"/>
      <c r="K1" s="518" t="s">
        <v>516</v>
      </c>
      <c r="L1" s="518" t="s">
        <v>517</v>
      </c>
      <c r="M1" s="516"/>
      <c r="N1" s="516"/>
      <c r="O1" s="516" t="s">
        <v>518</v>
      </c>
      <c r="P1" s="516" t="s">
        <v>519</v>
      </c>
      <c r="Q1" s="516"/>
      <c r="R1" s="516" t="s">
        <v>520</v>
      </c>
      <c r="S1" s="519"/>
      <c r="T1" s="519"/>
      <c r="U1" s="519"/>
      <c r="V1" s="713"/>
      <c r="W1" s="519"/>
      <c r="X1" s="519"/>
      <c r="Y1" s="519"/>
      <c r="Z1" s="519"/>
      <c r="AA1" s="519"/>
      <c r="AB1" s="519"/>
      <c r="AC1" s="519"/>
      <c r="AD1" s="519"/>
      <c r="AE1" s="519"/>
      <c r="AF1" s="519"/>
      <c r="AG1" s="512" t="s">
        <v>521</v>
      </c>
    </row>
    <row r="2" spans="1:39" customFormat="1" ht="15" hidden="1" customHeight="1">
      <c r="V2" s="699"/>
    </row>
    <row r="3" spans="1:39" customFormat="1" ht="15" customHeight="1">
      <c r="V3" s="699"/>
    </row>
    <row r="4" spans="1:39" s="513" customFormat="1" ht="15" customHeight="1">
      <c r="A4" s="547"/>
      <c r="B4" s="9" t="s">
        <v>564</v>
      </c>
      <c r="C4" s="9"/>
      <c r="D4" s="9"/>
      <c r="E4" s="9"/>
      <c r="F4" s="9" t="s">
        <v>566</v>
      </c>
      <c r="G4" s="9" t="s">
        <v>563</v>
      </c>
      <c r="H4" s="8"/>
      <c r="I4" s="8"/>
      <c r="J4" s="8"/>
      <c r="K4" s="12" t="str">
        <f>TABLE!BB3&amp;"
~"&amp;TABLE!BB4</f>
        <v>20221101
~20241031</v>
      </c>
      <c r="L4" s="12" t="str">
        <f>TABLE!BB7&amp;"
/"&amp;TABLE!BB8</f>
        <v>20243Q
/20241031</v>
      </c>
      <c r="O4" s="7" t="s">
        <v>452</v>
      </c>
      <c r="P4" s="678" t="s">
        <v>228</v>
      </c>
      <c r="Q4" s="677" t="s">
        <v>229</v>
      </c>
      <c r="R4" s="692" t="s">
        <v>230</v>
      </c>
      <c r="S4" s="12" t="str">
        <f>"특이사항
기준일 "&amp;TABLE!BB9</f>
        <v>특이사항
기준일 20243Q</v>
      </c>
      <c r="T4" s="11"/>
      <c r="V4" s="714"/>
    </row>
    <row r="5" spans="1:39" s="513" customFormat="1" ht="15" customHeight="1">
      <c r="A5" s="547"/>
      <c r="B5" s="9"/>
      <c r="C5" s="9"/>
      <c r="D5" s="9"/>
      <c r="E5" s="8"/>
      <c r="F5" s="8"/>
      <c r="G5" s="9"/>
      <c r="H5" s="8"/>
      <c r="I5" s="8"/>
      <c r="J5" s="8"/>
      <c r="K5" s="12"/>
      <c r="L5" s="12"/>
      <c r="O5" s="6"/>
      <c r="P5" s="679">
        <f ca="1">WACC!E39</f>
        <v>-13305399948.490595</v>
      </c>
      <c r="Q5" s="680">
        <f>WACC!F12</f>
        <v>156.46621473868359</v>
      </c>
      <c r="R5" s="693">
        <f>WACC!$E$30/100</f>
        <v>0.20899999999999999</v>
      </c>
      <c r="S5" s="11"/>
      <c r="T5" s="11"/>
      <c r="V5" s="714"/>
      <c r="AA5" s="513" t="str">
        <f>"배수 기준: " &amp; TABLE!BB14</f>
        <v>배수 기준: 20243Q</v>
      </c>
      <c r="AF5" s="520" t="str">
        <f>"과거매출액 // 매출컨센서스 기준일 "&amp;TEXT(TABLE!BB10,"yyyy-mm-dd")&amp;" (단위 : 백만원)"</f>
        <v>과거매출액 // 매출컨센서스 기준일 2024-12-05 (단위 : 백만원)</v>
      </c>
    </row>
    <row r="6" spans="1:39" s="513" customFormat="1" ht="15" customHeight="1">
      <c r="A6" s="548" t="s">
        <v>522</v>
      </c>
      <c r="B6" s="8"/>
      <c r="C6" s="8"/>
      <c r="D6" s="8"/>
      <c r="E6" s="8"/>
      <c r="F6" s="8"/>
      <c r="G6" s="8"/>
      <c r="H6" s="8"/>
      <c r="I6" s="8"/>
      <c r="J6" s="8"/>
      <c r="K6" s="705">
        <f ca="1">AVERAGEIF($O:$O,1,K:K)</f>
        <v>0.90600000000000003</v>
      </c>
      <c r="L6" s="706">
        <f ca="1">AVERAGEIF($O:$O,1,L:L)</f>
        <v>535.20252867144529</v>
      </c>
      <c r="O6" s="6"/>
      <c r="P6" s="681">
        <f ca="1">AVERAGEIF($O:$O,1,P:P)</f>
        <v>0.17311709359136654</v>
      </c>
      <c r="Q6" s="681">
        <f ca="1">AVERAGEIF($O:$O,1,Q:Q)</f>
        <v>0.3873750764471226</v>
      </c>
      <c r="R6" s="694">
        <f ca="1">AVERAGEIF($O:$O,1,R:R)</f>
        <v>0.90600000000000003</v>
      </c>
      <c r="S6" s="10"/>
      <c r="T6" s="10"/>
      <c r="V6" s="714"/>
    </row>
    <row r="7" spans="1:39" s="513" customFormat="1" ht="30" customHeight="1">
      <c r="A7" s="521"/>
      <c r="B7" s="707" t="s">
        <v>231</v>
      </c>
      <c r="C7" s="707" t="s">
        <v>232</v>
      </c>
      <c r="D7" s="707" t="s">
        <v>758</v>
      </c>
      <c r="E7" s="707" t="s">
        <v>233</v>
      </c>
      <c r="F7" s="707" t="s">
        <v>234</v>
      </c>
      <c r="G7" s="707" t="s">
        <v>757</v>
      </c>
      <c r="H7" s="707" t="s">
        <v>235</v>
      </c>
      <c r="I7" s="707" t="s">
        <v>236</v>
      </c>
      <c r="J7" s="707" t="s">
        <v>237</v>
      </c>
      <c r="K7" s="708" t="s">
        <v>238</v>
      </c>
      <c r="L7" s="708" t="s">
        <v>239</v>
      </c>
      <c r="M7" s="522" t="s">
        <v>759</v>
      </c>
      <c r="N7" s="522" t="s">
        <v>454</v>
      </c>
      <c r="O7" s="709" t="s">
        <v>453</v>
      </c>
      <c r="P7" s="709" t="s">
        <v>240</v>
      </c>
      <c r="Q7" s="709" t="s">
        <v>241</v>
      </c>
      <c r="R7" s="709" t="s">
        <v>242</v>
      </c>
      <c r="S7" s="708" t="s">
        <v>243</v>
      </c>
      <c r="T7" s="708" t="s">
        <v>244</v>
      </c>
      <c r="U7" s="708" t="s">
        <v>614</v>
      </c>
      <c r="V7" s="715" t="str">
        <f>테이블[[#Headers],[한계세율]]</f>
        <v>한계세율</v>
      </c>
      <c r="W7" s="708" t="str">
        <f>테이블[[#Headers],[홈페이지]]</f>
        <v>홈페이지</v>
      </c>
      <c r="X7" s="708" t="str">
        <f>테이블[[#Headers],[주요상품]]</f>
        <v>주요상품</v>
      </c>
      <c r="Y7" s="708" t="str">
        <f>테이블[[#Headers],[거래소 업종]]</f>
        <v>거래소 업종</v>
      </c>
      <c r="Z7" s="708" t="str">
        <f>테이블[[#Headers],[거래소(시장)]]</f>
        <v>거래소(시장)</v>
      </c>
      <c r="AA7" s="708" t="str">
        <f>테이블[[#Headers],[EV/EBITDA]]</f>
        <v>EV/EBITDA</v>
      </c>
      <c r="AB7" s="708" t="str">
        <f>테이블[[#Headers],[PBR]]</f>
        <v>PBR</v>
      </c>
      <c r="AC7" s="708" t="str">
        <f>테이블[[#Headers],[PSR]]</f>
        <v>PSR</v>
      </c>
      <c r="AD7" s="708" t="str">
        <f>테이블[[#Headers],[PER]]</f>
        <v>PER</v>
      </c>
      <c r="AE7" s="708" t="str">
        <f>테이블[[#Headers],[3개년(2023~2026) CAGR]]</f>
        <v>3개년(2023~2026) CAGR</v>
      </c>
      <c r="AF7" s="708" t="str">
        <f>테이블[[#Headers],[2,020 ]]</f>
        <v xml:space="preserve">2,020 </v>
      </c>
      <c r="AG7" s="708" t="str">
        <f>테이블[[#Headers],[2,021 ]]</f>
        <v xml:space="preserve">2,021 </v>
      </c>
      <c r="AH7" s="708" t="str">
        <f>테이블[[#Headers],[2,022 ]]</f>
        <v xml:space="preserve">2,022 </v>
      </c>
      <c r="AI7" s="708" t="str">
        <f>테이블[[#Headers],[2,023 ]]</f>
        <v xml:space="preserve">2,023 </v>
      </c>
      <c r="AJ7" s="708" t="str">
        <f>테이블[[#Headers],[2,024 ]]</f>
        <v xml:space="preserve">2,024 </v>
      </c>
      <c r="AK7" s="708" t="str">
        <f>테이블[[#Headers],[2,025 ]]</f>
        <v xml:space="preserve">2,025 </v>
      </c>
      <c r="AL7" s="708" t="str">
        <f>테이블[[#Headers],[2,026 ]]</f>
        <v xml:space="preserve">2,026 </v>
      </c>
      <c r="AM7" s="708" t="str">
        <f>테이블[[#Headers],[2,027 ]]</f>
        <v xml:space="preserve">2,027 </v>
      </c>
    </row>
    <row r="8" spans="1:39" ht="15" customHeight="1" thickBot="1">
      <c r="A8" s="523" t="s">
        <v>514</v>
      </c>
      <c r="B8" s="670" t="s">
        <v>245</v>
      </c>
      <c r="C8" s="671" t="str">
        <f t="shared" ref="C8:M8" ca="1" si="0">INDEX(INDIRECT("테이블["&amp;C$7&amp;"]"),$U8)</f>
        <v>004990 KS Equity</v>
      </c>
      <c r="D8" s="671" t="str">
        <f t="shared" ca="1" si="0"/>
        <v>Lotte Corporation</v>
      </c>
      <c r="E8" s="671">
        <f t="shared" ca="1" si="0"/>
        <v>1101110076300</v>
      </c>
      <c r="F8" s="671" t="str">
        <f t="shared" ca="1" si="0"/>
        <v>회사 본부</v>
      </c>
      <c r="G8" s="710">
        <f t="shared" ca="1" si="0"/>
        <v>15826886.49619</v>
      </c>
      <c r="H8" s="710">
        <f t="shared" ca="1" si="0"/>
        <v>427941.92155000003</v>
      </c>
      <c r="I8" s="710">
        <f t="shared" ca="1" si="0"/>
        <v>-160818.44532</v>
      </c>
      <c r="J8" s="710">
        <f t="shared" ca="1" si="0"/>
        <v>9816253.1374699995</v>
      </c>
      <c r="K8" s="711">
        <f t="shared" ca="1" si="0"/>
        <v>0.90600000000000003</v>
      </c>
      <c r="L8" s="712">
        <f t="shared" ca="1" si="0"/>
        <v>535.20252867144529</v>
      </c>
      <c r="M8" s="515">
        <f t="shared" ca="1" si="0"/>
        <v>19740216</v>
      </c>
      <c r="N8" s="515"/>
      <c r="O8" s="672">
        <v>1</v>
      </c>
      <c r="P8" s="673">
        <f ca="1">IF(L8="","",K8/(1+L8/100*(1-$R$5)))</f>
        <v>0.17311709359136654</v>
      </c>
      <c r="Q8" s="673">
        <f t="shared" ref="Q8" ca="1" si="1">IFERROR($P8*(1+$Q$5/100*(1-$R$5)),"")</f>
        <v>0.3873750764471226</v>
      </c>
      <c r="R8" s="673">
        <f ca="1">IFERROR($P8*(1+$L$6/100*(1-$R$5)),"")</f>
        <v>0.90600000000000003</v>
      </c>
      <c r="S8" s="674" t="str">
        <f ca="1">INDEX(INDIRECT("테이블["&amp;S$7&amp;"]"),$U8)</f>
        <v>정상</v>
      </c>
      <c r="T8" s="675" t="str">
        <f ca="1">INDEX(INDIRECT("테이블["&amp;T$7&amp;"]"),$U8)</f>
        <v>정상</v>
      </c>
      <c r="U8" s="676">
        <f>MATCH($B8,TABLE!$E:$E,0)-1</f>
        <v>104</v>
      </c>
      <c r="V8" s="716" t="str">
        <f ca="1">INDEX(INDIRECT("테이블["&amp;V$7&amp;"]"),$U8)</f>
        <v>-</v>
      </c>
      <c r="W8" s="716" t="str">
        <f ca="1">INDEX(INDIRECT("테이블["&amp;W$7&amp;"]"),$U8)</f>
        <v>www.lotte.co.kr</v>
      </c>
      <c r="X8" s="716" t="str">
        <f ca="1">INDEX(INDIRECT("테이블["&amp;X$7&amp;"]"),$U8)</f>
        <v>지주회사</v>
      </c>
      <c r="Y8" s="716" t="str">
        <f t="shared" ref="Y8:AM8" ca="1" si="2">INDEX(INDIRECT("테이블["&amp;Y$7&amp;"]"),$U8)</f>
        <v>코스피 금융업</v>
      </c>
      <c r="Z8" s="716" t="str">
        <f t="shared" ca="1" si="2"/>
        <v>유가증권시장</v>
      </c>
      <c r="AA8" s="721">
        <f t="shared" ca="1" si="2"/>
        <v>9.07</v>
      </c>
      <c r="AB8" s="721">
        <f t="shared" ca="1" si="2"/>
        <v>0.3</v>
      </c>
      <c r="AC8" s="721">
        <f t="shared" ca="1" si="2"/>
        <v>0.16</v>
      </c>
      <c r="AD8" s="721" t="str">
        <f t="shared" ca="1" si="2"/>
        <v>N/A</v>
      </c>
      <c r="AE8" s="719">
        <f t="shared" ca="1" si="2"/>
        <v>4.312139890600708E-2</v>
      </c>
      <c r="AF8" s="720">
        <f t="shared" ca="1" si="2"/>
        <v>90866.492295599994</v>
      </c>
      <c r="AG8" s="720">
        <f t="shared" ca="1" si="2"/>
        <v>99248.640141900003</v>
      </c>
      <c r="AH8" s="720">
        <f t="shared" ca="1" si="2"/>
        <v>141118.52309169999</v>
      </c>
      <c r="AI8" s="720">
        <f t="shared" ca="1" si="2"/>
        <v>151597.75895630001</v>
      </c>
      <c r="AJ8" s="720">
        <f t="shared" ca="1" si="2"/>
        <v>163157.5</v>
      </c>
      <c r="AK8" s="720">
        <f t="shared" ca="1" si="2"/>
        <v>171650</v>
      </c>
      <c r="AL8" s="720">
        <f t="shared" ca="1" si="2"/>
        <v>179486.67</v>
      </c>
      <c r="AM8" s="720">
        <f t="shared" ca="1" si="2"/>
        <v>0</v>
      </c>
    </row>
    <row r="9" spans="1:39" ht="15" customHeight="1"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717"/>
      <c r="W9" s="205"/>
      <c r="X9" s="205"/>
      <c r="Y9" s="205"/>
      <c r="Z9" s="205"/>
      <c r="AA9" s="205"/>
      <c r="AB9" s="205"/>
      <c r="AC9" s="205"/>
      <c r="AD9" s="205"/>
      <c r="AE9" s="205"/>
      <c r="AF9" s="205"/>
    </row>
    <row r="10" spans="1:39" ht="15" customHeight="1"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717"/>
      <c r="W10" s="205"/>
      <c r="X10" s="205"/>
      <c r="Y10" s="205"/>
      <c r="Z10" s="205"/>
      <c r="AA10" s="205"/>
      <c r="AB10" s="205"/>
      <c r="AC10" s="205"/>
      <c r="AD10" s="205"/>
      <c r="AE10" s="205"/>
      <c r="AF10" s="205"/>
    </row>
    <row r="11" spans="1:39" ht="15" customHeight="1">
      <c r="B11" s="205"/>
      <c r="C11" s="205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  <c r="P11" s="205"/>
      <c r="Q11" s="205"/>
      <c r="R11" s="205"/>
      <c r="S11" s="205"/>
      <c r="T11" s="205"/>
      <c r="U11" s="205"/>
      <c r="V11" s="717"/>
      <c r="W11" s="205"/>
      <c r="X11" s="205"/>
      <c r="Y11" s="205"/>
      <c r="Z11" s="205"/>
      <c r="AA11" s="205"/>
      <c r="AB11" s="205"/>
      <c r="AC11" s="205"/>
      <c r="AD11" s="205"/>
      <c r="AE11" s="205"/>
      <c r="AF11" s="205"/>
    </row>
    <row r="12" spans="1:39" ht="15" customHeight="1">
      <c r="B12" s="205"/>
      <c r="C12" s="205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  <c r="P12" s="205"/>
      <c r="Q12" s="205"/>
      <c r="R12" s="205"/>
      <c r="S12" s="205"/>
      <c r="T12" s="205"/>
      <c r="U12" s="205"/>
      <c r="V12" s="717"/>
      <c r="W12" s="205"/>
      <c r="X12" s="205"/>
      <c r="Z12" s="205"/>
      <c r="AA12" s="205"/>
      <c r="AB12" s="205"/>
      <c r="AC12" s="205"/>
      <c r="AD12" s="205"/>
      <c r="AE12" s="205"/>
      <c r="AF12" s="205"/>
    </row>
    <row r="21" spans="24:46" ht="15" customHeight="1">
      <c r="X21" s="513"/>
      <c r="Y21" s="513"/>
      <c r="Z21" s="513"/>
      <c r="AA21" s="513"/>
      <c r="AB21" s="513"/>
      <c r="AC21" s="513"/>
      <c r="AD21" s="513"/>
      <c r="AE21" s="513"/>
      <c r="AF21" s="513"/>
    </row>
    <row r="22" spans="24:46" ht="15" customHeight="1">
      <c r="AJ22"/>
      <c r="AK22"/>
      <c r="AL22"/>
      <c r="AM22"/>
      <c r="AN22"/>
      <c r="AO22"/>
      <c r="AP22"/>
      <c r="AQ22"/>
      <c r="AR22"/>
      <c r="AS22"/>
      <c r="AT22"/>
    </row>
    <row r="23" spans="24:46" ht="15" customHeight="1">
      <c r="AJ23"/>
      <c r="AK23"/>
      <c r="AL23"/>
      <c r="AM23"/>
      <c r="AN23"/>
      <c r="AO23"/>
      <c r="AP23"/>
      <c r="AQ23"/>
      <c r="AR23"/>
      <c r="AS23"/>
      <c r="AT23"/>
    </row>
    <row r="24" spans="24:46" ht="15" customHeight="1">
      <c r="AJ24"/>
      <c r="AK24"/>
      <c r="AL24"/>
      <c r="AM24"/>
      <c r="AN24"/>
      <c r="AO24"/>
      <c r="AP24"/>
      <c r="AQ24"/>
      <c r="AR24"/>
      <c r="AS24"/>
      <c r="AT24"/>
    </row>
    <row r="25" spans="24:46" ht="15" customHeight="1">
      <c r="AJ25"/>
      <c r="AK25"/>
      <c r="AL25"/>
      <c r="AM25"/>
      <c r="AN25"/>
      <c r="AO25"/>
      <c r="AP25"/>
      <c r="AQ25"/>
      <c r="AR25"/>
      <c r="AS25"/>
      <c r="AT25"/>
    </row>
  </sheetData>
  <sheetProtection selectLockedCells="1"/>
  <mergeCells count="7">
    <mergeCell ref="S4:T6"/>
    <mergeCell ref="B4:E6"/>
    <mergeCell ref="F4:F6"/>
    <mergeCell ref="G4:J6"/>
    <mergeCell ref="K4:K5"/>
    <mergeCell ref="L4:L5"/>
    <mergeCell ref="O4:O6"/>
  </mergeCells>
  <phoneticPr fontId="9" type="noConversion"/>
  <conditionalFormatting sqref="P8:R8 B8:L8">
    <cfRule type="expression" dxfId="63" priority="11">
      <formula>$O8=1</formula>
    </cfRule>
  </conditionalFormatting>
  <conditionalFormatting sqref="P8:T8 B8:L8">
    <cfRule type="expression" dxfId="62" priority="10">
      <formula>#REF!=1</formula>
    </cfRule>
  </conditionalFormatting>
  <conditionalFormatting sqref="S8">
    <cfRule type="cellIs" dxfId="61" priority="7" operator="equal">
      <formula>"정지"</formula>
    </cfRule>
    <cfRule type="expression" dxfId="60" priority="9">
      <formula>$O8=1</formula>
    </cfRule>
  </conditionalFormatting>
  <conditionalFormatting sqref="T8">
    <cfRule type="cellIs" dxfId="59" priority="6" operator="equal">
      <formula>"관리"</formula>
    </cfRule>
    <cfRule type="expression" dxfId="58" priority="8">
      <formula>$O8=1</formula>
    </cfRule>
  </conditionalFormatting>
  <conditionalFormatting sqref="V8:AM8">
    <cfRule type="expression" dxfId="57" priority="3">
      <formula>#REF!=1</formula>
    </cfRule>
  </conditionalFormatting>
  <conditionalFormatting sqref="V8:AM8">
    <cfRule type="cellIs" dxfId="56" priority="1" operator="equal">
      <formula>"관리"</formula>
    </cfRule>
    <cfRule type="expression" dxfId="55" priority="2">
      <formula>$O8=1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D2600"/>
  <sheetViews>
    <sheetView showGridLines="0" tabSelected="1" topLeftCell="R1" zoomScale="70" zoomScaleNormal="70" workbookViewId="0">
      <selection activeCell="AE17" sqref="AE17"/>
    </sheetView>
  </sheetViews>
  <sheetFormatPr defaultColWidth="9" defaultRowHeight="16.5"/>
  <cols>
    <col min="1" max="1" width="16.75" style="204" bestFit="1" customWidth="1"/>
    <col min="2" max="2" width="8.75" style="204" bestFit="1" customWidth="1"/>
    <col min="3" max="3" width="22.25" style="204" customWidth="1"/>
    <col min="4" max="4" width="13.125" style="204" bestFit="1" customWidth="1"/>
    <col min="5" max="5" width="18.875" style="204" bestFit="1" customWidth="1"/>
    <col min="6" max="7" width="20.625" style="204" customWidth="1"/>
    <col min="8" max="9" width="15.625" style="204" customWidth="1"/>
    <col min="10" max="13" width="10.625" style="638" customWidth="1"/>
    <col min="14" max="14" width="10.625" style="204" customWidth="1"/>
    <col min="15" max="15" width="10.625" style="691" customWidth="1"/>
    <col min="16" max="17" width="10.625" style="204" customWidth="1"/>
    <col min="18" max="18" width="10.625" style="700" customWidth="1"/>
    <col min="19" max="19" width="40.625" style="204" customWidth="1"/>
    <col min="20" max="20" width="10" style="699" bestFit="1" customWidth="1"/>
    <col min="21" max="21" width="10.625" style="204" customWidth="1"/>
    <col min="22" max="25" width="8.625" style="724" customWidth="1"/>
    <col min="26" max="26" width="14.625" style="690" customWidth="1"/>
    <col min="27" max="32" width="8.625" style="204" customWidth="1"/>
    <col min="33" max="34" width="8.625" style="657" customWidth="1"/>
    <col min="35" max="35" width="9" style="657" customWidth="1"/>
    <col min="36" max="36" width="0" style="657" hidden="1" customWidth="1"/>
    <col min="37" max="52" width="0" style="204" hidden="1" customWidth="1"/>
    <col min="53" max="16384" width="9" style="204"/>
  </cols>
  <sheetData>
    <row r="1" spans="1:56" ht="30" customHeight="1">
      <c r="A1" s="369" t="s">
        <v>211</v>
      </c>
      <c r="B1" s="370" t="s">
        <v>212</v>
      </c>
      <c r="C1" s="370" t="s">
        <v>213</v>
      </c>
      <c r="D1" s="371" t="s">
        <v>764</v>
      </c>
      <c r="E1" s="370" t="s">
        <v>214</v>
      </c>
      <c r="F1" s="370" t="s">
        <v>215</v>
      </c>
      <c r="G1" s="370" t="s">
        <v>744</v>
      </c>
      <c r="H1" s="370" t="s">
        <v>745</v>
      </c>
      <c r="I1" s="370" t="s">
        <v>746</v>
      </c>
      <c r="J1" s="701" t="s">
        <v>615</v>
      </c>
      <c r="K1" s="701" t="s">
        <v>217</v>
      </c>
      <c r="L1" s="702" t="s">
        <v>218</v>
      </c>
      <c r="M1" s="702" t="s">
        <v>219</v>
      </c>
      <c r="N1" s="369" t="s">
        <v>220</v>
      </c>
      <c r="O1" s="703" t="s">
        <v>221</v>
      </c>
      <c r="P1" s="369" t="s">
        <v>222</v>
      </c>
      <c r="Q1" s="549" t="s">
        <v>223</v>
      </c>
      <c r="R1" s="695" t="s">
        <v>616</v>
      </c>
      <c r="S1" s="549" t="s">
        <v>386</v>
      </c>
      <c r="T1" s="698" t="s">
        <v>747</v>
      </c>
      <c r="U1" s="549" t="s">
        <v>748</v>
      </c>
      <c r="V1" s="722" t="s">
        <v>749</v>
      </c>
      <c r="W1" s="722" t="s">
        <v>751</v>
      </c>
      <c r="X1" s="722" t="s">
        <v>750</v>
      </c>
      <c r="Y1" s="722" t="s">
        <v>752</v>
      </c>
      <c r="Z1" s="725" t="s">
        <v>16069</v>
      </c>
      <c r="AA1" s="654" t="s">
        <v>15801</v>
      </c>
      <c r="AB1" s="654" t="s">
        <v>15802</v>
      </c>
      <c r="AC1" s="654" t="s">
        <v>15803</v>
      </c>
      <c r="AD1" s="654" t="s">
        <v>15804</v>
      </c>
      <c r="AE1" s="654" t="s">
        <v>15805</v>
      </c>
      <c r="AF1" s="654" t="s">
        <v>15806</v>
      </c>
      <c r="AG1" s="654" t="s">
        <v>15807</v>
      </c>
      <c r="AH1" s="654" t="s">
        <v>16070</v>
      </c>
    </row>
    <row r="2" spans="1:56">
      <c r="A2" s="372" t="s">
        <v>617</v>
      </c>
      <c r="B2" s="373" t="s">
        <v>618</v>
      </c>
      <c r="C2" s="372" t="s">
        <v>619</v>
      </c>
      <c r="D2" s="374">
        <v>1301110006246</v>
      </c>
      <c r="E2" s="372" t="s">
        <v>620</v>
      </c>
      <c r="F2" s="372" t="s">
        <v>621</v>
      </c>
      <c r="G2" s="375" t="s">
        <v>621</v>
      </c>
      <c r="H2" s="375" t="s">
        <v>753</v>
      </c>
      <c r="I2" s="375" t="s">
        <v>754</v>
      </c>
      <c r="J2" s="375">
        <v>292862572</v>
      </c>
      <c r="K2" s="375">
        <v>29057975</v>
      </c>
      <c r="L2" s="375">
        <v>33146768</v>
      </c>
      <c r="M2" s="375">
        <v>386281363</v>
      </c>
      <c r="N2" s="372">
        <v>1.0840000000000001</v>
      </c>
      <c r="O2" s="704">
        <v>4.7909852600414577</v>
      </c>
      <c r="P2" s="375" t="s">
        <v>622</v>
      </c>
      <c r="Q2" s="375" t="s">
        <v>622</v>
      </c>
      <c r="R2" s="696">
        <v>19750611</v>
      </c>
      <c r="S2" s="375" t="s">
        <v>755</v>
      </c>
      <c r="T2" s="697">
        <v>0.26400000000000001</v>
      </c>
      <c r="U2" s="375" t="s">
        <v>756</v>
      </c>
      <c r="V2" s="723">
        <v>5.99</v>
      </c>
      <c r="W2" s="723">
        <v>1.1100000000000001</v>
      </c>
      <c r="X2" s="723">
        <v>1.43</v>
      </c>
      <c r="Y2" s="723">
        <v>13.03</v>
      </c>
      <c r="Z2" s="382">
        <v>7.2736162837774287E-2</v>
      </c>
      <c r="AA2" s="372">
        <v>2368069.88</v>
      </c>
      <c r="AB2" s="372">
        <v>2796047.99</v>
      </c>
      <c r="AC2" s="372">
        <v>3022313.6</v>
      </c>
      <c r="AD2" s="372">
        <v>2589354.94</v>
      </c>
      <c r="AE2" s="372">
        <v>3033480.16</v>
      </c>
      <c r="AF2" s="372">
        <v>3260272.28</v>
      </c>
      <c r="AG2" s="372">
        <v>3428966.73</v>
      </c>
      <c r="AH2" s="372">
        <v>3488785</v>
      </c>
      <c r="BA2" s="656" t="s">
        <v>252</v>
      </c>
      <c r="BB2" s="658" t="s">
        <v>220</v>
      </c>
      <c r="BC2" s="659" t="s">
        <v>15808</v>
      </c>
      <c r="BD2" s="659" t="s">
        <v>254</v>
      </c>
    </row>
    <row r="3" spans="1:56">
      <c r="A3" s="372" t="s">
        <v>765</v>
      </c>
      <c r="B3" s="373" t="s">
        <v>766</v>
      </c>
      <c r="C3" s="372" t="s">
        <v>767</v>
      </c>
      <c r="D3" s="374">
        <v>1344110001387</v>
      </c>
      <c r="E3" s="372" t="s">
        <v>768</v>
      </c>
      <c r="F3" s="375" t="s">
        <v>769</v>
      </c>
      <c r="G3" s="375" t="s">
        <v>769</v>
      </c>
      <c r="H3" s="375" t="s">
        <v>753</v>
      </c>
      <c r="I3" s="375" t="s">
        <v>754</v>
      </c>
      <c r="J3" s="375">
        <v>57731429</v>
      </c>
      <c r="K3" s="375">
        <v>15730557</v>
      </c>
      <c r="L3" s="375">
        <v>12429166</v>
      </c>
      <c r="M3" s="375">
        <v>65301520</v>
      </c>
      <c r="N3" s="372">
        <v>1.381</v>
      </c>
      <c r="O3" s="704">
        <v>19.135106352557372</v>
      </c>
      <c r="P3" s="375" t="s">
        <v>622</v>
      </c>
      <c r="Q3" s="375" t="s">
        <v>622</v>
      </c>
      <c r="R3" s="696">
        <v>19961226</v>
      </c>
      <c r="S3" s="375" t="s">
        <v>770</v>
      </c>
      <c r="T3" s="697">
        <v>0.26400000000000001</v>
      </c>
      <c r="U3" s="375" t="s">
        <v>772</v>
      </c>
      <c r="V3" s="723">
        <v>4.96</v>
      </c>
      <c r="W3" s="723">
        <v>1.88</v>
      </c>
      <c r="X3" s="723">
        <v>2.2000000000000002</v>
      </c>
      <c r="Y3" s="723">
        <v>12.19</v>
      </c>
      <c r="Z3" s="382">
        <v>0.29422284375971874</v>
      </c>
      <c r="AA3" s="372">
        <v>319004.18</v>
      </c>
      <c r="AB3" s="372">
        <v>429977.92</v>
      </c>
      <c r="AC3" s="372">
        <v>446215.67999999999</v>
      </c>
      <c r="AD3" s="372">
        <v>327657.19</v>
      </c>
      <c r="AE3" s="372">
        <v>661744.31999999995</v>
      </c>
      <c r="AF3" s="372">
        <v>850704.88</v>
      </c>
      <c r="AG3" s="372">
        <v>919297.22</v>
      </c>
      <c r="AH3" s="372">
        <v>939410</v>
      </c>
      <c r="BA3" s="660" t="s">
        <v>224</v>
      </c>
      <c r="BB3" s="660" t="s">
        <v>16320</v>
      </c>
      <c r="BC3" s="661" t="s">
        <v>15809</v>
      </c>
      <c r="BD3" s="657" t="s">
        <v>15810</v>
      </c>
    </row>
    <row r="4" spans="1:56">
      <c r="A4" s="372" t="s">
        <v>774</v>
      </c>
      <c r="B4" s="373" t="s">
        <v>775</v>
      </c>
      <c r="C4" s="372" t="s">
        <v>776</v>
      </c>
      <c r="D4" s="374">
        <v>1101117701356</v>
      </c>
      <c r="E4" s="372" t="s">
        <v>777</v>
      </c>
      <c r="F4" s="375" t="s">
        <v>16100</v>
      </c>
      <c r="G4" s="375" t="s">
        <v>16100</v>
      </c>
      <c r="H4" s="375" t="s">
        <v>753</v>
      </c>
      <c r="I4" s="375" t="s">
        <v>754</v>
      </c>
      <c r="J4" s="375">
        <v>27169747</v>
      </c>
      <c r="K4" s="375">
        <v>-213664</v>
      </c>
      <c r="L4" s="375">
        <v>940591</v>
      </c>
      <c r="M4" s="375">
        <v>28497610</v>
      </c>
      <c r="N4" s="372">
        <v>1.083</v>
      </c>
      <c r="O4" s="704">
        <v>17.722189712128362</v>
      </c>
      <c r="P4" s="375" t="s">
        <v>622</v>
      </c>
      <c r="Q4" s="375" t="s">
        <v>622</v>
      </c>
      <c r="R4" s="696">
        <v>20220127</v>
      </c>
      <c r="S4" s="375" t="s">
        <v>778</v>
      </c>
      <c r="T4" s="697">
        <v>0.26400000000000001</v>
      </c>
      <c r="U4" s="375" t="s">
        <v>779</v>
      </c>
      <c r="V4" s="723">
        <v>44.7</v>
      </c>
      <c r="W4" s="723">
        <v>4.8</v>
      </c>
      <c r="X4" s="723">
        <v>3.57</v>
      </c>
      <c r="Y4" s="723" t="s">
        <v>773</v>
      </c>
      <c r="Z4" s="382">
        <v>3.9897881938544044E-2</v>
      </c>
      <c r="AA4" s="372">
        <v>14610.68</v>
      </c>
      <c r="AB4" s="372">
        <v>178519.06</v>
      </c>
      <c r="AC4" s="372">
        <v>255986.09</v>
      </c>
      <c r="AD4" s="372">
        <v>337454.7</v>
      </c>
      <c r="AE4" s="372">
        <v>259675.27</v>
      </c>
      <c r="AF4" s="372">
        <v>307798.90999999997</v>
      </c>
      <c r="AG4" s="372">
        <v>394619.24</v>
      </c>
      <c r="AH4" s="372">
        <v>518840</v>
      </c>
      <c r="BA4" s="660" t="s">
        <v>225</v>
      </c>
      <c r="BB4" s="660" t="s">
        <v>16321</v>
      </c>
      <c r="BC4" s="661" t="s">
        <v>15809</v>
      </c>
      <c r="BD4" s="657" t="s">
        <v>15810</v>
      </c>
    </row>
    <row r="5" spans="1:56">
      <c r="A5" s="372" t="s">
        <v>780</v>
      </c>
      <c r="B5" s="373" t="s">
        <v>781</v>
      </c>
      <c r="C5" s="372" t="s">
        <v>782</v>
      </c>
      <c r="D5" s="374">
        <v>1201110566317</v>
      </c>
      <c r="E5" s="372" t="s">
        <v>783</v>
      </c>
      <c r="F5" s="375" t="s">
        <v>16101</v>
      </c>
      <c r="G5" s="375" t="s">
        <v>16101</v>
      </c>
      <c r="H5" s="375" t="s">
        <v>784</v>
      </c>
      <c r="I5" s="375" t="s">
        <v>754</v>
      </c>
      <c r="J5" s="375">
        <v>4364391.7132200003</v>
      </c>
      <c r="K5" s="375">
        <v>1344356.3708599999</v>
      </c>
      <c r="L5" s="375">
        <v>1351748.42182</v>
      </c>
      <c r="M5" s="375">
        <v>10591549.252049999</v>
      </c>
      <c r="N5" s="372">
        <v>0.59099999999999997</v>
      </c>
      <c r="O5" s="704">
        <v>1.3601614594875218</v>
      </c>
      <c r="P5" s="375" t="s">
        <v>622</v>
      </c>
      <c r="Q5" s="375" t="s">
        <v>622</v>
      </c>
      <c r="R5" s="696">
        <v>20161110</v>
      </c>
      <c r="S5" s="372" t="s">
        <v>785</v>
      </c>
      <c r="T5" s="697">
        <v>0.26400000000000001</v>
      </c>
      <c r="U5" s="372" t="s">
        <v>786</v>
      </c>
      <c r="V5" s="723">
        <v>35.94</v>
      </c>
      <c r="W5" s="723">
        <v>6.57</v>
      </c>
      <c r="X5" s="723">
        <v>15.93</v>
      </c>
      <c r="Y5" s="723">
        <v>66.069999999999993</v>
      </c>
      <c r="Z5" s="382">
        <v>0.12329796161418005</v>
      </c>
      <c r="AA5" s="372">
        <v>11647.768736399999</v>
      </c>
      <c r="AB5" s="372">
        <v>15680.0692803</v>
      </c>
      <c r="AC5" s="372">
        <v>30012.951976799999</v>
      </c>
      <c r="AD5" s="372">
        <v>36945.887670600001</v>
      </c>
      <c r="AE5" s="372">
        <v>44763.33</v>
      </c>
      <c r="AF5" s="372">
        <v>51612.95</v>
      </c>
      <c r="AG5" s="372">
        <v>58822.84</v>
      </c>
      <c r="AH5" s="372">
        <v>72476.67</v>
      </c>
      <c r="BA5" s="662"/>
      <c r="BB5" s="660"/>
      <c r="BC5" s="662"/>
      <c r="BD5" s="657"/>
    </row>
    <row r="6" spans="1:56">
      <c r="A6" s="372" t="s">
        <v>787</v>
      </c>
      <c r="B6" s="373" t="s">
        <v>788</v>
      </c>
      <c r="C6" s="372" t="s">
        <v>789</v>
      </c>
      <c r="D6" s="374">
        <v>1101110085450</v>
      </c>
      <c r="E6" s="372" t="s">
        <v>790</v>
      </c>
      <c r="F6" s="375" t="s">
        <v>791</v>
      </c>
      <c r="G6" s="375" t="s">
        <v>16102</v>
      </c>
      <c r="H6" s="375" t="s">
        <v>792</v>
      </c>
      <c r="I6" s="375" t="s">
        <v>754</v>
      </c>
      <c r="J6" s="375">
        <v>170276685</v>
      </c>
      <c r="K6" s="375">
        <v>14825190</v>
      </c>
      <c r="L6" s="375">
        <v>17920625</v>
      </c>
      <c r="M6" s="375">
        <v>111514026</v>
      </c>
      <c r="N6" s="372">
        <v>1.099</v>
      </c>
      <c r="O6" s="704">
        <v>310.57684462444706</v>
      </c>
      <c r="P6" s="375" t="s">
        <v>622</v>
      </c>
      <c r="Q6" s="375" t="s">
        <v>622</v>
      </c>
      <c r="R6" s="696">
        <v>19740628</v>
      </c>
      <c r="S6" s="375" t="s">
        <v>793</v>
      </c>
      <c r="T6" s="697">
        <v>0.26400000000000001</v>
      </c>
      <c r="U6" s="375" t="s">
        <v>794</v>
      </c>
      <c r="V6" s="723">
        <v>9.4499999999999993</v>
      </c>
      <c r="W6" s="723">
        <v>0.65</v>
      </c>
      <c r="X6" s="723">
        <v>0.39</v>
      </c>
      <c r="Y6" s="723">
        <v>5.34</v>
      </c>
      <c r="Z6" s="382">
        <v>3.3283533724057124E-2</v>
      </c>
      <c r="AA6" s="372">
        <v>1039976.01</v>
      </c>
      <c r="AB6" s="372">
        <v>1176106.26</v>
      </c>
      <c r="AC6" s="372">
        <v>1421514.69</v>
      </c>
      <c r="AD6" s="372">
        <v>1626635.79</v>
      </c>
      <c r="AE6" s="372">
        <v>1726996.5</v>
      </c>
      <c r="AF6" s="372">
        <v>1785019.42</v>
      </c>
      <c r="AG6" s="372">
        <v>1854250.3</v>
      </c>
      <c r="AH6" s="372">
        <v>2056430</v>
      </c>
      <c r="BA6" s="656" t="s">
        <v>252</v>
      </c>
      <c r="BB6" s="658" t="s">
        <v>507</v>
      </c>
      <c r="BC6" s="659" t="s">
        <v>15808</v>
      </c>
      <c r="BD6" s="655" t="s">
        <v>254</v>
      </c>
    </row>
    <row r="7" spans="1:56">
      <c r="A7" s="372" t="s">
        <v>795</v>
      </c>
      <c r="B7" s="373" t="s">
        <v>796</v>
      </c>
      <c r="C7" s="372" t="s">
        <v>797</v>
      </c>
      <c r="D7" s="374">
        <v>1101110037998</v>
      </c>
      <c r="E7" s="372" t="s">
        <v>798</v>
      </c>
      <c r="F7" s="375" t="s">
        <v>791</v>
      </c>
      <c r="G7" s="375" t="s">
        <v>16102</v>
      </c>
      <c r="H7" s="375" t="s">
        <v>792</v>
      </c>
      <c r="I7" s="375" t="s">
        <v>754</v>
      </c>
      <c r="J7" s="375">
        <v>104628789</v>
      </c>
      <c r="K7" s="375">
        <v>12416484</v>
      </c>
      <c r="L7" s="375">
        <v>13582726</v>
      </c>
      <c r="M7" s="375">
        <v>52273395</v>
      </c>
      <c r="N7" s="372">
        <v>1.0509999999999999</v>
      </c>
      <c r="O7" s="704">
        <v>9.032676386621203</v>
      </c>
      <c r="P7" s="375" t="s">
        <v>622</v>
      </c>
      <c r="Q7" s="375" t="s">
        <v>622</v>
      </c>
      <c r="R7" s="696">
        <v>19730721</v>
      </c>
      <c r="S7" s="375" t="s">
        <v>799</v>
      </c>
      <c r="T7" s="697">
        <v>0.26400000000000001</v>
      </c>
      <c r="U7" s="375" t="s">
        <v>800</v>
      </c>
      <c r="V7" s="723">
        <v>2.69</v>
      </c>
      <c r="W7" s="723">
        <v>0.75</v>
      </c>
      <c r="X7" s="723">
        <v>0.38</v>
      </c>
      <c r="Y7" s="723">
        <v>4.1500000000000004</v>
      </c>
      <c r="Z7" s="382">
        <v>3.801258470587876E-2</v>
      </c>
      <c r="AA7" s="372">
        <v>591680.96</v>
      </c>
      <c r="AB7" s="372">
        <v>698623.66</v>
      </c>
      <c r="AC7" s="372">
        <v>865590.29</v>
      </c>
      <c r="AD7" s="372">
        <v>998084.2</v>
      </c>
      <c r="AE7" s="372">
        <v>1072105</v>
      </c>
      <c r="AF7" s="372">
        <v>1106033.71</v>
      </c>
      <c r="AG7" s="372">
        <v>1158717.74</v>
      </c>
      <c r="AH7" s="372">
        <v>1348135</v>
      </c>
      <c r="BA7" s="660" t="s">
        <v>226</v>
      </c>
      <c r="BB7" s="660" t="s">
        <v>16329</v>
      </c>
      <c r="BC7" s="660" t="s">
        <v>15811</v>
      </c>
      <c r="BD7" s="665" t="s">
        <v>15812</v>
      </c>
    </row>
    <row r="8" spans="1:56">
      <c r="A8" s="372" t="s">
        <v>801</v>
      </c>
      <c r="B8" s="373" t="s">
        <v>802</v>
      </c>
      <c r="C8" s="372" t="s">
        <v>803</v>
      </c>
      <c r="D8" s="374">
        <v>1350110034038</v>
      </c>
      <c r="E8" s="372" t="s">
        <v>804</v>
      </c>
      <c r="F8" s="375" t="s">
        <v>16101</v>
      </c>
      <c r="G8" s="375" t="s">
        <v>16101</v>
      </c>
      <c r="H8" s="375" t="s">
        <v>784</v>
      </c>
      <c r="I8" s="375" t="s">
        <v>754</v>
      </c>
      <c r="J8" s="375">
        <v>2876252.5342299999</v>
      </c>
      <c r="K8" s="375">
        <v>314034.72149000003</v>
      </c>
      <c r="L8" s="375">
        <v>292348.62634999998</v>
      </c>
      <c r="M8" s="375">
        <v>17031290.055259999</v>
      </c>
      <c r="N8" s="372">
        <v>0.92900000000000005</v>
      </c>
      <c r="O8" s="704">
        <v>5.8326492131911225</v>
      </c>
      <c r="P8" s="375" t="s">
        <v>622</v>
      </c>
      <c r="Q8" s="375" t="s">
        <v>622</v>
      </c>
      <c r="R8" s="696">
        <v>20050719</v>
      </c>
      <c r="S8" s="375" t="s">
        <v>805</v>
      </c>
      <c r="T8" s="697">
        <v>0.23100000000000001</v>
      </c>
      <c r="U8" s="375" t="s">
        <v>806</v>
      </c>
      <c r="V8" s="723">
        <v>59.97</v>
      </c>
      <c r="W8" s="723">
        <v>2.2599999999999998</v>
      </c>
      <c r="X8" s="723">
        <v>13.62</v>
      </c>
      <c r="Y8" s="723">
        <v>209.3</v>
      </c>
      <c r="Z8" s="382">
        <v>0.25782375906890898</v>
      </c>
      <c r="AA8" s="372">
        <v>18491.155321099999</v>
      </c>
      <c r="AB8" s="372">
        <v>18934.0121721</v>
      </c>
      <c r="AC8" s="372">
        <v>22839.674803900001</v>
      </c>
      <c r="AD8" s="372">
        <v>21764.315313800002</v>
      </c>
      <c r="AE8" s="372">
        <v>35217.870000000003</v>
      </c>
      <c r="AF8" s="372">
        <v>45684.09</v>
      </c>
      <c r="AG8" s="372">
        <v>54478.38</v>
      </c>
      <c r="AH8" s="372">
        <v>61440</v>
      </c>
      <c r="BA8" s="660" t="s">
        <v>227</v>
      </c>
      <c r="BB8" s="660" t="s">
        <v>16321</v>
      </c>
      <c r="BC8" s="660" t="s">
        <v>15811</v>
      </c>
      <c r="BD8" s="204" t="s">
        <v>15813</v>
      </c>
    </row>
    <row r="9" spans="1:56">
      <c r="A9" s="372" t="s">
        <v>807</v>
      </c>
      <c r="B9" s="373" t="s">
        <v>808</v>
      </c>
      <c r="C9" s="372" t="s">
        <v>809</v>
      </c>
      <c r="D9" s="374">
        <v>1746110000741</v>
      </c>
      <c r="E9" s="372" t="s">
        <v>810</v>
      </c>
      <c r="F9" s="375" t="s">
        <v>811</v>
      </c>
      <c r="G9" s="375" t="s">
        <v>811</v>
      </c>
      <c r="H9" s="375" t="s">
        <v>812</v>
      </c>
      <c r="I9" s="375" t="s">
        <v>754</v>
      </c>
      <c r="J9" s="375">
        <v>73547116.016939998</v>
      </c>
      <c r="K9" s="375">
        <v>2382463.5555199999</v>
      </c>
      <c r="L9" s="375">
        <v>1916249.9750099999</v>
      </c>
      <c r="M9" s="375">
        <v>61204411.835759997</v>
      </c>
      <c r="N9" s="372">
        <v>1.29</v>
      </c>
      <c r="O9" s="704">
        <v>105.66752619149264</v>
      </c>
      <c r="P9" s="375" t="s">
        <v>622</v>
      </c>
      <c r="Q9" s="375" t="s">
        <v>622</v>
      </c>
      <c r="R9" s="696">
        <v>19880610</v>
      </c>
      <c r="S9" s="375" t="s">
        <v>813</v>
      </c>
      <c r="T9" s="697">
        <v>0.26400000000000001</v>
      </c>
      <c r="U9" s="375" t="s">
        <v>15816</v>
      </c>
      <c r="V9" s="723">
        <v>7.56</v>
      </c>
      <c r="W9" s="723">
        <v>0.56000000000000005</v>
      </c>
      <c r="X9" s="723">
        <v>0.44</v>
      </c>
      <c r="Y9" s="723">
        <v>24.63</v>
      </c>
      <c r="Z9" s="382">
        <v>7.9844966037867504E-3</v>
      </c>
      <c r="AA9" s="372">
        <v>577927.95732819999</v>
      </c>
      <c r="AB9" s="372">
        <v>763323.45050010004</v>
      </c>
      <c r="AC9" s="372">
        <v>847502.03702239995</v>
      </c>
      <c r="AD9" s="372">
        <v>771271.97108579997</v>
      </c>
      <c r="AE9" s="372">
        <v>736012.21</v>
      </c>
      <c r="AF9" s="372">
        <v>761557.37</v>
      </c>
      <c r="AG9" s="372">
        <v>796201.44</v>
      </c>
      <c r="AH9" s="372">
        <v>0</v>
      </c>
      <c r="BA9" s="660" t="s">
        <v>216</v>
      </c>
      <c r="BB9" s="660" t="s">
        <v>16329</v>
      </c>
      <c r="BC9" s="660" t="s">
        <v>15811</v>
      </c>
      <c r="BD9" s="666" t="s">
        <v>15814</v>
      </c>
    </row>
    <row r="10" spans="1:56">
      <c r="A10" s="372" t="s">
        <v>814</v>
      </c>
      <c r="B10" s="373" t="s">
        <v>815</v>
      </c>
      <c r="C10" s="372" t="s">
        <v>816</v>
      </c>
      <c r="D10" s="374">
        <v>1101111707178</v>
      </c>
      <c r="E10" s="372" t="s">
        <v>816</v>
      </c>
      <c r="F10" s="375" t="s">
        <v>2518</v>
      </c>
      <c r="G10" s="375" t="s">
        <v>2518</v>
      </c>
      <c r="H10" s="375" t="s">
        <v>817</v>
      </c>
      <c r="I10" s="375" t="s">
        <v>754</v>
      </c>
      <c r="J10" s="375">
        <v>10389102.56435</v>
      </c>
      <c r="K10" s="375">
        <v>1842738.9196899999</v>
      </c>
      <c r="L10" s="375">
        <v>2219974.9468700001</v>
      </c>
      <c r="M10" s="375">
        <v>26155222.83365</v>
      </c>
      <c r="N10" s="372">
        <v>0.94199999999999995</v>
      </c>
      <c r="O10" s="704">
        <v>15.729110485840806</v>
      </c>
      <c r="P10" s="375" t="s">
        <v>622</v>
      </c>
      <c r="Q10" s="375" t="s">
        <v>622</v>
      </c>
      <c r="R10" s="696">
        <v>20021025</v>
      </c>
      <c r="S10" s="375" t="s">
        <v>818</v>
      </c>
      <c r="T10" s="697">
        <v>0.26400000000000001</v>
      </c>
      <c r="U10" s="375" t="s">
        <v>819</v>
      </c>
      <c r="V10" s="723">
        <v>11.85</v>
      </c>
      <c r="W10" s="723">
        <v>1.07</v>
      </c>
      <c r="X10" s="723">
        <v>2.65</v>
      </c>
      <c r="Y10" s="723">
        <v>16.34</v>
      </c>
      <c r="Z10" s="382">
        <v>6.8254186966236308E-2</v>
      </c>
      <c r="AA10" s="372">
        <v>53041.459003900003</v>
      </c>
      <c r="AB10" s="372">
        <v>68175.997072500002</v>
      </c>
      <c r="AC10" s="372">
        <v>82200.787088099998</v>
      </c>
      <c r="AD10" s="372">
        <v>96706.435765799994</v>
      </c>
      <c r="AE10" s="372">
        <v>106294.8</v>
      </c>
      <c r="AF10" s="372">
        <v>116143.29</v>
      </c>
      <c r="AG10" s="372">
        <v>125937.13</v>
      </c>
      <c r="AH10" s="372">
        <v>0</v>
      </c>
      <c r="BA10" s="664" t="s">
        <v>508</v>
      </c>
      <c r="BB10" s="660" t="s">
        <v>16330</v>
      </c>
      <c r="BC10" s="660" t="s">
        <v>15811</v>
      </c>
      <c r="BD10" s="383" t="s">
        <v>15815</v>
      </c>
    </row>
    <row r="11" spans="1:56">
      <c r="A11" s="372" t="s">
        <v>820</v>
      </c>
      <c r="B11" s="373" t="s">
        <v>821</v>
      </c>
      <c r="C11" s="372" t="s">
        <v>822</v>
      </c>
      <c r="D11" s="374">
        <v>1101112207995</v>
      </c>
      <c r="E11" s="372" t="s">
        <v>823</v>
      </c>
      <c r="F11" s="375" t="s">
        <v>824</v>
      </c>
      <c r="G11" s="375" t="s">
        <v>825</v>
      </c>
      <c r="H11" s="375" t="s">
        <v>826</v>
      </c>
      <c r="I11" s="375" t="s">
        <v>754</v>
      </c>
      <c r="J11" s="375">
        <v>49714304</v>
      </c>
      <c r="K11" s="375">
        <v>63475</v>
      </c>
      <c r="L11" s="375">
        <v>1106663</v>
      </c>
      <c r="M11" s="375">
        <v>45617176</v>
      </c>
      <c r="N11" s="372">
        <v>1.5189999999999999</v>
      </c>
      <c r="O11" s="704">
        <v>127.03080153998569</v>
      </c>
      <c r="P11" s="375" t="s">
        <v>622</v>
      </c>
      <c r="Q11" s="375" t="s">
        <v>622</v>
      </c>
      <c r="R11" s="696">
        <v>20010425</v>
      </c>
      <c r="S11" s="375" t="s">
        <v>827</v>
      </c>
      <c r="T11" s="697">
        <v>0.26400000000000001</v>
      </c>
      <c r="U11" s="375" t="s">
        <v>828</v>
      </c>
      <c r="V11" s="723">
        <v>13.09</v>
      </c>
      <c r="W11" s="723">
        <v>0.85</v>
      </c>
      <c r="X11" s="723">
        <v>0.56000000000000005</v>
      </c>
      <c r="Y11" s="723">
        <v>98.57</v>
      </c>
      <c r="Z11" s="382">
        <v>4.4604285256811815E-2</v>
      </c>
      <c r="AA11" s="372">
        <v>300588.71999999997</v>
      </c>
      <c r="AB11" s="372">
        <v>425992.84</v>
      </c>
      <c r="AC11" s="372">
        <v>509832.51</v>
      </c>
      <c r="AD11" s="372">
        <v>552497.85</v>
      </c>
      <c r="AE11" s="372">
        <v>495401.38</v>
      </c>
      <c r="AF11" s="372">
        <v>573073.14</v>
      </c>
      <c r="AG11" s="372">
        <v>657866.55000000005</v>
      </c>
      <c r="AH11" s="372">
        <v>1113380</v>
      </c>
      <c r="BA11" s="660" t="s">
        <v>623</v>
      </c>
      <c r="BB11" s="663" t="s">
        <v>16330</v>
      </c>
      <c r="BC11" s="660" t="s">
        <v>15811</v>
      </c>
    </row>
    <row r="12" spans="1:56">
      <c r="A12" s="372" t="s">
        <v>829</v>
      </c>
      <c r="B12" s="373" t="s">
        <v>830</v>
      </c>
      <c r="C12" s="372" t="s">
        <v>831</v>
      </c>
      <c r="D12" s="374">
        <v>1101110394174</v>
      </c>
      <c r="E12" s="372" t="s">
        <v>832</v>
      </c>
      <c r="F12" s="375" t="s">
        <v>16100</v>
      </c>
      <c r="G12" s="375" t="s">
        <v>16103</v>
      </c>
      <c r="H12" s="375" t="s">
        <v>753</v>
      </c>
      <c r="I12" s="375" t="s">
        <v>754</v>
      </c>
      <c r="J12" s="375">
        <v>19426535.223299999</v>
      </c>
      <c r="K12" s="375">
        <v>955147.70207999996</v>
      </c>
      <c r="L12" s="375">
        <v>1550538.2854299999</v>
      </c>
      <c r="M12" s="375">
        <v>21135210.01354</v>
      </c>
      <c r="N12" s="372">
        <v>1.4219999999999999</v>
      </c>
      <c r="O12" s="704">
        <v>42.792021896115543</v>
      </c>
      <c r="P12" s="375" t="s">
        <v>622</v>
      </c>
      <c r="Q12" s="375" t="s">
        <v>622</v>
      </c>
      <c r="R12" s="696">
        <v>19790227</v>
      </c>
      <c r="S12" s="375" t="s">
        <v>833</v>
      </c>
      <c r="T12" s="697">
        <v>0.26400000000000001</v>
      </c>
      <c r="U12" s="375" t="s">
        <v>834</v>
      </c>
      <c r="V12" s="723">
        <v>12.63</v>
      </c>
      <c r="W12" s="723">
        <v>1.34</v>
      </c>
      <c r="X12" s="723">
        <v>1.37</v>
      </c>
      <c r="Y12" s="723">
        <v>20.149999999999999</v>
      </c>
      <c r="Z12" s="382">
        <v>2.2131796933896553E-2</v>
      </c>
      <c r="AA12" s="372">
        <v>112947.7044604</v>
      </c>
      <c r="AB12" s="372">
        <v>135532.20248790001</v>
      </c>
      <c r="AC12" s="372">
        <v>201240.69515849999</v>
      </c>
      <c r="AD12" s="372">
        <v>227083.00498629999</v>
      </c>
      <c r="AE12" s="372">
        <v>178664.71</v>
      </c>
      <c r="AF12" s="372">
        <v>200548.95</v>
      </c>
      <c r="AG12" s="372">
        <v>247863.3</v>
      </c>
      <c r="AH12" s="372">
        <v>303830</v>
      </c>
      <c r="BA12" s="657"/>
      <c r="BB12" s="657"/>
      <c r="BC12" s="657"/>
      <c r="BD12" s="657"/>
    </row>
    <row r="13" spans="1:56">
      <c r="A13" s="372" t="s">
        <v>835</v>
      </c>
      <c r="B13" s="373" t="s">
        <v>836</v>
      </c>
      <c r="C13" s="372" t="s">
        <v>837</v>
      </c>
      <c r="D13" s="374">
        <v>1101111129497</v>
      </c>
      <c r="E13" s="372" t="s">
        <v>838</v>
      </c>
      <c r="F13" s="375" t="s">
        <v>2518</v>
      </c>
      <c r="G13" s="375" t="s">
        <v>2518</v>
      </c>
      <c r="H13" s="375" t="s">
        <v>817</v>
      </c>
      <c r="I13" s="375" t="s">
        <v>754</v>
      </c>
      <c r="J13" s="375">
        <v>7913152.6023000004</v>
      </c>
      <c r="K13" s="375">
        <v>545649.63075000001</v>
      </c>
      <c r="L13" s="375">
        <v>-1496044.6490199999</v>
      </c>
      <c r="M13" s="375">
        <v>14175705.32065</v>
      </c>
      <c r="N13" s="372">
        <v>1.1579999999999999</v>
      </c>
      <c r="O13" s="704">
        <v>26.70946876241052</v>
      </c>
      <c r="P13" s="375" t="s">
        <v>622</v>
      </c>
      <c r="Q13" s="375" t="s">
        <v>622</v>
      </c>
      <c r="R13" s="696">
        <v>19991109</v>
      </c>
      <c r="S13" s="375" t="s">
        <v>839</v>
      </c>
      <c r="T13" s="697" t="s">
        <v>771</v>
      </c>
      <c r="U13" s="375" t="s">
        <v>840</v>
      </c>
      <c r="V13" s="723">
        <v>14.51</v>
      </c>
      <c r="W13" s="723">
        <v>1.58</v>
      </c>
      <c r="X13" s="723">
        <v>2.0299999999999998</v>
      </c>
      <c r="Y13" s="723" t="s">
        <v>773</v>
      </c>
      <c r="Z13" s="382">
        <v>5.1937752820633731E-2</v>
      </c>
      <c r="AA13" s="372">
        <v>40713.924939999997</v>
      </c>
      <c r="AB13" s="372">
        <v>59105.128810000002</v>
      </c>
      <c r="AC13" s="372">
        <v>67987.415111599999</v>
      </c>
      <c r="AD13" s="372">
        <v>75570.017572700002</v>
      </c>
      <c r="AE13" s="372">
        <v>79886.460000000006</v>
      </c>
      <c r="AF13" s="372">
        <v>85674.52</v>
      </c>
      <c r="AG13" s="372">
        <v>92535.78</v>
      </c>
      <c r="AH13" s="372">
        <v>0</v>
      </c>
      <c r="BA13" s="664" t="s">
        <v>624</v>
      </c>
      <c r="BB13" s="664">
        <v>20241031</v>
      </c>
      <c r="BC13" s="657"/>
      <c r="BD13" s="657"/>
    </row>
    <row r="14" spans="1:56">
      <c r="A14" s="372" t="s">
        <v>841</v>
      </c>
      <c r="B14" s="373" t="s">
        <v>842</v>
      </c>
      <c r="C14" s="372" t="s">
        <v>843</v>
      </c>
      <c r="D14" s="374">
        <v>1101110015762</v>
      </c>
      <c r="E14" s="372" t="s">
        <v>844</v>
      </c>
      <c r="F14" s="375" t="s">
        <v>845</v>
      </c>
      <c r="G14" s="375" t="s">
        <v>845</v>
      </c>
      <c r="H14" s="375" t="s">
        <v>846</v>
      </c>
      <c r="I14" s="375" t="s">
        <v>754</v>
      </c>
      <c r="J14" s="375">
        <v>42210221.003919996</v>
      </c>
      <c r="K14" s="375">
        <v>2975799.6208700002</v>
      </c>
      <c r="L14" s="375">
        <v>3597720.2469199998</v>
      </c>
      <c r="M14" s="375">
        <v>38413952.049800001</v>
      </c>
      <c r="N14" s="372">
        <v>1.046</v>
      </c>
      <c r="O14" s="704">
        <v>24.871203638403475</v>
      </c>
      <c r="P14" s="375" t="s">
        <v>622</v>
      </c>
      <c r="Q14" s="375" t="s">
        <v>622</v>
      </c>
      <c r="R14" s="696">
        <v>20141218</v>
      </c>
      <c r="S14" s="375" t="s">
        <v>847</v>
      </c>
      <c r="T14" s="697">
        <v>0.26400000000000001</v>
      </c>
      <c r="U14" s="375" t="s">
        <v>848</v>
      </c>
      <c r="V14" s="723">
        <v>7.91</v>
      </c>
      <c r="W14" s="723">
        <v>0.73</v>
      </c>
      <c r="X14" s="723">
        <v>0.6</v>
      </c>
      <c r="Y14" s="723">
        <v>11.82</v>
      </c>
      <c r="Z14" s="382">
        <v>1.2558037114081211E-2</v>
      </c>
      <c r="AA14" s="372">
        <v>302161.18916990003</v>
      </c>
      <c r="AB14" s="372">
        <v>344551.81882699998</v>
      </c>
      <c r="AC14" s="372">
        <v>431616.53399530001</v>
      </c>
      <c r="AD14" s="372">
        <v>418956.81215730001</v>
      </c>
      <c r="AE14" s="372">
        <v>421189.93</v>
      </c>
      <c r="AF14" s="372">
        <v>429299.36</v>
      </c>
      <c r="AG14" s="372">
        <v>440401.67</v>
      </c>
      <c r="AH14" s="372">
        <v>0</v>
      </c>
      <c r="BA14" s="664" t="s">
        <v>760</v>
      </c>
      <c r="BB14" s="664" t="s">
        <v>16329</v>
      </c>
    </row>
    <row r="15" spans="1:56">
      <c r="A15" s="372" t="s">
        <v>849</v>
      </c>
      <c r="B15" s="373" t="s">
        <v>850</v>
      </c>
      <c r="C15" s="372" t="s">
        <v>851</v>
      </c>
      <c r="D15" s="374">
        <v>1101113975517</v>
      </c>
      <c r="E15" s="372" t="s">
        <v>852</v>
      </c>
      <c r="F15" s="375" t="s">
        <v>853</v>
      </c>
      <c r="G15" s="375" t="s">
        <v>854</v>
      </c>
      <c r="H15" s="375" t="s">
        <v>855</v>
      </c>
      <c r="I15" s="375" t="s">
        <v>754</v>
      </c>
      <c r="J15" s="375">
        <v>0</v>
      </c>
      <c r="K15" s="375">
        <v>0</v>
      </c>
      <c r="L15" s="375">
        <v>0</v>
      </c>
      <c r="M15" s="375">
        <v>0</v>
      </c>
      <c r="N15" s="372">
        <v>1.121</v>
      </c>
      <c r="O15" s="704" t="s">
        <v>16301</v>
      </c>
      <c r="P15" s="375" t="s">
        <v>622</v>
      </c>
      <c r="Q15" s="375" t="s">
        <v>622</v>
      </c>
      <c r="R15" s="696">
        <v>20081010</v>
      </c>
      <c r="S15" s="375" t="s">
        <v>771</v>
      </c>
      <c r="T15" s="697" t="s">
        <v>771</v>
      </c>
      <c r="U15" s="375" t="s">
        <v>856</v>
      </c>
      <c r="V15" s="723">
        <v>0</v>
      </c>
      <c r="W15" s="723">
        <v>0</v>
      </c>
      <c r="X15" s="723">
        <v>0</v>
      </c>
      <c r="Y15" s="723">
        <v>0</v>
      </c>
      <c r="Z15" s="382">
        <v>2.5145161804188465E-2</v>
      </c>
      <c r="AA15" s="372">
        <v>144857.47</v>
      </c>
      <c r="AB15" s="372">
        <v>152108.78</v>
      </c>
      <c r="AC15" s="372">
        <v>207875.77</v>
      </c>
      <c r="AD15" s="372">
        <v>291450.78999999998</v>
      </c>
      <c r="AE15" s="372">
        <v>305561</v>
      </c>
      <c r="AF15" s="372">
        <v>311430.33</v>
      </c>
      <c r="AG15" s="372">
        <v>321889.42</v>
      </c>
      <c r="AH15" s="372">
        <v>0</v>
      </c>
    </row>
    <row r="16" spans="1:56">
      <c r="A16" s="372" t="s">
        <v>857</v>
      </c>
      <c r="B16" s="373" t="s">
        <v>858</v>
      </c>
      <c r="C16" s="372" t="s">
        <v>859</v>
      </c>
      <c r="D16" s="374">
        <v>1501110219184</v>
      </c>
      <c r="E16" s="372" t="s">
        <v>860</v>
      </c>
      <c r="F16" s="375" t="s">
        <v>16100</v>
      </c>
      <c r="G16" s="375" t="s">
        <v>16103</v>
      </c>
      <c r="H16" s="375" t="s">
        <v>861</v>
      </c>
      <c r="I16" s="375" t="s">
        <v>862</v>
      </c>
      <c r="J16" s="375">
        <v>3482309.8196700001</v>
      </c>
      <c r="K16" s="375">
        <v>-142525.54483999999</v>
      </c>
      <c r="L16" s="375">
        <v>-242243.9841</v>
      </c>
      <c r="M16" s="375">
        <v>1554968.91931</v>
      </c>
      <c r="N16" s="372">
        <v>0.91400000000000003</v>
      </c>
      <c r="O16" s="704">
        <v>13.013869502608621</v>
      </c>
      <c r="P16" s="375" t="s">
        <v>622</v>
      </c>
      <c r="Q16" s="375" t="s">
        <v>622</v>
      </c>
      <c r="R16" s="696">
        <v>20190305</v>
      </c>
      <c r="S16" s="375" t="s">
        <v>863</v>
      </c>
      <c r="T16" s="697" t="s">
        <v>771</v>
      </c>
      <c r="U16" s="375" t="s">
        <v>864</v>
      </c>
      <c r="V16" s="723" t="s">
        <v>773</v>
      </c>
      <c r="W16" s="723">
        <v>13.76</v>
      </c>
      <c r="X16" s="723">
        <v>5.18</v>
      </c>
      <c r="Y16" s="723" t="s">
        <v>773</v>
      </c>
      <c r="Z16" s="382">
        <v>-2.6409124068821344E-2</v>
      </c>
      <c r="AA16" s="372">
        <v>8547.4884387999991</v>
      </c>
      <c r="AB16" s="372">
        <v>14856.2862382</v>
      </c>
      <c r="AC16" s="372">
        <v>53576.072389499997</v>
      </c>
      <c r="AD16" s="372">
        <v>69008.678435299997</v>
      </c>
      <c r="AE16" s="372">
        <v>29518.86</v>
      </c>
      <c r="AF16" s="372">
        <v>39163.19</v>
      </c>
      <c r="AG16" s="372">
        <v>62002.57</v>
      </c>
      <c r="AH16" s="372">
        <v>102540</v>
      </c>
    </row>
    <row r="17" spans="1:34">
      <c r="A17" s="372" t="s">
        <v>865</v>
      </c>
      <c r="B17" s="373" t="s">
        <v>866</v>
      </c>
      <c r="C17" s="372" t="s">
        <v>867</v>
      </c>
      <c r="D17" s="374">
        <v>1101112322438</v>
      </c>
      <c r="E17" s="372" t="s">
        <v>868</v>
      </c>
      <c r="F17" s="375" t="s">
        <v>853</v>
      </c>
      <c r="G17" s="375" t="s">
        <v>854</v>
      </c>
      <c r="H17" s="375" t="s">
        <v>855</v>
      </c>
      <c r="I17" s="375" t="s">
        <v>754</v>
      </c>
      <c r="J17" s="375">
        <v>0</v>
      </c>
      <c r="K17" s="375">
        <v>0</v>
      </c>
      <c r="L17" s="375">
        <v>0</v>
      </c>
      <c r="M17" s="375">
        <v>0</v>
      </c>
      <c r="N17" s="372">
        <v>0.97399999999999998</v>
      </c>
      <c r="O17" s="704" t="s">
        <v>16301</v>
      </c>
      <c r="P17" s="375" t="s">
        <v>622</v>
      </c>
      <c r="Q17" s="375" t="s">
        <v>622</v>
      </c>
      <c r="R17" s="696">
        <v>20010910</v>
      </c>
      <c r="S17" s="375" t="s">
        <v>869</v>
      </c>
      <c r="T17" s="697" t="s">
        <v>771</v>
      </c>
      <c r="U17" s="375" t="s">
        <v>870</v>
      </c>
      <c r="V17" s="723">
        <v>0</v>
      </c>
      <c r="W17" s="723">
        <v>0</v>
      </c>
      <c r="X17" s="723">
        <v>0</v>
      </c>
      <c r="Y17" s="723">
        <v>0</v>
      </c>
      <c r="Z17" s="382">
        <v>1.6830497724404925E-2</v>
      </c>
      <c r="AA17" s="372">
        <v>147739.96</v>
      </c>
      <c r="AB17" s="372">
        <v>147242.29999999999</v>
      </c>
      <c r="AC17" s="372">
        <v>200923.25</v>
      </c>
      <c r="AD17" s="372">
        <v>275792.11</v>
      </c>
      <c r="AE17" s="372">
        <v>284777.2</v>
      </c>
      <c r="AF17" s="372">
        <v>289540.33</v>
      </c>
      <c r="AG17" s="372">
        <v>294833</v>
      </c>
      <c r="AH17" s="372">
        <v>0</v>
      </c>
    </row>
    <row r="18" spans="1:34">
      <c r="A18" s="372" t="s">
        <v>871</v>
      </c>
      <c r="B18" s="373" t="s">
        <v>872</v>
      </c>
      <c r="C18" s="372" t="s">
        <v>873</v>
      </c>
      <c r="D18" s="374">
        <v>1746110001947</v>
      </c>
      <c r="E18" s="372" t="s">
        <v>874</v>
      </c>
      <c r="F18" s="375" t="s">
        <v>16100</v>
      </c>
      <c r="G18" s="375" t="s">
        <v>16100</v>
      </c>
      <c r="H18" s="375" t="s">
        <v>753</v>
      </c>
      <c r="I18" s="375" t="s">
        <v>754</v>
      </c>
      <c r="J18" s="375">
        <v>4122537.3256299999</v>
      </c>
      <c r="K18" s="375">
        <v>-31656.163240000002</v>
      </c>
      <c r="L18" s="375">
        <v>-147064.52643999999</v>
      </c>
      <c r="M18" s="375">
        <v>2639202.3840299998</v>
      </c>
      <c r="N18" s="372">
        <v>1.444</v>
      </c>
      <c r="O18" s="704">
        <v>22.360213326350532</v>
      </c>
      <c r="P18" s="375" t="s">
        <v>622</v>
      </c>
      <c r="Q18" s="375" t="s">
        <v>622</v>
      </c>
      <c r="R18" s="696">
        <v>20011030</v>
      </c>
      <c r="S18" s="375" t="s">
        <v>875</v>
      </c>
      <c r="T18" s="697" t="s">
        <v>771</v>
      </c>
      <c r="U18" s="375" t="s">
        <v>15817</v>
      </c>
      <c r="V18" s="723">
        <v>164.75</v>
      </c>
      <c r="W18" s="723">
        <v>8.33</v>
      </c>
      <c r="X18" s="723">
        <v>4.7</v>
      </c>
      <c r="Y18" s="723" t="s">
        <v>773</v>
      </c>
      <c r="Z18" s="382">
        <v>0.11651313229911109</v>
      </c>
      <c r="AA18" s="372">
        <v>15662.357131000001</v>
      </c>
      <c r="AB18" s="372">
        <v>19895.4218186</v>
      </c>
      <c r="AC18" s="372">
        <v>33019.158050600003</v>
      </c>
      <c r="AD18" s="372">
        <v>47598.714862599998</v>
      </c>
      <c r="AE18" s="372">
        <v>40403.24</v>
      </c>
      <c r="AF18" s="372">
        <v>52674.9</v>
      </c>
      <c r="AG18" s="372">
        <v>73969.14</v>
      </c>
      <c r="AH18" s="372">
        <v>68690</v>
      </c>
    </row>
    <row r="19" spans="1:34">
      <c r="A19" s="372" t="s">
        <v>876</v>
      </c>
      <c r="B19" s="373" t="s">
        <v>877</v>
      </c>
      <c r="C19" s="372" t="s">
        <v>878</v>
      </c>
      <c r="D19" s="374">
        <v>1101110215536</v>
      </c>
      <c r="E19" s="372" t="s">
        <v>879</v>
      </c>
      <c r="F19" s="375" t="s">
        <v>880</v>
      </c>
      <c r="G19" s="375" t="s">
        <v>880</v>
      </c>
      <c r="H19" s="375" t="s">
        <v>792</v>
      </c>
      <c r="I19" s="375" t="s">
        <v>754</v>
      </c>
      <c r="J19" s="375">
        <v>57198538</v>
      </c>
      <c r="K19" s="375">
        <v>2610539</v>
      </c>
      <c r="L19" s="375">
        <v>4771269</v>
      </c>
      <c r="M19" s="375">
        <v>43296882</v>
      </c>
      <c r="N19" s="372">
        <v>0.9</v>
      </c>
      <c r="O19" s="704">
        <v>14.072207977522897</v>
      </c>
      <c r="P19" s="375" t="s">
        <v>622</v>
      </c>
      <c r="Q19" s="375" t="s">
        <v>622</v>
      </c>
      <c r="R19" s="696">
        <v>19890905</v>
      </c>
      <c r="S19" s="375" t="s">
        <v>881</v>
      </c>
      <c r="T19" s="697">
        <v>0.26400000000000001</v>
      </c>
      <c r="U19" s="375" t="s">
        <v>882</v>
      </c>
      <c r="V19" s="723">
        <v>5.68</v>
      </c>
      <c r="W19" s="723">
        <v>0.46</v>
      </c>
      <c r="X19" s="723">
        <v>0.36</v>
      </c>
      <c r="Y19" s="723">
        <v>5.93</v>
      </c>
      <c r="Z19" s="382">
        <v>2.2279339579447832E-2</v>
      </c>
      <c r="AA19" s="372">
        <v>366265.04</v>
      </c>
      <c r="AB19" s="372">
        <v>417021.84</v>
      </c>
      <c r="AC19" s="372">
        <v>519062.93</v>
      </c>
      <c r="AD19" s="372">
        <v>592543.61</v>
      </c>
      <c r="AE19" s="372">
        <v>573194.88</v>
      </c>
      <c r="AF19" s="372">
        <v>609084.71</v>
      </c>
      <c r="AG19" s="372">
        <v>647140.61</v>
      </c>
      <c r="AH19" s="372">
        <v>708840</v>
      </c>
    </row>
    <row r="20" spans="1:34">
      <c r="A20" s="372" t="s">
        <v>883</v>
      </c>
      <c r="B20" s="373" t="s">
        <v>884</v>
      </c>
      <c r="C20" s="372" t="s">
        <v>885</v>
      </c>
      <c r="D20" s="374">
        <v>1101112487050</v>
      </c>
      <c r="E20" s="372" t="s">
        <v>886</v>
      </c>
      <c r="F20" s="375" t="s">
        <v>621</v>
      </c>
      <c r="G20" s="375" t="s">
        <v>621</v>
      </c>
      <c r="H20" s="375" t="s">
        <v>753</v>
      </c>
      <c r="I20" s="375" t="s">
        <v>754</v>
      </c>
      <c r="J20" s="375">
        <v>88742268</v>
      </c>
      <c r="K20" s="375">
        <v>3643157</v>
      </c>
      <c r="L20" s="375">
        <v>2341845</v>
      </c>
      <c r="M20" s="375">
        <v>24419324</v>
      </c>
      <c r="N20" s="372">
        <v>0.82199999999999995</v>
      </c>
      <c r="O20" s="704">
        <v>105.22063902873408</v>
      </c>
      <c r="P20" s="375" t="s">
        <v>622</v>
      </c>
      <c r="Q20" s="375" t="s">
        <v>622</v>
      </c>
      <c r="R20" s="696">
        <v>20020422</v>
      </c>
      <c r="S20" s="375" t="s">
        <v>887</v>
      </c>
      <c r="T20" s="697">
        <v>0.26400000000000001</v>
      </c>
      <c r="U20" s="375" t="s">
        <v>888</v>
      </c>
      <c r="V20" s="723">
        <v>4.12</v>
      </c>
      <c r="W20" s="723">
        <v>0.92</v>
      </c>
      <c r="X20" s="723">
        <v>0.21</v>
      </c>
      <c r="Y20" s="723">
        <v>24.29</v>
      </c>
      <c r="Z20" s="382">
        <v>3.3189292333704268E-2</v>
      </c>
      <c r="AA20" s="372">
        <v>580579.07999999996</v>
      </c>
      <c r="AB20" s="372">
        <v>739079.84</v>
      </c>
      <c r="AC20" s="372">
        <v>834673.18</v>
      </c>
      <c r="AD20" s="372">
        <v>842277.65</v>
      </c>
      <c r="AE20" s="372">
        <v>876351.83</v>
      </c>
      <c r="AF20" s="372">
        <v>913350.96</v>
      </c>
      <c r="AG20" s="372">
        <v>959787</v>
      </c>
      <c r="AH20" s="372">
        <v>0</v>
      </c>
    </row>
    <row r="21" spans="1:34">
      <c r="A21" s="372" t="s">
        <v>889</v>
      </c>
      <c r="B21" s="373" t="s">
        <v>890</v>
      </c>
      <c r="C21" s="372" t="s">
        <v>891</v>
      </c>
      <c r="D21" s="374">
        <v>1101111598379</v>
      </c>
      <c r="E21" s="372" t="s">
        <v>892</v>
      </c>
      <c r="F21" s="375" t="s">
        <v>893</v>
      </c>
      <c r="G21" s="375" t="s">
        <v>894</v>
      </c>
      <c r="H21" s="375" t="s">
        <v>895</v>
      </c>
      <c r="I21" s="375" t="s">
        <v>862</v>
      </c>
      <c r="J21" s="375">
        <v>3753761.2092800001</v>
      </c>
      <c r="K21" s="375">
        <v>-312673.85339</v>
      </c>
      <c r="L21" s="375">
        <v>-464127.55476000003</v>
      </c>
      <c r="M21" s="375">
        <v>3245727.2948699999</v>
      </c>
      <c r="N21" s="372">
        <v>0.89800000000000002</v>
      </c>
      <c r="O21" s="704">
        <v>31.916170612690564</v>
      </c>
      <c r="P21" s="375" t="s">
        <v>622</v>
      </c>
      <c r="Q21" s="375" t="s">
        <v>622</v>
      </c>
      <c r="R21" s="696">
        <v>20070720</v>
      </c>
      <c r="S21" s="375" t="s">
        <v>896</v>
      </c>
      <c r="T21" s="697" t="s">
        <v>771</v>
      </c>
      <c r="U21" s="375" t="s">
        <v>897</v>
      </c>
      <c r="V21" s="723" t="s">
        <v>773</v>
      </c>
      <c r="W21" s="723">
        <v>7.67</v>
      </c>
      <c r="X21" s="723">
        <v>3.14</v>
      </c>
      <c r="Y21" s="723" t="s">
        <v>773</v>
      </c>
      <c r="Z21" s="382" t="s">
        <v>927</v>
      </c>
      <c r="AA21" s="372">
        <v>8508.1198937999998</v>
      </c>
      <c r="AB21" s="372">
        <v>15041.914108499999</v>
      </c>
      <c r="AC21" s="372">
        <v>56397.413273099999</v>
      </c>
      <c r="AD21" s="372">
        <v>72602.0034572</v>
      </c>
      <c r="AE21" s="372">
        <v>82884</v>
      </c>
      <c r="AF21" s="372">
        <v>134981</v>
      </c>
      <c r="AG21" s="372">
        <v>0</v>
      </c>
      <c r="AH21" s="372">
        <v>0</v>
      </c>
    </row>
    <row r="22" spans="1:34">
      <c r="A22" s="372" t="s">
        <v>898</v>
      </c>
      <c r="B22" s="373" t="s">
        <v>899</v>
      </c>
      <c r="C22" s="372" t="s">
        <v>900</v>
      </c>
      <c r="D22" s="374">
        <v>1101113352004</v>
      </c>
      <c r="E22" s="372" t="s">
        <v>901</v>
      </c>
      <c r="F22" s="375" t="s">
        <v>853</v>
      </c>
      <c r="G22" s="375" t="s">
        <v>854</v>
      </c>
      <c r="H22" s="375" t="s">
        <v>855</v>
      </c>
      <c r="I22" s="375" t="s">
        <v>754</v>
      </c>
      <c r="J22" s="375">
        <v>0</v>
      </c>
      <c r="K22" s="375">
        <v>0</v>
      </c>
      <c r="L22" s="375">
        <v>0</v>
      </c>
      <c r="M22" s="375">
        <v>0</v>
      </c>
      <c r="N22" s="372">
        <v>1.0349999999999999</v>
      </c>
      <c r="O22" s="704" t="s">
        <v>16301</v>
      </c>
      <c r="P22" s="375" t="s">
        <v>622</v>
      </c>
      <c r="Q22" s="375" t="s">
        <v>622</v>
      </c>
      <c r="R22" s="696">
        <v>20051212</v>
      </c>
      <c r="S22" s="375" t="s">
        <v>902</v>
      </c>
      <c r="T22" s="697" t="s">
        <v>771</v>
      </c>
      <c r="U22" s="375" t="s">
        <v>903</v>
      </c>
      <c r="V22" s="723">
        <v>0</v>
      </c>
      <c r="W22" s="723">
        <v>0</v>
      </c>
      <c r="X22" s="723">
        <v>0</v>
      </c>
      <c r="Y22" s="723">
        <v>0</v>
      </c>
      <c r="Z22" s="382">
        <v>2.5056536567541476E-2</v>
      </c>
      <c r="AA22" s="372">
        <v>107051.96</v>
      </c>
      <c r="AB22" s="372">
        <v>108674.91</v>
      </c>
      <c r="AC22" s="372">
        <v>159846.91</v>
      </c>
      <c r="AD22" s="372">
        <v>232759.44</v>
      </c>
      <c r="AE22" s="372">
        <v>245645.45</v>
      </c>
      <c r="AF22" s="372">
        <v>249377.1</v>
      </c>
      <c r="AG22" s="372">
        <v>256979.56</v>
      </c>
      <c r="AH22" s="372">
        <v>0</v>
      </c>
    </row>
    <row r="23" spans="1:34">
      <c r="A23" s="372" t="s">
        <v>904</v>
      </c>
      <c r="B23" s="373" t="s">
        <v>905</v>
      </c>
      <c r="C23" s="372" t="s">
        <v>906</v>
      </c>
      <c r="D23" s="374">
        <v>1101110193740</v>
      </c>
      <c r="E23" s="372" t="s">
        <v>906</v>
      </c>
      <c r="F23" s="375" t="s">
        <v>907</v>
      </c>
      <c r="G23" s="375" t="s">
        <v>908</v>
      </c>
      <c r="H23" s="375" t="s">
        <v>909</v>
      </c>
      <c r="I23" s="375" t="s">
        <v>754</v>
      </c>
      <c r="J23" s="375">
        <v>10608098</v>
      </c>
      <c r="K23" s="375">
        <v>2555100</v>
      </c>
      <c r="L23" s="375">
        <v>3241141</v>
      </c>
      <c r="M23" s="375">
        <v>24187690</v>
      </c>
      <c r="N23" s="372">
        <v>0.89300000000000002</v>
      </c>
      <c r="O23" s="704">
        <v>30.508105143943677</v>
      </c>
      <c r="P23" s="375" t="s">
        <v>622</v>
      </c>
      <c r="Q23" s="375" t="s">
        <v>622</v>
      </c>
      <c r="R23" s="696">
        <v>19951005</v>
      </c>
      <c r="S23" s="375" t="s">
        <v>910</v>
      </c>
      <c r="T23" s="697">
        <v>0.26400000000000001</v>
      </c>
      <c r="U23" s="375" t="s">
        <v>911</v>
      </c>
      <c r="V23" s="723">
        <v>4.04</v>
      </c>
      <c r="W23" s="723">
        <v>0.56999999999999995</v>
      </c>
      <c r="X23" s="723">
        <v>1.3</v>
      </c>
      <c r="Y23" s="723">
        <v>4.38</v>
      </c>
      <c r="Z23" s="382">
        <v>1.7954946208553757E-2</v>
      </c>
      <c r="AA23" s="372">
        <v>64132.7</v>
      </c>
      <c r="AB23" s="372">
        <v>137941.48000000001</v>
      </c>
      <c r="AC23" s="372">
        <v>185827.7</v>
      </c>
      <c r="AD23" s="372">
        <v>84009.69</v>
      </c>
      <c r="AE23" s="372">
        <v>112079.2</v>
      </c>
      <c r="AF23" s="372">
        <v>92770.7</v>
      </c>
      <c r="AG23" s="372">
        <v>90207.7</v>
      </c>
      <c r="AH23" s="372">
        <v>83890</v>
      </c>
    </row>
    <row r="24" spans="1:34">
      <c r="A24" s="372" t="s">
        <v>912</v>
      </c>
      <c r="B24" s="373" t="s">
        <v>913</v>
      </c>
      <c r="C24" s="372" t="s">
        <v>914</v>
      </c>
      <c r="D24" s="374">
        <v>1101114566406</v>
      </c>
      <c r="E24" s="372" t="s">
        <v>915</v>
      </c>
      <c r="F24" s="372" t="s">
        <v>853</v>
      </c>
      <c r="G24" s="375" t="s">
        <v>854</v>
      </c>
      <c r="H24" s="375" t="s">
        <v>855</v>
      </c>
      <c r="I24" s="375" t="s">
        <v>754</v>
      </c>
      <c r="J24" s="375">
        <v>0</v>
      </c>
      <c r="K24" s="375">
        <v>0</v>
      </c>
      <c r="L24" s="375">
        <v>0</v>
      </c>
      <c r="M24" s="375">
        <v>0</v>
      </c>
      <c r="N24" s="372">
        <v>0.89</v>
      </c>
      <c r="O24" s="704" t="s">
        <v>16301</v>
      </c>
      <c r="P24" s="375" t="s">
        <v>622</v>
      </c>
      <c r="Q24" s="375" t="s">
        <v>622</v>
      </c>
      <c r="R24" s="696">
        <v>20110513</v>
      </c>
      <c r="S24" s="375" t="s">
        <v>916</v>
      </c>
      <c r="T24" s="697" t="s">
        <v>771</v>
      </c>
      <c r="U24" s="375" t="s">
        <v>917</v>
      </c>
      <c r="V24" s="723">
        <v>0</v>
      </c>
      <c r="W24" s="723">
        <v>0</v>
      </c>
      <c r="X24" s="723">
        <v>0</v>
      </c>
      <c r="Y24" s="723">
        <v>0</v>
      </c>
      <c r="Z24" s="382" t="s">
        <v>927</v>
      </c>
      <c r="AA24" s="372">
        <v>18244.651401899999</v>
      </c>
      <c r="AB24" s="372">
        <v>19124.9827066</v>
      </c>
      <c r="AC24" s="372">
        <v>29412.447246399999</v>
      </c>
      <c r="AD24" s="372">
        <v>39038.839538499997</v>
      </c>
      <c r="AE24" s="372">
        <v>37830.5</v>
      </c>
      <c r="AF24" s="372">
        <v>33512.5</v>
      </c>
      <c r="AG24" s="372">
        <v>0</v>
      </c>
      <c r="AH24" s="372">
        <v>0</v>
      </c>
    </row>
    <row r="25" spans="1:34">
      <c r="A25" s="372" t="s">
        <v>918</v>
      </c>
      <c r="B25" s="373" t="s">
        <v>919</v>
      </c>
      <c r="C25" s="372" t="s">
        <v>920</v>
      </c>
      <c r="D25" s="374">
        <v>1311110435767</v>
      </c>
      <c r="E25" s="372" t="s">
        <v>921</v>
      </c>
      <c r="F25" s="375" t="s">
        <v>922</v>
      </c>
      <c r="G25" s="375" t="s">
        <v>923</v>
      </c>
      <c r="H25" s="375" t="s">
        <v>924</v>
      </c>
      <c r="I25" s="375" t="s">
        <v>754</v>
      </c>
      <c r="J25" s="375">
        <v>0</v>
      </c>
      <c r="K25" s="375">
        <v>0</v>
      </c>
      <c r="L25" s="375">
        <v>0</v>
      </c>
      <c r="M25" s="375">
        <v>0</v>
      </c>
      <c r="N25" s="372">
        <v>1.4239999999999999</v>
      </c>
      <c r="O25" s="704" t="s">
        <v>16301</v>
      </c>
      <c r="P25" s="375" t="s">
        <v>622</v>
      </c>
      <c r="Q25" s="375" t="s">
        <v>622</v>
      </c>
      <c r="R25" s="696">
        <v>20210806</v>
      </c>
      <c r="S25" s="375" t="s">
        <v>925</v>
      </c>
      <c r="T25" s="697" t="s">
        <v>771</v>
      </c>
      <c r="U25" s="375" t="s">
        <v>926</v>
      </c>
      <c r="V25" s="723">
        <v>0</v>
      </c>
      <c r="W25" s="723">
        <v>0</v>
      </c>
      <c r="X25" s="723">
        <v>0</v>
      </c>
      <c r="Y25" s="723">
        <v>0</v>
      </c>
      <c r="Z25" s="382" t="s">
        <v>927</v>
      </c>
      <c r="AA25" s="372">
        <v>5993.9</v>
      </c>
      <c r="AB25" s="372">
        <v>7859.85</v>
      </c>
      <c r="AC25" s="372">
        <v>12938.74</v>
      </c>
      <c r="AD25" s="372">
        <v>20481.7</v>
      </c>
      <c r="AE25" s="372">
        <v>0</v>
      </c>
      <c r="AF25" s="372">
        <v>0</v>
      </c>
      <c r="AG25" s="372">
        <v>0</v>
      </c>
      <c r="AH25" s="372">
        <v>0</v>
      </c>
    </row>
    <row r="26" spans="1:34">
      <c r="A26" s="372" t="s">
        <v>928</v>
      </c>
      <c r="B26" s="373" t="s">
        <v>929</v>
      </c>
      <c r="C26" s="372" t="s">
        <v>930</v>
      </c>
      <c r="D26" s="374">
        <v>1101110005953</v>
      </c>
      <c r="E26" s="372" t="s">
        <v>931</v>
      </c>
      <c r="F26" s="372" t="s">
        <v>932</v>
      </c>
      <c r="G26" s="375" t="s">
        <v>932</v>
      </c>
      <c r="H26" s="375" t="s">
        <v>933</v>
      </c>
      <c r="I26" s="375" t="s">
        <v>754</v>
      </c>
      <c r="J26" s="375">
        <v>10265038</v>
      </c>
      <c r="K26" s="375">
        <v>3049982</v>
      </c>
      <c r="L26" s="375">
        <v>3332375</v>
      </c>
      <c r="M26" s="375">
        <v>35282322</v>
      </c>
      <c r="N26" s="372">
        <v>0.91200000000000003</v>
      </c>
      <c r="O26" s="704">
        <v>128.77040074852403</v>
      </c>
      <c r="P26" s="375" t="s">
        <v>622</v>
      </c>
      <c r="Q26" s="375" t="s">
        <v>622</v>
      </c>
      <c r="R26" s="696">
        <v>20100512</v>
      </c>
      <c r="S26" s="375" t="s">
        <v>934</v>
      </c>
      <c r="T26" s="697">
        <v>0.26400000000000001</v>
      </c>
      <c r="U26" s="375" t="s">
        <v>935</v>
      </c>
      <c r="V26" s="723">
        <v>0</v>
      </c>
      <c r="W26" s="723">
        <v>0.53</v>
      </c>
      <c r="X26" s="723">
        <v>0.57999999999999996</v>
      </c>
      <c r="Y26" s="723">
        <v>7.49</v>
      </c>
      <c r="Z26" s="382" t="s">
        <v>927</v>
      </c>
      <c r="AA26" s="372">
        <v>177400.6</v>
      </c>
      <c r="AB26" s="372">
        <v>176357.31</v>
      </c>
      <c r="AC26" s="372">
        <v>131880.46</v>
      </c>
      <c r="AD26" s="372">
        <v>99406.61</v>
      </c>
      <c r="AE26" s="372">
        <v>0</v>
      </c>
      <c r="AF26" s="372">
        <v>0</v>
      </c>
      <c r="AG26" s="372">
        <v>0</v>
      </c>
      <c r="AH26" s="372">
        <v>0</v>
      </c>
    </row>
    <row r="27" spans="1:34">
      <c r="A27" s="372" t="s">
        <v>936</v>
      </c>
      <c r="B27" s="373" t="s">
        <v>937</v>
      </c>
      <c r="C27" s="372" t="s">
        <v>938</v>
      </c>
      <c r="D27" s="374">
        <v>1101110769583</v>
      </c>
      <c r="E27" s="372" t="s">
        <v>938</v>
      </c>
      <c r="F27" s="375" t="s">
        <v>893</v>
      </c>
      <c r="G27" s="375" t="s">
        <v>894</v>
      </c>
      <c r="H27" s="375" t="s">
        <v>855</v>
      </c>
      <c r="I27" s="375" t="s">
        <v>754</v>
      </c>
      <c r="J27" s="375">
        <v>129080972</v>
      </c>
      <c r="K27" s="375">
        <v>2878775</v>
      </c>
      <c r="L27" s="375">
        <v>1230182</v>
      </c>
      <c r="M27" s="375">
        <v>81764093</v>
      </c>
      <c r="N27" s="372">
        <v>1.274</v>
      </c>
      <c r="O27" s="704">
        <v>1053.588415165244</v>
      </c>
      <c r="P27" s="375" t="s">
        <v>622</v>
      </c>
      <c r="Q27" s="375" t="s">
        <v>622</v>
      </c>
      <c r="R27" s="696">
        <v>20091111</v>
      </c>
      <c r="S27" s="375" t="s">
        <v>939</v>
      </c>
      <c r="T27" s="697">
        <v>0.26400000000000001</v>
      </c>
      <c r="U27" s="375" t="s">
        <v>940</v>
      </c>
      <c r="V27" s="723">
        <v>10.71</v>
      </c>
      <c r="W27" s="723">
        <v>0.48</v>
      </c>
      <c r="X27" s="723">
        <v>0.09</v>
      </c>
      <c r="Y27" s="723" t="s">
        <v>773</v>
      </c>
      <c r="Z27" s="382">
        <v>1.441155210108902E-2</v>
      </c>
      <c r="AA27" s="372">
        <v>808187.55</v>
      </c>
      <c r="AB27" s="372">
        <v>972036.53</v>
      </c>
      <c r="AC27" s="372">
        <v>1320793.54</v>
      </c>
      <c r="AD27" s="372">
        <v>1312378.78</v>
      </c>
      <c r="AE27" s="372">
        <v>1290541.92</v>
      </c>
      <c r="AF27" s="372">
        <v>1326450.25</v>
      </c>
      <c r="AG27" s="372">
        <v>1389683.64</v>
      </c>
      <c r="AH27" s="372">
        <v>0</v>
      </c>
    </row>
    <row r="28" spans="1:34">
      <c r="A28" s="372" t="s">
        <v>941</v>
      </c>
      <c r="B28" s="373" t="s">
        <v>942</v>
      </c>
      <c r="C28" s="372" t="s">
        <v>943</v>
      </c>
      <c r="D28" s="374">
        <v>1146710001456</v>
      </c>
      <c r="E28" s="372" t="s">
        <v>944</v>
      </c>
      <c r="F28" s="375" t="s">
        <v>945</v>
      </c>
      <c r="G28" s="375" t="s">
        <v>945</v>
      </c>
      <c r="H28" s="375" t="s">
        <v>946</v>
      </c>
      <c r="I28" s="375" t="s">
        <v>754</v>
      </c>
      <c r="J28" s="375">
        <v>92402777</v>
      </c>
      <c r="K28" s="375">
        <v>7857397</v>
      </c>
      <c r="L28" s="375">
        <v>5071993</v>
      </c>
      <c r="M28" s="375">
        <v>39676572</v>
      </c>
      <c r="N28" s="372">
        <v>0.60399999999999998</v>
      </c>
      <c r="O28" s="704">
        <v>914.48852760305397</v>
      </c>
      <c r="P28" s="375" t="s">
        <v>622</v>
      </c>
      <c r="Q28" s="375" t="s">
        <v>622</v>
      </c>
      <c r="R28" s="696">
        <v>19890810</v>
      </c>
      <c r="S28" s="375" t="s">
        <v>947</v>
      </c>
      <c r="T28" s="697">
        <v>0.26400000000000001</v>
      </c>
      <c r="U28" s="375" t="s">
        <v>948</v>
      </c>
      <c r="V28" s="723">
        <v>6.55</v>
      </c>
      <c r="W28" s="723">
        <v>0.35</v>
      </c>
      <c r="X28" s="723">
        <v>0.14000000000000001</v>
      </c>
      <c r="Y28" s="723">
        <v>3.56</v>
      </c>
      <c r="Z28" s="382">
        <v>3.5445335435416725E-2</v>
      </c>
      <c r="AA28" s="372">
        <v>585693.14</v>
      </c>
      <c r="AB28" s="372">
        <v>606735.87</v>
      </c>
      <c r="AC28" s="372">
        <v>712578.63</v>
      </c>
      <c r="AD28" s="372">
        <v>882194.61</v>
      </c>
      <c r="AE28" s="372">
        <v>932616.73</v>
      </c>
      <c r="AF28" s="372">
        <v>983105.13</v>
      </c>
      <c r="AG28" s="372">
        <v>1014082.07</v>
      </c>
      <c r="AH28" s="372">
        <v>967390</v>
      </c>
    </row>
    <row r="29" spans="1:34">
      <c r="A29" s="372" t="s">
        <v>949</v>
      </c>
      <c r="B29" s="373" t="s">
        <v>950</v>
      </c>
      <c r="C29" s="372" t="s">
        <v>951</v>
      </c>
      <c r="D29" s="374">
        <v>1101110003543</v>
      </c>
      <c r="E29" s="372" t="s">
        <v>952</v>
      </c>
      <c r="F29" s="375" t="s">
        <v>893</v>
      </c>
      <c r="G29" s="375" t="s">
        <v>894</v>
      </c>
      <c r="H29" s="375" t="s">
        <v>855</v>
      </c>
      <c r="I29" s="375" t="s">
        <v>754</v>
      </c>
      <c r="J29" s="375">
        <v>7427170</v>
      </c>
      <c r="K29" s="375">
        <v>1328306</v>
      </c>
      <c r="L29" s="375">
        <v>1373971</v>
      </c>
      <c r="M29" s="375">
        <v>27613112</v>
      </c>
      <c r="N29" s="372">
        <v>0.98699999999999999</v>
      </c>
      <c r="O29" s="704">
        <v>5.8766204229560675</v>
      </c>
      <c r="P29" s="375" t="s">
        <v>622</v>
      </c>
      <c r="Q29" s="375" t="s">
        <v>622</v>
      </c>
      <c r="R29" s="696">
        <v>19700213</v>
      </c>
      <c r="S29" s="375" t="s">
        <v>854</v>
      </c>
      <c r="T29" s="697">
        <v>0.26400000000000001</v>
      </c>
      <c r="U29" s="372" t="s">
        <v>953</v>
      </c>
      <c r="V29" s="723">
        <v>8.9499999999999993</v>
      </c>
      <c r="W29" s="723">
        <v>0.47</v>
      </c>
      <c r="X29" s="723">
        <v>1.71</v>
      </c>
      <c r="Y29" s="723">
        <v>13.3</v>
      </c>
      <c r="Z29" s="382">
        <v>4.8943707246105195E-2</v>
      </c>
      <c r="AA29" s="372">
        <v>51990.7</v>
      </c>
      <c r="AB29" s="372">
        <v>68590.100000000006</v>
      </c>
      <c r="AC29" s="372">
        <v>71859.87</v>
      </c>
      <c r="AD29" s="372">
        <v>74453.36</v>
      </c>
      <c r="AE29" s="372">
        <v>77399.5</v>
      </c>
      <c r="AF29" s="372">
        <v>84856.09</v>
      </c>
      <c r="AG29" s="372">
        <v>90134.91</v>
      </c>
      <c r="AH29" s="372">
        <v>0</v>
      </c>
    </row>
    <row r="30" spans="1:34">
      <c r="A30" s="372" t="s">
        <v>954</v>
      </c>
      <c r="B30" s="373" t="s">
        <v>955</v>
      </c>
      <c r="C30" s="372" t="s">
        <v>956</v>
      </c>
      <c r="D30" s="374">
        <v>1101110005078</v>
      </c>
      <c r="E30" s="372" t="s">
        <v>957</v>
      </c>
      <c r="F30" s="375" t="s">
        <v>958</v>
      </c>
      <c r="G30" s="375" t="s">
        <v>959</v>
      </c>
      <c r="H30" s="375" t="s">
        <v>933</v>
      </c>
      <c r="I30" s="375" t="s">
        <v>754</v>
      </c>
      <c r="J30" s="375">
        <v>17148062.170499999</v>
      </c>
      <c r="K30" s="375">
        <v>2603002.5954300002</v>
      </c>
      <c r="L30" s="375">
        <v>2696560.4465299998</v>
      </c>
      <c r="M30" s="375">
        <v>16201181.338</v>
      </c>
      <c r="N30" s="372">
        <v>0.84199999999999997</v>
      </c>
      <c r="O30" s="704">
        <v>2.3376721356890049</v>
      </c>
      <c r="P30" s="375" t="s">
        <v>622</v>
      </c>
      <c r="Q30" s="375" t="s">
        <v>622</v>
      </c>
      <c r="R30" s="696">
        <v>19750630</v>
      </c>
      <c r="S30" s="375" t="s">
        <v>960</v>
      </c>
      <c r="T30" s="697">
        <v>0.26400000000000001</v>
      </c>
      <c r="U30" s="375" t="s">
        <v>961</v>
      </c>
      <c r="V30" s="723">
        <v>0</v>
      </c>
      <c r="W30" s="723">
        <v>0.99</v>
      </c>
      <c r="X30" s="723">
        <v>0.79</v>
      </c>
      <c r="Y30" s="723">
        <v>8.52</v>
      </c>
      <c r="Z30" s="382" t="s">
        <v>927</v>
      </c>
      <c r="AA30" s="372">
        <v>200132.95763610001</v>
      </c>
      <c r="AB30" s="372">
        <v>201060.6600142</v>
      </c>
      <c r="AC30" s="372">
        <v>154483.0174637</v>
      </c>
      <c r="AD30" s="372">
        <v>166701.11098530001</v>
      </c>
      <c r="AE30" s="372">
        <v>0</v>
      </c>
      <c r="AF30" s="372">
        <v>0</v>
      </c>
      <c r="AG30" s="372">
        <v>0</v>
      </c>
      <c r="AH30" s="372">
        <v>0</v>
      </c>
    </row>
    <row r="31" spans="1:34">
      <c r="A31" s="372" t="s">
        <v>962</v>
      </c>
      <c r="B31" s="373" t="s">
        <v>963</v>
      </c>
      <c r="C31" s="372" t="s">
        <v>964</v>
      </c>
      <c r="D31" s="374">
        <v>1601110067804</v>
      </c>
      <c r="E31" s="372" t="s">
        <v>965</v>
      </c>
      <c r="F31" s="375" t="s">
        <v>966</v>
      </c>
      <c r="G31" s="375" t="s">
        <v>967</v>
      </c>
      <c r="H31" s="375" t="s">
        <v>968</v>
      </c>
      <c r="I31" s="375" t="s">
        <v>754</v>
      </c>
      <c r="J31" s="375">
        <v>5793815</v>
      </c>
      <c r="K31" s="375">
        <v>1174279</v>
      </c>
      <c r="L31" s="375">
        <v>1239027</v>
      </c>
      <c r="M31" s="375">
        <v>9243669</v>
      </c>
      <c r="N31" s="372">
        <v>0.36599999999999999</v>
      </c>
      <c r="O31" s="704">
        <v>10.632039414792931</v>
      </c>
      <c r="P31" s="375" t="s">
        <v>622</v>
      </c>
      <c r="Q31" s="375" t="s">
        <v>622</v>
      </c>
      <c r="R31" s="696">
        <v>19991008</v>
      </c>
      <c r="S31" s="375" t="s">
        <v>969</v>
      </c>
      <c r="T31" s="697">
        <v>0.26400000000000001</v>
      </c>
      <c r="U31" s="375" t="s">
        <v>970</v>
      </c>
      <c r="V31" s="723">
        <v>10.07</v>
      </c>
      <c r="W31" s="723">
        <v>1.35</v>
      </c>
      <c r="X31" s="723">
        <v>2.48</v>
      </c>
      <c r="Y31" s="723">
        <v>14.97</v>
      </c>
      <c r="Z31" s="382">
        <v>2.4402163804859933E-2</v>
      </c>
      <c r="AA31" s="372">
        <v>50553.114879000001</v>
      </c>
      <c r="AB31" s="372">
        <v>52283.515965300001</v>
      </c>
      <c r="AC31" s="372">
        <v>58514.06</v>
      </c>
      <c r="AD31" s="372">
        <v>58626.080000000002</v>
      </c>
      <c r="AE31" s="372">
        <v>58637.57</v>
      </c>
      <c r="AF31" s="372">
        <v>61768.639999999999</v>
      </c>
      <c r="AG31" s="372">
        <v>64561.38</v>
      </c>
      <c r="AH31" s="372">
        <v>63736</v>
      </c>
    </row>
    <row r="32" spans="1:34">
      <c r="A32" s="372" t="s">
        <v>971</v>
      </c>
      <c r="B32" s="373" t="s">
        <v>972</v>
      </c>
      <c r="C32" s="372" t="s">
        <v>973</v>
      </c>
      <c r="D32" s="374">
        <v>1101110398556</v>
      </c>
      <c r="E32" s="372" t="s">
        <v>974</v>
      </c>
      <c r="F32" s="375" t="s">
        <v>975</v>
      </c>
      <c r="G32" s="375" t="s">
        <v>976</v>
      </c>
      <c r="H32" s="375" t="s">
        <v>817</v>
      </c>
      <c r="I32" s="375" t="s">
        <v>754</v>
      </c>
      <c r="J32" s="375">
        <v>13563004.255070001</v>
      </c>
      <c r="K32" s="375">
        <v>914119.10751</v>
      </c>
      <c r="L32" s="375">
        <v>1040677.35243</v>
      </c>
      <c r="M32" s="375">
        <v>9393068.2888099998</v>
      </c>
      <c r="N32" s="372">
        <v>0.72299999999999998</v>
      </c>
      <c r="O32" s="704">
        <v>8.5684775059106855</v>
      </c>
      <c r="P32" s="375" t="s">
        <v>622</v>
      </c>
      <c r="Q32" s="375" t="s">
        <v>622</v>
      </c>
      <c r="R32" s="696">
        <v>20141114</v>
      </c>
      <c r="S32" s="375" t="s">
        <v>977</v>
      </c>
      <c r="T32" s="697">
        <v>0.26400000000000001</v>
      </c>
      <c r="U32" s="375" t="s">
        <v>978</v>
      </c>
      <c r="V32" s="723">
        <v>8.15</v>
      </c>
      <c r="W32" s="723">
        <v>1.33</v>
      </c>
      <c r="X32" s="723">
        <v>0.88</v>
      </c>
      <c r="Y32" s="723">
        <v>16.88</v>
      </c>
      <c r="Z32" s="382">
        <v>4.2423065712515085E-2</v>
      </c>
      <c r="AA32" s="372">
        <v>110174.3152552</v>
      </c>
      <c r="AB32" s="372">
        <v>136300.0243892</v>
      </c>
      <c r="AC32" s="372">
        <v>172347.49537660001</v>
      </c>
      <c r="AD32" s="372">
        <v>132768.4420487</v>
      </c>
      <c r="AE32" s="372">
        <v>138626.82</v>
      </c>
      <c r="AF32" s="372">
        <v>147354.5</v>
      </c>
      <c r="AG32" s="372">
        <v>156772.87</v>
      </c>
      <c r="AH32" s="372">
        <v>0</v>
      </c>
    </row>
    <row r="33" spans="1:34">
      <c r="A33" s="372" t="s">
        <v>979</v>
      </c>
      <c r="B33" s="373" t="s">
        <v>980</v>
      </c>
      <c r="C33" s="372" t="s">
        <v>981</v>
      </c>
      <c r="D33" s="374">
        <v>1101113710385</v>
      </c>
      <c r="E33" s="372" t="s">
        <v>982</v>
      </c>
      <c r="F33" s="375" t="s">
        <v>983</v>
      </c>
      <c r="G33" s="375" t="s">
        <v>983</v>
      </c>
      <c r="H33" s="375" t="s">
        <v>826</v>
      </c>
      <c r="I33" s="375" t="s">
        <v>754</v>
      </c>
      <c r="J33" s="375">
        <v>74840598.303000003</v>
      </c>
      <c r="K33" s="375">
        <v>-223062.00599999999</v>
      </c>
      <c r="L33" s="375">
        <v>-1291565.696</v>
      </c>
      <c r="M33" s="375">
        <v>31997931.131000001</v>
      </c>
      <c r="N33" s="372">
        <v>1.141</v>
      </c>
      <c r="O33" s="704">
        <v>301.88379722289523</v>
      </c>
      <c r="P33" s="375" t="s">
        <v>622</v>
      </c>
      <c r="Q33" s="375" t="s">
        <v>622</v>
      </c>
      <c r="R33" s="696">
        <v>20070725</v>
      </c>
      <c r="S33" s="375" t="s">
        <v>984</v>
      </c>
      <c r="T33" s="697" t="s">
        <v>771</v>
      </c>
      <c r="U33" s="375" t="s">
        <v>985</v>
      </c>
      <c r="V33" s="723">
        <v>21.16</v>
      </c>
      <c r="W33" s="723">
        <v>0.54</v>
      </c>
      <c r="X33" s="723">
        <v>0.15</v>
      </c>
      <c r="Y33" s="723" t="s">
        <v>773</v>
      </c>
      <c r="Z33" s="382">
        <v>1.25242071715157E-2</v>
      </c>
      <c r="AA33" s="372">
        <v>345499.40259000001</v>
      </c>
      <c r="AB33" s="372">
        <v>468534.15717999998</v>
      </c>
      <c r="AC33" s="372">
        <v>780569.39448000002</v>
      </c>
      <c r="AD33" s="372">
        <v>772884.85863999999</v>
      </c>
      <c r="AE33" s="372">
        <v>739883.15</v>
      </c>
      <c r="AF33" s="372">
        <v>752779.25</v>
      </c>
      <c r="AG33" s="372">
        <v>812337.42</v>
      </c>
      <c r="AH33" s="372">
        <v>954600</v>
      </c>
    </row>
    <row r="34" spans="1:34">
      <c r="A34" s="372" t="s">
        <v>986</v>
      </c>
      <c r="B34" s="373" t="s">
        <v>987</v>
      </c>
      <c r="C34" s="372" t="s">
        <v>988</v>
      </c>
      <c r="D34" s="374">
        <v>1101110371346</v>
      </c>
      <c r="E34" s="372" t="s">
        <v>989</v>
      </c>
      <c r="F34" s="372" t="s">
        <v>990</v>
      </c>
      <c r="G34" s="375" t="s">
        <v>990</v>
      </c>
      <c r="H34" s="375" t="s">
        <v>991</v>
      </c>
      <c r="I34" s="375" t="s">
        <v>754</v>
      </c>
      <c r="J34" s="375">
        <v>17956379</v>
      </c>
      <c r="K34" s="375">
        <v>1866315</v>
      </c>
      <c r="L34" s="375">
        <v>1501031</v>
      </c>
      <c r="M34" s="375">
        <v>12561404</v>
      </c>
      <c r="N34" s="372">
        <v>0.434</v>
      </c>
      <c r="O34" s="704">
        <v>87.234085342490701</v>
      </c>
      <c r="P34" s="375" t="s">
        <v>622</v>
      </c>
      <c r="Q34" s="372" t="s">
        <v>622</v>
      </c>
      <c r="R34" s="696">
        <v>19891107</v>
      </c>
      <c r="S34" s="372" t="s">
        <v>992</v>
      </c>
      <c r="T34" s="697">
        <v>0.26400000000000001</v>
      </c>
      <c r="U34" s="375" t="s">
        <v>993</v>
      </c>
      <c r="V34" s="723">
        <v>3.76</v>
      </c>
      <c r="W34" s="723">
        <v>1.01</v>
      </c>
      <c r="X34" s="723">
        <v>0.67</v>
      </c>
      <c r="Y34" s="723">
        <v>10.64</v>
      </c>
      <c r="Z34" s="382">
        <v>1.511441498480659E-2</v>
      </c>
      <c r="AA34" s="372">
        <v>160877.47</v>
      </c>
      <c r="AB34" s="372">
        <v>167485.85</v>
      </c>
      <c r="AC34" s="372">
        <v>173049.73</v>
      </c>
      <c r="AD34" s="372">
        <v>176085.11</v>
      </c>
      <c r="AE34" s="372">
        <v>179860.13</v>
      </c>
      <c r="AF34" s="372">
        <v>183466.73</v>
      </c>
      <c r="AG34" s="372">
        <v>186974.6</v>
      </c>
      <c r="AH34" s="372">
        <v>0</v>
      </c>
    </row>
    <row r="35" spans="1:34">
      <c r="A35" s="372" t="s">
        <v>994</v>
      </c>
      <c r="B35" s="373" t="s">
        <v>995</v>
      </c>
      <c r="C35" s="372" t="s">
        <v>996</v>
      </c>
      <c r="D35" s="374">
        <v>1301110001626</v>
      </c>
      <c r="E35" s="372" t="s">
        <v>997</v>
      </c>
      <c r="F35" s="375" t="s">
        <v>998</v>
      </c>
      <c r="G35" s="375" t="s">
        <v>999</v>
      </c>
      <c r="H35" s="375" t="s">
        <v>753</v>
      </c>
      <c r="I35" s="375" t="s">
        <v>754</v>
      </c>
      <c r="J35" s="375">
        <v>10130224.99456</v>
      </c>
      <c r="K35" s="375">
        <v>719585.29391999997</v>
      </c>
      <c r="L35" s="375">
        <v>652226.71962999995</v>
      </c>
      <c r="M35" s="375">
        <v>8563954.3637899999</v>
      </c>
      <c r="N35" s="372">
        <v>1.044</v>
      </c>
      <c r="O35" s="704">
        <v>23.635200741961658</v>
      </c>
      <c r="P35" s="375" t="s">
        <v>622</v>
      </c>
      <c r="Q35" s="375" t="s">
        <v>622</v>
      </c>
      <c r="R35" s="696">
        <v>19790227</v>
      </c>
      <c r="S35" s="375" t="s">
        <v>1000</v>
      </c>
      <c r="T35" s="697">
        <v>0.26400000000000001</v>
      </c>
      <c r="U35" s="375" t="s">
        <v>1001</v>
      </c>
      <c r="V35" s="723">
        <v>6.74</v>
      </c>
      <c r="W35" s="723">
        <v>1.21</v>
      </c>
      <c r="X35" s="723">
        <v>1.01</v>
      </c>
      <c r="Y35" s="723">
        <v>20</v>
      </c>
      <c r="Z35" s="382">
        <v>7.7338240076470388E-2</v>
      </c>
      <c r="AA35" s="372">
        <v>77532.592863900005</v>
      </c>
      <c r="AB35" s="372">
        <v>96750.361277200005</v>
      </c>
      <c r="AC35" s="372">
        <v>94245.518680199995</v>
      </c>
      <c r="AD35" s="372">
        <v>89094.484839099998</v>
      </c>
      <c r="AE35" s="372">
        <v>102150.42</v>
      </c>
      <c r="AF35" s="372">
        <v>110877.83</v>
      </c>
      <c r="AG35" s="372">
        <v>120021.52</v>
      </c>
      <c r="AH35" s="372">
        <v>0</v>
      </c>
    </row>
    <row r="36" spans="1:34">
      <c r="A36" s="372" t="s">
        <v>1002</v>
      </c>
      <c r="B36" s="373" t="s">
        <v>1003</v>
      </c>
      <c r="C36" s="372" t="s">
        <v>1004</v>
      </c>
      <c r="D36" s="374">
        <v>1101113645772</v>
      </c>
      <c r="E36" s="372" t="s">
        <v>1005</v>
      </c>
      <c r="F36" s="375" t="s">
        <v>1006</v>
      </c>
      <c r="G36" s="375" t="s">
        <v>1006</v>
      </c>
      <c r="H36" s="375" t="s">
        <v>817</v>
      </c>
      <c r="I36" s="375" t="s">
        <v>754</v>
      </c>
      <c r="J36" s="375">
        <v>2626760.7837</v>
      </c>
      <c r="K36" s="375">
        <v>1131357.4929200001</v>
      </c>
      <c r="L36" s="375">
        <v>1146373.5039599999</v>
      </c>
      <c r="M36" s="375">
        <v>6258767.5468499996</v>
      </c>
      <c r="N36" s="372">
        <v>1.022</v>
      </c>
      <c r="O36" s="704">
        <v>1.3368141470784238</v>
      </c>
      <c r="P36" s="375" t="s">
        <v>622</v>
      </c>
      <c r="Q36" s="375" t="s">
        <v>622</v>
      </c>
      <c r="R36" s="696">
        <v>20210810</v>
      </c>
      <c r="S36" s="375" t="s">
        <v>1007</v>
      </c>
      <c r="T36" s="697">
        <v>0.26400000000000001</v>
      </c>
      <c r="U36" s="375" t="s">
        <v>1008</v>
      </c>
      <c r="V36" s="723">
        <v>13.26</v>
      </c>
      <c r="W36" s="723">
        <v>2.59</v>
      </c>
      <c r="X36" s="723">
        <v>6.28</v>
      </c>
      <c r="Y36" s="723">
        <v>20.61</v>
      </c>
      <c r="Z36" s="382">
        <v>0.15552983686665822</v>
      </c>
      <c r="AA36" s="372">
        <v>16704.279186200001</v>
      </c>
      <c r="AB36" s="372">
        <v>18853.518107100001</v>
      </c>
      <c r="AC36" s="372">
        <v>18540.160905199999</v>
      </c>
      <c r="AD36" s="372">
        <v>19105.7618028</v>
      </c>
      <c r="AE36" s="372">
        <v>27486.14</v>
      </c>
      <c r="AF36" s="372">
        <v>30627.55</v>
      </c>
      <c r="AG36" s="372">
        <v>34063.480000000003</v>
      </c>
      <c r="AH36" s="372">
        <v>32640</v>
      </c>
    </row>
    <row r="37" spans="1:34">
      <c r="A37" s="372" t="s">
        <v>1009</v>
      </c>
      <c r="B37" s="373" t="s">
        <v>1010</v>
      </c>
      <c r="C37" s="372" t="s">
        <v>1011</v>
      </c>
      <c r="D37" s="374">
        <v>2301110312741</v>
      </c>
      <c r="E37" s="372" t="s">
        <v>1012</v>
      </c>
      <c r="F37" s="375" t="s">
        <v>1013</v>
      </c>
      <c r="G37" s="375" t="s">
        <v>1013</v>
      </c>
      <c r="H37" s="375" t="s">
        <v>792</v>
      </c>
      <c r="I37" s="375" t="s">
        <v>754</v>
      </c>
      <c r="J37" s="375">
        <v>13894014.767000001</v>
      </c>
      <c r="K37" s="375">
        <v>561705.75199999998</v>
      </c>
      <c r="L37" s="375">
        <v>359490.73300000001</v>
      </c>
      <c r="M37" s="375">
        <v>5460369.6919999998</v>
      </c>
      <c r="N37" s="372">
        <v>0.58599999999999997</v>
      </c>
      <c r="O37" s="704">
        <v>9.2449860379212119</v>
      </c>
      <c r="P37" s="375" t="s">
        <v>622</v>
      </c>
      <c r="Q37" s="375" t="s">
        <v>622</v>
      </c>
      <c r="R37" s="696">
        <v>20210917</v>
      </c>
      <c r="S37" s="375" t="s">
        <v>1014</v>
      </c>
      <c r="T37" s="697">
        <v>0.26400000000000001</v>
      </c>
      <c r="U37" s="375" t="s">
        <v>1015</v>
      </c>
      <c r="V37" s="723">
        <v>19.95</v>
      </c>
      <c r="W37" s="723">
        <v>3</v>
      </c>
      <c r="X37" s="723">
        <v>1.18</v>
      </c>
      <c r="Y37" s="723">
        <v>57.31</v>
      </c>
      <c r="Z37" s="382">
        <v>0.10204576597343773</v>
      </c>
      <c r="AA37" s="372">
        <v>83120.098230000003</v>
      </c>
      <c r="AB37" s="372">
        <v>83112.759239999999</v>
      </c>
      <c r="AC37" s="372">
        <v>90454.804879999996</v>
      </c>
      <c r="AD37" s="372">
        <v>119639.25990999999</v>
      </c>
      <c r="AE37" s="372">
        <v>144527.04999999999</v>
      </c>
      <c r="AF37" s="372">
        <v>162660.20000000001</v>
      </c>
      <c r="AG37" s="372">
        <v>176470.55</v>
      </c>
      <c r="AH37" s="372">
        <v>175915</v>
      </c>
    </row>
    <row r="38" spans="1:34">
      <c r="A38" s="372" t="s">
        <v>1016</v>
      </c>
      <c r="B38" s="373" t="s">
        <v>1017</v>
      </c>
      <c r="C38" s="372" t="s">
        <v>1018</v>
      </c>
      <c r="D38" s="374">
        <v>1101116981206</v>
      </c>
      <c r="E38" s="372" t="s">
        <v>1019</v>
      </c>
      <c r="F38" s="375" t="s">
        <v>853</v>
      </c>
      <c r="G38" s="375" t="s">
        <v>854</v>
      </c>
      <c r="H38" s="375" t="s">
        <v>855</v>
      </c>
      <c r="I38" s="375" t="s">
        <v>754</v>
      </c>
      <c r="J38" s="375">
        <v>0</v>
      </c>
      <c r="K38" s="375">
        <v>0</v>
      </c>
      <c r="L38" s="375">
        <v>0</v>
      </c>
      <c r="M38" s="375">
        <v>0</v>
      </c>
      <c r="N38" s="372">
        <v>0.85199999999999998</v>
      </c>
      <c r="O38" s="704" t="s">
        <v>16301</v>
      </c>
      <c r="P38" s="375" t="s">
        <v>622</v>
      </c>
      <c r="Q38" s="375" t="s">
        <v>622</v>
      </c>
      <c r="R38" s="696">
        <v>20190213</v>
      </c>
      <c r="S38" s="375" t="s">
        <v>1020</v>
      </c>
      <c r="T38" s="697" t="s">
        <v>771</v>
      </c>
      <c r="U38" s="375" t="s">
        <v>1021</v>
      </c>
      <c r="V38" s="723">
        <v>0</v>
      </c>
      <c r="W38" s="723">
        <v>0</v>
      </c>
      <c r="X38" s="723">
        <v>0</v>
      </c>
      <c r="Y38" s="723">
        <v>0</v>
      </c>
      <c r="Z38" s="382">
        <v>2.0005022998507371E-2</v>
      </c>
      <c r="AA38" s="372">
        <v>95238.53</v>
      </c>
      <c r="AB38" s="372">
        <v>98947.49</v>
      </c>
      <c r="AC38" s="372">
        <v>146545.49</v>
      </c>
      <c r="AD38" s="372">
        <v>206415.54</v>
      </c>
      <c r="AE38" s="372">
        <v>214518.36</v>
      </c>
      <c r="AF38" s="372">
        <v>218946.7</v>
      </c>
      <c r="AG38" s="372">
        <v>223435.22</v>
      </c>
      <c r="AH38" s="372">
        <v>0</v>
      </c>
    </row>
    <row r="39" spans="1:34">
      <c r="A39" s="372" t="s">
        <v>1022</v>
      </c>
      <c r="B39" s="373" t="s">
        <v>1023</v>
      </c>
      <c r="C39" s="372" t="s">
        <v>1024</v>
      </c>
      <c r="D39" s="374">
        <v>1717110132339</v>
      </c>
      <c r="E39" s="372" t="s">
        <v>1025</v>
      </c>
      <c r="F39" s="375" t="s">
        <v>16100</v>
      </c>
      <c r="G39" s="375" t="s">
        <v>16100</v>
      </c>
      <c r="H39" s="375" t="s">
        <v>753</v>
      </c>
      <c r="I39" s="375" t="s">
        <v>754</v>
      </c>
      <c r="J39" s="375">
        <v>400152.45059000002</v>
      </c>
      <c r="K39" s="375">
        <v>-55038.589809999998</v>
      </c>
      <c r="L39" s="375">
        <v>-57103.476589999998</v>
      </c>
      <c r="M39" s="375">
        <v>729140.49912000005</v>
      </c>
      <c r="N39" s="372" t="s">
        <v>1026</v>
      </c>
      <c r="O39" s="704">
        <v>4.1032780298210243</v>
      </c>
      <c r="P39" s="375" t="s">
        <v>622</v>
      </c>
      <c r="Q39" s="375" t="s">
        <v>622</v>
      </c>
      <c r="R39" s="696">
        <v>20231117</v>
      </c>
      <c r="S39" s="375" t="s">
        <v>1027</v>
      </c>
      <c r="T39" s="697" t="s">
        <v>771</v>
      </c>
      <c r="U39" s="375" t="s">
        <v>1028</v>
      </c>
      <c r="V39" s="723">
        <v>0</v>
      </c>
      <c r="W39" s="723">
        <v>0</v>
      </c>
      <c r="X39" s="723">
        <v>0</v>
      </c>
      <c r="Y39" s="723">
        <v>0</v>
      </c>
      <c r="Z39" s="382" t="s">
        <v>927</v>
      </c>
      <c r="AA39" s="372">
        <v>2166.6710699999999</v>
      </c>
      <c r="AB39" s="372">
        <v>3428.8830638999998</v>
      </c>
      <c r="AC39" s="372">
        <v>6652.4827896999996</v>
      </c>
      <c r="AD39" s="372">
        <v>9525.2331584000003</v>
      </c>
      <c r="AE39" s="372">
        <v>0</v>
      </c>
      <c r="AF39" s="372">
        <v>0</v>
      </c>
      <c r="AG39" s="372">
        <v>0</v>
      </c>
      <c r="AH39" s="372">
        <v>0</v>
      </c>
    </row>
    <row r="40" spans="1:34">
      <c r="A40" s="372" t="s">
        <v>1029</v>
      </c>
      <c r="B40" s="373" t="s">
        <v>1030</v>
      </c>
      <c r="C40" s="372" t="s">
        <v>1031</v>
      </c>
      <c r="D40" s="374">
        <v>1101110168404</v>
      </c>
      <c r="E40" s="372" t="s">
        <v>1032</v>
      </c>
      <c r="F40" s="375" t="s">
        <v>1033</v>
      </c>
      <c r="G40" s="375" t="s">
        <v>1034</v>
      </c>
      <c r="H40" s="375" t="s">
        <v>812</v>
      </c>
      <c r="I40" s="375" t="s">
        <v>754</v>
      </c>
      <c r="J40" s="375">
        <v>11054717.300410001</v>
      </c>
      <c r="K40" s="375">
        <v>801265.95979999995</v>
      </c>
      <c r="L40" s="375">
        <v>874471.57518000004</v>
      </c>
      <c r="M40" s="375">
        <v>9430810.9718800001</v>
      </c>
      <c r="N40" s="372">
        <v>0.72099999999999997</v>
      </c>
      <c r="O40" s="704">
        <v>13.595852810491577</v>
      </c>
      <c r="P40" s="375" t="s">
        <v>622</v>
      </c>
      <c r="Q40" s="375" t="s">
        <v>622</v>
      </c>
      <c r="R40" s="696">
        <v>19900728</v>
      </c>
      <c r="S40" s="375" t="s">
        <v>1035</v>
      </c>
      <c r="T40" s="697">
        <v>0.26400000000000001</v>
      </c>
      <c r="U40" s="375" t="s">
        <v>1036</v>
      </c>
      <c r="V40" s="723">
        <v>12.87</v>
      </c>
      <c r="W40" s="723">
        <v>1.51</v>
      </c>
      <c r="X40" s="723">
        <v>1.3</v>
      </c>
      <c r="Y40" s="723">
        <v>22.76</v>
      </c>
      <c r="Z40" s="382">
        <v>8.2024253642749345E-2</v>
      </c>
      <c r="AA40" s="372">
        <v>75819.268584399993</v>
      </c>
      <c r="AB40" s="372">
        <v>99767.7644363</v>
      </c>
      <c r="AC40" s="372">
        <v>112193.586001</v>
      </c>
      <c r="AD40" s="372">
        <v>97045.213430200005</v>
      </c>
      <c r="AE40" s="372">
        <v>118631.93</v>
      </c>
      <c r="AF40" s="372">
        <v>127412.64</v>
      </c>
      <c r="AG40" s="372">
        <v>133021.57999999999</v>
      </c>
      <c r="AH40" s="372">
        <v>113780</v>
      </c>
    </row>
    <row r="41" spans="1:34">
      <c r="A41" s="372" t="s">
        <v>1037</v>
      </c>
      <c r="B41" s="373" t="s">
        <v>1038</v>
      </c>
      <c r="C41" s="372" t="s">
        <v>1039</v>
      </c>
      <c r="D41" s="374">
        <v>1942110000943</v>
      </c>
      <c r="E41" s="372" t="s">
        <v>1040</v>
      </c>
      <c r="F41" s="375" t="s">
        <v>1041</v>
      </c>
      <c r="G41" s="375" t="s">
        <v>1042</v>
      </c>
      <c r="H41" s="375" t="s">
        <v>1043</v>
      </c>
      <c r="I41" s="375" t="s">
        <v>754</v>
      </c>
      <c r="J41" s="375">
        <v>16498427.318770001</v>
      </c>
      <c r="K41" s="375">
        <v>1079354.9031199999</v>
      </c>
      <c r="L41" s="375">
        <v>562892.35449000006</v>
      </c>
      <c r="M41" s="375">
        <v>11369885.1515</v>
      </c>
      <c r="N41" s="372">
        <v>1.075</v>
      </c>
      <c r="O41" s="704">
        <v>50.258986027910446</v>
      </c>
      <c r="P41" s="375" t="s">
        <v>622</v>
      </c>
      <c r="Q41" s="375" t="s">
        <v>622</v>
      </c>
      <c r="R41" s="696">
        <v>20001025</v>
      </c>
      <c r="S41" s="375" t="s">
        <v>1044</v>
      </c>
      <c r="T41" s="697">
        <v>0.26400000000000001</v>
      </c>
      <c r="U41" s="375" t="s">
        <v>15818</v>
      </c>
      <c r="V41" s="723">
        <v>12.42</v>
      </c>
      <c r="W41" s="723">
        <v>1.54</v>
      </c>
      <c r="X41" s="723">
        <v>0.7</v>
      </c>
      <c r="Y41" s="723">
        <v>139.52000000000001</v>
      </c>
      <c r="Z41" s="382">
        <v>6.1660868153918802E-3</v>
      </c>
      <c r="AA41" s="372">
        <v>91715.122264399994</v>
      </c>
      <c r="AB41" s="372">
        <v>109908.9021585</v>
      </c>
      <c r="AC41" s="372">
        <v>154210.5808238</v>
      </c>
      <c r="AD41" s="372">
        <v>175898.8770951</v>
      </c>
      <c r="AE41" s="372">
        <v>157782.5</v>
      </c>
      <c r="AF41" s="372">
        <v>165311.5</v>
      </c>
      <c r="AG41" s="372">
        <v>180277.6</v>
      </c>
      <c r="AH41" s="372">
        <v>193940</v>
      </c>
    </row>
    <row r="42" spans="1:34">
      <c r="A42" s="372" t="s">
        <v>1045</v>
      </c>
      <c r="B42" s="373" t="s">
        <v>1046</v>
      </c>
      <c r="C42" s="372" t="s">
        <v>1047</v>
      </c>
      <c r="D42" s="374">
        <v>1101350000903</v>
      </c>
      <c r="E42" s="372" t="s">
        <v>1048</v>
      </c>
      <c r="F42" s="375" t="s">
        <v>922</v>
      </c>
      <c r="G42" s="375" t="s">
        <v>923</v>
      </c>
      <c r="H42" s="375" t="s">
        <v>924</v>
      </c>
      <c r="I42" s="375" t="s">
        <v>754</v>
      </c>
      <c r="J42" s="375">
        <v>0</v>
      </c>
      <c r="K42" s="375">
        <v>0</v>
      </c>
      <c r="L42" s="375">
        <v>0</v>
      </c>
      <c r="M42" s="375">
        <v>0</v>
      </c>
      <c r="N42" s="372">
        <v>0.66900000000000004</v>
      </c>
      <c r="O42" s="704" t="s">
        <v>16301</v>
      </c>
      <c r="P42" s="375" t="s">
        <v>622</v>
      </c>
      <c r="Q42" s="375" t="s">
        <v>622</v>
      </c>
      <c r="R42" s="696">
        <v>19941130</v>
      </c>
      <c r="S42" s="375" t="s">
        <v>1049</v>
      </c>
      <c r="T42" s="697" t="s">
        <v>771</v>
      </c>
      <c r="U42" s="375" t="s">
        <v>1050</v>
      </c>
      <c r="V42" s="723">
        <v>0</v>
      </c>
      <c r="W42" s="723">
        <v>0</v>
      </c>
      <c r="X42" s="723">
        <v>0</v>
      </c>
      <c r="Y42" s="723">
        <v>0</v>
      </c>
      <c r="Z42" s="382">
        <v>3.0173753564088024E-2</v>
      </c>
      <c r="AA42" s="372">
        <v>86538.92</v>
      </c>
      <c r="AB42" s="372">
        <v>86894.62</v>
      </c>
      <c r="AC42" s="372">
        <v>126024.91</v>
      </c>
      <c r="AD42" s="372">
        <v>183640.55</v>
      </c>
      <c r="AE42" s="372">
        <v>192368.45</v>
      </c>
      <c r="AF42" s="372">
        <v>200123.9</v>
      </c>
      <c r="AG42" s="372">
        <v>206828.56</v>
      </c>
      <c r="AH42" s="372">
        <v>0</v>
      </c>
    </row>
    <row r="43" spans="1:34">
      <c r="A43" s="372" t="s">
        <v>1051</v>
      </c>
      <c r="B43" s="373" t="s">
        <v>1052</v>
      </c>
      <c r="C43" s="372" t="s">
        <v>1053</v>
      </c>
      <c r="D43" s="374">
        <v>1701110021600</v>
      </c>
      <c r="E43" s="372" t="s">
        <v>1054</v>
      </c>
      <c r="F43" s="375" t="s">
        <v>1055</v>
      </c>
      <c r="G43" s="375" t="s">
        <v>16104</v>
      </c>
      <c r="H43" s="375" t="s">
        <v>861</v>
      </c>
      <c r="I43" s="375" t="s">
        <v>862</v>
      </c>
      <c r="J43" s="375">
        <v>51922.246729999999</v>
      </c>
      <c r="K43" s="375">
        <v>-127053.69164</v>
      </c>
      <c r="L43" s="375">
        <v>-207502.28466</v>
      </c>
      <c r="M43" s="375">
        <v>588163.60436999996</v>
      </c>
      <c r="N43" s="372">
        <v>1.208</v>
      </c>
      <c r="O43" s="704">
        <v>1.7755074623754217</v>
      </c>
      <c r="P43" s="375" t="s">
        <v>622</v>
      </c>
      <c r="Q43" s="375" t="s">
        <v>622</v>
      </c>
      <c r="R43" s="696">
        <v>19960720</v>
      </c>
      <c r="S43" s="375" t="s">
        <v>1056</v>
      </c>
      <c r="T43" s="697" t="s">
        <v>771</v>
      </c>
      <c r="U43" s="375" t="s">
        <v>1057</v>
      </c>
      <c r="V43" s="723" t="s">
        <v>773</v>
      </c>
      <c r="W43" s="723">
        <v>21.15</v>
      </c>
      <c r="X43" s="723">
        <v>215.48</v>
      </c>
      <c r="Y43" s="723" t="s">
        <v>773</v>
      </c>
      <c r="Z43" s="382" t="s">
        <v>927</v>
      </c>
      <c r="AA43" s="372">
        <v>561.77400699999998</v>
      </c>
      <c r="AB43" s="372">
        <v>698.25991450000004</v>
      </c>
      <c r="AC43" s="372">
        <v>1797.0791311</v>
      </c>
      <c r="AD43" s="372">
        <v>429.00561190000002</v>
      </c>
      <c r="AE43" s="372">
        <v>0</v>
      </c>
      <c r="AF43" s="372">
        <v>0</v>
      </c>
      <c r="AG43" s="372">
        <v>0</v>
      </c>
      <c r="AH43" s="372">
        <v>0</v>
      </c>
    </row>
    <row r="44" spans="1:34">
      <c r="A44" s="372" t="s">
        <v>1058</v>
      </c>
      <c r="B44" s="373" t="s">
        <v>1059</v>
      </c>
      <c r="C44" s="372" t="s">
        <v>1060</v>
      </c>
      <c r="D44" s="374">
        <v>1101111468754</v>
      </c>
      <c r="E44" s="372" t="s">
        <v>1061</v>
      </c>
      <c r="F44" s="375" t="s">
        <v>1062</v>
      </c>
      <c r="G44" s="375" t="s">
        <v>1062</v>
      </c>
      <c r="H44" s="375" t="s">
        <v>991</v>
      </c>
      <c r="I44" s="375" t="s">
        <v>754</v>
      </c>
      <c r="J44" s="375">
        <v>26543222</v>
      </c>
      <c r="K44" s="375">
        <v>1730224</v>
      </c>
      <c r="L44" s="375">
        <v>1582780</v>
      </c>
      <c r="M44" s="375">
        <v>19186403</v>
      </c>
      <c r="N44" s="372">
        <v>0.48599999999999999</v>
      </c>
      <c r="O44" s="704">
        <v>99.706127089087133</v>
      </c>
      <c r="P44" s="375" t="s">
        <v>622</v>
      </c>
      <c r="Q44" s="375" t="s">
        <v>622</v>
      </c>
      <c r="R44" s="696">
        <v>19981223</v>
      </c>
      <c r="S44" s="375" t="s">
        <v>1063</v>
      </c>
      <c r="T44" s="697">
        <v>0.26400000000000001</v>
      </c>
      <c r="U44" s="375" t="s">
        <v>1064</v>
      </c>
      <c r="V44" s="723">
        <v>3.13</v>
      </c>
      <c r="W44" s="723">
        <v>0.57999999999999996</v>
      </c>
      <c r="X44" s="723">
        <v>0.39</v>
      </c>
      <c r="Y44" s="723">
        <v>8.7100000000000009</v>
      </c>
      <c r="Z44" s="382">
        <v>1.22940393598856E-2</v>
      </c>
      <c r="AA44" s="372">
        <v>239166.67</v>
      </c>
      <c r="AB44" s="372">
        <v>248980.05</v>
      </c>
      <c r="AC44" s="372">
        <v>256500.11</v>
      </c>
      <c r="AD44" s="372">
        <v>263762.73</v>
      </c>
      <c r="AE44" s="372">
        <v>265820.40000000002</v>
      </c>
      <c r="AF44" s="372">
        <v>273575.07</v>
      </c>
      <c r="AG44" s="372">
        <v>276974.73</v>
      </c>
      <c r="AH44" s="372">
        <v>0</v>
      </c>
    </row>
    <row r="45" spans="1:34">
      <c r="A45" s="372" t="s">
        <v>1065</v>
      </c>
      <c r="B45" s="373" t="s">
        <v>1066</v>
      </c>
      <c r="C45" s="372" t="s">
        <v>1067</v>
      </c>
      <c r="D45" s="374">
        <v>1101112137358</v>
      </c>
      <c r="E45" s="372" t="s">
        <v>1068</v>
      </c>
      <c r="F45" s="375" t="s">
        <v>1069</v>
      </c>
      <c r="G45" s="375" t="s">
        <v>1069</v>
      </c>
      <c r="H45" s="375" t="s">
        <v>846</v>
      </c>
      <c r="I45" s="375" t="s">
        <v>754</v>
      </c>
      <c r="J45" s="375">
        <v>32308048.565000001</v>
      </c>
      <c r="K45" s="375">
        <v>1186973.662</v>
      </c>
      <c r="L45" s="375">
        <v>931505.63500000001</v>
      </c>
      <c r="M45" s="375">
        <v>7291004.0130000003</v>
      </c>
      <c r="N45" s="372">
        <v>1.4059999999999999</v>
      </c>
      <c r="O45" s="704">
        <v>70.470234260743538</v>
      </c>
      <c r="P45" s="375" t="s">
        <v>622</v>
      </c>
      <c r="Q45" s="375" t="s">
        <v>622</v>
      </c>
      <c r="R45" s="696">
        <v>20010323</v>
      </c>
      <c r="S45" s="375" t="s">
        <v>16268</v>
      </c>
      <c r="T45" s="697">
        <v>0.26400000000000001</v>
      </c>
      <c r="U45" s="375" t="s">
        <v>1070</v>
      </c>
      <c r="V45" s="723">
        <v>9.18</v>
      </c>
      <c r="W45" s="723">
        <v>1.52</v>
      </c>
      <c r="X45" s="723">
        <v>0.31</v>
      </c>
      <c r="Y45" s="723">
        <v>14.89</v>
      </c>
      <c r="Z45" s="382">
        <v>1.9724998941726302E-2</v>
      </c>
      <c r="AA45" s="372">
        <v>214723.86358</v>
      </c>
      <c r="AB45" s="372">
        <v>339488.64785000001</v>
      </c>
      <c r="AC45" s="372">
        <v>379895.88329999999</v>
      </c>
      <c r="AD45" s="372">
        <v>331328.21373999998</v>
      </c>
      <c r="AE45" s="372">
        <v>324199.8</v>
      </c>
      <c r="AF45" s="372">
        <v>342694.1</v>
      </c>
      <c r="AG45" s="372">
        <v>358253.7</v>
      </c>
      <c r="AH45" s="372">
        <v>407890</v>
      </c>
    </row>
    <row r="46" spans="1:34">
      <c r="A46" s="372" t="s">
        <v>1071</v>
      </c>
      <c r="B46" s="373" t="s">
        <v>1072</v>
      </c>
      <c r="C46" s="372" t="s">
        <v>1073</v>
      </c>
      <c r="D46" s="374">
        <v>1101113166546</v>
      </c>
      <c r="E46" s="372" t="s">
        <v>1074</v>
      </c>
      <c r="F46" s="375" t="s">
        <v>1075</v>
      </c>
      <c r="G46" s="375" t="s">
        <v>1075</v>
      </c>
      <c r="H46" s="375" t="s">
        <v>817</v>
      </c>
      <c r="I46" s="375" t="s">
        <v>754</v>
      </c>
      <c r="J46" s="375">
        <v>2137833.7719999999</v>
      </c>
      <c r="K46" s="375">
        <v>208611.61499999999</v>
      </c>
      <c r="L46" s="375">
        <v>-31957.66</v>
      </c>
      <c r="M46" s="375">
        <v>3224754.3160000001</v>
      </c>
      <c r="N46" s="372">
        <v>0.65400000000000003</v>
      </c>
      <c r="O46" s="704">
        <v>14.487834329440687</v>
      </c>
      <c r="P46" s="375" t="s">
        <v>622</v>
      </c>
      <c r="Q46" s="375" t="s">
        <v>622</v>
      </c>
      <c r="R46" s="696">
        <v>20201015</v>
      </c>
      <c r="S46" s="375" t="s">
        <v>1076</v>
      </c>
      <c r="T46" s="697" t="s">
        <v>771</v>
      </c>
      <c r="U46" s="375" t="s">
        <v>15819</v>
      </c>
      <c r="V46" s="723">
        <v>20.82</v>
      </c>
      <c r="W46" s="723">
        <v>2.38</v>
      </c>
      <c r="X46" s="723">
        <v>3.29</v>
      </c>
      <c r="Y46" s="723" t="s">
        <v>773</v>
      </c>
      <c r="Z46" s="382">
        <v>0.10723133068816737</v>
      </c>
      <c r="AA46" s="372">
        <v>7962.8339699999997</v>
      </c>
      <c r="AB46" s="372">
        <v>12559.26483</v>
      </c>
      <c r="AC46" s="372">
        <v>17761.539570000001</v>
      </c>
      <c r="AD46" s="372">
        <v>21780.88207</v>
      </c>
      <c r="AE46" s="372">
        <v>21934.41</v>
      </c>
      <c r="AF46" s="372">
        <v>26617.41</v>
      </c>
      <c r="AG46" s="372">
        <v>32736.25</v>
      </c>
      <c r="AH46" s="372">
        <v>32870</v>
      </c>
    </row>
    <row r="47" spans="1:34">
      <c r="A47" s="372" t="s">
        <v>1077</v>
      </c>
      <c r="B47" s="373" t="s">
        <v>1078</v>
      </c>
      <c r="C47" s="372" t="s">
        <v>1079</v>
      </c>
      <c r="D47" s="374">
        <v>1101110658637</v>
      </c>
      <c r="E47" s="372" t="s">
        <v>1080</v>
      </c>
      <c r="F47" s="375" t="s">
        <v>1081</v>
      </c>
      <c r="G47" s="375" t="s">
        <v>1082</v>
      </c>
      <c r="H47" s="375" t="s">
        <v>817</v>
      </c>
      <c r="I47" s="375" t="s">
        <v>754</v>
      </c>
      <c r="J47" s="375">
        <v>1467357.00859</v>
      </c>
      <c r="K47" s="375">
        <v>99952.626489999995</v>
      </c>
      <c r="L47" s="375">
        <v>100077.22585</v>
      </c>
      <c r="M47" s="375">
        <v>507424.43722999998</v>
      </c>
      <c r="N47" s="372">
        <v>1.778</v>
      </c>
      <c r="O47" s="704">
        <v>0.10537545026746856</v>
      </c>
      <c r="P47" s="375" t="s">
        <v>622</v>
      </c>
      <c r="Q47" s="372" t="s">
        <v>622</v>
      </c>
      <c r="R47" s="696">
        <v>20001124</v>
      </c>
      <c r="S47" s="375" t="s">
        <v>1083</v>
      </c>
      <c r="T47" s="697">
        <v>0.23100000000000001</v>
      </c>
      <c r="U47" s="375" t="s">
        <v>1084</v>
      </c>
      <c r="V47" s="723">
        <v>41.34</v>
      </c>
      <c r="W47" s="723">
        <v>9.16</v>
      </c>
      <c r="X47" s="723">
        <v>3.16</v>
      </c>
      <c r="Y47" s="723">
        <v>58.48</v>
      </c>
      <c r="Z47" s="382" t="s">
        <v>927</v>
      </c>
      <c r="AA47" s="372">
        <v>9642.0234013999998</v>
      </c>
      <c r="AB47" s="372">
        <v>8692.7414365000004</v>
      </c>
      <c r="AC47" s="372">
        <v>11526.801994199999</v>
      </c>
      <c r="AD47" s="372">
        <v>14858.7562093</v>
      </c>
      <c r="AE47" s="372">
        <v>20862</v>
      </c>
      <c r="AF47" s="372">
        <v>0</v>
      </c>
      <c r="AG47" s="372">
        <v>0</v>
      </c>
      <c r="AH47" s="372">
        <v>0</v>
      </c>
    </row>
    <row r="48" spans="1:34">
      <c r="A48" s="372" t="s">
        <v>1085</v>
      </c>
      <c r="B48" s="373" t="s">
        <v>1086</v>
      </c>
      <c r="C48" s="372" t="s">
        <v>1087</v>
      </c>
      <c r="D48" s="374">
        <v>1101110108484</v>
      </c>
      <c r="E48" s="372" t="s">
        <v>1088</v>
      </c>
      <c r="F48" s="375" t="s">
        <v>1089</v>
      </c>
      <c r="G48" s="375" t="s">
        <v>1089</v>
      </c>
      <c r="H48" s="375" t="s">
        <v>909</v>
      </c>
      <c r="I48" s="375" t="s">
        <v>754</v>
      </c>
      <c r="J48" s="375">
        <v>17762356.828279998</v>
      </c>
      <c r="K48" s="375">
        <v>1930420.93095</v>
      </c>
      <c r="L48" s="375">
        <v>1614439.4528600001</v>
      </c>
      <c r="M48" s="375">
        <v>10610858.67076</v>
      </c>
      <c r="N48" s="372">
        <v>0.84</v>
      </c>
      <c r="O48" s="704">
        <v>127.34676325763678</v>
      </c>
      <c r="P48" s="375" t="s">
        <v>622</v>
      </c>
      <c r="Q48" s="375" t="s">
        <v>622</v>
      </c>
      <c r="R48" s="696">
        <v>19660318</v>
      </c>
      <c r="S48" s="375" t="s">
        <v>1090</v>
      </c>
      <c r="T48" s="697">
        <v>0.26400000000000001</v>
      </c>
      <c r="U48" s="375" t="s">
        <v>1091</v>
      </c>
      <c r="V48" s="723">
        <v>3.87</v>
      </c>
      <c r="W48" s="723">
        <v>0.81</v>
      </c>
      <c r="X48" s="723">
        <v>0.47</v>
      </c>
      <c r="Y48" s="723">
        <v>7.67</v>
      </c>
      <c r="Z48" s="382">
        <v>4.4459182236021411E-2</v>
      </c>
      <c r="AA48" s="372">
        <v>76105.309162699996</v>
      </c>
      <c r="AB48" s="372">
        <v>90168.246402999997</v>
      </c>
      <c r="AC48" s="372">
        <v>140960.94819140001</v>
      </c>
      <c r="AD48" s="372">
        <v>161117.96106140001</v>
      </c>
      <c r="AE48" s="372">
        <v>179907.27</v>
      </c>
      <c r="AF48" s="372">
        <v>186879.4</v>
      </c>
      <c r="AG48" s="372">
        <v>191738.73</v>
      </c>
      <c r="AH48" s="372">
        <v>202590</v>
      </c>
    </row>
    <row r="49" spans="1:34">
      <c r="A49" s="372" t="s">
        <v>1092</v>
      </c>
      <c r="B49" s="373" t="s">
        <v>1093</v>
      </c>
      <c r="C49" s="372" t="s">
        <v>1094</v>
      </c>
      <c r="D49" s="374">
        <v>1101113471036</v>
      </c>
      <c r="E49" s="372" t="s">
        <v>1095</v>
      </c>
      <c r="F49" s="375" t="s">
        <v>1096</v>
      </c>
      <c r="G49" s="375" t="s">
        <v>1097</v>
      </c>
      <c r="H49" s="375" t="s">
        <v>826</v>
      </c>
      <c r="I49" s="375" t="s">
        <v>754</v>
      </c>
      <c r="J49" s="375">
        <v>3719460.8388100001</v>
      </c>
      <c r="K49" s="375">
        <v>162677.14564</v>
      </c>
      <c r="L49" s="375">
        <v>794675.57330000005</v>
      </c>
      <c r="M49" s="375">
        <v>5372883.95395</v>
      </c>
      <c r="N49" s="372">
        <v>0.75600000000000001</v>
      </c>
      <c r="O49" s="704">
        <v>6.0836189656020396</v>
      </c>
      <c r="P49" s="375" t="s">
        <v>622</v>
      </c>
      <c r="Q49" s="375" t="s">
        <v>622</v>
      </c>
      <c r="R49" s="696">
        <v>20060629</v>
      </c>
      <c r="S49" s="375" t="s">
        <v>1098</v>
      </c>
      <c r="T49" s="697">
        <v>0.26400000000000001</v>
      </c>
      <c r="U49" s="375" t="s">
        <v>1099</v>
      </c>
      <c r="V49" s="723">
        <v>22.01</v>
      </c>
      <c r="W49" s="723">
        <v>1.91</v>
      </c>
      <c r="X49" s="723">
        <v>2.74</v>
      </c>
      <c r="Y49" s="723">
        <v>14.77</v>
      </c>
      <c r="Z49" s="382">
        <v>6.5523247740330692E-2</v>
      </c>
      <c r="AA49" s="372">
        <v>44321.790393900003</v>
      </c>
      <c r="AB49" s="372">
        <v>48631.284966899999</v>
      </c>
      <c r="AC49" s="372">
        <v>41349.325121100002</v>
      </c>
      <c r="AD49" s="372">
        <v>36739.635931500001</v>
      </c>
      <c r="AE49" s="372">
        <v>38784.79</v>
      </c>
      <c r="AF49" s="372">
        <v>43755.26</v>
      </c>
      <c r="AG49" s="372">
        <v>47357.26</v>
      </c>
      <c r="AH49" s="372">
        <v>53320</v>
      </c>
    </row>
    <row r="50" spans="1:34">
      <c r="A50" s="372" t="s">
        <v>1100</v>
      </c>
      <c r="B50" s="373" t="s">
        <v>1101</v>
      </c>
      <c r="C50" s="372" t="s">
        <v>1102</v>
      </c>
      <c r="D50" s="374">
        <v>1812110000386</v>
      </c>
      <c r="E50" s="372" t="s">
        <v>1103</v>
      </c>
      <c r="F50" s="372" t="s">
        <v>893</v>
      </c>
      <c r="G50" s="375" t="s">
        <v>894</v>
      </c>
      <c r="H50" s="375" t="s">
        <v>855</v>
      </c>
      <c r="I50" s="375" t="s">
        <v>754</v>
      </c>
      <c r="J50" s="375">
        <v>24365865.651000001</v>
      </c>
      <c r="K50" s="375">
        <v>1096126.182</v>
      </c>
      <c r="L50" s="375">
        <v>885117.59400000004</v>
      </c>
      <c r="M50" s="375">
        <v>13571418.663000001</v>
      </c>
      <c r="N50" s="372">
        <v>0.86</v>
      </c>
      <c r="O50" s="704">
        <v>13.610538376388762</v>
      </c>
      <c r="P50" s="375" t="s">
        <v>622</v>
      </c>
      <c r="Q50" s="372" t="s">
        <v>622</v>
      </c>
      <c r="R50" s="696">
        <v>19940627</v>
      </c>
      <c r="S50" s="372" t="s">
        <v>1104</v>
      </c>
      <c r="T50" s="697">
        <v>0.26400000000000001</v>
      </c>
      <c r="U50" s="375" t="s">
        <v>15820</v>
      </c>
      <c r="V50" s="723">
        <v>10.1</v>
      </c>
      <c r="W50" s="723">
        <v>1.24</v>
      </c>
      <c r="X50" s="723">
        <v>0.55000000000000004</v>
      </c>
      <c r="Y50" s="723">
        <v>21.89</v>
      </c>
      <c r="Z50" s="382">
        <v>0.10010393054502953</v>
      </c>
      <c r="AA50" s="372">
        <v>149036.57733999999</v>
      </c>
      <c r="AB50" s="372">
        <v>154933.81773000001</v>
      </c>
      <c r="AC50" s="372">
        <v>173020.20185000001</v>
      </c>
      <c r="AD50" s="372">
        <v>212962.05574000001</v>
      </c>
      <c r="AE50" s="372">
        <v>252669.73</v>
      </c>
      <c r="AF50" s="372">
        <v>286464.59999999998</v>
      </c>
      <c r="AG50" s="372">
        <v>311915.59999999998</v>
      </c>
      <c r="AH50" s="372">
        <v>337795</v>
      </c>
    </row>
    <row r="51" spans="1:34">
      <c r="A51" s="372" t="s">
        <v>1105</v>
      </c>
      <c r="B51" s="373" t="s">
        <v>1106</v>
      </c>
      <c r="C51" s="372" t="s">
        <v>1107</v>
      </c>
      <c r="D51" s="374">
        <v>1101110189955</v>
      </c>
      <c r="E51" s="372" t="s">
        <v>1108</v>
      </c>
      <c r="F51" s="375" t="s">
        <v>1109</v>
      </c>
      <c r="G51" s="375" t="s">
        <v>1109</v>
      </c>
      <c r="H51" s="375" t="s">
        <v>826</v>
      </c>
      <c r="I51" s="375" t="s">
        <v>754</v>
      </c>
      <c r="J51" s="375">
        <v>37549863</v>
      </c>
      <c r="K51" s="375">
        <v>143401</v>
      </c>
      <c r="L51" s="375">
        <v>-12510</v>
      </c>
      <c r="M51" s="375">
        <v>8787736</v>
      </c>
      <c r="N51" s="372">
        <v>0.73799999999999999</v>
      </c>
      <c r="O51" s="704">
        <v>110.83411363261968</v>
      </c>
      <c r="P51" s="375" t="s">
        <v>622</v>
      </c>
      <c r="Q51" s="375" t="s">
        <v>622</v>
      </c>
      <c r="R51" s="696">
        <v>19870527</v>
      </c>
      <c r="S51" s="375" t="s">
        <v>1110</v>
      </c>
      <c r="T51" s="697" t="s">
        <v>771</v>
      </c>
      <c r="U51" s="375" t="s">
        <v>1111</v>
      </c>
      <c r="V51" s="723">
        <v>14.05</v>
      </c>
      <c r="W51" s="723">
        <v>0.81</v>
      </c>
      <c r="X51" s="723">
        <v>0.19</v>
      </c>
      <c r="Y51" s="723">
        <v>71.94</v>
      </c>
      <c r="Z51" s="382">
        <v>-4.9941700140916367E-3</v>
      </c>
      <c r="AA51" s="372">
        <v>168296.81</v>
      </c>
      <c r="AB51" s="372">
        <v>274639.18</v>
      </c>
      <c r="AC51" s="372">
        <v>424460.28</v>
      </c>
      <c r="AD51" s="372">
        <v>357266.94</v>
      </c>
      <c r="AE51" s="372">
        <v>364447.95</v>
      </c>
      <c r="AF51" s="372">
        <v>345354.84</v>
      </c>
      <c r="AG51" s="372">
        <v>350183.22</v>
      </c>
      <c r="AH51" s="372">
        <v>0</v>
      </c>
    </row>
    <row r="52" spans="1:34">
      <c r="A52" s="372" t="s">
        <v>1112</v>
      </c>
      <c r="B52" s="373" t="s">
        <v>1113</v>
      </c>
      <c r="C52" s="372" t="s">
        <v>1114</v>
      </c>
      <c r="D52" s="374">
        <v>1101114570720</v>
      </c>
      <c r="E52" s="372" t="s">
        <v>1115</v>
      </c>
      <c r="F52" s="375" t="s">
        <v>1116</v>
      </c>
      <c r="G52" s="375" t="s">
        <v>1116</v>
      </c>
      <c r="H52" s="375" t="s">
        <v>817</v>
      </c>
      <c r="I52" s="375" t="s">
        <v>754</v>
      </c>
      <c r="J52" s="375">
        <v>511327.56546999997</v>
      </c>
      <c r="K52" s="375">
        <v>70467.454740000001</v>
      </c>
      <c r="L52" s="375">
        <v>44567.982250000001</v>
      </c>
      <c r="M52" s="375">
        <v>366258.94258999999</v>
      </c>
      <c r="N52" s="372">
        <v>1.06</v>
      </c>
      <c r="O52" s="704">
        <v>1.9096980156682313</v>
      </c>
      <c r="P52" s="375" t="s">
        <v>622</v>
      </c>
      <c r="Q52" s="375" t="s">
        <v>622</v>
      </c>
      <c r="R52" s="696">
        <v>20200702</v>
      </c>
      <c r="S52" s="375" t="s">
        <v>1117</v>
      </c>
      <c r="T52" s="697">
        <v>0.23100000000000001</v>
      </c>
      <c r="U52" s="375" t="s">
        <v>1118</v>
      </c>
      <c r="V52" s="723">
        <v>92.95</v>
      </c>
      <c r="W52" s="723">
        <v>24.1</v>
      </c>
      <c r="X52" s="723">
        <v>15.93</v>
      </c>
      <c r="Y52" s="723">
        <v>141.93</v>
      </c>
      <c r="Z52" s="382">
        <v>0.2521898528205313</v>
      </c>
      <c r="AA52" s="372">
        <v>259.99026720000001</v>
      </c>
      <c r="AB52" s="372">
        <v>4186.4452911999997</v>
      </c>
      <c r="AC52" s="372">
        <v>2461.7912001999998</v>
      </c>
      <c r="AD52" s="372">
        <v>3548.9155552000002</v>
      </c>
      <c r="AE52" s="372">
        <v>5284.37</v>
      </c>
      <c r="AF52" s="372">
        <v>6782.21</v>
      </c>
      <c r="AG52" s="372">
        <v>8725.2199999999993</v>
      </c>
      <c r="AH52" s="372">
        <v>11746.67</v>
      </c>
    </row>
    <row r="53" spans="1:34">
      <c r="A53" s="372" t="s">
        <v>1119</v>
      </c>
      <c r="B53" s="373" t="s">
        <v>1120</v>
      </c>
      <c r="C53" s="372" t="s">
        <v>1121</v>
      </c>
      <c r="D53" s="374">
        <v>1101118077821</v>
      </c>
      <c r="E53" s="372" t="s">
        <v>1122</v>
      </c>
      <c r="F53" s="375" t="s">
        <v>893</v>
      </c>
      <c r="G53" s="375" t="s">
        <v>894</v>
      </c>
      <c r="H53" s="375" t="s">
        <v>855</v>
      </c>
      <c r="I53" s="375" t="s">
        <v>754</v>
      </c>
      <c r="J53" s="375">
        <v>2648516</v>
      </c>
      <c r="K53" s="375">
        <v>366962</v>
      </c>
      <c r="L53" s="375">
        <v>1602331</v>
      </c>
      <c r="M53" s="375">
        <v>17999721</v>
      </c>
      <c r="N53" s="372">
        <v>1.623</v>
      </c>
      <c r="O53" s="704">
        <v>0.69162260812574095</v>
      </c>
      <c r="P53" s="375" t="s">
        <v>622</v>
      </c>
      <c r="Q53" s="375" t="s">
        <v>622</v>
      </c>
      <c r="R53" s="696">
        <v>20211129</v>
      </c>
      <c r="S53" s="375" t="s">
        <v>854</v>
      </c>
      <c r="T53" s="697">
        <v>0.26400000000000001</v>
      </c>
      <c r="U53" s="375" t="s">
        <v>1123</v>
      </c>
      <c r="V53" s="723">
        <v>24.57</v>
      </c>
      <c r="W53" s="723">
        <v>0.62</v>
      </c>
      <c r="X53" s="723">
        <v>4.18</v>
      </c>
      <c r="Y53" s="723">
        <v>6.5</v>
      </c>
      <c r="Z53" s="382">
        <v>1.0103289323868303</v>
      </c>
      <c r="AA53" s="372">
        <v>0</v>
      </c>
      <c r="AB53" s="372">
        <v>11464.14</v>
      </c>
      <c r="AC53" s="372">
        <v>27351.79</v>
      </c>
      <c r="AD53" s="372">
        <v>2239.15</v>
      </c>
      <c r="AE53" s="372">
        <v>26760</v>
      </c>
      <c r="AF53" s="372">
        <v>33183.67</v>
      </c>
      <c r="AG53" s="372">
        <v>36572.25</v>
      </c>
      <c r="AH53" s="372">
        <v>0</v>
      </c>
    </row>
    <row r="54" spans="1:34">
      <c r="A54" s="372" t="s">
        <v>1124</v>
      </c>
      <c r="B54" s="373" t="s">
        <v>1125</v>
      </c>
      <c r="C54" s="372" t="s">
        <v>1126</v>
      </c>
      <c r="D54" s="374">
        <v>1942110000480</v>
      </c>
      <c r="E54" s="372" t="s">
        <v>1127</v>
      </c>
      <c r="F54" s="375" t="s">
        <v>1128</v>
      </c>
      <c r="G54" s="375" t="s">
        <v>1129</v>
      </c>
      <c r="H54" s="375" t="s">
        <v>792</v>
      </c>
      <c r="I54" s="375" t="s">
        <v>754</v>
      </c>
      <c r="J54" s="375">
        <v>11053597.983619999</v>
      </c>
      <c r="K54" s="375">
        <v>1178255.9121300001</v>
      </c>
      <c r="L54" s="375">
        <v>806387.35927000002</v>
      </c>
      <c r="M54" s="375">
        <v>4202487.98367</v>
      </c>
      <c r="N54" s="372">
        <v>0.45400000000000001</v>
      </c>
      <c r="O54" s="704">
        <v>35.050263410627927</v>
      </c>
      <c r="P54" s="375" t="s">
        <v>622</v>
      </c>
      <c r="Q54" s="375" t="s">
        <v>622</v>
      </c>
      <c r="R54" s="696">
        <v>19870527</v>
      </c>
      <c r="S54" s="375" t="s">
        <v>1130</v>
      </c>
      <c r="T54" s="697">
        <v>0.26400000000000001</v>
      </c>
      <c r="U54" s="375" t="s">
        <v>1131</v>
      </c>
      <c r="V54" s="723">
        <v>12.61</v>
      </c>
      <c r="W54" s="723">
        <v>4.45</v>
      </c>
      <c r="X54" s="723">
        <v>1.35</v>
      </c>
      <c r="Y54" s="723">
        <v>24.14</v>
      </c>
      <c r="Z54" s="382">
        <v>7.8219631609290685E-2</v>
      </c>
      <c r="AA54" s="372">
        <v>53214.4427067</v>
      </c>
      <c r="AB54" s="372">
        <v>55413.891412700003</v>
      </c>
      <c r="AC54" s="372">
        <v>70603.932099800004</v>
      </c>
      <c r="AD54" s="372">
        <v>93590.059813</v>
      </c>
      <c r="AE54" s="372">
        <v>102867.22</v>
      </c>
      <c r="AF54" s="372">
        <v>114978.56</v>
      </c>
      <c r="AG54" s="372">
        <v>126490.72</v>
      </c>
      <c r="AH54" s="372">
        <v>119440</v>
      </c>
    </row>
    <row r="55" spans="1:34">
      <c r="A55" s="372" t="s">
        <v>1132</v>
      </c>
      <c r="B55" s="373" t="s">
        <v>1133</v>
      </c>
      <c r="C55" s="372" t="s">
        <v>1134</v>
      </c>
      <c r="D55" s="374">
        <v>1101112095837</v>
      </c>
      <c r="E55" s="372" t="s">
        <v>1135</v>
      </c>
      <c r="F55" s="375" t="s">
        <v>1136</v>
      </c>
      <c r="G55" s="375" t="s">
        <v>1137</v>
      </c>
      <c r="H55" s="375" t="s">
        <v>792</v>
      </c>
      <c r="I55" s="375" t="s">
        <v>754</v>
      </c>
      <c r="J55" s="375">
        <v>9753765.6899800003</v>
      </c>
      <c r="K55" s="375">
        <v>20030.69988</v>
      </c>
      <c r="L55" s="375">
        <v>-35242.20766</v>
      </c>
      <c r="M55" s="375">
        <v>4180771.5758500001</v>
      </c>
      <c r="N55" s="372">
        <v>0.77900000000000003</v>
      </c>
      <c r="O55" s="704">
        <v>60.478458866786212</v>
      </c>
      <c r="P55" s="375" t="s">
        <v>622</v>
      </c>
      <c r="Q55" s="375" t="s">
        <v>622</v>
      </c>
      <c r="R55" s="696">
        <v>20010202</v>
      </c>
      <c r="S55" s="375" t="s">
        <v>1138</v>
      </c>
      <c r="T55" s="697" t="s">
        <v>771</v>
      </c>
      <c r="U55" s="375" t="s">
        <v>15821</v>
      </c>
      <c r="V55" s="723">
        <v>69.25</v>
      </c>
      <c r="W55" s="723">
        <v>2.2400000000000002</v>
      </c>
      <c r="X55" s="723">
        <v>0.93</v>
      </c>
      <c r="Y55" s="723">
        <v>38.799999999999997</v>
      </c>
      <c r="Z55" s="382">
        <v>0.13412240003052456</v>
      </c>
      <c r="AA55" s="372">
        <v>70301.751971599995</v>
      </c>
      <c r="AB55" s="372">
        <v>44865.856813600003</v>
      </c>
      <c r="AC55" s="372">
        <v>48601.502495300003</v>
      </c>
      <c r="AD55" s="372">
        <v>74083.122656399995</v>
      </c>
      <c r="AE55" s="372">
        <v>103490</v>
      </c>
      <c r="AF55" s="372">
        <v>112910.56</v>
      </c>
      <c r="AG55" s="372">
        <v>122562.89</v>
      </c>
      <c r="AH55" s="372">
        <v>121780</v>
      </c>
    </row>
    <row r="56" spans="1:34">
      <c r="A56" s="372" t="s">
        <v>1139</v>
      </c>
      <c r="B56" s="373" t="s">
        <v>1140</v>
      </c>
      <c r="C56" s="372" t="s">
        <v>1141</v>
      </c>
      <c r="D56" s="374">
        <v>1311110478337</v>
      </c>
      <c r="E56" s="372" t="s">
        <v>1142</v>
      </c>
      <c r="F56" s="375" t="s">
        <v>1143</v>
      </c>
      <c r="G56" s="375" t="s">
        <v>1144</v>
      </c>
      <c r="H56" s="375" t="s">
        <v>855</v>
      </c>
      <c r="I56" s="375" t="s">
        <v>754</v>
      </c>
      <c r="J56" s="375">
        <v>714192.77477999998</v>
      </c>
      <c r="K56" s="375">
        <v>-45932.60097</v>
      </c>
      <c r="L56" s="375">
        <v>-18138.170620000001</v>
      </c>
      <c r="M56" s="375">
        <v>1908113.5433100001</v>
      </c>
      <c r="N56" s="372">
        <v>1.55</v>
      </c>
      <c r="O56" s="704">
        <v>2.7882323443530637</v>
      </c>
      <c r="P56" s="375" t="s">
        <v>622</v>
      </c>
      <c r="Q56" s="372" t="s">
        <v>622</v>
      </c>
      <c r="R56" s="696">
        <v>20211103</v>
      </c>
      <c r="S56" s="375" t="s">
        <v>1145</v>
      </c>
      <c r="T56" s="697" t="s">
        <v>771</v>
      </c>
      <c r="U56" s="375" t="s">
        <v>1146</v>
      </c>
      <c r="V56" s="723">
        <v>756.82</v>
      </c>
      <c r="W56" s="723">
        <v>1.77</v>
      </c>
      <c r="X56" s="723">
        <v>4.59</v>
      </c>
      <c r="Y56" s="723" t="s">
        <v>773</v>
      </c>
      <c r="Z56" s="382">
        <v>0.12011035060109099</v>
      </c>
      <c r="AA56" s="372">
        <v>2843.7076883</v>
      </c>
      <c r="AB56" s="372">
        <v>4586.4679907</v>
      </c>
      <c r="AC56" s="372">
        <v>5213.6428907999998</v>
      </c>
      <c r="AD56" s="372">
        <v>6153.6283439999997</v>
      </c>
      <c r="AE56" s="372">
        <v>7435</v>
      </c>
      <c r="AF56" s="372">
        <v>8530</v>
      </c>
      <c r="AG56" s="372">
        <v>9686.67</v>
      </c>
      <c r="AH56" s="372">
        <v>0</v>
      </c>
    </row>
    <row r="57" spans="1:34">
      <c r="A57" s="372" t="s">
        <v>1147</v>
      </c>
      <c r="B57" s="373" t="s">
        <v>1148</v>
      </c>
      <c r="C57" s="372" t="s">
        <v>1149</v>
      </c>
      <c r="D57" s="374">
        <v>1101112177388</v>
      </c>
      <c r="E57" s="372" t="s">
        <v>1150</v>
      </c>
      <c r="F57" s="375" t="s">
        <v>1151</v>
      </c>
      <c r="G57" s="375" t="s">
        <v>1152</v>
      </c>
      <c r="H57" s="375" t="s">
        <v>909</v>
      </c>
      <c r="I57" s="375" t="s">
        <v>754</v>
      </c>
      <c r="J57" s="375">
        <v>27636874.333420001</v>
      </c>
      <c r="K57" s="375">
        <v>1643787.13616</v>
      </c>
      <c r="L57" s="375">
        <v>1691708.7273500001</v>
      </c>
      <c r="M57" s="375">
        <v>8560567.1771300007</v>
      </c>
      <c r="N57" s="372">
        <v>0.995</v>
      </c>
      <c r="O57" s="704">
        <v>41.805233055309856</v>
      </c>
      <c r="P57" s="375" t="s">
        <v>622</v>
      </c>
      <c r="Q57" s="375" t="s">
        <v>622</v>
      </c>
      <c r="R57" s="696">
        <v>20051226</v>
      </c>
      <c r="S57" s="375" t="s">
        <v>1153</v>
      </c>
      <c r="T57" s="697">
        <v>0.26400000000000001</v>
      </c>
      <c r="U57" s="375" t="s">
        <v>1154</v>
      </c>
      <c r="V57" s="723">
        <v>4.0199999999999996</v>
      </c>
      <c r="W57" s="723">
        <v>1.07</v>
      </c>
      <c r="X57" s="723">
        <v>0.33</v>
      </c>
      <c r="Y57" s="723">
        <v>7.36</v>
      </c>
      <c r="Z57" s="382">
        <v>5.019074161003112E-2</v>
      </c>
      <c r="AA57" s="372">
        <v>165198.84633100001</v>
      </c>
      <c r="AB57" s="372">
        <v>217795.81930999999</v>
      </c>
      <c r="AC57" s="372">
        <v>269818.80971120001</v>
      </c>
      <c r="AD57" s="372">
        <v>256831.97164060001</v>
      </c>
      <c r="AE57" s="372">
        <v>282131.14</v>
      </c>
      <c r="AF57" s="372">
        <v>298863.78999999998</v>
      </c>
      <c r="AG57" s="372">
        <v>312407.77</v>
      </c>
      <c r="AH57" s="372">
        <v>0</v>
      </c>
    </row>
    <row r="58" spans="1:34">
      <c r="A58" s="372" t="s">
        <v>1155</v>
      </c>
      <c r="B58" s="373" t="s">
        <v>1156</v>
      </c>
      <c r="C58" s="372" t="s">
        <v>1157</v>
      </c>
      <c r="D58" s="374">
        <v>1101110168595</v>
      </c>
      <c r="E58" s="372" t="s">
        <v>1158</v>
      </c>
      <c r="F58" s="375" t="s">
        <v>1136</v>
      </c>
      <c r="G58" s="375" t="s">
        <v>1137</v>
      </c>
      <c r="H58" s="375" t="s">
        <v>792</v>
      </c>
      <c r="I58" s="375" t="s">
        <v>754</v>
      </c>
      <c r="J58" s="375">
        <v>9635867.9308700003</v>
      </c>
      <c r="K58" s="375">
        <v>407464.28720000002</v>
      </c>
      <c r="L58" s="375">
        <v>-194875.65302</v>
      </c>
      <c r="M58" s="375">
        <v>3731177.1872200002</v>
      </c>
      <c r="N58" s="372">
        <v>0.77600000000000002</v>
      </c>
      <c r="O58" s="704">
        <v>48.952661414335182</v>
      </c>
      <c r="P58" s="375" t="s">
        <v>622</v>
      </c>
      <c r="Q58" s="375" t="s">
        <v>622</v>
      </c>
      <c r="R58" s="696">
        <v>19940128</v>
      </c>
      <c r="S58" s="375" t="s">
        <v>1159</v>
      </c>
      <c r="T58" s="697" t="s">
        <v>771</v>
      </c>
      <c r="U58" s="375" t="s">
        <v>1160</v>
      </c>
      <c r="V58" s="723">
        <v>15.43</v>
      </c>
      <c r="W58" s="723">
        <v>1.86</v>
      </c>
      <c r="X58" s="723">
        <v>0.92</v>
      </c>
      <c r="Y58" s="723" t="s">
        <v>773</v>
      </c>
      <c r="Z58" s="382">
        <v>0.12243749414067362</v>
      </c>
      <c r="AA58" s="372">
        <v>68603.176424999998</v>
      </c>
      <c r="AB58" s="372">
        <v>66220.014873199994</v>
      </c>
      <c r="AC58" s="372">
        <v>59446.6745228</v>
      </c>
      <c r="AD58" s="372">
        <v>80094.299121000004</v>
      </c>
      <c r="AE58" s="372">
        <v>99422.3</v>
      </c>
      <c r="AF58" s="372">
        <v>112793.75</v>
      </c>
      <c r="AG58" s="372">
        <v>127130.65</v>
      </c>
      <c r="AH58" s="372">
        <v>135090</v>
      </c>
    </row>
    <row r="59" spans="1:34">
      <c r="A59" s="372" t="s">
        <v>1161</v>
      </c>
      <c r="B59" s="373" t="s">
        <v>1162</v>
      </c>
      <c r="C59" s="372" t="s">
        <v>1163</v>
      </c>
      <c r="D59" s="374">
        <v>1101114952093</v>
      </c>
      <c r="E59" s="372" t="s">
        <v>1164</v>
      </c>
      <c r="F59" s="375" t="s">
        <v>16105</v>
      </c>
      <c r="G59" s="375" t="s">
        <v>16105</v>
      </c>
      <c r="H59" s="375" t="s">
        <v>826</v>
      </c>
      <c r="I59" s="375" t="s">
        <v>754</v>
      </c>
      <c r="J59" s="375">
        <v>9112449.0844199993</v>
      </c>
      <c r="K59" s="375">
        <v>1781418.73251</v>
      </c>
      <c r="L59" s="375">
        <v>1774389.41713</v>
      </c>
      <c r="M59" s="375">
        <v>10720538.982860001</v>
      </c>
      <c r="N59" s="372">
        <v>0.66600000000000004</v>
      </c>
      <c r="O59" s="704">
        <v>28.028680170291043</v>
      </c>
      <c r="P59" s="375" t="s">
        <v>622</v>
      </c>
      <c r="Q59" s="375" t="s">
        <v>622</v>
      </c>
      <c r="R59" s="696">
        <v>20121004</v>
      </c>
      <c r="S59" s="375" t="s">
        <v>1165</v>
      </c>
      <c r="T59" s="697">
        <v>0.26400000000000001</v>
      </c>
      <c r="U59" s="375" t="s">
        <v>1166</v>
      </c>
      <c r="V59" s="723">
        <v>2.2799999999999998</v>
      </c>
      <c r="W59" s="723">
        <v>0.48</v>
      </c>
      <c r="X59" s="723">
        <v>0.56000000000000005</v>
      </c>
      <c r="Y59" s="723">
        <v>4.12</v>
      </c>
      <c r="Z59" s="382">
        <v>2.6785363594250322E-2</v>
      </c>
      <c r="AA59" s="372">
        <v>64530.717853599999</v>
      </c>
      <c r="AB59" s="372">
        <v>71411.368277700007</v>
      </c>
      <c r="AC59" s="372">
        <v>83942.030365099999</v>
      </c>
      <c r="AD59" s="372">
        <v>89396.214754999994</v>
      </c>
      <c r="AE59" s="372">
        <v>91842.19</v>
      </c>
      <c r="AF59" s="372">
        <v>95460.19</v>
      </c>
      <c r="AG59" s="372">
        <v>99366</v>
      </c>
      <c r="AH59" s="372">
        <v>112060</v>
      </c>
    </row>
    <row r="60" spans="1:34">
      <c r="A60" s="372" t="s">
        <v>1167</v>
      </c>
      <c r="B60" s="373" t="s">
        <v>1168</v>
      </c>
      <c r="C60" s="372" t="s">
        <v>1169</v>
      </c>
      <c r="D60" s="374">
        <v>1101110095285</v>
      </c>
      <c r="E60" s="372" t="s">
        <v>1170</v>
      </c>
      <c r="F60" s="375" t="s">
        <v>958</v>
      </c>
      <c r="G60" s="375" t="s">
        <v>959</v>
      </c>
      <c r="H60" s="375" t="s">
        <v>933</v>
      </c>
      <c r="I60" s="375" t="s">
        <v>754</v>
      </c>
      <c r="J60" s="375">
        <v>15626425.935000001</v>
      </c>
      <c r="K60" s="375">
        <v>2566287.8603099999</v>
      </c>
      <c r="L60" s="375">
        <v>2589066.7667700001</v>
      </c>
      <c r="M60" s="375">
        <v>9883320.2983899992</v>
      </c>
      <c r="N60" s="372">
        <v>0.80700000000000005</v>
      </c>
      <c r="O60" s="704">
        <v>33.509498468175018</v>
      </c>
      <c r="P60" s="375" t="s">
        <v>622</v>
      </c>
      <c r="Q60" s="375" t="s">
        <v>622</v>
      </c>
      <c r="R60" s="696">
        <v>19730628</v>
      </c>
      <c r="S60" s="375" t="s">
        <v>1171</v>
      </c>
      <c r="T60" s="697">
        <v>0.26400000000000001</v>
      </c>
      <c r="U60" s="375" t="s">
        <v>1172</v>
      </c>
      <c r="V60" s="723">
        <v>0</v>
      </c>
      <c r="W60" s="723">
        <v>0.8</v>
      </c>
      <c r="X60" s="723">
        <v>0.4</v>
      </c>
      <c r="Y60" s="723">
        <v>3.98</v>
      </c>
      <c r="Z60" s="382" t="s">
        <v>927</v>
      </c>
      <c r="AA60" s="372">
        <v>154561.34292639999</v>
      </c>
      <c r="AB60" s="372">
        <v>163894.60151529999</v>
      </c>
      <c r="AC60" s="372">
        <v>139618.57227</v>
      </c>
      <c r="AD60" s="372">
        <v>147562.07529000001</v>
      </c>
      <c r="AE60" s="372">
        <v>0</v>
      </c>
      <c r="AF60" s="372">
        <v>0</v>
      </c>
      <c r="AG60" s="372">
        <v>0</v>
      </c>
      <c r="AH60" s="372">
        <v>0</v>
      </c>
    </row>
    <row r="61" spans="1:34">
      <c r="A61" s="372" t="s">
        <v>1173</v>
      </c>
      <c r="B61" s="373" t="s">
        <v>1174</v>
      </c>
      <c r="C61" s="372" t="s">
        <v>1175</v>
      </c>
      <c r="D61" s="374">
        <v>1101110393134</v>
      </c>
      <c r="E61" s="372" t="s">
        <v>1176</v>
      </c>
      <c r="F61" s="375" t="s">
        <v>1177</v>
      </c>
      <c r="G61" s="375" t="s">
        <v>1178</v>
      </c>
      <c r="H61" s="375" t="s">
        <v>753</v>
      </c>
      <c r="I61" s="375" t="s">
        <v>754</v>
      </c>
      <c r="J61" s="375">
        <v>26178380</v>
      </c>
      <c r="K61" s="375">
        <v>-511960</v>
      </c>
      <c r="L61" s="375">
        <v>-1610200</v>
      </c>
      <c r="M61" s="375">
        <v>8343428</v>
      </c>
      <c r="N61" s="372">
        <v>1.1459999999999999</v>
      </c>
      <c r="O61" s="704">
        <v>279.71152255639095</v>
      </c>
      <c r="P61" s="375" t="s">
        <v>622</v>
      </c>
      <c r="Q61" s="375" t="s">
        <v>622</v>
      </c>
      <c r="R61" s="696">
        <v>20040723</v>
      </c>
      <c r="S61" s="375" t="s">
        <v>1179</v>
      </c>
      <c r="T61" s="697" t="s">
        <v>771</v>
      </c>
      <c r="U61" s="375" t="s">
        <v>1180</v>
      </c>
      <c r="V61" s="723">
        <v>4.37</v>
      </c>
      <c r="W61" s="723">
        <v>0.78</v>
      </c>
      <c r="X61" s="723">
        <v>0.19</v>
      </c>
      <c r="Y61" s="723" t="s">
        <v>773</v>
      </c>
      <c r="Z61" s="382">
        <v>6.0727026387341398E-2</v>
      </c>
      <c r="AA61" s="372">
        <v>242615.61</v>
      </c>
      <c r="AB61" s="372">
        <v>298780.43</v>
      </c>
      <c r="AC61" s="372">
        <v>261517.81</v>
      </c>
      <c r="AD61" s="372">
        <v>213308.19</v>
      </c>
      <c r="AE61" s="372">
        <v>263755.09999999998</v>
      </c>
      <c r="AF61" s="372">
        <v>262265</v>
      </c>
      <c r="AG61" s="372">
        <v>270036.25</v>
      </c>
      <c r="AH61" s="372">
        <v>0</v>
      </c>
    </row>
    <row r="62" spans="1:34">
      <c r="A62" s="372" t="s">
        <v>1181</v>
      </c>
      <c r="B62" s="373" t="s">
        <v>1182</v>
      </c>
      <c r="C62" s="372" t="s">
        <v>1183</v>
      </c>
      <c r="D62" s="374">
        <v>1201110038423</v>
      </c>
      <c r="E62" s="372" t="s">
        <v>1184</v>
      </c>
      <c r="F62" s="375" t="s">
        <v>1185</v>
      </c>
      <c r="G62" s="375" t="s">
        <v>1186</v>
      </c>
      <c r="H62" s="375" t="s">
        <v>1043</v>
      </c>
      <c r="I62" s="375" t="s">
        <v>754</v>
      </c>
      <c r="J62" s="375">
        <v>461536.08562000003</v>
      </c>
      <c r="K62" s="375">
        <v>201866.36093</v>
      </c>
      <c r="L62" s="375">
        <v>236435.25081999999</v>
      </c>
      <c r="M62" s="375">
        <v>551009.64191999997</v>
      </c>
      <c r="N62" s="372">
        <v>1.4119999999999999</v>
      </c>
      <c r="O62" s="704">
        <v>3.5232470478193258E-2</v>
      </c>
      <c r="P62" s="375" t="s">
        <v>622</v>
      </c>
      <c r="Q62" s="375" t="s">
        <v>622</v>
      </c>
      <c r="R62" s="696">
        <v>20050722</v>
      </c>
      <c r="S62" s="375" t="s">
        <v>1187</v>
      </c>
      <c r="T62" s="697">
        <v>0.23100000000000001</v>
      </c>
      <c r="U62" s="375" t="s">
        <v>1188</v>
      </c>
      <c r="V62" s="723">
        <v>49.84</v>
      </c>
      <c r="W62" s="723">
        <v>15.34</v>
      </c>
      <c r="X62" s="723">
        <v>22.81</v>
      </c>
      <c r="Y62" s="723">
        <v>57.98</v>
      </c>
      <c r="Z62" s="382">
        <v>0.66521545711912933</v>
      </c>
      <c r="AA62" s="372">
        <v>2573.8589766</v>
      </c>
      <c r="AB62" s="372">
        <v>3731.6940190999999</v>
      </c>
      <c r="AC62" s="372">
        <v>3275.9205870999999</v>
      </c>
      <c r="AD62" s="372">
        <v>1590.0852835999999</v>
      </c>
      <c r="AE62" s="372">
        <v>5953.6</v>
      </c>
      <c r="AF62" s="372">
        <v>9122.7999999999993</v>
      </c>
      <c r="AG62" s="372">
        <v>12226.5</v>
      </c>
      <c r="AH62" s="372">
        <v>12170</v>
      </c>
    </row>
    <row r="63" spans="1:34">
      <c r="A63" s="372" t="s">
        <v>1189</v>
      </c>
      <c r="B63" s="373" t="s">
        <v>1190</v>
      </c>
      <c r="C63" s="372" t="s">
        <v>1191</v>
      </c>
      <c r="D63" s="374">
        <v>1101110360935</v>
      </c>
      <c r="E63" s="372" t="s">
        <v>1192</v>
      </c>
      <c r="F63" s="375" t="s">
        <v>824</v>
      </c>
      <c r="G63" s="375" t="s">
        <v>825</v>
      </c>
      <c r="H63" s="375" t="s">
        <v>826</v>
      </c>
      <c r="I63" s="375" t="s">
        <v>754</v>
      </c>
      <c r="J63" s="375">
        <v>11765392.50746</v>
      </c>
      <c r="K63" s="375">
        <v>-343790.06160999998</v>
      </c>
      <c r="L63" s="375">
        <v>-1569367.35546</v>
      </c>
      <c r="M63" s="375">
        <v>10035297.24584</v>
      </c>
      <c r="N63" s="372">
        <v>1.415</v>
      </c>
      <c r="O63" s="704">
        <v>350.80056700018957</v>
      </c>
      <c r="P63" s="375" t="s">
        <v>622</v>
      </c>
      <c r="Q63" s="375" t="s">
        <v>622</v>
      </c>
      <c r="R63" s="696">
        <v>19740619</v>
      </c>
      <c r="S63" s="375" t="s">
        <v>1193</v>
      </c>
      <c r="T63" s="697" t="s">
        <v>771</v>
      </c>
      <c r="U63" s="375" t="s">
        <v>1194</v>
      </c>
      <c r="V63" s="723">
        <v>44.52</v>
      </c>
      <c r="W63" s="723">
        <v>0.5</v>
      </c>
      <c r="X63" s="723">
        <v>0.38</v>
      </c>
      <c r="Y63" s="723" t="s">
        <v>773</v>
      </c>
      <c r="Z63" s="382">
        <v>8.1297203403818408E-4</v>
      </c>
      <c r="AA63" s="372">
        <v>91950.081283599997</v>
      </c>
      <c r="AB63" s="372">
        <v>107251.92384819999</v>
      </c>
      <c r="AC63" s="372">
        <v>131307.52887519999</v>
      </c>
      <c r="AD63" s="372">
        <v>132887.4476293</v>
      </c>
      <c r="AE63" s="372">
        <v>116095.7</v>
      </c>
      <c r="AF63" s="372">
        <v>127155.5</v>
      </c>
      <c r="AG63" s="372">
        <v>133320.10999999999</v>
      </c>
      <c r="AH63" s="372">
        <v>145560</v>
      </c>
    </row>
    <row r="64" spans="1:34">
      <c r="A64" s="372" t="s">
        <v>1195</v>
      </c>
      <c r="B64" s="373" t="s">
        <v>1196</v>
      </c>
      <c r="C64" s="372" t="s">
        <v>1197</v>
      </c>
      <c r="D64" s="374">
        <v>1101110193196</v>
      </c>
      <c r="E64" s="372" t="s">
        <v>1198</v>
      </c>
      <c r="F64" s="375" t="s">
        <v>824</v>
      </c>
      <c r="G64" s="375" t="s">
        <v>825</v>
      </c>
      <c r="H64" s="375" t="s">
        <v>826</v>
      </c>
      <c r="I64" s="375" t="s">
        <v>754</v>
      </c>
      <c r="J64" s="375">
        <v>20439587.723310001</v>
      </c>
      <c r="K64" s="375">
        <v>-975856.05570999999</v>
      </c>
      <c r="L64" s="375">
        <v>-1452163.34262</v>
      </c>
      <c r="M64" s="375">
        <v>19659236.861620001</v>
      </c>
      <c r="N64" s="372">
        <v>1.1120000000000001</v>
      </c>
      <c r="O64" s="704">
        <v>272.37745396550201</v>
      </c>
      <c r="P64" s="375" t="s">
        <v>622</v>
      </c>
      <c r="Q64" s="375" t="s">
        <v>622</v>
      </c>
      <c r="R64" s="696">
        <v>19910530</v>
      </c>
      <c r="S64" s="375" t="s">
        <v>1199</v>
      </c>
      <c r="T64" s="697" t="s">
        <v>771</v>
      </c>
      <c r="U64" s="375" t="s">
        <v>1200</v>
      </c>
      <c r="V64" s="723">
        <v>48.51</v>
      </c>
      <c r="W64" s="723">
        <v>0.28999999999999998</v>
      </c>
      <c r="X64" s="723">
        <v>0.21</v>
      </c>
      <c r="Y64" s="723" t="s">
        <v>773</v>
      </c>
      <c r="Z64" s="382">
        <v>2.198912605718073E-2</v>
      </c>
      <c r="AA64" s="372">
        <v>122230.31551260001</v>
      </c>
      <c r="AB64" s="372">
        <v>181204.6242275</v>
      </c>
      <c r="AC64" s="372">
        <v>222760.82763690001</v>
      </c>
      <c r="AD64" s="372">
        <v>199463.96629899999</v>
      </c>
      <c r="AE64" s="372">
        <v>208255.9</v>
      </c>
      <c r="AF64" s="372">
        <v>212875.75</v>
      </c>
      <c r="AG64" s="372">
        <v>217595.32</v>
      </c>
      <c r="AH64" s="372">
        <v>217030</v>
      </c>
    </row>
    <row r="65" spans="1:34">
      <c r="A65" s="372" t="s">
        <v>1201</v>
      </c>
      <c r="B65" s="373" t="s">
        <v>1202</v>
      </c>
      <c r="C65" s="372" t="s">
        <v>1203</v>
      </c>
      <c r="D65" s="374">
        <v>1701110638661</v>
      </c>
      <c r="E65" s="372" t="s">
        <v>1204</v>
      </c>
      <c r="F65" s="375" t="s">
        <v>893</v>
      </c>
      <c r="G65" s="375" t="s">
        <v>894</v>
      </c>
      <c r="H65" s="375" t="s">
        <v>855</v>
      </c>
      <c r="I65" s="375" t="s">
        <v>754</v>
      </c>
      <c r="J65" s="375">
        <v>67381228.577999994</v>
      </c>
      <c r="K65" s="375">
        <v>2462887.469</v>
      </c>
      <c r="L65" s="375">
        <v>1421545.2509999999</v>
      </c>
      <c r="M65" s="375">
        <v>25494813.276999999</v>
      </c>
      <c r="N65" s="372">
        <v>0.72499999999999998</v>
      </c>
      <c r="O65" s="704">
        <v>305.02758475465293</v>
      </c>
      <c r="P65" s="375" t="s">
        <v>622</v>
      </c>
      <c r="Q65" s="375" t="s">
        <v>622</v>
      </c>
      <c r="R65" s="696">
        <v>20170510</v>
      </c>
      <c r="S65" s="375" t="s">
        <v>854</v>
      </c>
      <c r="T65" s="697">
        <v>0.26400000000000001</v>
      </c>
      <c r="U65" s="375" t="s">
        <v>15822</v>
      </c>
      <c r="V65" s="723">
        <v>7.64</v>
      </c>
      <c r="W65" s="723">
        <v>0.67</v>
      </c>
      <c r="X65" s="723">
        <v>0.09</v>
      </c>
      <c r="Y65" s="723">
        <v>23.93</v>
      </c>
      <c r="Z65" s="382">
        <v>5.2665402721159937E-2</v>
      </c>
      <c r="AA65" s="372">
        <v>189109.81518999999</v>
      </c>
      <c r="AB65" s="372">
        <v>283536.71477999998</v>
      </c>
      <c r="AC65" s="372">
        <v>608496.68073000002</v>
      </c>
      <c r="AD65" s="372">
        <v>613313.02784999995</v>
      </c>
      <c r="AE65" s="372">
        <v>674637</v>
      </c>
      <c r="AF65" s="372">
        <v>711395.14</v>
      </c>
      <c r="AG65" s="372">
        <v>753084.29</v>
      </c>
      <c r="AH65" s="372">
        <v>0</v>
      </c>
    </row>
    <row r="66" spans="1:34">
      <c r="A66" s="372" t="s">
        <v>1205</v>
      </c>
      <c r="B66" s="373" t="s">
        <v>1206</v>
      </c>
      <c r="C66" s="372" t="s">
        <v>1207</v>
      </c>
      <c r="D66" s="374">
        <v>1101117064217</v>
      </c>
      <c r="E66" s="372" t="s">
        <v>1208</v>
      </c>
      <c r="F66" s="372" t="s">
        <v>16100</v>
      </c>
      <c r="G66" s="375" t="s">
        <v>16100</v>
      </c>
      <c r="H66" s="375" t="s">
        <v>753</v>
      </c>
      <c r="I66" s="375" t="s">
        <v>754</v>
      </c>
      <c r="J66" s="375">
        <v>332349.85399999999</v>
      </c>
      <c r="K66" s="375">
        <v>-186936.59400000001</v>
      </c>
      <c r="L66" s="375">
        <v>-110394.057</v>
      </c>
      <c r="M66" s="375">
        <v>2343327.5320000001</v>
      </c>
      <c r="N66" s="372">
        <v>1.3240000000000001</v>
      </c>
      <c r="O66" s="704">
        <v>63.879110880543081</v>
      </c>
      <c r="P66" s="375" t="s">
        <v>622</v>
      </c>
      <c r="Q66" s="375" t="s">
        <v>622</v>
      </c>
      <c r="R66" s="696">
        <v>20210511</v>
      </c>
      <c r="S66" s="375" t="s">
        <v>1209</v>
      </c>
      <c r="T66" s="697" t="s">
        <v>771</v>
      </c>
      <c r="U66" s="375" t="s">
        <v>1210</v>
      </c>
      <c r="V66" s="723" t="s">
        <v>773</v>
      </c>
      <c r="W66" s="723">
        <v>1.1000000000000001</v>
      </c>
      <c r="X66" s="723">
        <v>7.77</v>
      </c>
      <c r="Y66" s="723" t="s">
        <v>773</v>
      </c>
      <c r="Z66" s="382">
        <v>9.8013899353649236E-2</v>
      </c>
      <c r="AA66" s="372">
        <v>4693.0922600000004</v>
      </c>
      <c r="AB66" s="372">
        <v>6037.6742100000001</v>
      </c>
      <c r="AC66" s="372">
        <v>5857.9863299999997</v>
      </c>
      <c r="AD66" s="372">
        <v>6495.6830499999996</v>
      </c>
      <c r="AE66" s="372">
        <v>2709.38</v>
      </c>
      <c r="AF66" s="372">
        <v>5820.23</v>
      </c>
      <c r="AG66" s="372">
        <v>9441.83</v>
      </c>
      <c r="AH66" s="372">
        <v>19350</v>
      </c>
    </row>
    <row r="67" spans="1:34">
      <c r="A67" s="372" t="s">
        <v>1211</v>
      </c>
      <c r="B67" s="373" t="s">
        <v>1212</v>
      </c>
      <c r="C67" s="372" t="s">
        <v>1213</v>
      </c>
      <c r="D67" s="374">
        <v>1101114731299</v>
      </c>
      <c r="E67" s="372" t="s">
        <v>1214</v>
      </c>
      <c r="F67" s="375" t="s">
        <v>1006</v>
      </c>
      <c r="G67" s="375" t="s">
        <v>1215</v>
      </c>
      <c r="H67" s="375" t="s">
        <v>817</v>
      </c>
      <c r="I67" s="375" t="s">
        <v>754</v>
      </c>
      <c r="J67" s="375">
        <v>2680339.7404499999</v>
      </c>
      <c r="K67" s="375">
        <v>199238.65317000001</v>
      </c>
      <c r="L67" s="375">
        <v>253112.50727</v>
      </c>
      <c r="M67" s="375">
        <v>5267911.84088</v>
      </c>
      <c r="N67" s="372">
        <v>1.05</v>
      </c>
      <c r="O67" s="704">
        <v>34.587350104991835</v>
      </c>
      <c r="P67" s="375" t="s">
        <v>622</v>
      </c>
      <c r="Q67" s="375" t="s">
        <v>622</v>
      </c>
      <c r="R67" s="696">
        <v>20170512</v>
      </c>
      <c r="S67" s="375" t="s">
        <v>1216</v>
      </c>
      <c r="T67" s="697">
        <v>0.23100000000000001</v>
      </c>
      <c r="U67" s="375" t="s">
        <v>1217</v>
      </c>
      <c r="V67" s="723">
        <v>17.25</v>
      </c>
      <c r="W67" s="723">
        <v>0.91</v>
      </c>
      <c r="X67" s="723">
        <v>1.91</v>
      </c>
      <c r="Y67" s="723">
        <v>260.41000000000003</v>
      </c>
      <c r="Z67" s="382">
        <v>4.1440334187591965E-2</v>
      </c>
      <c r="AA67" s="372">
        <v>24847.6498589</v>
      </c>
      <c r="AB67" s="372">
        <v>25069.063741099999</v>
      </c>
      <c r="AC67" s="372">
        <v>26734.082758299999</v>
      </c>
      <c r="AD67" s="372">
        <v>25020.555997700001</v>
      </c>
      <c r="AE67" s="372">
        <v>27050.15</v>
      </c>
      <c r="AF67" s="372">
        <v>28051.4</v>
      </c>
      <c r="AG67" s="372">
        <v>29433</v>
      </c>
      <c r="AH67" s="372">
        <v>37570</v>
      </c>
    </row>
    <row r="68" spans="1:34">
      <c r="A68" s="372" t="s">
        <v>1218</v>
      </c>
      <c r="B68" s="373" t="s">
        <v>1219</v>
      </c>
      <c r="C68" s="372" t="s">
        <v>1220</v>
      </c>
      <c r="D68" s="374">
        <v>1760110022654</v>
      </c>
      <c r="E68" s="372" t="s">
        <v>1221</v>
      </c>
      <c r="F68" s="375" t="s">
        <v>16100</v>
      </c>
      <c r="G68" s="375" t="s">
        <v>16103</v>
      </c>
      <c r="H68" s="375" t="s">
        <v>753</v>
      </c>
      <c r="I68" s="375" t="s">
        <v>754</v>
      </c>
      <c r="J68" s="375">
        <v>2199758.6981100002</v>
      </c>
      <c r="K68" s="375">
        <v>-640913.77133000002</v>
      </c>
      <c r="L68" s="375">
        <v>-747059.65298000001</v>
      </c>
      <c r="M68" s="375">
        <v>845120.97582000005</v>
      </c>
      <c r="N68" s="372">
        <v>1.4139999999999999</v>
      </c>
      <c r="O68" s="704">
        <v>47.466111954071899</v>
      </c>
      <c r="P68" s="375" t="s">
        <v>622</v>
      </c>
      <c r="Q68" s="375" t="s">
        <v>622</v>
      </c>
      <c r="R68" s="696">
        <v>20021227</v>
      </c>
      <c r="S68" s="375" t="s">
        <v>1222</v>
      </c>
      <c r="T68" s="697" t="s">
        <v>771</v>
      </c>
      <c r="U68" s="375" t="s">
        <v>1223</v>
      </c>
      <c r="V68" s="723" t="s">
        <v>773</v>
      </c>
      <c r="W68" s="723">
        <v>4.9000000000000004</v>
      </c>
      <c r="X68" s="723">
        <v>1.87</v>
      </c>
      <c r="Y68" s="723" t="s">
        <v>773</v>
      </c>
      <c r="Z68" s="382">
        <v>2.8417398210469624E-3</v>
      </c>
      <c r="AA68" s="372">
        <v>3561.0595600000001</v>
      </c>
      <c r="AB68" s="372">
        <v>9707.6087447999998</v>
      </c>
      <c r="AC68" s="372">
        <v>38872.937133500003</v>
      </c>
      <c r="AD68" s="372">
        <v>46440.9036758</v>
      </c>
      <c r="AE68" s="372">
        <v>20820.900000000001</v>
      </c>
      <c r="AF68" s="372">
        <v>30846.58</v>
      </c>
      <c r="AG68" s="372">
        <v>46971.05</v>
      </c>
      <c r="AH68" s="372">
        <v>57040</v>
      </c>
    </row>
    <row r="69" spans="1:34">
      <c r="A69" s="372" t="s">
        <v>1224</v>
      </c>
      <c r="B69" s="373" t="s">
        <v>1225</v>
      </c>
      <c r="C69" s="372" t="s">
        <v>1226</v>
      </c>
      <c r="D69" s="374">
        <v>1101112208000</v>
      </c>
      <c r="E69" s="372" t="s">
        <v>1227</v>
      </c>
      <c r="F69" s="375" t="s">
        <v>1096</v>
      </c>
      <c r="G69" s="375" t="s">
        <v>1228</v>
      </c>
      <c r="H69" s="375" t="s">
        <v>826</v>
      </c>
      <c r="I69" s="375" t="s">
        <v>754</v>
      </c>
      <c r="J69" s="375">
        <v>6769213.9092399999</v>
      </c>
      <c r="K69" s="375">
        <v>470365.56965999998</v>
      </c>
      <c r="L69" s="375">
        <v>290635.14980999997</v>
      </c>
      <c r="M69" s="375">
        <v>5802668.4773899997</v>
      </c>
      <c r="N69" s="372">
        <v>1.087</v>
      </c>
      <c r="O69" s="704">
        <v>8.7792365038682174</v>
      </c>
      <c r="P69" s="375" t="s">
        <v>622</v>
      </c>
      <c r="Q69" s="375" t="s">
        <v>622</v>
      </c>
      <c r="R69" s="696">
        <v>20010425</v>
      </c>
      <c r="S69" s="375" t="s">
        <v>1229</v>
      </c>
      <c r="T69" s="697">
        <v>0.23100000000000001</v>
      </c>
      <c r="U69" s="375" t="s">
        <v>1230</v>
      </c>
      <c r="V69" s="723">
        <v>8.75</v>
      </c>
      <c r="W69" s="723">
        <v>1.17</v>
      </c>
      <c r="X69" s="723">
        <v>0.99</v>
      </c>
      <c r="Y69" s="723">
        <v>44</v>
      </c>
      <c r="Z69" s="382">
        <v>1.6758068528922143E-2</v>
      </c>
      <c r="AA69" s="372">
        <v>78445.060571299997</v>
      </c>
      <c r="AB69" s="372">
        <v>80915.112979600002</v>
      </c>
      <c r="AC69" s="372">
        <v>71857.591843300004</v>
      </c>
      <c r="AD69" s="372">
        <v>68048.393701199995</v>
      </c>
      <c r="AE69" s="372">
        <v>68476.22</v>
      </c>
      <c r="AF69" s="372">
        <v>70409</v>
      </c>
      <c r="AG69" s="372">
        <v>72725.78</v>
      </c>
      <c r="AH69" s="372">
        <v>0</v>
      </c>
    </row>
    <row r="70" spans="1:34">
      <c r="A70" s="372" t="s">
        <v>1231</v>
      </c>
      <c r="B70" s="373" t="s">
        <v>1232</v>
      </c>
      <c r="C70" s="372" t="s">
        <v>1233</v>
      </c>
      <c r="D70" s="374">
        <v>1311110523736</v>
      </c>
      <c r="E70" s="372" t="s">
        <v>1234</v>
      </c>
      <c r="F70" s="372" t="s">
        <v>16101</v>
      </c>
      <c r="G70" s="375" t="s">
        <v>16101</v>
      </c>
      <c r="H70" s="375" t="s">
        <v>784</v>
      </c>
      <c r="I70" s="375" t="s">
        <v>754</v>
      </c>
      <c r="J70" s="375">
        <v>201300.04037</v>
      </c>
      <c r="K70" s="375">
        <v>-96082.627330000003</v>
      </c>
      <c r="L70" s="375">
        <v>-63758.94485</v>
      </c>
      <c r="M70" s="375">
        <v>1719441.8398500001</v>
      </c>
      <c r="N70" s="372">
        <v>1.2649999999999999</v>
      </c>
      <c r="O70" s="704">
        <v>4.8386760802035669</v>
      </c>
      <c r="P70" s="375" t="s">
        <v>622</v>
      </c>
      <c r="Q70" s="375" t="s">
        <v>622</v>
      </c>
      <c r="R70" s="696">
        <v>20210318</v>
      </c>
      <c r="S70" s="375" t="s">
        <v>1235</v>
      </c>
      <c r="T70" s="697" t="s">
        <v>771</v>
      </c>
      <c r="U70" s="375" t="s">
        <v>1236</v>
      </c>
      <c r="V70" s="723" t="s">
        <v>773</v>
      </c>
      <c r="W70" s="723">
        <v>2.48</v>
      </c>
      <c r="X70" s="723">
        <v>21.14</v>
      </c>
      <c r="Y70" s="723" t="s">
        <v>773</v>
      </c>
      <c r="Z70" s="382">
        <v>-0.11614424644068955</v>
      </c>
      <c r="AA70" s="372">
        <v>2256.1078486000001</v>
      </c>
      <c r="AB70" s="372">
        <v>9290.0092989999994</v>
      </c>
      <c r="AC70" s="372">
        <v>4567.2587119</v>
      </c>
      <c r="AD70" s="372">
        <v>3695.0555585000002</v>
      </c>
      <c r="AE70" s="372">
        <v>1875</v>
      </c>
      <c r="AF70" s="372">
        <v>2025</v>
      </c>
      <c r="AG70" s="372">
        <v>2255</v>
      </c>
      <c r="AH70" s="372">
        <v>2360</v>
      </c>
    </row>
    <row r="71" spans="1:34">
      <c r="A71" s="372" t="s">
        <v>1237</v>
      </c>
      <c r="B71" s="373" t="s">
        <v>1238</v>
      </c>
      <c r="C71" s="372" t="s">
        <v>1239</v>
      </c>
      <c r="D71" s="374">
        <v>1101111827570</v>
      </c>
      <c r="E71" s="372" t="s">
        <v>1240</v>
      </c>
      <c r="F71" s="375" t="s">
        <v>1241</v>
      </c>
      <c r="G71" s="375" t="s">
        <v>1242</v>
      </c>
      <c r="H71" s="375" t="s">
        <v>792</v>
      </c>
      <c r="I71" s="375" t="s">
        <v>754</v>
      </c>
      <c r="J71" s="375">
        <v>4048972.5534899998</v>
      </c>
      <c r="K71" s="375">
        <v>352929.96253999998</v>
      </c>
      <c r="L71" s="375">
        <v>343462.72340000002</v>
      </c>
      <c r="M71" s="375">
        <v>1729602.8021800001</v>
      </c>
      <c r="N71" s="372">
        <v>0.52100000000000002</v>
      </c>
      <c r="O71" s="704">
        <v>13.458502246774684</v>
      </c>
      <c r="P71" s="375" t="s">
        <v>622</v>
      </c>
      <c r="Q71" s="375" t="s">
        <v>622</v>
      </c>
      <c r="R71" s="696">
        <v>20110630</v>
      </c>
      <c r="S71" s="375" t="s">
        <v>1243</v>
      </c>
      <c r="T71" s="697">
        <v>0.26400000000000001</v>
      </c>
      <c r="U71" s="375" t="s">
        <v>1244</v>
      </c>
      <c r="V71" s="723">
        <v>12.29</v>
      </c>
      <c r="W71" s="723">
        <v>2.97</v>
      </c>
      <c r="X71" s="723">
        <v>1.25</v>
      </c>
      <c r="Y71" s="723">
        <v>17.53</v>
      </c>
      <c r="Z71" s="382">
        <v>8.2935469396283601E-2</v>
      </c>
      <c r="AA71" s="372">
        <v>28251.360128200002</v>
      </c>
      <c r="AB71" s="372">
        <v>25622.836751499999</v>
      </c>
      <c r="AC71" s="372">
        <v>27868.882827000001</v>
      </c>
      <c r="AD71" s="372">
        <v>38193.443824399998</v>
      </c>
      <c r="AE71" s="372">
        <v>36926.89</v>
      </c>
      <c r="AF71" s="372">
        <v>43573.74</v>
      </c>
      <c r="AG71" s="372">
        <v>52529</v>
      </c>
      <c r="AH71" s="372">
        <v>55331</v>
      </c>
    </row>
    <row r="72" spans="1:34">
      <c r="A72" s="372" t="s">
        <v>1245</v>
      </c>
      <c r="B72" s="373" t="s">
        <v>1246</v>
      </c>
      <c r="C72" s="372" t="s">
        <v>1247</v>
      </c>
      <c r="D72" s="374">
        <v>1101110014409</v>
      </c>
      <c r="E72" s="372" t="s">
        <v>1248</v>
      </c>
      <c r="F72" s="375" t="s">
        <v>1249</v>
      </c>
      <c r="G72" s="375" t="s">
        <v>1249</v>
      </c>
      <c r="H72" s="375" t="s">
        <v>784</v>
      </c>
      <c r="I72" s="375" t="s">
        <v>754</v>
      </c>
      <c r="J72" s="375">
        <v>2008840.7350600001</v>
      </c>
      <c r="K72" s="375">
        <v>72647.978619999994</v>
      </c>
      <c r="L72" s="375">
        <v>169563.65025000001</v>
      </c>
      <c r="M72" s="375">
        <v>2174564.29079</v>
      </c>
      <c r="N72" s="372">
        <v>0.97499999999999998</v>
      </c>
      <c r="O72" s="704">
        <v>2.5742155749421149</v>
      </c>
      <c r="P72" s="375" t="s">
        <v>622</v>
      </c>
      <c r="Q72" s="375" t="s">
        <v>622</v>
      </c>
      <c r="R72" s="696">
        <v>19621101</v>
      </c>
      <c r="S72" s="375" t="s">
        <v>1250</v>
      </c>
      <c r="T72" s="697">
        <v>0.23100000000000001</v>
      </c>
      <c r="U72" s="375" t="s">
        <v>1251</v>
      </c>
      <c r="V72" s="723">
        <v>89.01</v>
      </c>
      <c r="W72" s="723">
        <v>4.97</v>
      </c>
      <c r="X72" s="723">
        <v>5.78</v>
      </c>
      <c r="Y72" s="723">
        <v>69.17</v>
      </c>
      <c r="Z72" s="382">
        <v>6.9202619500207785E-2</v>
      </c>
      <c r="AA72" s="372">
        <v>16198.653026800001</v>
      </c>
      <c r="AB72" s="372">
        <v>16878.1031774</v>
      </c>
      <c r="AC72" s="372">
        <v>17758.469427399999</v>
      </c>
      <c r="AD72" s="372">
        <v>18589.837596599999</v>
      </c>
      <c r="AE72" s="372">
        <v>20711.64</v>
      </c>
      <c r="AF72" s="372">
        <v>22642.07</v>
      </c>
      <c r="AG72" s="372">
        <v>24294.93</v>
      </c>
      <c r="AH72" s="372">
        <v>28520</v>
      </c>
    </row>
    <row r="73" spans="1:34">
      <c r="A73" s="372" t="s">
        <v>1252</v>
      </c>
      <c r="B73" s="373" t="s">
        <v>1253</v>
      </c>
      <c r="C73" s="372" t="s">
        <v>1254</v>
      </c>
      <c r="D73" s="374">
        <v>1101115197193</v>
      </c>
      <c r="E73" s="372" t="s">
        <v>1255</v>
      </c>
      <c r="F73" s="375" t="s">
        <v>893</v>
      </c>
      <c r="G73" s="375" t="s">
        <v>894</v>
      </c>
      <c r="H73" s="375" t="s">
        <v>855</v>
      </c>
      <c r="I73" s="375" t="s">
        <v>754</v>
      </c>
      <c r="J73" s="375">
        <v>292502.97558000003</v>
      </c>
      <c r="K73" s="375">
        <v>47531.052839999997</v>
      </c>
      <c r="L73" s="375">
        <v>526613.07718999998</v>
      </c>
      <c r="M73" s="375">
        <v>3268024.0240000002</v>
      </c>
      <c r="N73" s="372">
        <v>1.077</v>
      </c>
      <c r="O73" s="704">
        <v>11.3265069388928</v>
      </c>
      <c r="P73" s="375" t="s">
        <v>622</v>
      </c>
      <c r="Q73" s="375" t="s">
        <v>622</v>
      </c>
      <c r="R73" s="696">
        <v>20130916</v>
      </c>
      <c r="S73" s="375" t="s">
        <v>1256</v>
      </c>
      <c r="T73" s="697">
        <v>0.26400000000000001</v>
      </c>
      <c r="U73" s="375" t="s">
        <v>1257</v>
      </c>
      <c r="V73" s="723">
        <v>80.849999999999994</v>
      </c>
      <c r="W73" s="723">
        <v>1.76</v>
      </c>
      <c r="X73" s="723">
        <v>18.98</v>
      </c>
      <c r="Y73" s="723">
        <v>12.31</v>
      </c>
      <c r="Z73" s="382">
        <v>2.722325275636317E-2</v>
      </c>
      <c r="AA73" s="372">
        <v>4088.2714648000001</v>
      </c>
      <c r="AB73" s="372">
        <v>1484.2484193</v>
      </c>
      <c r="AC73" s="372">
        <v>2003.3608222</v>
      </c>
      <c r="AD73" s="372">
        <v>2757.2681772000001</v>
      </c>
      <c r="AE73" s="372">
        <v>2850</v>
      </c>
      <c r="AF73" s="372">
        <v>2960</v>
      </c>
      <c r="AG73" s="372">
        <v>3070</v>
      </c>
      <c r="AH73" s="372">
        <v>0</v>
      </c>
    </row>
    <row r="74" spans="1:34">
      <c r="A74" s="372" t="s">
        <v>1258</v>
      </c>
      <c r="B74" s="373" t="s">
        <v>1259</v>
      </c>
      <c r="C74" s="372" t="s">
        <v>1260</v>
      </c>
      <c r="D74" s="374">
        <v>1101110011679</v>
      </c>
      <c r="E74" s="372" t="s">
        <v>1261</v>
      </c>
      <c r="F74" s="375" t="s">
        <v>1262</v>
      </c>
      <c r="G74" s="375" t="s">
        <v>1263</v>
      </c>
      <c r="H74" s="375" t="s">
        <v>1264</v>
      </c>
      <c r="I74" s="375" t="s">
        <v>754</v>
      </c>
      <c r="J74" s="375">
        <v>0</v>
      </c>
      <c r="K74" s="375">
        <v>0</v>
      </c>
      <c r="L74" s="375">
        <v>0</v>
      </c>
      <c r="M74" s="375">
        <v>0</v>
      </c>
      <c r="N74" s="372">
        <v>1.06</v>
      </c>
      <c r="O74" s="704" t="s">
        <v>16301</v>
      </c>
      <c r="P74" s="375" t="s">
        <v>622</v>
      </c>
      <c r="Q74" s="375" t="s">
        <v>622</v>
      </c>
      <c r="R74" s="696">
        <v>19750930</v>
      </c>
      <c r="S74" s="375" t="s">
        <v>1265</v>
      </c>
      <c r="T74" s="697" t="s">
        <v>771</v>
      </c>
      <c r="U74" s="375" t="s">
        <v>1266</v>
      </c>
      <c r="V74" s="723">
        <v>0</v>
      </c>
      <c r="W74" s="723">
        <v>0</v>
      </c>
      <c r="X74" s="723">
        <v>0</v>
      </c>
      <c r="Y74" s="723">
        <v>0</v>
      </c>
      <c r="Z74" s="382">
        <v>0.10651478004191395</v>
      </c>
      <c r="AA74" s="372">
        <v>24735.068113400001</v>
      </c>
      <c r="AB74" s="372">
        <v>29767.160473</v>
      </c>
      <c r="AC74" s="372">
        <v>21760.129473600002</v>
      </c>
      <c r="AD74" s="372">
        <v>18873.692554400001</v>
      </c>
      <c r="AE74" s="372">
        <v>27006.18</v>
      </c>
      <c r="AF74" s="372">
        <v>26677.09</v>
      </c>
      <c r="AG74" s="372">
        <v>28293.439999999999</v>
      </c>
      <c r="AH74" s="372">
        <v>0</v>
      </c>
    </row>
    <row r="75" spans="1:34">
      <c r="A75" s="372" t="s">
        <v>1267</v>
      </c>
      <c r="B75" s="373" t="s">
        <v>1268</v>
      </c>
      <c r="C75" s="372" t="s">
        <v>15823</v>
      </c>
      <c r="D75" s="374">
        <v>1101110240509</v>
      </c>
      <c r="E75" s="372" t="s">
        <v>15824</v>
      </c>
      <c r="F75" s="375" t="s">
        <v>1081</v>
      </c>
      <c r="G75" s="375" t="s">
        <v>1082</v>
      </c>
      <c r="H75" s="375" t="s">
        <v>817</v>
      </c>
      <c r="I75" s="375" t="s">
        <v>754</v>
      </c>
      <c r="J75" s="375">
        <v>10215510.575619999</v>
      </c>
      <c r="K75" s="375">
        <v>945699.18594999996</v>
      </c>
      <c r="L75" s="375">
        <v>903660.8186</v>
      </c>
      <c r="M75" s="375">
        <v>3808974.1852699998</v>
      </c>
      <c r="N75" s="372">
        <v>0.69299999999999995</v>
      </c>
      <c r="O75" s="704">
        <v>3.5903262915076444</v>
      </c>
      <c r="P75" s="375" t="s">
        <v>622</v>
      </c>
      <c r="Q75" s="375" t="s">
        <v>622</v>
      </c>
      <c r="R75" s="696">
        <v>19961224</v>
      </c>
      <c r="S75" s="375" t="s">
        <v>1269</v>
      </c>
      <c r="T75" s="697">
        <v>0.26400000000000001</v>
      </c>
      <c r="U75" s="375" t="s">
        <v>1270</v>
      </c>
      <c r="V75" s="723">
        <v>3.95</v>
      </c>
      <c r="W75" s="723">
        <v>1.05</v>
      </c>
      <c r="X75" s="723">
        <v>0.42</v>
      </c>
      <c r="Y75" s="723">
        <v>5.7</v>
      </c>
      <c r="Z75" s="382">
        <v>-2.7632177690674053E-3</v>
      </c>
      <c r="AA75" s="372">
        <v>67491.741451199996</v>
      </c>
      <c r="AB75" s="372">
        <v>74866.961211700007</v>
      </c>
      <c r="AC75" s="372">
        <v>100543.44625179999</v>
      </c>
      <c r="AD75" s="372">
        <v>106249.1799359</v>
      </c>
      <c r="AE75" s="372">
        <v>99038.42</v>
      </c>
      <c r="AF75" s="372">
        <v>97347.05</v>
      </c>
      <c r="AG75" s="372">
        <v>105079.67999999999</v>
      </c>
      <c r="AH75" s="372">
        <v>139950</v>
      </c>
    </row>
    <row r="76" spans="1:34">
      <c r="A76" s="372" t="s">
        <v>1271</v>
      </c>
      <c r="B76" s="373" t="s">
        <v>1272</v>
      </c>
      <c r="C76" s="372" t="s">
        <v>1273</v>
      </c>
      <c r="D76" s="374">
        <v>1101110192180</v>
      </c>
      <c r="E76" s="372" t="s">
        <v>1274</v>
      </c>
      <c r="F76" s="375" t="s">
        <v>1275</v>
      </c>
      <c r="G76" s="375" t="s">
        <v>1275</v>
      </c>
      <c r="H76" s="375" t="s">
        <v>753</v>
      </c>
      <c r="I76" s="375" t="s">
        <v>754</v>
      </c>
      <c r="J76" s="375">
        <v>22132544.434099998</v>
      </c>
      <c r="K76" s="375">
        <v>941843.27500000002</v>
      </c>
      <c r="L76" s="375">
        <v>791026.49980999995</v>
      </c>
      <c r="M76" s="375">
        <v>4986204.6222700002</v>
      </c>
      <c r="N76" s="372">
        <v>1.1579999999999999</v>
      </c>
      <c r="O76" s="704">
        <v>72.242679544392246</v>
      </c>
      <c r="P76" s="375" t="s">
        <v>622</v>
      </c>
      <c r="Q76" s="375" t="s">
        <v>622</v>
      </c>
      <c r="R76" s="696">
        <v>20080724</v>
      </c>
      <c r="S76" s="375" t="s">
        <v>1276</v>
      </c>
      <c r="T76" s="697">
        <v>0.26400000000000001</v>
      </c>
      <c r="U76" s="375" t="s">
        <v>1277</v>
      </c>
      <c r="V76" s="723">
        <v>3.29</v>
      </c>
      <c r="W76" s="723">
        <v>1.03</v>
      </c>
      <c r="X76" s="723">
        <v>0.23</v>
      </c>
      <c r="Y76" s="723">
        <v>7.44</v>
      </c>
      <c r="Z76" s="382">
        <v>2.4451863933899309E-2</v>
      </c>
      <c r="AA76" s="372">
        <v>95417.895405500007</v>
      </c>
      <c r="AB76" s="372">
        <v>149456.0921905</v>
      </c>
      <c r="AC76" s="372">
        <v>195894.09483379999</v>
      </c>
      <c r="AD76" s="372">
        <v>206052.90042369999</v>
      </c>
      <c r="AE76" s="372">
        <v>208893.87</v>
      </c>
      <c r="AF76" s="372">
        <v>214648.61</v>
      </c>
      <c r="AG76" s="372">
        <v>226957.72</v>
      </c>
      <c r="AH76" s="372">
        <v>0</v>
      </c>
    </row>
    <row r="77" spans="1:34">
      <c r="A77" s="372" t="s">
        <v>1278</v>
      </c>
      <c r="B77" s="373" t="s">
        <v>1279</v>
      </c>
      <c r="C77" s="372" t="s">
        <v>1280</v>
      </c>
      <c r="D77" s="374">
        <v>1101115402237</v>
      </c>
      <c r="E77" s="372" t="s">
        <v>1281</v>
      </c>
      <c r="F77" s="375" t="s">
        <v>1282</v>
      </c>
      <c r="G77" s="375" t="s">
        <v>1283</v>
      </c>
      <c r="H77" s="375" t="s">
        <v>1043</v>
      </c>
      <c r="I77" s="375" t="s">
        <v>754</v>
      </c>
      <c r="J77" s="375">
        <v>8732654.5289999992</v>
      </c>
      <c r="K77" s="375">
        <v>949791.87899999996</v>
      </c>
      <c r="L77" s="375">
        <v>863401.52899999998</v>
      </c>
      <c r="M77" s="375">
        <v>6373680.9699999997</v>
      </c>
      <c r="N77" s="372">
        <v>0.95699999999999996</v>
      </c>
      <c r="O77" s="704">
        <v>50.6218488993484</v>
      </c>
      <c r="P77" s="375" t="s">
        <v>622</v>
      </c>
      <c r="Q77" s="375" t="s">
        <v>622</v>
      </c>
      <c r="R77" s="696">
        <v>20161118</v>
      </c>
      <c r="S77" s="375" t="s">
        <v>1284</v>
      </c>
      <c r="T77" s="697">
        <v>0.26400000000000001</v>
      </c>
      <c r="U77" s="375" t="s">
        <v>1285</v>
      </c>
      <c r="V77" s="723">
        <v>3.63</v>
      </c>
      <c r="W77" s="723">
        <v>0.64</v>
      </c>
      <c r="X77" s="723">
        <v>0.47</v>
      </c>
      <c r="Y77" s="723">
        <v>6.2</v>
      </c>
      <c r="Z77" s="382">
        <v>-2.3622975632943466E-2</v>
      </c>
      <c r="AA77" s="372">
        <v>42820.57647</v>
      </c>
      <c r="AB77" s="372">
        <v>58161.999689999997</v>
      </c>
      <c r="AC77" s="372">
        <v>86219.118719999999</v>
      </c>
      <c r="AD77" s="372">
        <v>97589.067689999996</v>
      </c>
      <c r="AE77" s="372">
        <v>82582.67</v>
      </c>
      <c r="AF77" s="372">
        <v>84698.44</v>
      </c>
      <c r="AG77" s="372">
        <v>88689.33</v>
      </c>
      <c r="AH77" s="372">
        <v>0</v>
      </c>
    </row>
    <row r="78" spans="1:34">
      <c r="A78" s="372" t="s">
        <v>1286</v>
      </c>
      <c r="B78" s="373" t="s">
        <v>1287</v>
      </c>
      <c r="C78" s="372" t="s">
        <v>1288</v>
      </c>
      <c r="D78" s="374">
        <v>1101115798272</v>
      </c>
      <c r="E78" s="372" t="s">
        <v>1289</v>
      </c>
      <c r="F78" s="375" t="s">
        <v>1290</v>
      </c>
      <c r="G78" s="375" t="s">
        <v>1290</v>
      </c>
      <c r="H78" s="375" t="s">
        <v>1043</v>
      </c>
      <c r="I78" s="375" t="s">
        <v>754</v>
      </c>
      <c r="J78" s="375">
        <v>52215.646220000002</v>
      </c>
      <c r="K78" s="375">
        <v>-27442.106950000001</v>
      </c>
      <c r="L78" s="375">
        <v>-13509.02007</v>
      </c>
      <c r="M78" s="375">
        <v>426099.41178000002</v>
      </c>
      <c r="N78" s="372" t="s">
        <v>1026</v>
      </c>
      <c r="O78" s="704">
        <v>6.0130611622142477E-2</v>
      </c>
      <c r="P78" s="375" t="s">
        <v>622</v>
      </c>
      <c r="Q78" s="375" t="s">
        <v>622</v>
      </c>
      <c r="R78" s="696">
        <v>20231005</v>
      </c>
      <c r="S78" s="375" t="s">
        <v>1291</v>
      </c>
      <c r="T78" s="697" t="s">
        <v>771</v>
      </c>
      <c r="U78" s="375" t="s">
        <v>1292</v>
      </c>
      <c r="V78" s="723" t="s">
        <v>773</v>
      </c>
      <c r="W78" s="723">
        <v>9.69</v>
      </c>
      <c r="X78" s="723">
        <v>79.08</v>
      </c>
      <c r="Y78" s="723" t="s">
        <v>773</v>
      </c>
      <c r="Z78" s="382">
        <v>0.46039145667163495</v>
      </c>
      <c r="AA78" s="372">
        <v>201.64008240000001</v>
      </c>
      <c r="AB78" s="372">
        <v>369.8022315</v>
      </c>
      <c r="AC78" s="372">
        <v>449.536744</v>
      </c>
      <c r="AD78" s="372">
        <v>530.38372289999995</v>
      </c>
      <c r="AE78" s="372">
        <v>724.5</v>
      </c>
      <c r="AF78" s="372">
        <v>1201</v>
      </c>
      <c r="AG78" s="372">
        <v>2412.5</v>
      </c>
      <c r="AH78" s="372">
        <v>7660</v>
      </c>
    </row>
    <row r="79" spans="1:34">
      <c r="A79" s="372" t="s">
        <v>1293</v>
      </c>
      <c r="B79" s="373" t="s">
        <v>1294</v>
      </c>
      <c r="C79" s="372" t="s">
        <v>1295</v>
      </c>
      <c r="D79" s="374">
        <v>1201110001743</v>
      </c>
      <c r="E79" s="372" t="s">
        <v>1296</v>
      </c>
      <c r="F79" s="375" t="s">
        <v>811</v>
      </c>
      <c r="G79" s="375" t="s">
        <v>811</v>
      </c>
      <c r="H79" s="375" t="s">
        <v>812</v>
      </c>
      <c r="I79" s="375" t="s">
        <v>754</v>
      </c>
      <c r="J79" s="375">
        <v>23717658.48212</v>
      </c>
      <c r="K79" s="375">
        <v>-23751.833750000002</v>
      </c>
      <c r="L79" s="375">
        <v>-309963.76127999998</v>
      </c>
      <c r="M79" s="375">
        <v>19319530.38332</v>
      </c>
      <c r="N79" s="372">
        <v>1.0569999999999999</v>
      </c>
      <c r="O79" s="704">
        <v>319.78701430480686</v>
      </c>
      <c r="P79" s="375" t="s">
        <v>622</v>
      </c>
      <c r="Q79" s="375" t="s">
        <v>622</v>
      </c>
      <c r="R79" s="696">
        <v>19870523</v>
      </c>
      <c r="S79" s="375" t="s">
        <v>1297</v>
      </c>
      <c r="T79" s="697" t="s">
        <v>771</v>
      </c>
      <c r="U79" s="375" t="s">
        <v>1298</v>
      </c>
      <c r="V79" s="723">
        <v>7.56</v>
      </c>
      <c r="W79" s="723">
        <v>0.2</v>
      </c>
      <c r="X79" s="723">
        <v>0.16</v>
      </c>
      <c r="Y79" s="723" t="s">
        <v>773</v>
      </c>
      <c r="Z79" s="382">
        <v>-1.4035076072287156E-2</v>
      </c>
      <c r="AA79" s="372">
        <v>180233.9834963</v>
      </c>
      <c r="AB79" s="372">
        <v>228499.20977849999</v>
      </c>
      <c r="AC79" s="372">
        <v>273406.01237800001</v>
      </c>
      <c r="AD79" s="372">
        <v>259147.60456159999</v>
      </c>
      <c r="AE79" s="372">
        <v>235637.89</v>
      </c>
      <c r="AF79" s="372">
        <v>238461.37</v>
      </c>
      <c r="AG79" s="372">
        <v>244902.41</v>
      </c>
      <c r="AH79" s="372">
        <v>259110</v>
      </c>
    </row>
    <row r="80" spans="1:34">
      <c r="A80" s="372" t="s">
        <v>1299</v>
      </c>
      <c r="B80" s="373" t="s">
        <v>1300</v>
      </c>
      <c r="C80" s="372" t="s">
        <v>1301</v>
      </c>
      <c r="D80" s="374">
        <v>1801110003101</v>
      </c>
      <c r="E80" s="372" t="s">
        <v>1302</v>
      </c>
      <c r="F80" s="375" t="s">
        <v>1303</v>
      </c>
      <c r="G80" s="375" t="s">
        <v>1303</v>
      </c>
      <c r="H80" s="375" t="s">
        <v>826</v>
      </c>
      <c r="I80" s="375" t="s">
        <v>754</v>
      </c>
      <c r="J80" s="375">
        <v>156495.23996000001</v>
      </c>
      <c r="K80" s="375">
        <v>-51122.992700000003</v>
      </c>
      <c r="L80" s="375">
        <v>-219228.39762999999</v>
      </c>
      <c r="M80" s="375">
        <v>88593.232690000004</v>
      </c>
      <c r="N80" s="372">
        <v>1.202</v>
      </c>
      <c r="O80" s="704">
        <v>28.574357530238327</v>
      </c>
      <c r="P80" s="375" t="s">
        <v>622</v>
      </c>
      <c r="Q80" s="375" t="s">
        <v>622</v>
      </c>
      <c r="R80" s="696">
        <v>19761217</v>
      </c>
      <c r="S80" s="375" t="s">
        <v>1304</v>
      </c>
      <c r="T80" s="697" t="s">
        <v>771</v>
      </c>
      <c r="U80" s="375" t="s">
        <v>1305</v>
      </c>
      <c r="V80" s="723" t="s">
        <v>773</v>
      </c>
      <c r="W80" s="723">
        <v>37.19</v>
      </c>
      <c r="X80" s="723">
        <v>19.399999999999999</v>
      </c>
      <c r="Y80" s="723" t="s">
        <v>773</v>
      </c>
      <c r="Z80" s="382" t="s">
        <v>927</v>
      </c>
      <c r="AA80" s="372">
        <v>1761.6981109000001</v>
      </c>
      <c r="AB80" s="372">
        <v>2175.8303194</v>
      </c>
      <c r="AC80" s="372">
        <v>2028.3631307000001</v>
      </c>
      <c r="AD80" s="372">
        <v>1520.3095204000001</v>
      </c>
      <c r="AE80" s="372">
        <v>0</v>
      </c>
      <c r="AF80" s="372">
        <v>0</v>
      </c>
      <c r="AG80" s="372">
        <v>0</v>
      </c>
      <c r="AH80" s="372">
        <v>0</v>
      </c>
    </row>
    <row r="81" spans="1:34">
      <c r="A81" s="372" t="s">
        <v>1306</v>
      </c>
      <c r="B81" s="373" t="s">
        <v>1307</v>
      </c>
      <c r="C81" s="372" t="s">
        <v>1308</v>
      </c>
      <c r="D81" s="374">
        <v>1101111296676</v>
      </c>
      <c r="E81" s="372" t="s">
        <v>1309</v>
      </c>
      <c r="F81" s="372" t="s">
        <v>990</v>
      </c>
      <c r="G81" s="375" t="s">
        <v>990</v>
      </c>
      <c r="H81" s="375" t="s">
        <v>991</v>
      </c>
      <c r="I81" s="375" t="s">
        <v>754</v>
      </c>
      <c r="J81" s="375">
        <v>14692868</v>
      </c>
      <c r="K81" s="375">
        <v>916485</v>
      </c>
      <c r="L81" s="375">
        <v>685094</v>
      </c>
      <c r="M81" s="375">
        <v>8903227</v>
      </c>
      <c r="N81" s="372">
        <v>0.55700000000000005</v>
      </c>
      <c r="O81" s="704">
        <v>162.84733957336439</v>
      </c>
      <c r="P81" s="375" t="s">
        <v>622</v>
      </c>
      <c r="Q81" s="375" t="s">
        <v>622</v>
      </c>
      <c r="R81" s="696">
        <v>20000919</v>
      </c>
      <c r="S81" s="375" t="s">
        <v>1310</v>
      </c>
      <c r="T81" s="697">
        <v>0.26400000000000001</v>
      </c>
      <c r="U81" s="375" t="s">
        <v>1311</v>
      </c>
      <c r="V81" s="723">
        <v>2.77</v>
      </c>
      <c r="W81" s="723">
        <v>0.49</v>
      </c>
      <c r="X81" s="723">
        <v>0.28999999999999998</v>
      </c>
      <c r="Y81" s="723">
        <v>8.0299999999999994</v>
      </c>
      <c r="Z81" s="382">
        <v>1.4104196933537594E-2</v>
      </c>
      <c r="AA81" s="372">
        <v>134176.26999999999</v>
      </c>
      <c r="AB81" s="372">
        <v>138511.35</v>
      </c>
      <c r="AC81" s="372">
        <v>139059.9</v>
      </c>
      <c r="AD81" s="372">
        <v>143726.26</v>
      </c>
      <c r="AE81" s="372">
        <v>146661.4</v>
      </c>
      <c r="AF81" s="372">
        <v>149077.87</v>
      </c>
      <c r="AG81" s="372">
        <v>152008</v>
      </c>
      <c r="AH81" s="372">
        <v>0</v>
      </c>
    </row>
    <row r="82" spans="1:34">
      <c r="A82" s="372" t="s">
        <v>1312</v>
      </c>
      <c r="B82" s="373" t="s">
        <v>1313</v>
      </c>
      <c r="C82" s="372" t="s">
        <v>1314</v>
      </c>
      <c r="D82" s="374">
        <v>1101113748253</v>
      </c>
      <c r="E82" s="372" t="s">
        <v>1315</v>
      </c>
      <c r="F82" s="375" t="s">
        <v>2222</v>
      </c>
      <c r="G82" s="375" t="s">
        <v>2222</v>
      </c>
      <c r="H82" s="375" t="s">
        <v>1316</v>
      </c>
      <c r="I82" s="375" t="s">
        <v>754</v>
      </c>
      <c r="J82" s="375">
        <v>29158352.697000001</v>
      </c>
      <c r="K82" s="375">
        <v>1473966.399</v>
      </c>
      <c r="L82" s="375">
        <v>835243.00199999998</v>
      </c>
      <c r="M82" s="375">
        <v>11989053.607999999</v>
      </c>
      <c r="N82" s="372">
        <v>0.65100000000000002</v>
      </c>
      <c r="O82" s="704">
        <v>273.19645871095901</v>
      </c>
      <c r="P82" s="375" t="s">
        <v>622</v>
      </c>
      <c r="Q82" s="375" t="s">
        <v>622</v>
      </c>
      <c r="R82" s="696">
        <v>20070928</v>
      </c>
      <c r="S82" s="375" t="s">
        <v>1317</v>
      </c>
      <c r="T82" s="697">
        <v>0.26400000000000001</v>
      </c>
      <c r="U82" s="375" t="s">
        <v>1318</v>
      </c>
      <c r="V82" s="723">
        <v>6</v>
      </c>
      <c r="W82" s="723">
        <v>0.65</v>
      </c>
      <c r="X82" s="723">
        <v>0.17</v>
      </c>
      <c r="Y82" s="723">
        <v>10.79</v>
      </c>
      <c r="Z82" s="382">
        <v>2.2811955950062135E-2</v>
      </c>
      <c r="AA82" s="372">
        <v>242457.25654</v>
      </c>
      <c r="AB82" s="372">
        <v>262892.27766999998</v>
      </c>
      <c r="AC82" s="372">
        <v>300795.13121000002</v>
      </c>
      <c r="AD82" s="372">
        <v>290234.72908999998</v>
      </c>
      <c r="AE82" s="372">
        <v>295018.07</v>
      </c>
      <c r="AF82" s="372">
        <v>305240.36</v>
      </c>
      <c r="AG82" s="372">
        <v>317638.08</v>
      </c>
      <c r="AH82" s="372">
        <v>0</v>
      </c>
    </row>
    <row r="83" spans="1:34">
      <c r="A83" s="372" t="s">
        <v>1319</v>
      </c>
      <c r="B83" s="373" t="s">
        <v>1320</v>
      </c>
      <c r="C83" s="372" t="s">
        <v>1321</v>
      </c>
      <c r="D83" s="374">
        <v>1101112112764</v>
      </c>
      <c r="E83" s="372" t="s">
        <v>1322</v>
      </c>
      <c r="F83" s="375" t="s">
        <v>1323</v>
      </c>
      <c r="G83" s="375" t="s">
        <v>16106</v>
      </c>
      <c r="H83" s="375" t="s">
        <v>861</v>
      </c>
      <c r="I83" s="375" t="s">
        <v>862</v>
      </c>
      <c r="J83" s="375">
        <v>437408.08046000003</v>
      </c>
      <c r="K83" s="375">
        <v>31944.292430000001</v>
      </c>
      <c r="L83" s="375">
        <v>22437.284250000001</v>
      </c>
      <c r="M83" s="375">
        <v>389980.9178</v>
      </c>
      <c r="N83" s="372">
        <v>1.0649999999999999</v>
      </c>
      <c r="O83" s="704">
        <v>6.863035609604534</v>
      </c>
      <c r="P83" s="375" t="s">
        <v>622</v>
      </c>
      <c r="Q83" s="372" t="s">
        <v>622</v>
      </c>
      <c r="R83" s="696">
        <v>20060203</v>
      </c>
      <c r="S83" s="375" t="s">
        <v>1324</v>
      </c>
      <c r="T83" s="697">
        <v>0.23100000000000001</v>
      </c>
      <c r="U83" s="375" t="s">
        <v>1325</v>
      </c>
      <c r="V83" s="723">
        <v>0</v>
      </c>
      <c r="W83" s="723">
        <v>0</v>
      </c>
      <c r="X83" s="723">
        <v>0</v>
      </c>
      <c r="Y83" s="723">
        <v>0</v>
      </c>
      <c r="Z83" s="382" t="s">
        <v>927</v>
      </c>
      <c r="AA83" s="372">
        <v>2335.6847770999998</v>
      </c>
      <c r="AB83" s="372">
        <v>3987.3820928999999</v>
      </c>
      <c r="AC83" s="372">
        <v>3860.3961258999998</v>
      </c>
      <c r="AD83" s="372">
        <v>3887.9433549</v>
      </c>
      <c r="AE83" s="372">
        <v>0</v>
      </c>
      <c r="AF83" s="372">
        <v>0</v>
      </c>
      <c r="AG83" s="372">
        <v>0</v>
      </c>
      <c r="AH83" s="372">
        <v>0</v>
      </c>
    </row>
    <row r="84" spans="1:34">
      <c r="A84" s="372" t="s">
        <v>1326</v>
      </c>
      <c r="B84" s="373" t="s">
        <v>1327</v>
      </c>
      <c r="C84" s="372" t="s">
        <v>1328</v>
      </c>
      <c r="D84" s="374">
        <v>1101111387748</v>
      </c>
      <c r="E84" s="372" t="s">
        <v>1329</v>
      </c>
      <c r="F84" s="375" t="s">
        <v>1006</v>
      </c>
      <c r="G84" s="375" t="s">
        <v>1215</v>
      </c>
      <c r="H84" s="375" t="s">
        <v>817</v>
      </c>
      <c r="I84" s="375" t="s">
        <v>754</v>
      </c>
      <c r="J84" s="375">
        <v>1606425.49569</v>
      </c>
      <c r="K84" s="375">
        <v>24128.47136</v>
      </c>
      <c r="L84" s="375">
        <v>110874.58188</v>
      </c>
      <c r="M84" s="375">
        <v>3115722.4352600002</v>
      </c>
      <c r="N84" s="372">
        <v>1.0009999999999999</v>
      </c>
      <c r="O84" s="704">
        <v>8.8404787811020924</v>
      </c>
      <c r="P84" s="375" t="s">
        <v>622</v>
      </c>
      <c r="Q84" s="375" t="s">
        <v>622</v>
      </c>
      <c r="R84" s="696">
        <v>20000707</v>
      </c>
      <c r="S84" s="375" t="s">
        <v>1330</v>
      </c>
      <c r="T84" s="697">
        <v>0.23100000000000001</v>
      </c>
      <c r="U84" s="375" t="s">
        <v>1331</v>
      </c>
      <c r="V84" s="723">
        <v>31.56</v>
      </c>
      <c r="W84" s="723">
        <v>1.0900000000000001</v>
      </c>
      <c r="X84" s="723">
        <v>2.61</v>
      </c>
      <c r="Y84" s="723">
        <v>33.119999999999997</v>
      </c>
      <c r="Z84" s="382">
        <v>4.3608935921029213E-2</v>
      </c>
      <c r="AA84" s="372">
        <v>24161.8421189</v>
      </c>
      <c r="AB84" s="372">
        <v>23088.174088600001</v>
      </c>
      <c r="AC84" s="372">
        <v>25717.922817999999</v>
      </c>
      <c r="AD84" s="372">
        <v>17798.3297776</v>
      </c>
      <c r="AE84" s="372">
        <v>16065.95</v>
      </c>
      <c r="AF84" s="372">
        <v>18669.05</v>
      </c>
      <c r="AG84" s="372">
        <v>21112.05</v>
      </c>
      <c r="AH84" s="372">
        <v>20640</v>
      </c>
    </row>
    <row r="85" spans="1:34">
      <c r="A85" s="372" t="s">
        <v>1332</v>
      </c>
      <c r="B85" s="373" t="s">
        <v>1333</v>
      </c>
      <c r="C85" s="372" t="s">
        <v>1334</v>
      </c>
      <c r="D85" s="374">
        <v>1601110242050</v>
      </c>
      <c r="E85" s="372" t="s">
        <v>1335</v>
      </c>
      <c r="F85" s="375" t="s">
        <v>1116</v>
      </c>
      <c r="G85" s="375" t="s">
        <v>1336</v>
      </c>
      <c r="H85" s="375" t="s">
        <v>1337</v>
      </c>
      <c r="I85" s="375" t="s">
        <v>862</v>
      </c>
      <c r="J85" s="375">
        <v>74375.119160000002</v>
      </c>
      <c r="K85" s="375">
        <v>-5699.37266</v>
      </c>
      <c r="L85" s="375">
        <v>-5061.4655599999996</v>
      </c>
      <c r="M85" s="375">
        <v>177477.75567000001</v>
      </c>
      <c r="N85" s="372">
        <v>1.2529999999999999</v>
      </c>
      <c r="O85" s="704">
        <v>0.50035033557719411</v>
      </c>
      <c r="P85" s="375" t="s">
        <v>622</v>
      </c>
      <c r="Q85" s="375" t="s">
        <v>622</v>
      </c>
      <c r="R85" s="696">
        <v>20141212</v>
      </c>
      <c r="S85" s="375" t="s">
        <v>1338</v>
      </c>
      <c r="T85" s="697" t="s">
        <v>771</v>
      </c>
      <c r="U85" s="375" t="s">
        <v>1339</v>
      </c>
      <c r="V85" s="723" t="s">
        <v>773</v>
      </c>
      <c r="W85" s="723">
        <v>97.26</v>
      </c>
      <c r="X85" s="723">
        <v>232.95</v>
      </c>
      <c r="Y85" s="723" t="s">
        <v>773</v>
      </c>
      <c r="Z85" s="382">
        <v>0.44669213948070929</v>
      </c>
      <c r="AA85" s="372">
        <v>424.25842460000001</v>
      </c>
      <c r="AB85" s="372">
        <v>387.45944020000002</v>
      </c>
      <c r="AC85" s="372">
        <v>288.06344489999998</v>
      </c>
      <c r="AD85" s="372">
        <v>965.22928879999995</v>
      </c>
      <c r="AE85" s="372">
        <v>845</v>
      </c>
      <c r="AF85" s="372">
        <v>1089</v>
      </c>
      <c r="AG85" s="372">
        <v>4228</v>
      </c>
      <c r="AH85" s="372">
        <v>0</v>
      </c>
    </row>
    <row r="86" spans="1:34">
      <c r="A86" s="372" t="s">
        <v>1340</v>
      </c>
      <c r="B86" s="373" t="s">
        <v>1341</v>
      </c>
      <c r="C86" s="372" t="s">
        <v>1342</v>
      </c>
      <c r="D86" s="374">
        <v>1348110197550</v>
      </c>
      <c r="E86" s="372" t="s">
        <v>1343</v>
      </c>
      <c r="F86" s="375" t="s">
        <v>1323</v>
      </c>
      <c r="G86" s="375" t="s">
        <v>16106</v>
      </c>
      <c r="H86" s="375" t="s">
        <v>784</v>
      </c>
      <c r="I86" s="375" t="s">
        <v>754</v>
      </c>
      <c r="J86" s="375">
        <v>1566245.2311799999</v>
      </c>
      <c r="K86" s="375">
        <v>255830.39563000001</v>
      </c>
      <c r="L86" s="375">
        <v>226052.54066999999</v>
      </c>
      <c r="M86" s="375">
        <v>1244988.3552699999</v>
      </c>
      <c r="N86" s="372">
        <v>0.65200000000000002</v>
      </c>
      <c r="O86" s="704">
        <v>12.418857445686792</v>
      </c>
      <c r="P86" s="375" t="s">
        <v>622</v>
      </c>
      <c r="Q86" s="375" t="s">
        <v>622</v>
      </c>
      <c r="R86" s="696">
        <v>20100730</v>
      </c>
      <c r="S86" s="375" t="s">
        <v>1344</v>
      </c>
      <c r="T86" s="697">
        <v>0.23100000000000001</v>
      </c>
      <c r="U86" s="375" t="s">
        <v>1345</v>
      </c>
      <c r="V86" s="723">
        <v>12.99</v>
      </c>
      <c r="W86" s="723">
        <v>3.67</v>
      </c>
      <c r="X86" s="723">
        <v>2.63</v>
      </c>
      <c r="Y86" s="723">
        <v>25.64</v>
      </c>
      <c r="Z86" s="382">
        <v>5.8847984354730487E-2</v>
      </c>
      <c r="AA86" s="372">
        <v>10758.5360501</v>
      </c>
      <c r="AB86" s="372">
        <v>12031.856528099999</v>
      </c>
      <c r="AC86" s="372">
        <v>13315.4660012</v>
      </c>
      <c r="AD86" s="372">
        <v>14908.874637200001</v>
      </c>
      <c r="AE86" s="372">
        <v>16065.05</v>
      </c>
      <c r="AF86" s="372">
        <v>17419.38</v>
      </c>
      <c r="AG86" s="372">
        <v>18740.419999999998</v>
      </c>
      <c r="AH86" s="372">
        <v>20520</v>
      </c>
    </row>
    <row r="87" spans="1:34">
      <c r="A87" s="372" t="s">
        <v>1346</v>
      </c>
      <c r="B87" s="373" t="s">
        <v>1347</v>
      </c>
      <c r="C87" s="372" t="s">
        <v>1348</v>
      </c>
      <c r="D87" s="374">
        <v>1101110626501</v>
      </c>
      <c r="E87" s="372" t="s">
        <v>1349</v>
      </c>
      <c r="F87" s="375" t="s">
        <v>1350</v>
      </c>
      <c r="G87" s="375" t="s">
        <v>1350</v>
      </c>
      <c r="H87" s="375" t="s">
        <v>817</v>
      </c>
      <c r="I87" s="375" t="s">
        <v>754</v>
      </c>
      <c r="J87" s="375">
        <v>4188814.0000800001</v>
      </c>
      <c r="K87" s="375">
        <v>778169.25370999996</v>
      </c>
      <c r="L87" s="375">
        <v>763168.84556000005</v>
      </c>
      <c r="M87" s="375">
        <v>3072626.4409099999</v>
      </c>
      <c r="N87" s="372">
        <v>0.90500000000000003</v>
      </c>
      <c r="O87" s="704">
        <v>30.738127096092366</v>
      </c>
      <c r="P87" s="375" t="s">
        <v>622</v>
      </c>
      <c r="Q87" s="375" t="s">
        <v>622</v>
      </c>
      <c r="R87" s="696">
        <v>19960826</v>
      </c>
      <c r="S87" s="375" t="s">
        <v>1351</v>
      </c>
      <c r="T87" s="697">
        <v>0.26400000000000001</v>
      </c>
      <c r="U87" s="375" t="s">
        <v>1352</v>
      </c>
      <c r="V87" s="723">
        <v>4.3</v>
      </c>
      <c r="W87" s="723">
        <v>1.56</v>
      </c>
      <c r="X87" s="723">
        <v>1.18</v>
      </c>
      <c r="Y87" s="723">
        <v>8.74</v>
      </c>
      <c r="Z87" s="382">
        <v>5.8420022409079175E-2</v>
      </c>
      <c r="AA87" s="372">
        <v>32374.1147509</v>
      </c>
      <c r="AB87" s="372">
        <v>36642.595567800003</v>
      </c>
      <c r="AC87" s="372">
        <v>38561.328950800002</v>
      </c>
      <c r="AD87" s="372">
        <v>39665.197219200003</v>
      </c>
      <c r="AE87" s="372">
        <v>42943</v>
      </c>
      <c r="AF87" s="372">
        <v>46549.33</v>
      </c>
      <c r="AG87" s="372">
        <v>49778.5</v>
      </c>
      <c r="AH87" s="372">
        <v>0</v>
      </c>
    </row>
    <row r="88" spans="1:34">
      <c r="A88" s="372" t="s">
        <v>1353</v>
      </c>
      <c r="B88" s="373" t="s">
        <v>1354</v>
      </c>
      <c r="C88" s="372" t="s">
        <v>1355</v>
      </c>
      <c r="D88" s="374">
        <v>1201110018251</v>
      </c>
      <c r="E88" s="372" t="s">
        <v>1356</v>
      </c>
      <c r="F88" s="375" t="s">
        <v>1357</v>
      </c>
      <c r="G88" s="375" t="s">
        <v>1357</v>
      </c>
      <c r="H88" s="375" t="s">
        <v>826</v>
      </c>
      <c r="I88" s="375" t="s">
        <v>754</v>
      </c>
      <c r="J88" s="375">
        <v>515584.80177999998</v>
      </c>
      <c r="K88" s="375">
        <v>26678.26958</v>
      </c>
      <c r="L88" s="375">
        <v>26301.29435</v>
      </c>
      <c r="M88" s="375">
        <v>495266.52674</v>
      </c>
      <c r="N88" s="372">
        <v>1.032</v>
      </c>
      <c r="O88" s="704">
        <v>3.0366659353709422</v>
      </c>
      <c r="P88" s="375" t="s">
        <v>622</v>
      </c>
      <c r="Q88" s="375" t="s">
        <v>622</v>
      </c>
      <c r="R88" s="696">
        <v>19870928</v>
      </c>
      <c r="S88" s="375" t="s">
        <v>1358</v>
      </c>
      <c r="T88" s="697">
        <v>0.23100000000000001</v>
      </c>
      <c r="U88" s="375" t="s">
        <v>1359</v>
      </c>
      <c r="V88" s="723">
        <v>0</v>
      </c>
      <c r="W88" s="723">
        <v>0</v>
      </c>
      <c r="X88" s="723">
        <v>0</v>
      </c>
      <c r="Y88" s="723">
        <v>0</v>
      </c>
      <c r="Z88" s="382" t="s">
        <v>927</v>
      </c>
      <c r="AA88" s="372">
        <v>2042.5271829000001</v>
      </c>
      <c r="AB88" s="372">
        <v>3058.9309499999999</v>
      </c>
      <c r="AC88" s="372">
        <v>4856.0524354999998</v>
      </c>
      <c r="AD88" s="372">
        <v>6295.7877307999997</v>
      </c>
      <c r="AE88" s="372">
        <v>0</v>
      </c>
      <c r="AF88" s="372">
        <v>0</v>
      </c>
      <c r="AG88" s="372">
        <v>0</v>
      </c>
      <c r="AH88" s="372">
        <v>0</v>
      </c>
    </row>
    <row r="89" spans="1:34">
      <c r="A89" s="372" t="s">
        <v>1360</v>
      </c>
      <c r="B89" s="373" t="s">
        <v>1361</v>
      </c>
      <c r="C89" s="372" t="s">
        <v>1362</v>
      </c>
      <c r="D89" s="374">
        <v>1101113045112</v>
      </c>
      <c r="E89" s="372" t="s">
        <v>1363</v>
      </c>
      <c r="F89" s="372" t="s">
        <v>893</v>
      </c>
      <c r="G89" s="375" t="s">
        <v>894</v>
      </c>
      <c r="H89" s="375" t="s">
        <v>855</v>
      </c>
      <c r="I89" s="375" t="s">
        <v>754</v>
      </c>
      <c r="J89" s="375">
        <v>25449432</v>
      </c>
      <c r="K89" s="375">
        <v>3141361</v>
      </c>
      <c r="L89" s="375">
        <v>2845677</v>
      </c>
      <c r="M89" s="375">
        <v>18177218</v>
      </c>
      <c r="N89" s="372">
        <v>0.85599999999999998</v>
      </c>
      <c r="O89" s="704">
        <v>296.37837679230279</v>
      </c>
      <c r="P89" s="375" t="s">
        <v>622</v>
      </c>
      <c r="Q89" s="375" t="s">
        <v>622</v>
      </c>
      <c r="R89" s="696">
        <v>20040805</v>
      </c>
      <c r="S89" s="375" t="s">
        <v>1364</v>
      </c>
      <c r="T89" s="697">
        <v>0.26400000000000001</v>
      </c>
      <c r="U89" s="372" t="s">
        <v>1365</v>
      </c>
      <c r="V89" s="723">
        <v>5.46</v>
      </c>
      <c r="W89" s="723">
        <v>0.28999999999999998</v>
      </c>
      <c r="X89" s="723">
        <v>0.16</v>
      </c>
      <c r="Y89" s="723">
        <v>6.02</v>
      </c>
      <c r="Z89" s="382">
        <v>5.7520183183148443E-3</v>
      </c>
      <c r="AA89" s="372">
        <v>154442.14000000001</v>
      </c>
      <c r="AB89" s="372">
        <v>201650.49</v>
      </c>
      <c r="AC89" s="372">
        <v>285825.13</v>
      </c>
      <c r="AD89" s="372">
        <v>259784.94</v>
      </c>
      <c r="AE89" s="372">
        <v>254882.13</v>
      </c>
      <c r="AF89" s="372">
        <v>259994</v>
      </c>
      <c r="AG89" s="372">
        <v>265813.86</v>
      </c>
      <c r="AH89" s="372">
        <v>0</v>
      </c>
    </row>
    <row r="90" spans="1:34">
      <c r="A90" s="372" t="s">
        <v>1366</v>
      </c>
      <c r="B90" s="373" t="s">
        <v>1367</v>
      </c>
      <c r="C90" s="372" t="s">
        <v>1368</v>
      </c>
      <c r="D90" s="374">
        <v>1101111935638</v>
      </c>
      <c r="E90" s="372" t="s">
        <v>1369</v>
      </c>
      <c r="F90" s="372" t="s">
        <v>1370</v>
      </c>
      <c r="G90" s="375" t="s">
        <v>1370</v>
      </c>
      <c r="H90" s="375" t="s">
        <v>817</v>
      </c>
      <c r="I90" s="375" t="s">
        <v>754</v>
      </c>
      <c r="J90" s="375">
        <v>3453392.9210000001</v>
      </c>
      <c r="K90" s="375">
        <v>204646.54699999999</v>
      </c>
      <c r="L90" s="375">
        <v>206122.20199999999</v>
      </c>
      <c r="M90" s="375">
        <v>1680449.9839999999</v>
      </c>
      <c r="N90" s="372">
        <v>0.94099999999999995</v>
      </c>
      <c r="O90" s="704">
        <v>5.7401716778787435</v>
      </c>
      <c r="P90" s="375" t="s">
        <v>622</v>
      </c>
      <c r="Q90" s="375" t="s">
        <v>622</v>
      </c>
      <c r="R90" s="696">
        <v>20190328</v>
      </c>
      <c r="S90" s="375" t="s">
        <v>1371</v>
      </c>
      <c r="T90" s="697">
        <v>0.23100000000000001</v>
      </c>
      <c r="U90" s="375" t="s">
        <v>1372</v>
      </c>
      <c r="V90" s="723">
        <v>12.58</v>
      </c>
      <c r="W90" s="723">
        <v>2.57</v>
      </c>
      <c r="X90" s="723">
        <v>1.24</v>
      </c>
      <c r="Y90" s="723">
        <v>27.89</v>
      </c>
      <c r="Z90" s="382">
        <v>0.10307203809787069</v>
      </c>
      <c r="AA90" s="372">
        <v>15625.925485100001</v>
      </c>
      <c r="AB90" s="372">
        <v>20703.821122699999</v>
      </c>
      <c r="AC90" s="372">
        <v>27545.080030000001</v>
      </c>
      <c r="AD90" s="372">
        <v>30650.15134</v>
      </c>
      <c r="AE90" s="372">
        <v>35589.56</v>
      </c>
      <c r="AF90" s="372">
        <v>40360.559999999998</v>
      </c>
      <c r="AG90" s="372">
        <v>45378.29</v>
      </c>
      <c r="AH90" s="372">
        <v>0</v>
      </c>
    </row>
    <row r="91" spans="1:34">
      <c r="A91" s="372" t="s">
        <v>1373</v>
      </c>
      <c r="B91" s="373" t="s">
        <v>1374</v>
      </c>
      <c r="C91" s="372" t="s">
        <v>1375</v>
      </c>
      <c r="D91" s="374">
        <v>1348110401886</v>
      </c>
      <c r="E91" s="372" t="s">
        <v>1376</v>
      </c>
      <c r="F91" s="375" t="s">
        <v>1185</v>
      </c>
      <c r="G91" s="375" t="s">
        <v>1186</v>
      </c>
      <c r="H91" s="375" t="s">
        <v>861</v>
      </c>
      <c r="I91" s="375" t="s">
        <v>862</v>
      </c>
      <c r="J91" s="375">
        <v>145259.63029999999</v>
      </c>
      <c r="K91" s="375">
        <v>70302.022490000003</v>
      </c>
      <c r="L91" s="375">
        <v>78623.049790000005</v>
      </c>
      <c r="M91" s="375">
        <v>241763.61311999999</v>
      </c>
      <c r="N91" s="372">
        <v>1.2529999999999999</v>
      </c>
      <c r="O91" s="704">
        <v>6.1029736878369031E-2</v>
      </c>
      <c r="P91" s="375" t="s">
        <v>622</v>
      </c>
      <c r="Q91" s="375" t="s">
        <v>622</v>
      </c>
      <c r="R91" s="696">
        <v>20220715</v>
      </c>
      <c r="S91" s="375" t="s">
        <v>1378</v>
      </c>
      <c r="T91" s="697">
        <v>0.23100000000000001</v>
      </c>
      <c r="U91" s="375" t="s">
        <v>1379</v>
      </c>
      <c r="V91" s="723">
        <v>0</v>
      </c>
      <c r="W91" s="723">
        <v>0</v>
      </c>
      <c r="X91" s="723">
        <v>0</v>
      </c>
      <c r="Y91" s="723">
        <v>0</v>
      </c>
      <c r="Z91" s="382" t="s">
        <v>927</v>
      </c>
      <c r="AA91" s="372">
        <v>611.7437486</v>
      </c>
      <c r="AB91" s="372">
        <v>917.52311759999998</v>
      </c>
      <c r="AC91" s="372">
        <v>1593.3632282000001</v>
      </c>
      <c r="AD91" s="372">
        <v>1790.8666083000001</v>
      </c>
      <c r="AE91" s="372">
        <v>0</v>
      </c>
      <c r="AF91" s="372">
        <v>0</v>
      </c>
      <c r="AG91" s="372">
        <v>0</v>
      </c>
      <c r="AH91" s="372">
        <v>0</v>
      </c>
    </row>
    <row r="92" spans="1:34">
      <c r="A92" s="372" t="s">
        <v>1380</v>
      </c>
      <c r="B92" s="373" t="s">
        <v>1381</v>
      </c>
      <c r="C92" s="372" t="s">
        <v>1382</v>
      </c>
      <c r="D92" s="374">
        <v>1101110007909</v>
      </c>
      <c r="E92" s="372" t="s">
        <v>1383</v>
      </c>
      <c r="F92" s="375" t="s">
        <v>1384</v>
      </c>
      <c r="G92" s="375" t="s">
        <v>1385</v>
      </c>
      <c r="H92" s="375" t="s">
        <v>1386</v>
      </c>
      <c r="I92" s="375" t="s">
        <v>754</v>
      </c>
      <c r="J92" s="375">
        <v>34021787</v>
      </c>
      <c r="K92" s="375">
        <v>657005</v>
      </c>
      <c r="L92" s="375">
        <v>831713</v>
      </c>
      <c r="M92" s="375">
        <v>10756374</v>
      </c>
      <c r="N92" s="372">
        <v>0.84299999999999997</v>
      </c>
      <c r="O92" s="704">
        <v>86.900204131123516</v>
      </c>
      <c r="P92" s="375" t="s">
        <v>622</v>
      </c>
      <c r="Q92" s="375" t="s">
        <v>622</v>
      </c>
      <c r="R92" s="696">
        <v>19841222</v>
      </c>
      <c r="S92" s="375" t="s">
        <v>1387</v>
      </c>
      <c r="T92" s="697">
        <v>0.26400000000000001</v>
      </c>
      <c r="U92" s="375" t="s">
        <v>1388</v>
      </c>
      <c r="V92" s="723">
        <v>6.72</v>
      </c>
      <c r="W92" s="723">
        <v>0.41</v>
      </c>
      <c r="X92" s="723">
        <v>0.1</v>
      </c>
      <c r="Y92" s="723">
        <v>7.95</v>
      </c>
      <c r="Z92" s="382">
        <v>1.1431414205725465E-2</v>
      </c>
      <c r="AA92" s="372">
        <v>169708.59</v>
      </c>
      <c r="AB92" s="372">
        <v>180655.34</v>
      </c>
      <c r="AC92" s="372">
        <v>212390.82</v>
      </c>
      <c r="AD92" s="372">
        <v>296513.57</v>
      </c>
      <c r="AE92" s="372">
        <v>336868.21</v>
      </c>
      <c r="AF92" s="372">
        <v>313219.53000000003</v>
      </c>
      <c r="AG92" s="372">
        <v>310306.11</v>
      </c>
      <c r="AH92" s="372">
        <v>0</v>
      </c>
    </row>
    <row r="93" spans="1:34">
      <c r="A93" s="372" t="s">
        <v>1389</v>
      </c>
      <c r="B93" s="373" t="s">
        <v>1390</v>
      </c>
      <c r="C93" s="372" t="s">
        <v>1391</v>
      </c>
      <c r="D93" s="374">
        <v>1101110346901</v>
      </c>
      <c r="E93" s="372" t="s">
        <v>1392</v>
      </c>
      <c r="F93" s="375" t="s">
        <v>1393</v>
      </c>
      <c r="G93" s="375" t="s">
        <v>1394</v>
      </c>
      <c r="H93" s="375" t="s">
        <v>855</v>
      </c>
      <c r="I93" s="375" t="s">
        <v>754</v>
      </c>
      <c r="J93" s="375">
        <v>0</v>
      </c>
      <c r="K93" s="375">
        <v>0</v>
      </c>
      <c r="L93" s="375">
        <v>0</v>
      </c>
      <c r="M93" s="375">
        <v>0</v>
      </c>
      <c r="N93" s="372">
        <v>0.52800000000000002</v>
      </c>
      <c r="O93" s="704" t="s">
        <v>16301</v>
      </c>
      <c r="P93" s="375" t="s">
        <v>622</v>
      </c>
      <c r="Q93" s="375" t="s">
        <v>622</v>
      </c>
      <c r="R93" s="696">
        <v>20070627</v>
      </c>
      <c r="S93" s="375" t="s">
        <v>1395</v>
      </c>
      <c r="T93" s="697" t="s">
        <v>771</v>
      </c>
      <c r="U93" s="375" t="s">
        <v>1396</v>
      </c>
      <c r="V93" s="723">
        <v>0</v>
      </c>
      <c r="W93" s="723">
        <v>0</v>
      </c>
      <c r="X93" s="723">
        <v>0</v>
      </c>
      <c r="Y93" s="723">
        <v>0</v>
      </c>
      <c r="Z93" s="382">
        <v>0.12566977829379367</v>
      </c>
      <c r="AA93" s="372">
        <v>24222.197030700001</v>
      </c>
      <c r="AB93" s="372">
        <v>26739.246550399999</v>
      </c>
      <c r="AC93" s="372">
        <v>27522.661457900002</v>
      </c>
      <c r="AD93" s="372">
        <v>27105.756086199999</v>
      </c>
      <c r="AE93" s="372">
        <v>41138.57</v>
      </c>
      <c r="AF93" s="372">
        <v>42206.67</v>
      </c>
      <c r="AG93" s="372">
        <v>43521.67</v>
      </c>
      <c r="AH93" s="372">
        <v>0</v>
      </c>
    </row>
    <row r="94" spans="1:34">
      <c r="A94" s="372" t="s">
        <v>1397</v>
      </c>
      <c r="B94" s="373" t="s">
        <v>1398</v>
      </c>
      <c r="C94" s="372" t="s">
        <v>1399</v>
      </c>
      <c r="D94" s="374">
        <v>1101110205975</v>
      </c>
      <c r="E94" s="372" t="s">
        <v>1400</v>
      </c>
      <c r="F94" s="375" t="s">
        <v>1303</v>
      </c>
      <c r="G94" s="375" t="s">
        <v>1303</v>
      </c>
      <c r="H94" s="375" t="s">
        <v>826</v>
      </c>
      <c r="I94" s="375" t="s">
        <v>754</v>
      </c>
      <c r="J94" s="375">
        <v>6863993.0290900003</v>
      </c>
      <c r="K94" s="375">
        <v>297976.0098</v>
      </c>
      <c r="L94" s="375">
        <v>392788.87404999998</v>
      </c>
      <c r="M94" s="375">
        <v>5974015.2291599996</v>
      </c>
      <c r="N94" s="372">
        <v>1.054</v>
      </c>
      <c r="O94" s="704">
        <v>29.129312173969012</v>
      </c>
      <c r="P94" s="375" t="s">
        <v>622</v>
      </c>
      <c r="Q94" s="372" t="s">
        <v>622</v>
      </c>
      <c r="R94" s="696">
        <v>19880122</v>
      </c>
      <c r="S94" s="375" t="s">
        <v>1401</v>
      </c>
      <c r="T94" s="697">
        <v>0.26400000000000001</v>
      </c>
      <c r="U94" s="375" t="s">
        <v>1402</v>
      </c>
      <c r="V94" s="723">
        <v>8.61</v>
      </c>
      <c r="W94" s="723">
        <v>0.8</v>
      </c>
      <c r="X94" s="723">
        <v>0.72</v>
      </c>
      <c r="Y94" s="723">
        <v>12.99</v>
      </c>
      <c r="Z94" s="382">
        <v>5.2886122029583094E-2</v>
      </c>
      <c r="AA94" s="372">
        <v>48095.359077599998</v>
      </c>
      <c r="AB94" s="372">
        <v>84618.415002900001</v>
      </c>
      <c r="AC94" s="372">
        <v>79756.259810200005</v>
      </c>
      <c r="AD94" s="372">
        <v>63225.2818778</v>
      </c>
      <c r="AE94" s="372">
        <v>71695.679999999993</v>
      </c>
      <c r="AF94" s="372">
        <v>75701.259999999995</v>
      </c>
      <c r="AG94" s="372">
        <v>77699.17</v>
      </c>
      <c r="AH94" s="372">
        <v>75420</v>
      </c>
    </row>
    <row r="95" spans="1:34">
      <c r="A95" s="372" t="s">
        <v>1403</v>
      </c>
      <c r="B95" s="373" t="s">
        <v>1404</v>
      </c>
      <c r="C95" s="372" t="s">
        <v>1405</v>
      </c>
      <c r="D95" s="374">
        <v>1101116417805</v>
      </c>
      <c r="E95" s="372" t="s">
        <v>1406</v>
      </c>
      <c r="F95" s="375" t="s">
        <v>2222</v>
      </c>
      <c r="G95" s="375" t="s">
        <v>2222</v>
      </c>
      <c r="H95" s="375" t="s">
        <v>1316</v>
      </c>
      <c r="I95" s="375" t="s">
        <v>754</v>
      </c>
      <c r="J95" s="375">
        <v>3010891.7949600001</v>
      </c>
      <c r="K95" s="375">
        <v>524259.14935999998</v>
      </c>
      <c r="L95" s="375">
        <v>528698.00619999995</v>
      </c>
      <c r="M95" s="375">
        <v>3244120.2892900002</v>
      </c>
      <c r="N95" s="372">
        <v>0.42299999999999999</v>
      </c>
      <c r="O95" s="704">
        <v>0.514880453217061</v>
      </c>
      <c r="P95" s="375" t="s">
        <v>622</v>
      </c>
      <c r="Q95" s="375" t="s">
        <v>622</v>
      </c>
      <c r="R95" s="696">
        <v>20170707</v>
      </c>
      <c r="S95" s="375" t="s">
        <v>1408</v>
      </c>
      <c r="T95" s="697">
        <v>0.26400000000000001</v>
      </c>
      <c r="U95" s="375" t="s">
        <v>1409</v>
      </c>
      <c r="V95" s="723">
        <v>5.8</v>
      </c>
      <c r="W95" s="723">
        <v>1.23</v>
      </c>
      <c r="X95" s="723">
        <v>1.28</v>
      </c>
      <c r="Y95" s="723">
        <v>10.050000000000001</v>
      </c>
      <c r="Z95" s="382">
        <v>4.4597392391060087E-2</v>
      </c>
      <c r="AA95" s="372">
        <v>22298.1993363</v>
      </c>
      <c r="AB95" s="372">
        <v>23554.997055299998</v>
      </c>
      <c r="AC95" s="372">
        <v>28732.467713400001</v>
      </c>
      <c r="AD95" s="372">
        <v>29123.580514699999</v>
      </c>
      <c r="AE95" s="372">
        <v>30979.15</v>
      </c>
      <c r="AF95" s="372">
        <v>32638.62</v>
      </c>
      <c r="AG95" s="372">
        <v>34676.92</v>
      </c>
      <c r="AH95" s="372">
        <v>0</v>
      </c>
    </row>
    <row r="96" spans="1:34">
      <c r="A96" s="372" t="s">
        <v>1410</v>
      </c>
      <c r="B96" s="373" t="s">
        <v>1411</v>
      </c>
      <c r="C96" s="372" t="s">
        <v>1412</v>
      </c>
      <c r="D96" s="374">
        <v>1101116363850</v>
      </c>
      <c r="E96" s="372" t="s">
        <v>1413</v>
      </c>
      <c r="F96" s="372" t="s">
        <v>1414</v>
      </c>
      <c r="G96" s="375" t="s">
        <v>1414</v>
      </c>
      <c r="H96" s="375" t="s">
        <v>753</v>
      </c>
      <c r="I96" s="375" t="s">
        <v>754</v>
      </c>
      <c r="J96" s="375">
        <v>3303943.2068599998</v>
      </c>
      <c r="K96" s="375">
        <v>627291.99876999995</v>
      </c>
      <c r="L96" s="375">
        <v>643536.27798000001</v>
      </c>
      <c r="M96" s="375">
        <v>1396852.10668</v>
      </c>
      <c r="N96" s="372">
        <v>0.65800000000000003</v>
      </c>
      <c r="O96" s="704">
        <v>3.6152039977981762</v>
      </c>
      <c r="P96" s="375" t="s">
        <v>622</v>
      </c>
      <c r="Q96" s="375" t="s">
        <v>622</v>
      </c>
      <c r="R96" s="696">
        <v>20170510</v>
      </c>
      <c r="S96" s="375" t="s">
        <v>1415</v>
      </c>
      <c r="T96" s="697">
        <v>0.26400000000000001</v>
      </c>
      <c r="U96" s="375" t="s">
        <v>15825</v>
      </c>
      <c r="V96" s="723">
        <v>17.329999999999998</v>
      </c>
      <c r="W96" s="723">
        <v>8.4600000000000009</v>
      </c>
      <c r="X96" s="723">
        <v>3.59</v>
      </c>
      <c r="Y96" s="723">
        <v>23.24</v>
      </c>
      <c r="Z96" s="382">
        <v>0.1478421948676647</v>
      </c>
      <c r="AA96" s="372">
        <v>18113.447343799999</v>
      </c>
      <c r="AB96" s="372">
        <v>18059.917468799998</v>
      </c>
      <c r="AC96" s="372">
        <v>21044.994873299998</v>
      </c>
      <c r="AD96" s="372">
        <v>27027.993373699999</v>
      </c>
      <c r="AE96" s="372">
        <v>35153.07</v>
      </c>
      <c r="AF96" s="372">
        <v>41170.33</v>
      </c>
      <c r="AG96" s="372">
        <v>46918.33</v>
      </c>
      <c r="AH96" s="372">
        <v>52810</v>
      </c>
    </row>
    <row r="97" spans="1:34">
      <c r="A97" s="372" t="s">
        <v>1416</v>
      </c>
      <c r="B97" s="373" t="s">
        <v>1417</v>
      </c>
      <c r="C97" s="372" t="s">
        <v>1418</v>
      </c>
      <c r="D97" s="374">
        <v>1101110098130</v>
      </c>
      <c r="E97" s="372" t="s">
        <v>1419</v>
      </c>
      <c r="F97" s="372" t="s">
        <v>1262</v>
      </c>
      <c r="G97" s="375" t="s">
        <v>1263</v>
      </c>
      <c r="H97" s="375" t="s">
        <v>1264</v>
      </c>
      <c r="I97" s="375" t="s">
        <v>754</v>
      </c>
      <c r="J97" s="375">
        <v>1936901</v>
      </c>
      <c r="K97" s="375">
        <v>869298</v>
      </c>
      <c r="L97" s="375">
        <v>893600</v>
      </c>
      <c r="M97" s="375">
        <v>7899045</v>
      </c>
      <c r="N97" s="372">
        <v>0.77900000000000003</v>
      </c>
      <c r="O97" s="704">
        <v>614.87735608648029</v>
      </c>
      <c r="P97" s="375" t="s">
        <v>622</v>
      </c>
      <c r="Q97" s="375" t="s">
        <v>622</v>
      </c>
      <c r="R97" s="696">
        <v>19750930</v>
      </c>
      <c r="S97" s="375" t="s">
        <v>1420</v>
      </c>
      <c r="T97" s="697">
        <v>0.26400000000000001</v>
      </c>
      <c r="U97" s="375" t="s">
        <v>1421</v>
      </c>
      <c r="V97" s="723">
        <v>0</v>
      </c>
      <c r="W97" s="723">
        <v>0.59</v>
      </c>
      <c r="X97" s="723">
        <v>0.47</v>
      </c>
      <c r="Y97" s="723">
        <v>7.03</v>
      </c>
      <c r="Z97" s="382">
        <v>7.1578185306586439E-2</v>
      </c>
      <c r="AA97" s="372">
        <v>16808.59</v>
      </c>
      <c r="AB97" s="372">
        <v>23405.7</v>
      </c>
      <c r="AC97" s="372">
        <v>13664.33</v>
      </c>
      <c r="AD97" s="372">
        <v>16784.77</v>
      </c>
      <c r="AE97" s="372">
        <v>20142.830000000002</v>
      </c>
      <c r="AF97" s="372">
        <v>20954.25</v>
      </c>
      <c r="AG97" s="372">
        <v>22131.5</v>
      </c>
      <c r="AH97" s="372">
        <v>0</v>
      </c>
    </row>
    <row r="98" spans="1:34">
      <c r="A98" s="372" t="s">
        <v>1422</v>
      </c>
      <c r="B98" s="373" t="s">
        <v>1423</v>
      </c>
      <c r="C98" s="372" t="s">
        <v>1424</v>
      </c>
      <c r="D98" s="374">
        <v>1101112691651</v>
      </c>
      <c r="E98" s="372" t="s">
        <v>1425</v>
      </c>
      <c r="F98" s="375" t="s">
        <v>853</v>
      </c>
      <c r="G98" s="375" t="s">
        <v>854</v>
      </c>
      <c r="H98" s="375" t="s">
        <v>855</v>
      </c>
      <c r="I98" s="375" t="s">
        <v>754</v>
      </c>
      <c r="J98" s="375">
        <v>0</v>
      </c>
      <c r="K98" s="375">
        <v>0</v>
      </c>
      <c r="L98" s="375">
        <v>0</v>
      </c>
      <c r="M98" s="375">
        <v>0</v>
      </c>
      <c r="N98" s="372">
        <v>1.2470000000000001</v>
      </c>
      <c r="O98" s="704" t="s">
        <v>16301</v>
      </c>
      <c r="P98" s="375" t="s">
        <v>622</v>
      </c>
      <c r="Q98" s="375" t="s">
        <v>622</v>
      </c>
      <c r="R98" s="696">
        <v>20030721</v>
      </c>
      <c r="S98" s="375" t="s">
        <v>869</v>
      </c>
      <c r="T98" s="697" t="s">
        <v>771</v>
      </c>
      <c r="U98" s="375" t="s">
        <v>1426</v>
      </c>
      <c r="V98" s="723">
        <v>0</v>
      </c>
      <c r="W98" s="723">
        <v>0</v>
      </c>
      <c r="X98" s="723">
        <v>0</v>
      </c>
      <c r="Y98" s="723">
        <v>0</v>
      </c>
      <c r="Z98" s="382">
        <v>9.7750416217621261E-3</v>
      </c>
      <c r="AA98" s="372">
        <v>15708.210982500001</v>
      </c>
      <c r="AB98" s="372">
        <v>16725.4630082</v>
      </c>
      <c r="AC98" s="372">
        <v>23269.3918529</v>
      </c>
      <c r="AD98" s="372">
        <v>32724.8970496</v>
      </c>
      <c r="AE98" s="372">
        <v>35830</v>
      </c>
      <c r="AF98" s="372">
        <v>33556.67</v>
      </c>
      <c r="AG98" s="372">
        <v>34023.33</v>
      </c>
      <c r="AH98" s="372">
        <v>0</v>
      </c>
    </row>
    <row r="99" spans="1:34">
      <c r="A99" s="372" t="s">
        <v>1427</v>
      </c>
      <c r="B99" s="373" t="s">
        <v>1428</v>
      </c>
      <c r="C99" s="372" t="s">
        <v>1429</v>
      </c>
      <c r="D99" s="374">
        <v>1347110002206</v>
      </c>
      <c r="E99" s="372" t="s">
        <v>1430</v>
      </c>
      <c r="F99" s="375" t="s">
        <v>1431</v>
      </c>
      <c r="G99" s="375" t="s">
        <v>16107</v>
      </c>
      <c r="H99" s="375" t="s">
        <v>1043</v>
      </c>
      <c r="I99" s="375" t="s">
        <v>754</v>
      </c>
      <c r="J99" s="375">
        <v>9942910.6548200008</v>
      </c>
      <c r="K99" s="375">
        <v>285114.29498000001</v>
      </c>
      <c r="L99" s="375">
        <v>-49996.219080000003</v>
      </c>
      <c r="M99" s="375">
        <v>2537826.46551</v>
      </c>
      <c r="N99" s="372">
        <v>0.878</v>
      </c>
      <c r="O99" s="704">
        <v>209.85597497670892</v>
      </c>
      <c r="P99" s="375" t="s">
        <v>622</v>
      </c>
      <c r="Q99" s="375" t="s">
        <v>622</v>
      </c>
      <c r="R99" s="696">
        <v>19960731</v>
      </c>
      <c r="S99" s="375" t="s">
        <v>1432</v>
      </c>
      <c r="T99" s="697" t="s">
        <v>771</v>
      </c>
      <c r="U99" s="375" t="s">
        <v>1433</v>
      </c>
      <c r="V99" s="723">
        <v>6.58</v>
      </c>
      <c r="W99" s="723">
        <v>0.95</v>
      </c>
      <c r="X99" s="723">
        <v>0.23</v>
      </c>
      <c r="Y99" s="723" t="s">
        <v>773</v>
      </c>
      <c r="Z99" s="382">
        <v>3.9265097365975388E-2</v>
      </c>
      <c r="AA99" s="372">
        <v>68728.3257667</v>
      </c>
      <c r="AB99" s="372">
        <v>73514.238256600001</v>
      </c>
      <c r="AC99" s="372">
        <v>86277.275741399993</v>
      </c>
      <c r="AD99" s="372">
        <v>95593.282483999996</v>
      </c>
      <c r="AE99" s="372">
        <v>99818.18</v>
      </c>
      <c r="AF99" s="372">
        <v>105313.55</v>
      </c>
      <c r="AG99" s="372">
        <v>111514.86</v>
      </c>
      <c r="AH99" s="372">
        <v>129950</v>
      </c>
    </row>
    <row r="100" spans="1:34">
      <c r="A100" s="372" t="s">
        <v>1434</v>
      </c>
      <c r="B100" s="373" t="s">
        <v>1435</v>
      </c>
      <c r="C100" s="372" t="s">
        <v>1436</v>
      </c>
      <c r="D100" s="374">
        <v>1101110335649</v>
      </c>
      <c r="E100" s="372" t="s">
        <v>1437</v>
      </c>
      <c r="F100" s="375" t="s">
        <v>1262</v>
      </c>
      <c r="G100" s="375" t="s">
        <v>1263</v>
      </c>
      <c r="H100" s="375" t="s">
        <v>1264</v>
      </c>
      <c r="I100" s="375" t="s">
        <v>754</v>
      </c>
      <c r="J100" s="375">
        <v>0</v>
      </c>
      <c r="K100" s="375">
        <v>0</v>
      </c>
      <c r="L100" s="375">
        <v>0</v>
      </c>
      <c r="M100" s="375">
        <v>0</v>
      </c>
      <c r="N100" s="372">
        <v>1.0309999999999999</v>
      </c>
      <c r="O100" s="704" t="s">
        <v>16301</v>
      </c>
      <c r="P100" s="375" t="s">
        <v>622</v>
      </c>
      <c r="Q100" s="372" t="s">
        <v>622</v>
      </c>
      <c r="R100" s="696">
        <v>19880328</v>
      </c>
      <c r="S100" s="372" t="s">
        <v>1438</v>
      </c>
      <c r="T100" s="697" t="s">
        <v>771</v>
      </c>
      <c r="U100" s="372" t="s">
        <v>1439</v>
      </c>
      <c r="V100" s="723">
        <v>0</v>
      </c>
      <c r="W100" s="723">
        <v>0</v>
      </c>
      <c r="X100" s="723">
        <v>0</v>
      </c>
      <c r="Y100" s="723">
        <v>0</v>
      </c>
      <c r="Z100" s="382">
        <v>8.379612962281624E-2</v>
      </c>
      <c r="AA100" s="372">
        <v>14926.3264423</v>
      </c>
      <c r="AB100" s="372">
        <v>22417.7623637</v>
      </c>
      <c r="AC100" s="372">
        <v>14005.5604595</v>
      </c>
      <c r="AD100" s="372">
        <v>16470.030278499999</v>
      </c>
      <c r="AE100" s="372">
        <v>21931.83</v>
      </c>
      <c r="AF100" s="372">
        <v>21755.17</v>
      </c>
      <c r="AG100" s="372">
        <v>22724</v>
      </c>
      <c r="AH100" s="372">
        <v>0</v>
      </c>
    </row>
    <row r="101" spans="1:34">
      <c r="A101" s="372" t="s">
        <v>1440</v>
      </c>
      <c r="B101" s="373" t="s">
        <v>1441</v>
      </c>
      <c r="C101" s="372" t="s">
        <v>1442</v>
      </c>
      <c r="D101" s="374">
        <v>1449110001666</v>
      </c>
      <c r="E101" s="372" t="s">
        <v>1443</v>
      </c>
      <c r="F101" s="375" t="s">
        <v>1444</v>
      </c>
      <c r="G101" s="375" t="s">
        <v>1445</v>
      </c>
      <c r="H101" s="375" t="s">
        <v>817</v>
      </c>
      <c r="I101" s="375" t="s">
        <v>754</v>
      </c>
      <c r="J101" s="375">
        <v>1407603.6173099999</v>
      </c>
      <c r="K101" s="375">
        <v>281821.68858000002</v>
      </c>
      <c r="L101" s="375">
        <v>530140.27841000003</v>
      </c>
      <c r="M101" s="375">
        <v>3819295.8376799999</v>
      </c>
      <c r="N101" s="372">
        <v>0.70199999999999996</v>
      </c>
      <c r="O101" s="704">
        <v>1.6353790175756433</v>
      </c>
      <c r="P101" s="375" t="s">
        <v>622</v>
      </c>
      <c r="Q101" s="375" t="s">
        <v>622</v>
      </c>
      <c r="R101" s="696">
        <v>20011023</v>
      </c>
      <c r="S101" s="375" t="s">
        <v>1446</v>
      </c>
      <c r="T101" s="697">
        <v>0.26400000000000001</v>
      </c>
      <c r="U101" s="375" t="s">
        <v>1447</v>
      </c>
      <c r="V101" s="723">
        <v>10.1</v>
      </c>
      <c r="W101" s="723">
        <v>0.91</v>
      </c>
      <c r="X101" s="723">
        <v>2.58</v>
      </c>
      <c r="Y101" s="723">
        <v>8.68</v>
      </c>
      <c r="Z101" s="382">
        <v>1.9941226061231054E-2</v>
      </c>
      <c r="AA101" s="372">
        <v>4785.7886633999997</v>
      </c>
      <c r="AB101" s="372">
        <v>7884.3282992000004</v>
      </c>
      <c r="AC101" s="372">
        <v>12706.858190999999</v>
      </c>
      <c r="AD101" s="372">
        <v>13885.723782700001</v>
      </c>
      <c r="AE101" s="372">
        <v>14201.2</v>
      </c>
      <c r="AF101" s="372">
        <v>14639.8</v>
      </c>
      <c r="AG101" s="372">
        <v>15026.89</v>
      </c>
      <c r="AH101" s="372">
        <v>15210</v>
      </c>
    </row>
    <row r="102" spans="1:34">
      <c r="A102" s="372" t="s">
        <v>1448</v>
      </c>
      <c r="B102" s="373" t="s">
        <v>1449</v>
      </c>
      <c r="C102" s="372" t="s">
        <v>1450</v>
      </c>
      <c r="D102" s="374">
        <v>1801110220664</v>
      </c>
      <c r="E102" s="372" t="s">
        <v>1451</v>
      </c>
      <c r="F102" s="375" t="s">
        <v>1276</v>
      </c>
      <c r="G102" s="375" t="s">
        <v>1452</v>
      </c>
      <c r="H102" s="375" t="s">
        <v>861</v>
      </c>
      <c r="I102" s="375" t="s">
        <v>862</v>
      </c>
      <c r="J102" s="375">
        <v>252719.93760999999</v>
      </c>
      <c r="K102" s="375">
        <v>117410.90873</v>
      </c>
      <c r="L102" s="375">
        <v>131450.96535000001</v>
      </c>
      <c r="M102" s="375">
        <v>586661.40813</v>
      </c>
      <c r="N102" s="372">
        <v>0.78200000000000003</v>
      </c>
      <c r="O102" s="704">
        <v>6.2739672853307383E-3</v>
      </c>
      <c r="P102" s="375" t="s">
        <v>622</v>
      </c>
      <c r="Q102" s="375" t="s">
        <v>622</v>
      </c>
      <c r="R102" s="696">
        <v>20011214</v>
      </c>
      <c r="S102" s="375" t="s">
        <v>1453</v>
      </c>
      <c r="T102" s="697">
        <v>0.23100000000000001</v>
      </c>
      <c r="U102" s="375" t="s">
        <v>1454</v>
      </c>
      <c r="V102" s="723">
        <v>0</v>
      </c>
      <c r="W102" s="723">
        <v>0</v>
      </c>
      <c r="X102" s="723">
        <v>0</v>
      </c>
      <c r="Y102" s="723">
        <v>0</v>
      </c>
      <c r="Z102" s="382" t="s">
        <v>927</v>
      </c>
      <c r="AA102" s="372">
        <v>2013.3545935</v>
      </c>
      <c r="AB102" s="372">
        <v>2801.6683306</v>
      </c>
      <c r="AC102" s="372">
        <v>3224.2280307999999</v>
      </c>
      <c r="AD102" s="372">
        <v>2555.7303465</v>
      </c>
      <c r="AE102" s="372">
        <v>0</v>
      </c>
      <c r="AF102" s="372">
        <v>0</v>
      </c>
      <c r="AG102" s="372">
        <v>0</v>
      </c>
      <c r="AH102" s="372">
        <v>0</v>
      </c>
    </row>
    <row r="103" spans="1:34">
      <c r="A103" s="372" t="s">
        <v>1455</v>
      </c>
      <c r="B103" s="373" t="s">
        <v>1456</v>
      </c>
      <c r="C103" s="372" t="s">
        <v>1457</v>
      </c>
      <c r="D103" s="374">
        <v>1101110006167</v>
      </c>
      <c r="E103" s="372" t="s">
        <v>1458</v>
      </c>
      <c r="F103" s="375" t="s">
        <v>1459</v>
      </c>
      <c r="G103" s="375" t="s">
        <v>1459</v>
      </c>
      <c r="H103" s="375" t="s">
        <v>909</v>
      </c>
      <c r="I103" s="375" t="s">
        <v>754</v>
      </c>
      <c r="J103" s="375">
        <v>12016991.945080001</v>
      </c>
      <c r="K103" s="375">
        <v>520349.88332999998</v>
      </c>
      <c r="L103" s="375">
        <v>343578.44099999999</v>
      </c>
      <c r="M103" s="375">
        <v>4009264.44312</v>
      </c>
      <c r="N103" s="372">
        <v>0.53700000000000003</v>
      </c>
      <c r="O103" s="704">
        <v>197.37204565101666</v>
      </c>
      <c r="P103" s="375" t="s">
        <v>622</v>
      </c>
      <c r="Q103" s="375" t="s">
        <v>622</v>
      </c>
      <c r="R103" s="696">
        <v>19560702</v>
      </c>
      <c r="S103" s="375" t="s">
        <v>1460</v>
      </c>
      <c r="T103" s="697">
        <v>0.26400000000000001</v>
      </c>
      <c r="U103" s="375" t="s">
        <v>1461</v>
      </c>
      <c r="V103" s="723">
        <v>5</v>
      </c>
      <c r="W103" s="723">
        <v>0.56000000000000005</v>
      </c>
      <c r="X103" s="723">
        <v>0.18</v>
      </c>
      <c r="Y103" s="723">
        <v>9.2100000000000009</v>
      </c>
      <c r="Z103" s="382">
        <v>2.9362193601186748E-2</v>
      </c>
      <c r="AA103" s="372">
        <v>107811.2715021</v>
      </c>
      <c r="AB103" s="372">
        <v>113436.5178749</v>
      </c>
      <c r="AC103" s="372">
        <v>121307.1286237</v>
      </c>
      <c r="AD103" s="372">
        <v>117678.9366326</v>
      </c>
      <c r="AE103" s="372">
        <v>121909.92</v>
      </c>
      <c r="AF103" s="372">
        <v>127471.67</v>
      </c>
      <c r="AG103" s="372">
        <v>132120.92000000001</v>
      </c>
      <c r="AH103" s="372">
        <v>143430</v>
      </c>
    </row>
    <row r="104" spans="1:34">
      <c r="A104" s="372" t="s">
        <v>1462</v>
      </c>
      <c r="B104" s="373" t="s">
        <v>1463</v>
      </c>
      <c r="C104" s="372" t="s">
        <v>1464</v>
      </c>
      <c r="D104" s="374">
        <v>1101110037823</v>
      </c>
      <c r="E104" s="372" t="s">
        <v>1465</v>
      </c>
      <c r="F104" s="375" t="s">
        <v>1466</v>
      </c>
      <c r="G104" s="375" t="s">
        <v>1467</v>
      </c>
      <c r="H104" s="375" t="s">
        <v>1468</v>
      </c>
      <c r="I104" s="375" t="s">
        <v>4413</v>
      </c>
      <c r="J104" s="375">
        <v>1696803.19937</v>
      </c>
      <c r="K104" s="375">
        <v>196268.39025999999</v>
      </c>
      <c r="L104" s="375">
        <v>121127.52626</v>
      </c>
      <c r="M104" s="375">
        <v>1247337.0187299999</v>
      </c>
      <c r="N104" s="372" t="s">
        <v>1026</v>
      </c>
      <c r="O104" s="704" t="e">
        <v>#DIV/0!</v>
      </c>
      <c r="P104" s="375" t="s">
        <v>622</v>
      </c>
      <c r="Q104" s="375" t="s">
        <v>622</v>
      </c>
      <c r="R104" s="696">
        <v>19750503</v>
      </c>
      <c r="S104" s="375" t="e">
        <v>#N/A</v>
      </c>
      <c r="T104" s="697">
        <v>0.23100000000000001</v>
      </c>
      <c r="U104" s="375" t="s">
        <v>1469</v>
      </c>
      <c r="V104" s="723">
        <v>9.2200000000000006</v>
      </c>
      <c r="W104" s="723">
        <v>2.4900000000000002</v>
      </c>
      <c r="X104" s="723">
        <v>0</v>
      </c>
      <c r="Y104" s="723">
        <v>0</v>
      </c>
      <c r="Z104" s="382" t="s">
        <v>927</v>
      </c>
      <c r="AA104" s="372">
        <v>14707.9917393</v>
      </c>
      <c r="AB104" s="372">
        <v>16613.983300600001</v>
      </c>
      <c r="AC104" s="372">
        <v>17059.0674406</v>
      </c>
      <c r="AD104" s="372">
        <v>18694.064127400001</v>
      </c>
      <c r="AE104" s="372">
        <v>18534</v>
      </c>
      <c r="AF104" s="372">
        <v>19345.669999999998</v>
      </c>
      <c r="AG104" s="372">
        <v>0</v>
      </c>
      <c r="AH104" s="372">
        <v>0</v>
      </c>
    </row>
    <row r="105" spans="1:34">
      <c r="A105" s="372" t="s">
        <v>1470</v>
      </c>
      <c r="B105" s="373" t="s">
        <v>1471</v>
      </c>
      <c r="C105" s="372" t="s">
        <v>1472</v>
      </c>
      <c r="D105" s="374">
        <v>1101110076300</v>
      </c>
      <c r="E105" s="372" t="s">
        <v>1473</v>
      </c>
      <c r="F105" s="375" t="s">
        <v>893</v>
      </c>
      <c r="G105" s="375" t="s">
        <v>894</v>
      </c>
      <c r="H105" s="375" t="s">
        <v>855</v>
      </c>
      <c r="I105" s="375" t="s">
        <v>754</v>
      </c>
      <c r="J105" s="375">
        <v>15826886.49619</v>
      </c>
      <c r="K105" s="375">
        <v>427941.92155000003</v>
      </c>
      <c r="L105" s="375">
        <v>-160818.44532</v>
      </c>
      <c r="M105" s="375">
        <v>9816253.1374699995</v>
      </c>
      <c r="N105" s="372">
        <v>0.90600000000000003</v>
      </c>
      <c r="O105" s="704">
        <v>535.20252867144529</v>
      </c>
      <c r="P105" s="375" t="s">
        <v>622</v>
      </c>
      <c r="Q105" s="375" t="s">
        <v>622</v>
      </c>
      <c r="R105" s="696">
        <v>19740216</v>
      </c>
      <c r="S105" s="375" t="s">
        <v>854</v>
      </c>
      <c r="T105" s="697" t="s">
        <v>771</v>
      </c>
      <c r="U105" s="375" t="s">
        <v>1474</v>
      </c>
      <c r="V105" s="723">
        <v>9.07</v>
      </c>
      <c r="W105" s="723">
        <v>0.3</v>
      </c>
      <c r="X105" s="723">
        <v>0.16</v>
      </c>
      <c r="Y105" s="723" t="s">
        <v>773</v>
      </c>
      <c r="Z105" s="382">
        <v>4.312139890600708E-2</v>
      </c>
      <c r="AA105" s="372">
        <v>90866.492295599994</v>
      </c>
      <c r="AB105" s="372">
        <v>99248.640141900003</v>
      </c>
      <c r="AC105" s="372">
        <v>141118.52309169999</v>
      </c>
      <c r="AD105" s="372">
        <v>151597.75895630001</v>
      </c>
      <c r="AE105" s="372">
        <v>163157.5</v>
      </c>
      <c r="AF105" s="372">
        <v>171650</v>
      </c>
      <c r="AG105" s="372">
        <v>179486.67</v>
      </c>
      <c r="AH105" s="372">
        <v>0</v>
      </c>
    </row>
    <row r="106" spans="1:34">
      <c r="A106" s="372" t="s">
        <v>1475</v>
      </c>
      <c r="B106" s="373" t="s">
        <v>1476</v>
      </c>
      <c r="C106" s="372" t="s">
        <v>1477</v>
      </c>
      <c r="D106" s="374">
        <v>1601110293889</v>
      </c>
      <c r="E106" s="372" t="s">
        <v>1478</v>
      </c>
      <c r="F106" s="375" t="s">
        <v>1290</v>
      </c>
      <c r="G106" s="375" t="s">
        <v>1290</v>
      </c>
      <c r="H106" s="375" t="s">
        <v>861</v>
      </c>
      <c r="I106" s="375" t="s">
        <v>862</v>
      </c>
      <c r="J106" s="375">
        <v>14429.033069999999</v>
      </c>
      <c r="K106" s="375">
        <v>-25864.956399999999</v>
      </c>
      <c r="L106" s="375">
        <v>-23015.39804</v>
      </c>
      <c r="M106" s="375">
        <v>129521.18239</v>
      </c>
      <c r="N106" s="372">
        <v>1.36</v>
      </c>
      <c r="O106" s="704">
        <v>8.6237765666288147E-3</v>
      </c>
      <c r="P106" s="375" t="s">
        <v>622</v>
      </c>
      <c r="Q106" s="375" t="s">
        <v>622</v>
      </c>
      <c r="R106" s="696">
        <v>20210203</v>
      </c>
      <c r="S106" s="375" t="s">
        <v>1479</v>
      </c>
      <c r="T106" s="697" t="s">
        <v>771</v>
      </c>
      <c r="U106" s="372" t="s">
        <v>1480</v>
      </c>
      <c r="V106" s="723" t="s">
        <v>773</v>
      </c>
      <c r="W106" s="723">
        <v>20.95</v>
      </c>
      <c r="X106" s="723">
        <v>188.1</v>
      </c>
      <c r="Y106" s="723" t="s">
        <v>773</v>
      </c>
      <c r="Z106" s="382">
        <v>0.47043983663189937</v>
      </c>
      <c r="AA106" s="372">
        <v>54.2696665</v>
      </c>
      <c r="AB106" s="372">
        <v>89.695746900000003</v>
      </c>
      <c r="AC106" s="372">
        <v>136.15411929999999</v>
      </c>
      <c r="AD106" s="372">
        <v>152.58134870000001</v>
      </c>
      <c r="AE106" s="372">
        <v>175.67</v>
      </c>
      <c r="AF106" s="372">
        <v>365.67</v>
      </c>
      <c r="AG106" s="372">
        <v>713.33</v>
      </c>
      <c r="AH106" s="372">
        <v>1025</v>
      </c>
    </row>
    <row r="107" spans="1:34">
      <c r="A107" s="372" t="s">
        <v>1481</v>
      </c>
      <c r="B107" s="373" t="s">
        <v>1482</v>
      </c>
      <c r="C107" s="372" t="s">
        <v>1483</v>
      </c>
      <c r="D107" s="374">
        <v>1942110036336</v>
      </c>
      <c r="E107" s="372" t="s">
        <v>1484</v>
      </c>
      <c r="F107" s="375" t="s">
        <v>1485</v>
      </c>
      <c r="G107" s="375" t="s">
        <v>1486</v>
      </c>
      <c r="H107" s="375" t="s">
        <v>792</v>
      </c>
      <c r="I107" s="375" t="s">
        <v>754</v>
      </c>
      <c r="J107" s="375">
        <v>3925005.798</v>
      </c>
      <c r="K107" s="375">
        <v>364660.83199999999</v>
      </c>
      <c r="L107" s="375">
        <v>383986.522</v>
      </c>
      <c r="M107" s="375">
        <v>1891930.169</v>
      </c>
      <c r="N107" s="372">
        <v>0.57099999999999995</v>
      </c>
      <c r="O107" s="704">
        <v>5.2574240611537482</v>
      </c>
      <c r="P107" s="375" t="s">
        <v>622</v>
      </c>
      <c r="Q107" s="375" t="s">
        <v>622</v>
      </c>
      <c r="R107" s="696">
        <v>20131030</v>
      </c>
      <c r="S107" s="375" t="s">
        <v>1487</v>
      </c>
      <c r="T107" s="697">
        <v>0.26400000000000001</v>
      </c>
      <c r="U107" s="375" t="s">
        <v>1488</v>
      </c>
      <c r="V107" s="723">
        <v>14.22</v>
      </c>
      <c r="W107" s="723">
        <v>3.04</v>
      </c>
      <c r="X107" s="723">
        <v>1.49</v>
      </c>
      <c r="Y107" s="723">
        <v>18.95</v>
      </c>
      <c r="Z107" s="382">
        <v>0.13696434615484443</v>
      </c>
      <c r="AA107" s="372">
        <v>27853.260539999999</v>
      </c>
      <c r="AB107" s="372">
        <v>28725.11952</v>
      </c>
      <c r="AC107" s="372">
        <v>31633.436150000001</v>
      </c>
      <c r="AD107" s="372">
        <v>35873.824529999998</v>
      </c>
      <c r="AE107" s="372">
        <v>42212.18</v>
      </c>
      <c r="AF107" s="372">
        <v>55164.41</v>
      </c>
      <c r="AG107" s="372">
        <v>59946.67</v>
      </c>
      <c r="AH107" s="372">
        <v>37270</v>
      </c>
    </row>
    <row r="108" spans="1:34">
      <c r="A108" s="372" t="s">
        <v>1489</v>
      </c>
      <c r="B108" s="373" t="s">
        <v>1490</v>
      </c>
      <c r="C108" s="372" t="s">
        <v>1491</v>
      </c>
      <c r="D108" s="374">
        <v>1301110001585</v>
      </c>
      <c r="E108" s="372" t="s">
        <v>1491</v>
      </c>
      <c r="F108" s="372" t="s">
        <v>1357</v>
      </c>
      <c r="G108" s="375" t="s">
        <v>1357</v>
      </c>
      <c r="H108" s="375" t="s">
        <v>826</v>
      </c>
      <c r="I108" s="375" t="s">
        <v>754</v>
      </c>
      <c r="J108" s="375">
        <v>1610024.0767399999</v>
      </c>
      <c r="K108" s="375">
        <v>-285931.91078999999</v>
      </c>
      <c r="L108" s="375">
        <v>-547186.15699000005</v>
      </c>
      <c r="M108" s="375">
        <v>2406357.8756200001</v>
      </c>
      <c r="N108" s="372">
        <v>1.357</v>
      </c>
      <c r="O108" s="704">
        <v>66.921008992257725</v>
      </c>
      <c r="P108" s="375" t="s">
        <v>622</v>
      </c>
      <c r="Q108" s="372" t="s">
        <v>622</v>
      </c>
      <c r="R108" s="696">
        <v>19970718</v>
      </c>
      <c r="S108" s="372" t="s">
        <v>16269</v>
      </c>
      <c r="T108" s="697" t="s">
        <v>771</v>
      </c>
      <c r="U108" s="375" t="s">
        <v>1492</v>
      </c>
      <c r="V108" s="723" t="s">
        <v>773</v>
      </c>
      <c r="W108" s="723">
        <v>3.5</v>
      </c>
      <c r="X108" s="723">
        <v>3.37</v>
      </c>
      <c r="Y108" s="723" t="s">
        <v>773</v>
      </c>
      <c r="Z108" s="382">
        <v>0.18381484961854033</v>
      </c>
      <c r="AA108" s="372">
        <v>24658.500807299999</v>
      </c>
      <c r="AB108" s="372">
        <v>22642.070864199999</v>
      </c>
      <c r="AC108" s="372">
        <v>23866.500040800001</v>
      </c>
      <c r="AD108" s="372">
        <v>15707.515809299999</v>
      </c>
      <c r="AE108" s="372">
        <v>18354.330000000002</v>
      </c>
      <c r="AF108" s="372">
        <v>24484</v>
      </c>
      <c r="AG108" s="372">
        <v>30849.11</v>
      </c>
      <c r="AH108" s="372">
        <v>0</v>
      </c>
    </row>
    <row r="109" spans="1:34">
      <c r="A109" s="372" t="s">
        <v>1493</v>
      </c>
      <c r="B109" s="373" t="s">
        <v>1494</v>
      </c>
      <c r="C109" s="372" t="s">
        <v>1495</v>
      </c>
      <c r="D109" s="374">
        <v>1101110035893</v>
      </c>
      <c r="E109" s="372" t="s">
        <v>1496</v>
      </c>
      <c r="F109" s="375" t="s">
        <v>958</v>
      </c>
      <c r="G109" s="375" t="s">
        <v>959</v>
      </c>
      <c r="H109" s="375" t="s">
        <v>933</v>
      </c>
      <c r="I109" s="375" t="s">
        <v>754</v>
      </c>
      <c r="J109" s="375">
        <v>13663694.509919999</v>
      </c>
      <c r="K109" s="375">
        <v>1201265.26501</v>
      </c>
      <c r="L109" s="375">
        <v>1173365.08152</v>
      </c>
      <c r="M109" s="375">
        <v>5308842.2472599996</v>
      </c>
      <c r="N109" s="372">
        <v>0.58299999999999996</v>
      </c>
      <c r="O109" s="704">
        <v>78.382909525388584</v>
      </c>
      <c r="P109" s="375" t="s">
        <v>622</v>
      </c>
      <c r="Q109" s="375" t="s">
        <v>622</v>
      </c>
      <c r="R109" s="696">
        <v>19890825</v>
      </c>
      <c r="S109" s="375" t="s">
        <v>1497</v>
      </c>
      <c r="T109" s="697">
        <v>0.26400000000000001</v>
      </c>
      <c r="U109" s="375" t="s">
        <v>1498</v>
      </c>
      <c r="V109" s="723">
        <v>0</v>
      </c>
      <c r="W109" s="723">
        <v>0.55000000000000004</v>
      </c>
      <c r="X109" s="723">
        <v>0.18</v>
      </c>
      <c r="Y109" s="723">
        <v>3.36</v>
      </c>
      <c r="Z109" s="382" t="s">
        <v>927</v>
      </c>
      <c r="AA109" s="372">
        <v>143905.93722260001</v>
      </c>
      <c r="AB109" s="372">
        <v>153570.58361589999</v>
      </c>
      <c r="AC109" s="372">
        <v>121776.9000793</v>
      </c>
      <c r="AD109" s="372">
        <v>131813.25183389999</v>
      </c>
      <c r="AE109" s="372">
        <v>0</v>
      </c>
      <c r="AF109" s="372">
        <v>0</v>
      </c>
      <c r="AG109" s="372">
        <v>0</v>
      </c>
      <c r="AH109" s="372">
        <v>0</v>
      </c>
    </row>
    <row r="110" spans="1:34">
      <c r="A110" s="372" t="s">
        <v>1499</v>
      </c>
      <c r="B110" s="373" t="s">
        <v>1500</v>
      </c>
      <c r="C110" s="372" t="s">
        <v>1501</v>
      </c>
      <c r="D110" s="374">
        <v>1760110020640</v>
      </c>
      <c r="E110" s="372" t="s">
        <v>1502</v>
      </c>
      <c r="F110" s="375" t="s">
        <v>1276</v>
      </c>
      <c r="G110" s="375" t="s">
        <v>1452</v>
      </c>
      <c r="H110" s="375" t="s">
        <v>753</v>
      </c>
      <c r="I110" s="375" t="s">
        <v>754</v>
      </c>
      <c r="J110" s="375">
        <v>2652954.6612</v>
      </c>
      <c r="K110" s="375">
        <v>187066.10581000001</v>
      </c>
      <c r="L110" s="375">
        <v>102316.29032</v>
      </c>
      <c r="M110" s="375">
        <v>2195843.2612999999</v>
      </c>
      <c r="N110" s="372">
        <v>1.012</v>
      </c>
      <c r="O110" s="704">
        <v>15.368194651228004</v>
      </c>
      <c r="P110" s="375" t="s">
        <v>622</v>
      </c>
      <c r="Q110" s="375" t="s">
        <v>622</v>
      </c>
      <c r="R110" s="696">
        <v>20191113</v>
      </c>
      <c r="S110" s="375" t="s">
        <v>1503</v>
      </c>
      <c r="T110" s="697">
        <v>0.23100000000000001</v>
      </c>
      <c r="U110" s="375" t="s">
        <v>1504</v>
      </c>
      <c r="V110" s="723">
        <v>11.5</v>
      </c>
      <c r="W110" s="723">
        <v>1.52</v>
      </c>
      <c r="X110" s="723">
        <v>1.27</v>
      </c>
      <c r="Y110" s="723">
        <v>25.36</v>
      </c>
      <c r="Z110" s="382">
        <v>8.7230485868157626E-2</v>
      </c>
      <c r="AA110" s="372">
        <v>16428.5457159</v>
      </c>
      <c r="AB110" s="372">
        <v>20895.030391200002</v>
      </c>
      <c r="AC110" s="372">
        <v>21879.801993900001</v>
      </c>
      <c r="AD110" s="372">
        <v>24530.7954192</v>
      </c>
      <c r="AE110" s="372">
        <v>27830.53</v>
      </c>
      <c r="AF110" s="372">
        <v>30875.82</v>
      </c>
      <c r="AG110" s="372">
        <v>34276.629999999997</v>
      </c>
      <c r="AH110" s="372">
        <v>32079</v>
      </c>
    </row>
    <row r="111" spans="1:34">
      <c r="A111" s="372" t="s">
        <v>1505</v>
      </c>
      <c r="B111" s="373" t="s">
        <v>1506</v>
      </c>
      <c r="C111" s="372" t="s">
        <v>1507</v>
      </c>
      <c r="D111" s="374">
        <v>1512110026289</v>
      </c>
      <c r="E111" s="372" t="s">
        <v>1508</v>
      </c>
      <c r="F111" s="375" t="s">
        <v>824</v>
      </c>
      <c r="G111" s="375" t="s">
        <v>16108</v>
      </c>
      <c r="H111" s="375" t="s">
        <v>861</v>
      </c>
      <c r="I111" s="375" t="s">
        <v>862</v>
      </c>
      <c r="J111" s="375">
        <v>339694.34006999998</v>
      </c>
      <c r="K111" s="375">
        <v>-36621.538200000003</v>
      </c>
      <c r="L111" s="375">
        <v>-461904.45328000002</v>
      </c>
      <c r="M111" s="375">
        <v>593047.93304999999</v>
      </c>
      <c r="N111" s="372">
        <v>1.3420000000000001</v>
      </c>
      <c r="O111" s="704">
        <v>8.5435955685478149</v>
      </c>
      <c r="P111" s="375" t="s">
        <v>622</v>
      </c>
      <c r="Q111" s="375" t="s">
        <v>622</v>
      </c>
      <c r="R111" s="696">
        <v>20211101</v>
      </c>
      <c r="S111" s="375" t="s">
        <v>1509</v>
      </c>
      <c r="T111" s="697" t="s">
        <v>771</v>
      </c>
      <c r="U111" s="375" t="s">
        <v>1510</v>
      </c>
      <c r="V111" s="723" t="s">
        <v>773</v>
      </c>
      <c r="W111" s="723">
        <v>6.5</v>
      </c>
      <c r="X111" s="723">
        <v>10.95</v>
      </c>
      <c r="Y111" s="723" t="s">
        <v>773</v>
      </c>
      <c r="Z111" s="382" t="s">
        <v>927</v>
      </c>
      <c r="AA111" s="372">
        <v>1388.8778752000001</v>
      </c>
      <c r="AB111" s="372">
        <v>2143.2971363000001</v>
      </c>
      <c r="AC111" s="372">
        <v>5097.9282532999996</v>
      </c>
      <c r="AD111" s="372">
        <v>4246.9139931999998</v>
      </c>
      <c r="AE111" s="372">
        <v>9830</v>
      </c>
      <c r="AF111" s="372">
        <v>12290</v>
      </c>
      <c r="AG111" s="372">
        <v>0</v>
      </c>
      <c r="AH111" s="372">
        <v>0</v>
      </c>
    </row>
    <row r="112" spans="1:34">
      <c r="A112" s="372" t="s">
        <v>1511</v>
      </c>
      <c r="B112" s="373" t="s">
        <v>1512</v>
      </c>
      <c r="C112" s="372" t="s">
        <v>1513</v>
      </c>
      <c r="D112" s="374">
        <v>1348110003187</v>
      </c>
      <c r="E112" s="372" t="s">
        <v>1514</v>
      </c>
      <c r="F112" s="372" t="s">
        <v>893</v>
      </c>
      <c r="G112" s="375" t="s">
        <v>894</v>
      </c>
      <c r="H112" s="375" t="s">
        <v>855</v>
      </c>
      <c r="I112" s="375" t="s">
        <v>754</v>
      </c>
      <c r="J112" s="375">
        <v>1283652.1463899999</v>
      </c>
      <c r="K112" s="375">
        <v>44262.510580000002</v>
      </c>
      <c r="L112" s="375">
        <v>121676.81987000001</v>
      </c>
      <c r="M112" s="375">
        <v>839075.76434999995</v>
      </c>
      <c r="N112" s="372">
        <v>0.68200000000000005</v>
      </c>
      <c r="O112" s="704">
        <v>6.9880769414440937</v>
      </c>
      <c r="P112" s="375" t="s">
        <v>622</v>
      </c>
      <c r="Q112" s="375" t="s">
        <v>622</v>
      </c>
      <c r="R112" s="696">
        <v>19880620</v>
      </c>
      <c r="S112" s="375" t="s">
        <v>1515</v>
      </c>
      <c r="T112" s="697">
        <v>0.23100000000000001</v>
      </c>
      <c r="U112" s="375" t="s">
        <v>1516</v>
      </c>
      <c r="V112" s="723">
        <v>44.2</v>
      </c>
      <c r="W112" s="723">
        <v>2.5499999999999998</v>
      </c>
      <c r="X112" s="723">
        <v>1.72</v>
      </c>
      <c r="Y112" s="723">
        <v>21.03</v>
      </c>
      <c r="Z112" s="382" t="s">
        <v>927</v>
      </c>
      <c r="AA112" s="372">
        <v>8573.8341913999993</v>
      </c>
      <c r="AB112" s="372">
        <v>9501.6481734000008</v>
      </c>
      <c r="AC112" s="372">
        <v>10460.5421083</v>
      </c>
      <c r="AD112" s="372">
        <v>12479.063790599999</v>
      </c>
      <c r="AE112" s="372">
        <v>0</v>
      </c>
      <c r="AF112" s="372">
        <v>0</v>
      </c>
      <c r="AG112" s="372">
        <v>0</v>
      </c>
      <c r="AH112" s="372">
        <v>0</v>
      </c>
    </row>
    <row r="113" spans="1:34">
      <c r="A113" s="372" t="s">
        <v>1517</v>
      </c>
      <c r="B113" s="373" t="s">
        <v>1518</v>
      </c>
      <c r="C113" s="372" t="s">
        <v>1519</v>
      </c>
      <c r="D113" s="374">
        <v>1101110003965</v>
      </c>
      <c r="E113" s="372" t="s">
        <v>1519</v>
      </c>
      <c r="F113" s="372" t="s">
        <v>893</v>
      </c>
      <c r="G113" s="375" t="s">
        <v>894</v>
      </c>
      <c r="H113" s="375" t="s">
        <v>855</v>
      </c>
      <c r="I113" s="375" t="s">
        <v>754</v>
      </c>
      <c r="J113" s="375">
        <v>26303897</v>
      </c>
      <c r="K113" s="375">
        <v>973871</v>
      </c>
      <c r="L113" s="375">
        <v>749914</v>
      </c>
      <c r="M113" s="375">
        <v>6963491</v>
      </c>
      <c r="N113" s="372">
        <v>1.2330000000000001</v>
      </c>
      <c r="O113" s="704">
        <v>283.09611766748634</v>
      </c>
      <c r="P113" s="375" t="s">
        <v>622</v>
      </c>
      <c r="Q113" s="375" t="s">
        <v>622</v>
      </c>
      <c r="R113" s="696">
        <v>19770630</v>
      </c>
      <c r="S113" s="375" t="s">
        <v>1520</v>
      </c>
      <c r="T113" s="697">
        <v>0.26400000000000001</v>
      </c>
      <c r="U113" s="375" t="s">
        <v>1521</v>
      </c>
      <c r="V113" s="723">
        <v>8.59</v>
      </c>
      <c r="W113" s="723">
        <v>0.8</v>
      </c>
      <c r="X113" s="723">
        <v>0.15</v>
      </c>
      <c r="Y113" s="723">
        <v>7.98</v>
      </c>
      <c r="Z113" s="382">
        <v>4.5778382122246608E-2</v>
      </c>
      <c r="AA113" s="372">
        <v>104443.16</v>
      </c>
      <c r="AB113" s="372">
        <v>128292.74</v>
      </c>
      <c r="AC113" s="372">
        <v>174913.38</v>
      </c>
      <c r="AD113" s="372">
        <v>244807.43</v>
      </c>
      <c r="AE113" s="372">
        <v>267489.40000000002</v>
      </c>
      <c r="AF113" s="372">
        <v>276135.90000000002</v>
      </c>
      <c r="AG113" s="372">
        <v>292808.2</v>
      </c>
      <c r="AH113" s="372">
        <v>0</v>
      </c>
    </row>
    <row r="114" spans="1:34">
      <c r="A114" s="372" t="s">
        <v>1522</v>
      </c>
      <c r="B114" s="373" t="s">
        <v>1523</v>
      </c>
      <c r="C114" s="372" t="s">
        <v>15826</v>
      </c>
      <c r="D114" s="374">
        <v>1812110000526</v>
      </c>
      <c r="E114" s="372" t="s">
        <v>15827</v>
      </c>
      <c r="F114" s="372" t="s">
        <v>1136</v>
      </c>
      <c r="G114" s="375" t="s">
        <v>1137</v>
      </c>
      <c r="H114" s="375" t="s">
        <v>792</v>
      </c>
      <c r="I114" s="375" t="s">
        <v>754</v>
      </c>
      <c r="J114" s="375">
        <v>4309956.6449999996</v>
      </c>
      <c r="K114" s="375">
        <v>-23548.643</v>
      </c>
      <c r="L114" s="375">
        <v>-77608.422000000006</v>
      </c>
      <c r="M114" s="375">
        <v>2049688.9310000001</v>
      </c>
      <c r="N114" s="372">
        <v>0.67900000000000005</v>
      </c>
      <c r="O114" s="704">
        <v>4.3659749757795785</v>
      </c>
      <c r="P114" s="375" t="s">
        <v>622</v>
      </c>
      <c r="Q114" s="372" t="s">
        <v>622</v>
      </c>
      <c r="R114" s="696">
        <v>19831220</v>
      </c>
      <c r="S114" s="372" t="s">
        <v>1524</v>
      </c>
      <c r="T114" s="697" t="s">
        <v>771</v>
      </c>
      <c r="U114" s="375" t="s">
        <v>1525</v>
      </c>
      <c r="V114" s="723">
        <v>76.61</v>
      </c>
      <c r="W114" s="723">
        <v>1.98</v>
      </c>
      <c r="X114" s="723">
        <v>0.92</v>
      </c>
      <c r="Y114" s="723" t="s">
        <v>773</v>
      </c>
      <c r="Z114" s="382">
        <v>8.1004026521663386E-2</v>
      </c>
      <c r="AA114" s="372">
        <v>27920.1109</v>
      </c>
      <c r="AB114" s="372">
        <v>28872.122510000001</v>
      </c>
      <c r="AC114" s="372">
        <v>37168.609420000001</v>
      </c>
      <c r="AD114" s="372">
        <v>40390.657050000002</v>
      </c>
      <c r="AE114" s="372">
        <v>44139.22</v>
      </c>
      <c r="AF114" s="372">
        <v>49664.17</v>
      </c>
      <c r="AG114" s="372">
        <v>55155.67</v>
      </c>
      <c r="AH114" s="372">
        <v>59020</v>
      </c>
    </row>
    <row r="115" spans="1:34">
      <c r="A115" s="372" t="s">
        <v>1526</v>
      </c>
      <c r="B115" s="373" t="s">
        <v>1527</v>
      </c>
      <c r="C115" s="372" t="s">
        <v>1528</v>
      </c>
      <c r="D115" s="374">
        <v>1101111264764</v>
      </c>
      <c r="E115" s="372" t="s">
        <v>1529</v>
      </c>
      <c r="F115" s="375" t="s">
        <v>1075</v>
      </c>
      <c r="G115" s="375" t="s">
        <v>1530</v>
      </c>
      <c r="H115" s="375" t="s">
        <v>1531</v>
      </c>
      <c r="I115" s="375" t="s">
        <v>862</v>
      </c>
      <c r="J115" s="375">
        <v>559753.72213999997</v>
      </c>
      <c r="K115" s="375">
        <v>129248.55688</v>
      </c>
      <c r="L115" s="375">
        <v>113046.75526000001</v>
      </c>
      <c r="M115" s="375">
        <v>453852.42095</v>
      </c>
      <c r="N115" s="372">
        <v>0.73299999999999998</v>
      </c>
      <c r="O115" s="704">
        <v>0.64704818751488646</v>
      </c>
      <c r="P115" s="375" t="s">
        <v>622</v>
      </c>
      <c r="Q115" s="375" t="s">
        <v>622</v>
      </c>
      <c r="R115" s="696">
        <v>20010828</v>
      </c>
      <c r="S115" s="375" t="s">
        <v>1532</v>
      </c>
      <c r="T115" s="697">
        <v>0.23100000000000001</v>
      </c>
      <c r="U115" s="375" t="s">
        <v>1533</v>
      </c>
      <c r="V115" s="723">
        <v>12.54</v>
      </c>
      <c r="W115" s="723">
        <v>3.87</v>
      </c>
      <c r="X115" s="723">
        <v>3.2</v>
      </c>
      <c r="Y115" s="723">
        <v>23.63</v>
      </c>
      <c r="Z115" s="382">
        <v>5.8777407532561998E-2</v>
      </c>
      <c r="AA115" s="372">
        <v>1443.9902199000001</v>
      </c>
      <c r="AB115" s="372">
        <v>1938.9956176999999</v>
      </c>
      <c r="AC115" s="372">
        <v>3458.9211021000001</v>
      </c>
      <c r="AD115" s="372">
        <v>5665.0054287000003</v>
      </c>
      <c r="AE115" s="372">
        <v>5647.47</v>
      </c>
      <c r="AF115" s="372">
        <v>6460.94</v>
      </c>
      <c r="AG115" s="372">
        <v>7119</v>
      </c>
      <c r="AH115" s="372">
        <v>14810</v>
      </c>
    </row>
    <row r="116" spans="1:34">
      <c r="A116" s="372" t="s">
        <v>1534</v>
      </c>
      <c r="B116" s="373" t="s">
        <v>1535</v>
      </c>
      <c r="C116" s="372" t="s">
        <v>1536</v>
      </c>
      <c r="D116" s="374">
        <v>1101117875440</v>
      </c>
      <c r="E116" s="372" t="s">
        <v>1536</v>
      </c>
      <c r="F116" s="375" t="s">
        <v>1537</v>
      </c>
      <c r="G116" s="375" t="s">
        <v>1538</v>
      </c>
      <c r="H116" s="375" t="s">
        <v>1539</v>
      </c>
      <c r="I116" s="375" t="s">
        <v>754</v>
      </c>
      <c r="J116" s="375">
        <v>1932260.9938300001</v>
      </c>
      <c r="K116" s="375">
        <v>474374.65256999998</v>
      </c>
      <c r="L116" s="375">
        <v>471429.04022999998</v>
      </c>
      <c r="M116" s="375">
        <v>1484687.1627199999</v>
      </c>
      <c r="N116" s="372">
        <v>0.96099999999999997</v>
      </c>
      <c r="O116" s="704">
        <v>12.733645645606224</v>
      </c>
      <c r="P116" s="375" t="s">
        <v>622</v>
      </c>
      <c r="Q116" s="375" t="s">
        <v>622</v>
      </c>
      <c r="R116" s="696">
        <v>20210521</v>
      </c>
      <c r="S116" s="375" t="s">
        <v>1540</v>
      </c>
      <c r="T116" s="697">
        <v>0.26400000000000001</v>
      </c>
      <c r="U116" s="375" t="s">
        <v>1541</v>
      </c>
      <c r="V116" s="723">
        <v>4.8099999999999996</v>
      </c>
      <c r="W116" s="723">
        <v>1.75</v>
      </c>
      <c r="X116" s="723">
        <v>1.36</v>
      </c>
      <c r="Y116" s="723">
        <v>7.39</v>
      </c>
      <c r="Z116" s="382">
        <v>1.9137168716481412E-2</v>
      </c>
      <c r="AA116" s="372">
        <v>0</v>
      </c>
      <c r="AB116" s="372">
        <v>10891.720869299999</v>
      </c>
      <c r="AC116" s="372">
        <v>18088.945467000001</v>
      </c>
      <c r="AD116" s="372">
        <v>19784.955358899999</v>
      </c>
      <c r="AE116" s="372">
        <v>19331.669999999998</v>
      </c>
      <c r="AF116" s="372">
        <v>20336.580000000002</v>
      </c>
      <c r="AG116" s="372">
        <v>21343.5</v>
      </c>
      <c r="AH116" s="372">
        <v>0</v>
      </c>
    </row>
    <row r="117" spans="1:34">
      <c r="A117" s="372" t="s">
        <v>1542</v>
      </c>
      <c r="B117" s="373" t="s">
        <v>1543</v>
      </c>
      <c r="C117" s="372" t="s">
        <v>1544</v>
      </c>
      <c r="D117" s="374">
        <v>1101110015639</v>
      </c>
      <c r="E117" s="372" t="s">
        <v>1545</v>
      </c>
      <c r="F117" s="375" t="s">
        <v>893</v>
      </c>
      <c r="G117" s="375" t="s">
        <v>894</v>
      </c>
      <c r="H117" s="375" t="s">
        <v>855</v>
      </c>
      <c r="I117" s="375" t="s">
        <v>754</v>
      </c>
      <c r="J117" s="375">
        <v>42629816.527000003</v>
      </c>
      <c r="K117" s="375">
        <v>2490709.27</v>
      </c>
      <c r="L117" s="375">
        <v>977321.91</v>
      </c>
      <c r="M117" s="375">
        <v>17309688.903999999</v>
      </c>
      <c r="N117" s="372">
        <v>0.86499999999999999</v>
      </c>
      <c r="O117" s="704">
        <v>639.10167924259213</v>
      </c>
      <c r="P117" s="375" t="s">
        <v>622</v>
      </c>
      <c r="Q117" s="375" t="s">
        <v>622</v>
      </c>
      <c r="R117" s="696">
        <v>19730629</v>
      </c>
      <c r="S117" s="375" t="s">
        <v>854</v>
      </c>
      <c r="T117" s="697">
        <v>0.26400000000000001</v>
      </c>
      <c r="U117" s="375" t="s">
        <v>1546</v>
      </c>
      <c r="V117" s="723">
        <v>5.17</v>
      </c>
      <c r="W117" s="723">
        <v>0.79</v>
      </c>
      <c r="X117" s="723">
        <v>0.1</v>
      </c>
      <c r="Y117" s="723">
        <v>33.29</v>
      </c>
      <c r="Z117" s="382">
        <v>3.8188392945800231E-2</v>
      </c>
      <c r="AA117" s="372">
        <v>319991.02947000001</v>
      </c>
      <c r="AB117" s="372">
        <v>344840.26553999999</v>
      </c>
      <c r="AC117" s="372">
        <v>409248.79772999999</v>
      </c>
      <c r="AD117" s="372">
        <v>413526.88159</v>
      </c>
      <c r="AE117" s="372">
        <v>438097.17</v>
      </c>
      <c r="AF117" s="372">
        <v>458362.75</v>
      </c>
      <c r="AG117" s="372">
        <v>480406</v>
      </c>
      <c r="AH117" s="372">
        <v>0</v>
      </c>
    </row>
    <row r="118" spans="1:34">
      <c r="A118" s="372" t="s">
        <v>1547</v>
      </c>
      <c r="B118" s="373" t="s">
        <v>1548</v>
      </c>
      <c r="C118" s="372" t="s">
        <v>1549</v>
      </c>
      <c r="D118" s="374">
        <v>1101110003204</v>
      </c>
      <c r="E118" s="372" t="s">
        <v>1550</v>
      </c>
      <c r="F118" s="375" t="s">
        <v>932</v>
      </c>
      <c r="G118" s="375" t="s">
        <v>932</v>
      </c>
      <c r="H118" s="375" t="s">
        <v>933</v>
      </c>
      <c r="I118" s="375" t="s">
        <v>754</v>
      </c>
      <c r="J118" s="375">
        <v>10390872.61791</v>
      </c>
      <c r="K118" s="375">
        <v>885313.03251000005</v>
      </c>
      <c r="L118" s="375">
        <v>1043430.37583</v>
      </c>
      <c r="M118" s="375">
        <v>13642361.47986</v>
      </c>
      <c r="N118" s="372">
        <v>1.034</v>
      </c>
      <c r="O118" s="704">
        <v>507.29449375584028</v>
      </c>
      <c r="P118" s="375" t="s">
        <v>622</v>
      </c>
      <c r="Q118" s="375" t="s">
        <v>622</v>
      </c>
      <c r="R118" s="696">
        <v>20100317</v>
      </c>
      <c r="S118" s="375" t="s">
        <v>1551</v>
      </c>
      <c r="T118" s="697">
        <v>0.26400000000000001</v>
      </c>
      <c r="U118" s="375" t="s">
        <v>1552</v>
      </c>
      <c r="V118" s="723">
        <v>0</v>
      </c>
      <c r="W118" s="723">
        <v>0.2</v>
      </c>
      <c r="X118" s="723">
        <v>0.11</v>
      </c>
      <c r="Y118" s="723">
        <v>4.25</v>
      </c>
      <c r="Z118" s="382" t="s">
        <v>927</v>
      </c>
      <c r="AA118" s="372">
        <v>162278.1052082</v>
      </c>
      <c r="AB118" s="372">
        <v>164579.21123370001</v>
      </c>
      <c r="AC118" s="372">
        <v>108774.66241</v>
      </c>
      <c r="AD118" s="372">
        <v>98105.103220000005</v>
      </c>
      <c r="AE118" s="372">
        <v>0</v>
      </c>
      <c r="AF118" s="372">
        <v>0</v>
      </c>
      <c r="AG118" s="372">
        <v>0</v>
      </c>
      <c r="AH118" s="372">
        <v>0</v>
      </c>
    </row>
    <row r="119" spans="1:34">
      <c r="A119" s="372" t="s">
        <v>1553</v>
      </c>
      <c r="B119" s="373" t="s">
        <v>1554</v>
      </c>
      <c r="C119" s="372" t="s">
        <v>1555</v>
      </c>
      <c r="D119" s="374">
        <v>1101111867948</v>
      </c>
      <c r="E119" s="372" t="s">
        <v>1556</v>
      </c>
      <c r="F119" s="375" t="s">
        <v>1262</v>
      </c>
      <c r="G119" s="375" t="s">
        <v>1263</v>
      </c>
      <c r="H119" s="375" t="s">
        <v>1264</v>
      </c>
      <c r="I119" s="375" t="s">
        <v>754</v>
      </c>
      <c r="J119" s="375">
        <v>1309893.75939</v>
      </c>
      <c r="K119" s="375">
        <v>641019.37615000003</v>
      </c>
      <c r="L119" s="375">
        <v>669313.28238999995</v>
      </c>
      <c r="M119" s="375">
        <v>5484223.83531</v>
      </c>
      <c r="N119" s="372">
        <v>1.4350000000000001</v>
      </c>
      <c r="O119" s="704">
        <v>746.54786831807496</v>
      </c>
      <c r="P119" s="375" t="s">
        <v>622</v>
      </c>
      <c r="Q119" s="375" t="s">
        <v>622</v>
      </c>
      <c r="R119" s="696">
        <v>20040421</v>
      </c>
      <c r="S119" s="375" t="s">
        <v>1557</v>
      </c>
      <c r="T119" s="697">
        <v>0.26400000000000001</v>
      </c>
      <c r="U119" s="375" t="s">
        <v>1558</v>
      </c>
      <c r="V119" s="723">
        <v>0</v>
      </c>
      <c r="W119" s="723">
        <v>0.66</v>
      </c>
      <c r="X119" s="723">
        <v>0.38</v>
      </c>
      <c r="Y119" s="723">
        <v>7.49</v>
      </c>
      <c r="Z119" s="382">
        <v>0.13971487987073239</v>
      </c>
      <c r="AA119" s="372">
        <v>14690.8018472</v>
      </c>
      <c r="AB119" s="372">
        <v>18353.342436899999</v>
      </c>
      <c r="AC119" s="372">
        <v>12687.0448194</v>
      </c>
      <c r="AD119" s="372">
        <v>11596.346164</v>
      </c>
      <c r="AE119" s="372">
        <v>18226.689999999999</v>
      </c>
      <c r="AF119" s="372">
        <v>18343</v>
      </c>
      <c r="AG119" s="372">
        <v>19566.18</v>
      </c>
      <c r="AH119" s="372">
        <v>0</v>
      </c>
    </row>
    <row r="120" spans="1:34">
      <c r="A120" s="372" t="s">
        <v>1559</v>
      </c>
      <c r="B120" s="373" t="s">
        <v>1560</v>
      </c>
      <c r="C120" s="372" t="s">
        <v>1561</v>
      </c>
      <c r="D120" s="374">
        <v>1101110186307</v>
      </c>
      <c r="E120" s="372" t="s">
        <v>1562</v>
      </c>
      <c r="F120" s="375" t="s">
        <v>1081</v>
      </c>
      <c r="G120" s="375" t="s">
        <v>1082</v>
      </c>
      <c r="H120" s="375" t="s">
        <v>817</v>
      </c>
      <c r="I120" s="375" t="s">
        <v>754</v>
      </c>
      <c r="J120" s="375">
        <v>557941.49121000001</v>
      </c>
      <c r="K120" s="375">
        <v>30102.073789999999</v>
      </c>
      <c r="L120" s="375">
        <v>51495.584069999997</v>
      </c>
      <c r="M120" s="375">
        <v>550877.10707999999</v>
      </c>
      <c r="N120" s="372">
        <v>0.84599999999999997</v>
      </c>
      <c r="O120" s="704">
        <v>6.540320486145508E-2</v>
      </c>
      <c r="P120" s="375" t="s">
        <v>622</v>
      </c>
      <c r="Q120" s="375" t="s">
        <v>622</v>
      </c>
      <c r="R120" s="696">
        <v>20091214</v>
      </c>
      <c r="S120" s="375" t="s">
        <v>1563</v>
      </c>
      <c r="T120" s="697">
        <v>0.23100000000000001</v>
      </c>
      <c r="U120" s="375" t="s">
        <v>1564</v>
      </c>
      <c r="V120" s="723">
        <v>48.89</v>
      </c>
      <c r="W120" s="723">
        <v>4.5599999999999996</v>
      </c>
      <c r="X120" s="723">
        <v>4.58</v>
      </c>
      <c r="Y120" s="723">
        <v>64.849999999999994</v>
      </c>
      <c r="Z120" s="382">
        <v>6.433788955454478E-2</v>
      </c>
      <c r="AA120" s="372">
        <v>4317.2262573999997</v>
      </c>
      <c r="AB120" s="372">
        <v>4331.2663941999999</v>
      </c>
      <c r="AC120" s="372">
        <v>5052.9077305999999</v>
      </c>
      <c r="AD120" s="372">
        <v>5450.9177261000004</v>
      </c>
      <c r="AE120" s="372">
        <v>5733.43</v>
      </c>
      <c r="AF120" s="372">
        <v>6315.83</v>
      </c>
      <c r="AG120" s="372">
        <v>6995</v>
      </c>
      <c r="AH120" s="372">
        <v>7891</v>
      </c>
    </row>
    <row r="121" spans="1:34">
      <c r="A121" s="372" t="s">
        <v>1565</v>
      </c>
      <c r="B121" s="373" t="s">
        <v>1566</v>
      </c>
      <c r="C121" s="372" t="s">
        <v>1567</v>
      </c>
      <c r="D121" s="374">
        <v>1101110792667</v>
      </c>
      <c r="E121" s="372" t="s">
        <v>1568</v>
      </c>
      <c r="F121" s="375" t="s">
        <v>1569</v>
      </c>
      <c r="G121" s="375" t="s">
        <v>1569</v>
      </c>
      <c r="H121" s="375" t="s">
        <v>846</v>
      </c>
      <c r="I121" s="375" t="s">
        <v>754</v>
      </c>
      <c r="J121" s="375">
        <v>4168199.4434500001</v>
      </c>
      <c r="K121" s="375">
        <v>355384.78590999998</v>
      </c>
      <c r="L121" s="375">
        <v>318208.84688000003</v>
      </c>
      <c r="M121" s="375">
        <v>2742023.2548600002</v>
      </c>
      <c r="N121" s="372">
        <v>0.70199999999999996</v>
      </c>
      <c r="O121" s="704">
        <v>57.361146973644814</v>
      </c>
      <c r="P121" s="375" t="s">
        <v>622</v>
      </c>
      <c r="Q121" s="375" t="s">
        <v>622</v>
      </c>
      <c r="R121" s="696">
        <v>20100928</v>
      </c>
      <c r="S121" s="375" t="s">
        <v>1570</v>
      </c>
      <c r="T121" s="697">
        <v>0.26400000000000001</v>
      </c>
      <c r="U121" s="375" t="s">
        <v>1571</v>
      </c>
      <c r="V121" s="723">
        <v>7.36</v>
      </c>
      <c r="W121" s="723">
        <v>1.24</v>
      </c>
      <c r="X121" s="723">
        <v>0.61</v>
      </c>
      <c r="Y121" s="723">
        <v>24.74</v>
      </c>
      <c r="Z121" s="382">
        <v>3.0198856354181736E-2</v>
      </c>
      <c r="AA121" s="372">
        <v>31288.058528000001</v>
      </c>
      <c r="AB121" s="372">
        <v>37939.586399500004</v>
      </c>
      <c r="AC121" s="372">
        <v>42217.501266200001</v>
      </c>
      <c r="AD121" s="372">
        <v>40066.274555099997</v>
      </c>
      <c r="AE121" s="372">
        <v>42493.89</v>
      </c>
      <c r="AF121" s="372">
        <v>43441.78</v>
      </c>
      <c r="AG121" s="372">
        <v>45129.78</v>
      </c>
      <c r="AH121" s="372">
        <v>0</v>
      </c>
    </row>
    <row r="122" spans="1:34">
      <c r="A122" s="372" t="s">
        <v>1572</v>
      </c>
      <c r="B122" s="373" t="s">
        <v>1573</v>
      </c>
      <c r="C122" s="372" t="s">
        <v>1574</v>
      </c>
      <c r="D122" s="374">
        <v>1101113509887</v>
      </c>
      <c r="E122" s="372" t="s">
        <v>1575</v>
      </c>
      <c r="F122" s="375" t="s">
        <v>1576</v>
      </c>
      <c r="G122" s="375" t="s">
        <v>1577</v>
      </c>
      <c r="H122" s="375" t="s">
        <v>1043</v>
      </c>
      <c r="I122" s="375" t="s">
        <v>754</v>
      </c>
      <c r="J122" s="375">
        <v>2773670.5360400002</v>
      </c>
      <c r="K122" s="375">
        <v>226133.03161000001</v>
      </c>
      <c r="L122" s="375">
        <v>142536.04357000001</v>
      </c>
      <c r="M122" s="375">
        <v>1129161.78654</v>
      </c>
      <c r="N122" s="372">
        <v>0.95799999999999996</v>
      </c>
      <c r="O122" s="704">
        <v>51.356145747484327</v>
      </c>
      <c r="P122" s="375" t="s">
        <v>622</v>
      </c>
      <c r="Q122" s="375" t="s">
        <v>622</v>
      </c>
      <c r="R122" s="696">
        <v>20141127</v>
      </c>
      <c r="S122" s="375" t="s">
        <v>1578</v>
      </c>
      <c r="T122" s="697">
        <v>0.23100000000000001</v>
      </c>
      <c r="U122" s="375" t="s">
        <v>1579</v>
      </c>
      <c r="V122" s="723">
        <v>12</v>
      </c>
      <c r="W122" s="723">
        <v>2.59</v>
      </c>
      <c r="X122" s="723">
        <v>1.05</v>
      </c>
      <c r="Y122" s="723">
        <v>25.74</v>
      </c>
      <c r="Z122" s="382">
        <v>0.26903504699972469</v>
      </c>
      <c r="AA122" s="372">
        <v>9690.6681991999994</v>
      </c>
      <c r="AB122" s="372">
        <v>11950.364470099999</v>
      </c>
      <c r="AC122" s="372">
        <v>13748.93318</v>
      </c>
      <c r="AD122" s="372">
        <v>15201.6211549</v>
      </c>
      <c r="AE122" s="372">
        <v>30952.07</v>
      </c>
      <c r="AF122" s="372">
        <v>33676.07</v>
      </c>
      <c r="AG122" s="372">
        <v>39426.15</v>
      </c>
      <c r="AH122" s="372">
        <v>51630.5</v>
      </c>
    </row>
    <row r="123" spans="1:34">
      <c r="A123" s="372" t="s">
        <v>1580</v>
      </c>
      <c r="B123" s="373" t="s">
        <v>1581</v>
      </c>
      <c r="C123" s="372" t="s">
        <v>1582</v>
      </c>
      <c r="D123" s="374">
        <v>1101116555770</v>
      </c>
      <c r="E123" s="372" t="s">
        <v>1583</v>
      </c>
      <c r="F123" s="372" t="s">
        <v>1584</v>
      </c>
      <c r="G123" s="375" t="s">
        <v>1585</v>
      </c>
      <c r="H123" s="375" t="s">
        <v>846</v>
      </c>
      <c r="I123" s="375" t="s">
        <v>754</v>
      </c>
      <c r="J123" s="375">
        <v>8522441.5207800008</v>
      </c>
      <c r="K123" s="375">
        <v>251074.674</v>
      </c>
      <c r="L123" s="375">
        <v>241745.17634000001</v>
      </c>
      <c r="M123" s="375">
        <v>1154181.61393</v>
      </c>
      <c r="N123" s="372">
        <v>0.13400000000000001</v>
      </c>
      <c r="O123" s="704">
        <v>0.36023068533679503</v>
      </c>
      <c r="P123" s="375" t="s">
        <v>622</v>
      </c>
      <c r="Q123" s="375" t="s">
        <v>622</v>
      </c>
      <c r="R123" s="696">
        <v>20171208</v>
      </c>
      <c r="S123" s="375" t="s">
        <v>1585</v>
      </c>
      <c r="T123" s="697">
        <v>0.23100000000000001</v>
      </c>
      <c r="U123" s="375" t="s">
        <v>1586</v>
      </c>
      <c r="V123" s="723">
        <v>2.61</v>
      </c>
      <c r="W123" s="723">
        <v>1.72</v>
      </c>
      <c r="X123" s="723">
        <v>0.23</v>
      </c>
      <c r="Y123" s="723">
        <v>10.41</v>
      </c>
      <c r="Z123" s="382">
        <v>4.1284151245271739E-2</v>
      </c>
      <c r="AA123" s="372">
        <v>61812.694192900002</v>
      </c>
      <c r="AB123" s="372">
        <v>67811.612590200006</v>
      </c>
      <c r="AC123" s="372">
        <v>76157.694677399995</v>
      </c>
      <c r="AD123" s="372">
        <v>81947.539788900001</v>
      </c>
      <c r="AE123" s="372">
        <v>86483.25</v>
      </c>
      <c r="AF123" s="372">
        <v>91407.63</v>
      </c>
      <c r="AG123" s="372">
        <v>96341.4</v>
      </c>
      <c r="AH123" s="372">
        <v>0</v>
      </c>
    </row>
    <row r="124" spans="1:34">
      <c r="A124" s="372" t="s">
        <v>1587</v>
      </c>
      <c r="B124" s="373" t="s">
        <v>1588</v>
      </c>
      <c r="C124" s="372" t="s">
        <v>1589</v>
      </c>
      <c r="D124" s="374">
        <v>1146710006125</v>
      </c>
      <c r="E124" s="372" t="s">
        <v>1590</v>
      </c>
      <c r="F124" s="375" t="s">
        <v>1591</v>
      </c>
      <c r="G124" s="375" t="s">
        <v>1591</v>
      </c>
      <c r="H124" s="375" t="s">
        <v>946</v>
      </c>
      <c r="I124" s="375" t="s">
        <v>754</v>
      </c>
      <c r="J124" s="375">
        <v>39062956.83585</v>
      </c>
      <c r="K124" s="375">
        <v>2356662.3821999999</v>
      </c>
      <c r="L124" s="375">
        <v>245203.42014999999</v>
      </c>
      <c r="M124" s="375">
        <v>10551043.95432</v>
      </c>
      <c r="N124" s="372">
        <v>1.1850000000000001</v>
      </c>
      <c r="O124" s="704">
        <v>1079.7408878177189</v>
      </c>
      <c r="P124" s="375" t="s">
        <v>622</v>
      </c>
      <c r="Q124" s="375" t="s">
        <v>622</v>
      </c>
      <c r="R124" s="696">
        <v>19991215</v>
      </c>
      <c r="S124" s="375" t="s">
        <v>1592</v>
      </c>
      <c r="T124" s="697">
        <v>0.23100000000000001</v>
      </c>
      <c r="U124" s="372" t="s">
        <v>1593</v>
      </c>
      <c r="V124" s="723">
        <v>9.3699999999999992</v>
      </c>
      <c r="W124" s="723">
        <v>0.41</v>
      </c>
      <c r="X124" s="723">
        <v>0.11</v>
      </c>
      <c r="Y124" s="723">
        <v>27.86</v>
      </c>
      <c r="Z124" s="382">
        <v>-3.5941110201580195E-2</v>
      </c>
      <c r="AA124" s="372">
        <v>208337.21595459999</v>
      </c>
      <c r="AB124" s="372">
        <v>275207.56430319999</v>
      </c>
      <c r="AC124" s="372">
        <v>517242.8663236</v>
      </c>
      <c r="AD124" s="372">
        <v>445559.95015019999</v>
      </c>
      <c r="AE124" s="372">
        <v>391791.35999999999</v>
      </c>
      <c r="AF124" s="372">
        <v>380500.69</v>
      </c>
      <c r="AG124" s="372">
        <v>384875.62</v>
      </c>
      <c r="AH124" s="372">
        <v>420760</v>
      </c>
    </row>
    <row r="125" spans="1:34">
      <c r="A125" s="372" t="s">
        <v>1594</v>
      </c>
      <c r="B125" s="373" t="s">
        <v>1595</v>
      </c>
      <c r="C125" s="372" t="s">
        <v>1596</v>
      </c>
      <c r="D125" s="374">
        <v>1101110270895</v>
      </c>
      <c r="E125" s="372" t="s">
        <v>1597</v>
      </c>
      <c r="F125" s="372" t="s">
        <v>1598</v>
      </c>
      <c r="G125" s="375" t="s">
        <v>1599</v>
      </c>
      <c r="H125" s="375" t="s">
        <v>826</v>
      </c>
      <c r="I125" s="375" t="s">
        <v>754</v>
      </c>
      <c r="J125" s="375">
        <v>779031.75361999997</v>
      </c>
      <c r="K125" s="375">
        <v>127335.16906</v>
      </c>
      <c r="L125" s="375">
        <v>140166.69516</v>
      </c>
      <c r="M125" s="375">
        <v>1077307.1431</v>
      </c>
      <c r="N125" s="372">
        <v>1.2609999999999999</v>
      </c>
      <c r="O125" s="704">
        <v>18.685438038817853</v>
      </c>
      <c r="P125" s="375" t="s">
        <v>622</v>
      </c>
      <c r="Q125" s="375" t="s">
        <v>622</v>
      </c>
      <c r="R125" s="696">
        <v>19890520</v>
      </c>
      <c r="S125" s="375" t="s">
        <v>1600</v>
      </c>
      <c r="T125" s="697">
        <v>0.23100000000000001</v>
      </c>
      <c r="U125" s="375" t="s">
        <v>1601</v>
      </c>
      <c r="V125" s="723">
        <v>9.85</v>
      </c>
      <c r="W125" s="723">
        <v>1.55</v>
      </c>
      <c r="X125" s="723">
        <v>1.96</v>
      </c>
      <c r="Y125" s="723">
        <v>12.9</v>
      </c>
      <c r="Z125" s="382">
        <v>5.4513576452948964E-2</v>
      </c>
      <c r="AA125" s="372">
        <v>6192.7767873000003</v>
      </c>
      <c r="AB125" s="372">
        <v>7686.8818055000002</v>
      </c>
      <c r="AC125" s="372">
        <v>8854.7079185999992</v>
      </c>
      <c r="AD125" s="372">
        <v>7716.5464155</v>
      </c>
      <c r="AE125" s="372">
        <v>8034.5</v>
      </c>
      <c r="AF125" s="372">
        <v>8725.5</v>
      </c>
      <c r="AG125" s="372">
        <v>9541.83</v>
      </c>
      <c r="AH125" s="372">
        <v>10357</v>
      </c>
    </row>
    <row r="126" spans="1:34">
      <c r="A126" s="372" t="s">
        <v>1602</v>
      </c>
      <c r="B126" s="373" t="s">
        <v>1603</v>
      </c>
      <c r="C126" s="372" t="s">
        <v>1604</v>
      </c>
      <c r="D126" s="374">
        <v>1801110750893</v>
      </c>
      <c r="E126" s="372" t="s">
        <v>1605</v>
      </c>
      <c r="F126" s="372" t="s">
        <v>853</v>
      </c>
      <c r="G126" s="375" t="s">
        <v>854</v>
      </c>
      <c r="H126" s="375" t="s">
        <v>855</v>
      </c>
      <c r="I126" s="375" t="s">
        <v>754</v>
      </c>
      <c r="J126" s="375">
        <v>0</v>
      </c>
      <c r="K126" s="375">
        <v>0</v>
      </c>
      <c r="L126" s="375">
        <v>0</v>
      </c>
      <c r="M126" s="375">
        <v>0</v>
      </c>
      <c r="N126" s="372">
        <v>0.69599999999999995</v>
      </c>
      <c r="O126" s="704" t="s">
        <v>16301</v>
      </c>
      <c r="P126" s="375" t="s">
        <v>622</v>
      </c>
      <c r="Q126" s="375" t="s">
        <v>622</v>
      </c>
      <c r="R126" s="696">
        <v>20110330</v>
      </c>
      <c r="S126" s="375" t="s">
        <v>869</v>
      </c>
      <c r="T126" s="697" t="s">
        <v>771</v>
      </c>
      <c r="U126" s="375" t="s">
        <v>1606</v>
      </c>
      <c r="V126" s="723">
        <v>0</v>
      </c>
      <c r="W126" s="723">
        <v>0</v>
      </c>
      <c r="X126" s="723">
        <v>0</v>
      </c>
      <c r="Y126" s="723">
        <v>0</v>
      </c>
      <c r="Z126" s="382">
        <v>1.9897151492173748E-2</v>
      </c>
      <c r="AA126" s="372">
        <v>33035.524849100002</v>
      </c>
      <c r="AB126" s="372">
        <v>35520.106516100001</v>
      </c>
      <c r="AC126" s="372">
        <v>47789.624740300002</v>
      </c>
      <c r="AD126" s="372">
        <v>66917.209793799993</v>
      </c>
      <c r="AE126" s="372">
        <v>69720.56</v>
      </c>
      <c r="AF126" s="372">
        <v>70284.5</v>
      </c>
      <c r="AG126" s="372">
        <v>72404.13</v>
      </c>
      <c r="AH126" s="372">
        <v>0</v>
      </c>
    </row>
    <row r="127" spans="1:34">
      <c r="A127" s="372" t="s">
        <v>1607</v>
      </c>
      <c r="B127" s="373" t="s">
        <v>1608</v>
      </c>
      <c r="C127" s="372" t="s">
        <v>1609</v>
      </c>
      <c r="D127" s="374">
        <v>1101110090037</v>
      </c>
      <c r="E127" s="372" t="s">
        <v>1610</v>
      </c>
      <c r="F127" s="375" t="s">
        <v>1584</v>
      </c>
      <c r="G127" s="375" t="s">
        <v>1585</v>
      </c>
      <c r="H127" s="375" t="s">
        <v>846</v>
      </c>
      <c r="I127" s="375" t="s">
        <v>754</v>
      </c>
      <c r="J127" s="375">
        <v>11981349.511539999</v>
      </c>
      <c r="K127" s="375">
        <v>370476.13496</v>
      </c>
      <c r="L127" s="375">
        <v>15319.463229999999</v>
      </c>
      <c r="M127" s="375">
        <v>4423530.2339899996</v>
      </c>
      <c r="N127" s="372">
        <v>0.60499999999999998</v>
      </c>
      <c r="O127" s="704">
        <v>132.85073476810632</v>
      </c>
      <c r="P127" s="375" t="s">
        <v>622</v>
      </c>
      <c r="Q127" s="375" t="s">
        <v>622</v>
      </c>
      <c r="R127" s="696">
        <v>20111223</v>
      </c>
      <c r="S127" s="375" t="s">
        <v>1611</v>
      </c>
      <c r="T127" s="697">
        <v>0.20900000000000002</v>
      </c>
      <c r="U127" s="375" t="s">
        <v>1612</v>
      </c>
      <c r="V127" s="723">
        <v>4.7</v>
      </c>
      <c r="W127" s="723">
        <v>0.54</v>
      </c>
      <c r="X127" s="723">
        <v>0.19</v>
      </c>
      <c r="Y127" s="723" t="s">
        <v>773</v>
      </c>
      <c r="Z127" s="382">
        <v>2.4895667745193251E-2</v>
      </c>
      <c r="AA127" s="372">
        <v>88623.189394100002</v>
      </c>
      <c r="AB127" s="372">
        <v>96906.593223799995</v>
      </c>
      <c r="AC127" s="372">
        <v>110318.9270595</v>
      </c>
      <c r="AD127" s="372">
        <v>116125.4792073</v>
      </c>
      <c r="AE127" s="372">
        <v>117696.53</v>
      </c>
      <c r="AF127" s="372">
        <v>122666.06</v>
      </c>
      <c r="AG127" s="372">
        <v>128128.62</v>
      </c>
      <c r="AH127" s="372">
        <v>0</v>
      </c>
    </row>
    <row r="128" spans="1:34">
      <c r="A128" s="372" t="s">
        <v>1613</v>
      </c>
      <c r="B128" s="373" t="s">
        <v>1614</v>
      </c>
      <c r="C128" s="372" t="s">
        <v>1615</v>
      </c>
      <c r="D128" s="374">
        <v>1101111516933</v>
      </c>
      <c r="E128" s="372" t="s">
        <v>1616</v>
      </c>
      <c r="F128" s="375" t="s">
        <v>1617</v>
      </c>
      <c r="G128" s="375" t="s">
        <v>1617</v>
      </c>
      <c r="H128" s="375" t="s">
        <v>1043</v>
      </c>
      <c r="I128" s="375" t="s">
        <v>754</v>
      </c>
      <c r="J128" s="375">
        <v>2788558.5250200001</v>
      </c>
      <c r="K128" s="375">
        <v>204984.20457</v>
      </c>
      <c r="L128" s="375">
        <v>183794.45387</v>
      </c>
      <c r="M128" s="375">
        <v>1172039.0614</v>
      </c>
      <c r="N128" s="372">
        <v>0.74199999999999999</v>
      </c>
      <c r="O128" s="704">
        <v>7.6671899141529885</v>
      </c>
      <c r="P128" s="375" t="s">
        <v>622</v>
      </c>
      <c r="Q128" s="372" t="s">
        <v>622</v>
      </c>
      <c r="R128" s="696">
        <v>20151002</v>
      </c>
      <c r="S128" s="372" t="s">
        <v>1618</v>
      </c>
      <c r="T128" s="697">
        <v>0.23100000000000001</v>
      </c>
      <c r="U128" s="375" t="s">
        <v>1619</v>
      </c>
      <c r="V128" s="723">
        <v>17.260000000000002</v>
      </c>
      <c r="W128" s="723">
        <v>4.03</v>
      </c>
      <c r="X128" s="723">
        <v>1.66</v>
      </c>
      <c r="Y128" s="723">
        <v>23.33</v>
      </c>
      <c r="Z128" s="382">
        <v>0.16906174699396792</v>
      </c>
      <c r="AA128" s="372">
        <v>16003.443150200001</v>
      </c>
      <c r="AB128" s="372">
        <v>18221.9431544</v>
      </c>
      <c r="AC128" s="372">
        <v>22207.518684300001</v>
      </c>
      <c r="AD128" s="372">
        <v>23085.710928699998</v>
      </c>
      <c r="AE128" s="372">
        <v>30109.35</v>
      </c>
      <c r="AF128" s="372">
        <v>36086.300000000003</v>
      </c>
      <c r="AG128" s="372">
        <v>43121.42</v>
      </c>
      <c r="AH128" s="372">
        <v>45595</v>
      </c>
    </row>
    <row r="129" spans="1:34">
      <c r="A129" s="372" t="s">
        <v>1620</v>
      </c>
      <c r="B129" s="373" t="s">
        <v>1621</v>
      </c>
      <c r="C129" s="372" t="s">
        <v>1622</v>
      </c>
      <c r="D129" s="374">
        <v>1101110026644</v>
      </c>
      <c r="E129" s="372" t="s">
        <v>1623</v>
      </c>
      <c r="F129" s="375" t="s">
        <v>1096</v>
      </c>
      <c r="G129" s="375" t="s">
        <v>1097</v>
      </c>
      <c r="H129" s="375" t="s">
        <v>826</v>
      </c>
      <c r="I129" s="375" t="s">
        <v>754</v>
      </c>
      <c r="J129" s="375">
        <v>4098530.59295</v>
      </c>
      <c r="K129" s="375">
        <v>200100.18473000001</v>
      </c>
      <c r="L129" s="375">
        <v>863996.58317999996</v>
      </c>
      <c r="M129" s="375">
        <v>7036114.2480600001</v>
      </c>
      <c r="N129" s="372">
        <v>0.84599999999999997</v>
      </c>
      <c r="O129" s="704">
        <v>25.201085214555857</v>
      </c>
      <c r="P129" s="375" t="s">
        <v>622</v>
      </c>
      <c r="Q129" s="375" t="s">
        <v>622</v>
      </c>
      <c r="R129" s="696">
        <v>19730430</v>
      </c>
      <c r="S129" s="375" t="s">
        <v>854</v>
      </c>
      <c r="T129" s="697">
        <v>0.26400000000000001</v>
      </c>
      <c r="U129" s="375" t="s">
        <v>1099</v>
      </c>
      <c r="V129" s="723">
        <v>13.38</v>
      </c>
      <c r="W129" s="723">
        <v>0.75</v>
      </c>
      <c r="X129" s="723">
        <v>0.65</v>
      </c>
      <c r="Y129" s="723">
        <v>9.66</v>
      </c>
      <c r="Z129" s="382">
        <v>5.8086847974215594E-2</v>
      </c>
      <c r="AA129" s="372">
        <v>49300.831498599997</v>
      </c>
      <c r="AB129" s="372">
        <v>53260.800072799997</v>
      </c>
      <c r="AC129" s="372">
        <v>44949.568066500004</v>
      </c>
      <c r="AD129" s="372">
        <v>40213.430389399997</v>
      </c>
      <c r="AE129" s="372">
        <v>43511.67</v>
      </c>
      <c r="AF129" s="372">
        <v>47436.33</v>
      </c>
      <c r="AG129" s="372">
        <v>50403</v>
      </c>
      <c r="AH129" s="372">
        <v>0</v>
      </c>
    </row>
    <row r="130" spans="1:34">
      <c r="A130" s="372" t="s">
        <v>1624</v>
      </c>
      <c r="B130" s="373" t="s">
        <v>1625</v>
      </c>
      <c r="C130" s="372" t="s">
        <v>1626</v>
      </c>
      <c r="D130" s="374">
        <v>1101110145519</v>
      </c>
      <c r="E130" s="372" t="s">
        <v>1627</v>
      </c>
      <c r="F130" s="372" t="s">
        <v>1628</v>
      </c>
      <c r="G130" s="375" t="s">
        <v>1629</v>
      </c>
      <c r="H130" s="375" t="s">
        <v>846</v>
      </c>
      <c r="I130" s="375" t="s">
        <v>754</v>
      </c>
      <c r="J130" s="375">
        <v>3937362.1533900001</v>
      </c>
      <c r="K130" s="375">
        <v>4503.3265199999996</v>
      </c>
      <c r="L130" s="375">
        <v>-22067.218680000002</v>
      </c>
      <c r="M130" s="375">
        <v>617722.40203</v>
      </c>
      <c r="N130" s="372">
        <v>0.71299999999999997</v>
      </c>
      <c r="O130" s="704">
        <v>100.40275594296808</v>
      </c>
      <c r="P130" s="375" t="s">
        <v>622</v>
      </c>
      <c r="Q130" s="375" t="s">
        <v>622</v>
      </c>
      <c r="R130" s="696">
        <v>19910312</v>
      </c>
      <c r="S130" s="375" t="s">
        <v>1630</v>
      </c>
      <c r="T130" s="697" t="s">
        <v>771</v>
      </c>
      <c r="U130" s="372" t="s">
        <v>1631</v>
      </c>
      <c r="V130" s="723">
        <v>23.29</v>
      </c>
      <c r="W130" s="723">
        <v>2.65</v>
      </c>
      <c r="X130" s="723">
        <v>0.49</v>
      </c>
      <c r="Y130" s="723" t="s">
        <v>773</v>
      </c>
      <c r="Z130" s="382">
        <v>7.5687884211792511E-2</v>
      </c>
      <c r="AA130" s="372">
        <v>31880.653380100001</v>
      </c>
      <c r="AB130" s="372">
        <v>37791.290655600002</v>
      </c>
      <c r="AC130" s="372">
        <v>49220.087273600002</v>
      </c>
      <c r="AD130" s="372">
        <v>35684.6618132</v>
      </c>
      <c r="AE130" s="372">
        <v>40583.07</v>
      </c>
      <c r="AF130" s="372">
        <v>44805.47</v>
      </c>
      <c r="AG130" s="372">
        <v>47777.86</v>
      </c>
      <c r="AH130" s="372">
        <v>0</v>
      </c>
    </row>
    <row r="131" spans="1:34">
      <c r="A131" s="372" t="s">
        <v>1632</v>
      </c>
      <c r="B131" s="373" t="s">
        <v>1633</v>
      </c>
      <c r="C131" s="372" t="s">
        <v>1634</v>
      </c>
      <c r="D131" s="374">
        <v>1101110057574</v>
      </c>
      <c r="E131" s="372" t="s">
        <v>1635</v>
      </c>
      <c r="F131" s="372" t="s">
        <v>2222</v>
      </c>
      <c r="G131" s="375" t="s">
        <v>2222</v>
      </c>
      <c r="H131" s="375" t="s">
        <v>1316</v>
      </c>
      <c r="I131" s="375" t="s">
        <v>754</v>
      </c>
      <c r="J131" s="375">
        <v>3440363.0725400001</v>
      </c>
      <c r="K131" s="375">
        <v>181600.81776000001</v>
      </c>
      <c r="L131" s="375">
        <v>215640.60287</v>
      </c>
      <c r="M131" s="375">
        <v>2582211.6982100001</v>
      </c>
      <c r="N131" s="372">
        <v>0.35499999999999998</v>
      </c>
      <c r="O131" s="704">
        <v>8.9766374551735311</v>
      </c>
      <c r="P131" s="375" t="s">
        <v>622</v>
      </c>
      <c r="Q131" s="375" t="s">
        <v>622</v>
      </c>
      <c r="R131" s="696">
        <v>19760630</v>
      </c>
      <c r="S131" s="375" t="s">
        <v>1636</v>
      </c>
      <c r="T131" s="697">
        <v>0.23100000000000001</v>
      </c>
      <c r="U131" s="375" t="s">
        <v>1637</v>
      </c>
      <c r="V131" s="723">
        <v>7.79</v>
      </c>
      <c r="W131" s="723">
        <v>0.88</v>
      </c>
      <c r="X131" s="723">
        <v>0.68</v>
      </c>
      <c r="Y131" s="723">
        <v>15.1</v>
      </c>
      <c r="Z131" s="382">
        <v>3.0422379358936658E-2</v>
      </c>
      <c r="AA131" s="372">
        <v>26397.956333400001</v>
      </c>
      <c r="AB131" s="372">
        <v>26629.829882099999</v>
      </c>
      <c r="AC131" s="372">
        <v>31290.652080799999</v>
      </c>
      <c r="AD131" s="372">
        <v>34105.593672499999</v>
      </c>
      <c r="AE131" s="372">
        <v>34766.57</v>
      </c>
      <c r="AF131" s="372">
        <v>36658.14</v>
      </c>
      <c r="AG131" s="372">
        <v>38449.15</v>
      </c>
      <c r="AH131" s="372">
        <v>0</v>
      </c>
    </row>
    <row r="132" spans="1:34">
      <c r="A132" s="372" t="s">
        <v>1638</v>
      </c>
      <c r="B132" s="373" t="s">
        <v>1639</v>
      </c>
      <c r="C132" s="372" t="s">
        <v>1640</v>
      </c>
      <c r="D132" s="374">
        <v>1101110998629</v>
      </c>
      <c r="E132" s="372" t="s">
        <v>1641</v>
      </c>
      <c r="F132" s="375" t="s">
        <v>1185</v>
      </c>
      <c r="G132" s="375" t="s">
        <v>1186</v>
      </c>
      <c r="H132" s="375" t="s">
        <v>861</v>
      </c>
      <c r="I132" s="375" t="s">
        <v>862</v>
      </c>
      <c r="J132" s="375">
        <v>301919.17044999998</v>
      </c>
      <c r="K132" s="375">
        <v>27397.851139999999</v>
      </c>
      <c r="L132" s="375">
        <v>39029.638200000001</v>
      </c>
      <c r="M132" s="375">
        <v>583430.72872999997</v>
      </c>
      <c r="N132" s="372">
        <v>1.1459999999999999</v>
      </c>
      <c r="O132" s="704">
        <v>0.43820394780233657</v>
      </c>
      <c r="P132" s="375" t="s">
        <v>622</v>
      </c>
      <c r="Q132" s="375" t="s">
        <v>622</v>
      </c>
      <c r="R132" s="696">
        <v>20000822</v>
      </c>
      <c r="S132" s="375" t="s">
        <v>1642</v>
      </c>
      <c r="T132" s="697">
        <v>0.23100000000000001</v>
      </c>
      <c r="U132" s="375" t="s">
        <v>1643</v>
      </c>
      <c r="V132" s="723">
        <v>56</v>
      </c>
      <c r="W132" s="723">
        <v>3.18</v>
      </c>
      <c r="X132" s="723">
        <v>6.25</v>
      </c>
      <c r="Y132" s="723">
        <v>65.33</v>
      </c>
      <c r="Z132" s="382">
        <v>0.1482906856345696</v>
      </c>
      <c r="AA132" s="372">
        <v>3251.2413937000001</v>
      </c>
      <c r="AB132" s="372">
        <v>3908.6018967</v>
      </c>
      <c r="AC132" s="372">
        <v>4471.5758974</v>
      </c>
      <c r="AD132" s="372">
        <v>3163.8401947000002</v>
      </c>
      <c r="AE132" s="372">
        <v>3307.75</v>
      </c>
      <c r="AF132" s="372">
        <v>4745</v>
      </c>
      <c r="AG132" s="372">
        <v>5500.75</v>
      </c>
      <c r="AH132" s="372">
        <v>7370</v>
      </c>
    </row>
    <row r="133" spans="1:34">
      <c r="A133" s="372" t="s">
        <v>1644</v>
      </c>
      <c r="B133" s="373" t="s">
        <v>1645</v>
      </c>
      <c r="C133" s="372" t="s">
        <v>1646</v>
      </c>
      <c r="D133" s="374">
        <v>1101110000086</v>
      </c>
      <c r="E133" s="372" t="s">
        <v>1647</v>
      </c>
      <c r="F133" s="375" t="s">
        <v>1648</v>
      </c>
      <c r="G133" s="375" t="s">
        <v>1649</v>
      </c>
      <c r="H133" s="375" t="s">
        <v>846</v>
      </c>
      <c r="I133" s="375" t="s">
        <v>754</v>
      </c>
      <c r="J133" s="375">
        <v>14142372.26206</v>
      </c>
      <c r="K133" s="375">
        <v>528279.12433999998</v>
      </c>
      <c r="L133" s="375">
        <v>-51836.909180000002</v>
      </c>
      <c r="M133" s="375">
        <v>10648660.918059999</v>
      </c>
      <c r="N133" s="372">
        <v>0.80200000000000005</v>
      </c>
      <c r="O133" s="704">
        <v>812.38571110426676</v>
      </c>
      <c r="P133" s="375" t="s">
        <v>622</v>
      </c>
      <c r="Q133" s="375" t="s">
        <v>622</v>
      </c>
      <c r="R133" s="696">
        <v>20060209</v>
      </c>
      <c r="S133" s="375" t="s">
        <v>1650</v>
      </c>
      <c r="T133" s="697" t="s">
        <v>771</v>
      </c>
      <c r="U133" s="375" t="s">
        <v>1651</v>
      </c>
      <c r="V133" s="723">
        <v>8.89</v>
      </c>
      <c r="W133" s="723">
        <v>0.19</v>
      </c>
      <c r="X133" s="723">
        <v>0.12</v>
      </c>
      <c r="Y133" s="723" t="s">
        <v>773</v>
      </c>
      <c r="Z133" s="382">
        <v>2.89206870251979E-3</v>
      </c>
      <c r="AA133" s="372">
        <v>161843.81959950001</v>
      </c>
      <c r="AB133" s="372">
        <v>155735.50042659999</v>
      </c>
      <c r="AC133" s="372">
        <v>154760.3565655</v>
      </c>
      <c r="AD133" s="372">
        <v>145558.63880290001</v>
      </c>
      <c r="AE133" s="372">
        <v>141659.64000000001</v>
      </c>
      <c r="AF133" s="372">
        <v>144367.45000000001</v>
      </c>
      <c r="AG133" s="372">
        <v>147249.82</v>
      </c>
      <c r="AH133" s="372">
        <v>0</v>
      </c>
    </row>
    <row r="134" spans="1:34">
      <c r="A134" s="372" t="s">
        <v>1652</v>
      </c>
      <c r="B134" s="373" t="s">
        <v>1653</v>
      </c>
      <c r="C134" s="372" t="s">
        <v>1654</v>
      </c>
      <c r="D134" s="374">
        <v>1101110026206</v>
      </c>
      <c r="E134" s="372" t="s">
        <v>1655</v>
      </c>
      <c r="F134" s="372" t="s">
        <v>1656</v>
      </c>
      <c r="G134" s="375" t="s">
        <v>1656</v>
      </c>
      <c r="H134" s="375" t="s">
        <v>753</v>
      </c>
      <c r="I134" s="375" t="s">
        <v>754</v>
      </c>
      <c r="J134" s="375">
        <v>1135151.2146699999</v>
      </c>
      <c r="K134" s="375">
        <v>200452.15867</v>
      </c>
      <c r="L134" s="375">
        <v>266311.61611</v>
      </c>
      <c r="M134" s="375">
        <v>1956910.84345</v>
      </c>
      <c r="N134" s="372">
        <v>1.3149999999999999</v>
      </c>
      <c r="O134" s="704">
        <v>10.532341192541983</v>
      </c>
      <c r="P134" s="375" t="s">
        <v>622</v>
      </c>
      <c r="Q134" s="375" t="s">
        <v>622</v>
      </c>
      <c r="R134" s="696">
        <v>19751212</v>
      </c>
      <c r="S134" s="375" t="s">
        <v>1657</v>
      </c>
      <c r="T134" s="697">
        <v>0.23100000000000001</v>
      </c>
      <c r="U134" s="375" t="s">
        <v>1658</v>
      </c>
      <c r="V134" s="723">
        <v>5.23</v>
      </c>
      <c r="W134" s="723">
        <v>0.88</v>
      </c>
      <c r="X134" s="723">
        <v>1.58</v>
      </c>
      <c r="Y134" s="723">
        <v>7.6</v>
      </c>
      <c r="Z134" s="382">
        <v>4.6873964546785052E-2</v>
      </c>
      <c r="AA134" s="372">
        <v>9359.1976648</v>
      </c>
      <c r="AB134" s="372">
        <v>12146.820401700001</v>
      </c>
      <c r="AC134" s="372">
        <v>16694.7672227</v>
      </c>
      <c r="AD134" s="372">
        <v>11542.236389399999</v>
      </c>
      <c r="AE134" s="372">
        <v>11262.5</v>
      </c>
      <c r="AF134" s="372">
        <v>12442.5</v>
      </c>
      <c r="AG134" s="372">
        <v>13863.33</v>
      </c>
      <c r="AH134" s="372">
        <v>0</v>
      </c>
    </row>
    <row r="135" spans="1:34">
      <c r="A135" s="372" t="s">
        <v>1659</v>
      </c>
      <c r="B135" s="373" t="s">
        <v>1660</v>
      </c>
      <c r="C135" s="372" t="s">
        <v>1661</v>
      </c>
      <c r="D135" s="374">
        <v>2101110091498</v>
      </c>
      <c r="E135" s="372" t="s">
        <v>1662</v>
      </c>
      <c r="F135" s="375" t="s">
        <v>853</v>
      </c>
      <c r="G135" s="375" t="s">
        <v>854</v>
      </c>
      <c r="H135" s="375" t="s">
        <v>855</v>
      </c>
      <c r="I135" s="375" t="s">
        <v>754</v>
      </c>
      <c r="J135" s="375">
        <v>0</v>
      </c>
      <c r="K135" s="375">
        <v>0</v>
      </c>
      <c r="L135" s="375">
        <v>0</v>
      </c>
      <c r="M135" s="375">
        <v>0</v>
      </c>
      <c r="N135" s="372">
        <v>0.879</v>
      </c>
      <c r="O135" s="704" t="s">
        <v>16301</v>
      </c>
      <c r="P135" s="375" t="s">
        <v>622</v>
      </c>
      <c r="Q135" s="375" t="s">
        <v>622</v>
      </c>
      <c r="R135" s="696">
        <v>20130718</v>
      </c>
      <c r="S135" s="375" t="s">
        <v>1663</v>
      </c>
      <c r="T135" s="697" t="s">
        <v>771</v>
      </c>
      <c r="U135" s="375" t="s">
        <v>1664</v>
      </c>
      <c r="V135" s="723">
        <v>0</v>
      </c>
      <c r="W135" s="723">
        <v>0</v>
      </c>
      <c r="X135" s="723">
        <v>0</v>
      </c>
      <c r="Y135" s="723">
        <v>0</v>
      </c>
      <c r="Z135" s="382">
        <v>2.7339280507923114E-2</v>
      </c>
      <c r="AA135" s="372">
        <v>18135.34</v>
      </c>
      <c r="AB135" s="372">
        <v>18995.560000000001</v>
      </c>
      <c r="AC135" s="372">
        <v>25262.41</v>
      </c>
      <c r="AD135" s="372">
        <v>33959.120000000003</v>
      </c>
      <c r="AE135" s="372">
        <v>36150.22</v>
      </c>
      <c r="AF135" s="372">
        <v>36584.5</v>
      </c>
      <c r="AG135" s="372">
        <v>37827.879999999997</v>
      </c>
      <c r="AH135" s="372">
        <v>0</v>
      </c>
    </row>
    <row r="136" spans="1:34">
      <c r="A136" s="372" t="s">
        <v>1665</v>
      </c>
      <c r="B136" s="373" t="s">
        <v>1666</v>
      </c>
      <c r="C136" s="372" t="s">
        <v>1667</v>
      </c>
      <c r="D136" s="374">
        <v>1101114594952</v>
      </c>
      <c r="E136" s="372" t="s">
        <v>1668</v>
      </c>
      <c r="F136" s="375" t="s">
        <v>1648</v>
      </c>
      <c r="G136" s="375" t="s">
        <v>1669</v>
      </c>
      <c r="H136" s="375" t="s">
        <v>846</v>
      </c>
      <c r="I136" s="375" t="s">
        <v>754</v>
      </c>
      <c r="J136" s="375">
        <v>29127295.206179999</v>
      </c>
      <c r="K136" s="375">
        <v>38680.704550000002</v>
      </c>
      <c r="L136" s="375">
        <v>-105108.34991</v>
      </c>
      <c r="M136" s="375">
        <v>13368927.93505</v>
      </c>
      <c r="N136" s="372">
        <v>0.84599999999999997</v>
      </c>
      <c r="O136" s="704">
        <v>692.77041828651602</v>
      </c>
      <c r="P136" s="375" t="s">
        <v>622</v>
      </c>
      <c r="Q136" s="375" t="s">
        <v>622</v>
      </c>
      <c r="R136" s="696">
        <v>20110610</v>
      </c>
      <c r="S136" s="375" t="s">
        <v>1670</v>
      </c>
      <c r="T136" s="697" t="s">
        <v>771</v>
      </c>
      <c r="U136" s="375" t="s">
        <v>1671</v>
      </c>
      <c r="V136" s="723">
        <v>8.1</v>
      </c>
      <c r="W136" s="723">
        <v>0.15</v>
      </c>
      <c r="X136" s="723">
        <v>0.06</v>
      </c>
      <c r="Y136" s="723" t="s">
        <v>773</v>
      </c>
      <c r="Z136" s="382">
        <v>1.4468629983755088E-2</v>
      </c>
      <c r="AA136" s="372">
        <v>220330.0998086</v>
      </c>
      <c r="AB136" s="372">
        <v>249326.80935669999</v>
      </c>
      <c r="AC136" s="372">
        <v>293324.13845879998</v>
      </c>
      <c r="AD136" s="372">
        <v>294722.47894449998</v>
      </c>
      <c r="AE136" s="372">
        <v>293165.08</v>
      </c>
      <c r="AF136" s="372">
        <v>304507.67</v>
      </c>
      <c r="AG136" s="372">
        <v>312153.17</v>
      </c>
      <c r="AH136" s="372">
        <v>0</v>
      </c>
    </row>
    <row r="137" spans="1:34">
      <c r="A137" s="372" t="s">
        <v>1672</v>
      </c>
      <c r="B137" s="373" t="s">
        <v>1673</v>
      </c>
      <c r="C137" s="372" t="s">
        <v>1674</v>
      </c>
      <c r="D137" s="374">
        <v>1341110195582</v>
      </c>
      <c r="E137" s="372" t="s">
        <v>1675</v>
      </c>
      <c r="F137" s="375" t="s">
        <v>1006</v>
      </c>
      <c r="G137" s="375" t="s">
        <v>1215</v>
      </c>
      <c r="H137" s="375" t="s">
        <v>861</v>
      </c>
      <c r="I137" s="375" t="s">
        <v>862</v>
      </c>
      <c r="J137" s="375">
        <v>331099.81939999998</v>
      </c>
      <c r="K137" s="375">
        <v>-19956.48055</v>
      </c>
      <c r="L137" s="375">
        <v>11564.16769</v>
      </c>
      <c r="M137" s="375">
        <v>745711.38618000003</v>
      </c>
      <c r="N137" s="372">
        <v>0.754</v>
      </c>
      <c r="O137" s="704">
        <v>4.1378121973188806</v>
      </c>
      <c r="P137" s="375" t="s">
        <v>622</v>
      </c>
      <c r="Q137" s="375" t="s">
        <v>622</v>
      </c>
      <c r="R137" s="696">
        <v>20170914</v>
      </c>
      <c r="S137" s="375" t="s">
        <v>1676</v>
      </c>
      <c r="T137" s="697">
        <v>0.20900000000000002</v>
      </c>
      <c r="U137" s="375" t="s">
        <v>1677</v>
      </c>
      <c r="V137" s="723">
        <v>431.99</v>
      </c>
      <c r="W137" s="723">
        <v>3.18</v>
      </c>
      <c r="X137" s="723">
        <v>7.49</v>
      </c>
      <c r="Y137" s="723">
        <v>260.33</v>
      </c>
      <c r="Z137" s="382">
        <v>0.12548527387874997</v>
      </c>
      <c r="AA137" s="372">
        <v>4887.6884375</v>
      </c>
      <c r="AB137" s="372">
        <v>4037.8946399000001</v>
      </c>
      <c r="AC137" s="372">
        <v>3856.801238</v>
      </c>
      <c r="AD137" s="372">
        <v>3334.8452299999999</v>
      </c>
      <c r="AE137" s="372">
        <v>3313.2</v>
      </c>
      <c r="AF137" s="372">
        <v>6195.6</v>
      </c>
      <c r="AG137" s="372">
        <v>5351</v>
      </c>
      <c r="AH137" s="372">
        <v>0</v>
      </c>
    </row>
    <row r="138" spans="1:34">
      <c r="A138" s="372" t="s">
        <v>1678</v>
      </c>
      <c r="B138" s="373" t="s">
        <v>1679</v>
      </c>
      <c r="C138" s="372" t="s">
        <v>1680</v>
      </c>
      <c r="D138" s="374">
        <v>1101110221814</v>
      </c>
      <c r="E138" s="372" t="s">
        <v>1681</v>
      </c>
      <c r="F138" s="375" t="s">
        <v>1682</v>
      </c>
      <c r="G138" s="375" t="s">
        <v>1683</v>
      </c>
      <c r="H138" s="375" t="s">
        <v>826</v>
      </c>
      <c r="I138" s="375" t="s">
        <v>754</v>
      </c>
      <c r="J138" s="375">
        <v>6583737.5968599999</v>
      </c>
      <c r="K138" s="375">
        <v>430685.70387000003</v>
      </c>
      <c r="L138" s="375">
        <v>660306.79515999998</v>
      </c>
      <c r="M138" s="375">
        <v>5111353.47114</v>
      </c>
      <c r="N138" s="372">
        <v>1.1759999999999999</v>
      </c>
      <c r="O138" s="704">
        <v>293.23708560307705</v>
      </c>
      <c r="P138" s="375" t="s">
        <v>622</v>
      </c>
      <c r="Q138" s="375" t="s">
        <v>622</v>
      </c>
      <c r="R138" s="696">
        <v>19730625</v>
      </c>
      <c r="S138" s="375" t="s">
        <v>1684</v>
      </c>
      <c r="T138" s="697">
        <v>0.26400000000000001</v>
      </c>
      <c r="U138" s="375" t="s">
        <v>1685</v>
      </c>
      <c r="V138" s="723">
        <v>7.71</v>
      </c>
      <c r="W138" s="723">
        <v>0.49</v>
      </c>
      <c r="X138" s="723">
        <v>0.41</v>
      </c>
      <c r="Y138" s="723">
        <v>5.78</v>
      </c>
      <c r="Z138" s="382">
        <v>4.5728743829098306E-2</v>
      </c>
      <c r="AA138" s="372">
        <v>50836.3149299</v>
      </c>
      <c r="AB138" s="372">
        <v>58748.9929233</v>
      </c>
      <c r="AC138" s="372">
        <v>67747.936512200002</v>
      </c>
      <c r="AD138" s="372">
        <v>62884.426137100003</v>
      </c>
      <c r="AE138" s="372">
        <v>68284.5</v>
      </c>
      <c r="AF138" s="372">
        <v>71733.25</v>
      </c>
      <c r="AG138" s="372">
        <v>75200.25</v>
      </c>
      <c r="AH138" s="372">
        <v>0</v>
      </c>
    </row>
    <row r="139" spans="1:34">
      <c r="A139" s="372" t="s">
        <v>1686</v>
      </c>
      <c r="B139" s="373" t="s">
        <v>1687</v>
      </c>
      <c r="C139" s="372" t="s">
        <v>1688</v>
      </c>
      <c r="D139" s="374">
        <v>1311110597525</v>
      </c>
      <c r="E139" s="372" t="s">
        <v>1689</v>
      </c>
      <c r="F139" s="375" t="s">
        <v>1357</v>
      </c>
      <c r="G139" s="375" t="s">
        <v>1357</v>
      </c>
      <c r="H139" s="375" t="s">
        <v>861</v>
      </c>
      <c r="I139" s="375" t="s">
        <v>862</v>
      </c>
      <c r="J139" s="375">
        <v>841875.63130000001</v>
      </c>
      <c r="K139" s="375">
        <v>154347.86257</v>
      </c>
      <c r="L139" s="375">
        <v>177124.57300999999</v>
      </c>
      <c r="M139" s="375">
        <v>1027796.51303</v>
      </c>
      <c r="N139" s="372">
        <v>0.876</v>
      </c>
      <c r="O139" s="704">
        <v>0.13389379931045975</v>
      </c>
      <c r="P139" s="375" t="s">
        <v>622</v>
      </c>
      <c r="Q139" s="372" t="s">
        <v>622</v>
      </c>
      <c r="R139" s="696">
        <v>20200806</v>
      </c>
      <c r="S139" s="372" t="s">
        <v>1690</v>
      </c>
      <c r="T139" s="697">
        <v>0.23100000000000001</v>
      </c>
      <c r="U139" s="372" t="s">
        <v>1691</v>
      </c>
      <c r="V139" s="723">
        <v>8.1999999999999993</v>
      </c>
      <c r="W139" s="723">
        <v>1.71</v>
      </c>
      <c r="X139" s="723">
        <v>2.0499999999999998</v>
      </c>
      <c r="Y139" s="723">
        <v>12.06</v>
      </c>
      <c r="Z139" s="382">
        <v>5.6085485238002386E-2</v>
      </c>
      <c r="AA139" s="372">
        <v>4700.6753213000002</v>
      </c>
      <c r="AB139" s="372">
        <v>10239.1337045</v>
      </c>
      <c r="AC139" s="372">
        <v>10908.674465100001</v>
      </c>
      <c r="AD139" s="372">
        <v>8440.2912245999996</v>
      </c>
      <c r="AE139" s="372">
        <v>8773.86</v>
      </c>
      <c r="AF139" s="372">
        <v>9448.14</v>
      </c>
      <c r="AG139" s="372">
        <v>10499.14</v>
      </c>
      <c r="AH139" s="372">
        <v>11100</v>
      </c>
    </row>
    <row r="140" spans="1:34">
      <c r="A140" s="372" t="s">
        <v>1692</v>
      </c>
      <c r="B140" s="373" t="s">
        <v>1693</v>
      </c>
      <c r="C140" s="372" t="s">
        <v>1694</v>
      </c>
      <c r="D140" s="374">
        <v>1101110139017</v>
      </c>
      <c r="E140" s="372" t="s">
        <v>1695</v>
      </c>
      <c r="F140" s="375" t="s">
        <v>1696</v>
      </c>
      <c r="G140" s="375" t="s">
        <v>1696</v>
      </c>
      <c r="H140" s="375" t="s">
        <v>817</v>
      </c>
      <c r="I140" s="375" t="s">
        <v>754</v>
      </c>
      <c r="J140" s="375">
        <v>4326958.7493099999</v>
      </c>
      <c r="K140" s="375">
        <v>314310.28980999999</v>
      </c>
      <c r="L140" s="375">
        <v>281039.28333000001</v>
      </c>
      <c r="M140" s="375">
        <v>1378334.1364200001</v>
      </c>
      <c r="N140" s="372">
        <v>0.48299999999999998</v>
      </c>
      <c r="O140" s="704">
        <v>8.1361009736275829</v>
      </c>
      <c r="P140" s="375" t="s">
        <v>622</v>
      </c>
      <c r="Q140" s="372" t="s">
        <v>622</v>
      </c>
      <c r="R140" s="696">
        <v>19980303</v>
      </c>
      <c r="S140" s="372" t="s">
        <v>1697</v>
      </c>
      <c r="T140" s="697">
        <v>0.23100000000000001</v>
      </c>
      <c r="U140" s="372" t="s">
        <v>1698</v>
      </c>
      <c r="V140" s="723">
        <v>5.46</v>
      </c>
      <c r="W140" s="723">
        <v>1.28</v>
      </c>
      <c r="X140" s="723">
        <v>0.49</v>
      </c>
      <c r="Y140" s="723">
        <v>11.33</v>
      </c>
      <c r="Z140" s="382">
        <v>3.8856643806758351E-2</v>
      </c>
      <c r="AA140" s="372">
        <v>27479.2188102</v>
      </c>
      <c r="AB140" s="372">
        <v>33257.123075199997</v>
      </c>
      <c r="AC140" s="372">
        <v>42533.672599999998</v>
      </c>
      <c r="AD140" s="372">
        <v>41382.747960300003</v>
      </c>
      <c r="AE140" s="372">
        <v>44085.29</v>
      </c>
      <c r="AF140" s="372">
        <v>46387.21</v>
      </c>
      <c r="AG140" s="372">
        <v>48199.42</v>
      </c>
      <c r="AH140" s="372">
        <v>0</v>
      </c>
    </row>
    <row r="141" spans="1:34">
      <c r="A141" s="372" t="s">
        <v>1699</v>
      </c>
      <c r="B141" s="373" t="s">
        <v>1700</v>
      </c>
      <c r="C141" s="372" t="s">
        <v>1701</v>
      </c>
      <c r="D141" s="374">
        <v>1101110221939</v>
      </c>
      <c r="E141" s="372" t="s">
        <v>1702</v>
      </c>
      <c r="F141" s="375" t="s">
        <v>1703</v>
      </c>
      <c r="G141" s="375" t="s">
        <v>1703</v>
      </c>
      <c r="H141" s="375" t="s">
        <v>817</v>
      </c>
      <c r="I141" s="375" t="s">
        <v>754</v>
      </c>
      <c r="J141" s="375">
        <v>2735308.5358500001</v>
      </c>
      <c r="K141" s="375">
        <v>203425.67311999999</v>
      </c>
      <c r="L141" s="375">
        <v>213097.84283000001</v>
      </c>
      <c r="M141" s="375">
        <v>1644599.73908</v>
      </c>
      <c r="N141" s="372">
        <v>0.72799999999999998</v>
      </c>
      <c r="O141" s="704">
        <v>1.3304948812281576</v>
      </c>
      <c r="P141" s="375" t="s">
        <v>622</v>
      </c>
      <c r="Q141" s="375" t="s">
        <v>622</v>
      </c>
      <c r="R141" s="696">
        <v>19960130</v>
      </c>
      <c r="S141" s="375" t="s">
        <v>1704</v>
      </c>
      <c r="T141" s="697">
        <v>0.23100000000000001</v>
      </c>
      <c r="U141" s="375" t="s">
        <v>1705</v>
      </c>
      <c r="V141" s="723">
        <v>5.96</v>
      </c>
      <c r="W141" s="723">
        <v>1.25</v>
      </c>
      <c r="X141" s="723">
        <v>0.82</v>
      </c>
      <c r="Y141" s="723">
        <v>11.44</v>
      </c>
      <c r="Z141" s="382">
        <v>4.1551984612542947E-2</v>
      </c>
      <c r="AA141" s="372">
        <v>22233.405093400001</v>
      </c>
      <c r="AB141" s="372">
        <v>23124.890589999999</v>
      </c>
      <c r="AC141" s="372">
        <v>24679.602765700001</v>
      </c>
      <c r="AD141" s="372">
        <v>26208.105415099999</v>
      </c>
      <c r="AE141" s="372">
        <v>27695.599999999999</v>
      </c>
      <c r="AF141" s="372">
        <v>29289.200000000001</v>
      </c>
      <c r="AG141" s="372">
        <v>30843.200000000001</v>
      </c>
      <c r="AH141" s="372">
        <v>0</v>
      </c>
    </row>
    <row r="142" spans="1:34">
      <c r="A142" s="372" t="s">
        <v>1706</v>
      </c>
      <c r="B142" s="373" t="s">
        <v>1707</v>
      </c>
      <c r="C142" s="372" t="s">
        <v>1708</v>
      </c>
      <c r="D142" s="374">
        <v>1942110003096</v>
      </c>
      <c r="E142" s="372" t="s">
        <v>1709</v>
      </c>
      <c r="F142" s="375" t="s">
        <v>1710</v>
      </c>
      <c r="G142" s="375" t="s">
        <v>1711</v>
      </c>
      <c r="H142" s="375" t="s">
        <v>861</v>
      </c>
      <c r="I142" s="375" t="s">
        <v>862</v>
      </c>
      <c r="J142" s="375">
        <v>851751.97929000005</v>
      </c>
      <c r="K142" s="375">
        <v>21149.61375</v>
      </c>
      <c r="L142" s="375">
        <v>7874.6741700000002</v>
      </c>
      <c r="M142" s="375">
        <v>310081.74651999999</v>
      </c>
      <c r="N142" s="372">
        <v>0.35</v>
      </c>
      <c r="O142" s="704">
        <v>21.445542474687162</v>
      </c>
      <c r="P142" s="375" t="s">
        <v>622</v>
      </c>
      <c r="Q142" s="375" t="s">
        <v>622</v>
      </c>
      <c r="R142" s="696">
        <v>20040804</v>
      </c>
      <c r="S142" s="375" t="s">
        <v>1712</v>
      </c>
      <c r="T142" s="697">
        <v>0.20900000000000002</v>
      </c>
      <c r="U142" s="375" t="s">
        <v>1713</v>
      </c>
      <c r="V142" s="723">
        <v>35.67</v>
      </c>
      <c r="W142" s="723">
        <v>6.31</v>
      </c>
      <c r="X142" s="723">
        <v>1.52</v>
      </c>
      <c r="Y142" s="723" t="s">
        <v>773</v>
      </c>
      <c r="Z142" s="382" t="s">
        <v>927</v>
      </c>
      <c r="AA142" s="372">
        <v>4930.6948325000003</v>
      </c>
      <c r="AB142" s="372">
        <v>7374.8810251000004</v>
      </c>
      <c r="AC142" s="372">
        <v>7934.2401983999998</v>
      </c>
      <c r="AD142" s="372">
        <v>8337.0409877000002</v>
      </c>
      <c r="AE142" s="372">
        <v>10624</v>
      </c>
      <c r="AF142" s="372">
        <v>0</v>
      </c>
      <c r="AG142" s="372">
        <v>0</v>
      </c>
      <c r="AH142" s="372">
        <v>0</v>
      </c>
    </row>
    <row r="143" spans="1:34">
      <c r="A143" s="372" t="s">
        <v>1714</v>
      </c>
      <c r="B143" s="373" t="s">
        <v>1715</v>
      </c>
      <c r="C143" s="372" t="s">
        <v>1716</v>
      </c>
      <c r="D143" s="374">
        <v>1341110570437</v>
      </c>
      <c r="E143" s="372" t="s">
        <v>1717</v>
      </c>
      <c r="F143" s="375" t="s">
        <v>1276</v>
      </c>
      <c r="G143" s="375" t="s">
        <v>1718</v>
      </c>
      <c r="H143" s="375" t="s">
        <v>861</v>
      </c>
      <c r="I143" s="375" t="s">
        <v>862</v>
      </c>
      <c r="J143" s="375">
        <v>141150.28145000001</v>
      </c>
      <c r="K143" s="375">
        <v>7128.7653300000002</v>
      </c>
      <c r="L143" s="375">
        <v>8745.0038299999997</v>
      </c>
      <c r="M143" s="375">
        <v>205772.17477000001</v>
      </c>
      <c r="N143" s="372" t="s">
        <v>1026</v>
      </c>
      <c r="O143" s="704">
        <v>2.0554117602677793</v>
      </c>
      <c r="P143" s="375" t="s">
        <v>622</v>
      </c>
      <c r="Q143" s="375" t="s">
        <v>622</v>
      </c>
      <c r="R143" s="696">
        <v>20231212</v>
      </c>
      <c r="S143" s="375" t="s">
        <v>1719</v>
      </c>
      <c r="T143" s="697">
        <v>0.20900000000000002</v>
      </c>
      <c r="U143" s="375" t="s">
        <v>1720</v>
      </c>
      <c r="V143" s="723">
        <v>95.65</v>
      </c>
      <c r="W143" s="723">
        <v>6.81</v>
      </c>
      <c r="X143" s="723">
        <v>8.6300000000000008</v>
      </c>
      <c r="Y143" s="723">
        <v>174.21</v>
      </c>
      <c r="Z143" s="382">
        <v>0.11582896478158733</v>
      </c>
      <c r="AA143" s="372">
        <v>0</v>
      </c>
      <c r="AB143" s="372">
        <v>426.61613740000001</v>
      </c>
      <c r="AC143" s="372">
        <v>1619.8719123000001</v>
      </c>
      <c r="AD143" s="372">
        <v>1368.8468373000001</v>
      </c>
      <c r="AE143" s="372">
        <v>1450</v>
      </c>
      <c r="AF143" s="372">
        <v>1827</v>
      </c>
      <c r="AG143" s="372">
        <v>2122</v>
      </c>
      <c r="AH143" s="372">
        <v>0</v>
      </c>
    </row>
    <row r="144" spans="1:34">
      <c r="A144" s="372" t="s">
        <v>1721</v>
      </c>
      <c r="B144" s="373" t="s">
        <v>1722</v>
      </c>
      <c r="C144" s="372" t="s">
        <v>1723</v>
      </c>
      <c r="D144" s="374">
        <v>1311110351682</v>
      </c>
      <c r="E144" s="372" t="s">
        <v>1724</v>
      </c>
      <c r="F144" s="375" t="s">
        <v>1006</v>
      </c>
      <c r="G144" s="375" t="s">
        <v>1006</v>
      </c>
      <c r="H144" s="375" t="s">
        <v>861</v>
      </c>
      <c r="I144" s="375" t="s">
        <v>862</v>
      </c>
      <c r="J144" s="375">
        <v>954392.60548999999</v>
      </c>
      <c r="K144" s="375">
        <v>28795.856299999999</v>
      </c>
      <c r="L144" s="375">
        <v>-409754.90847000002</v>
      </c>
      <c r="M144" s="375">
        <v>1635687.1153200001</v>
      </c>
      <c r="N144" s="372">
        <v>1.0389999999999999</v>
      </c>
      <c r="O144" s="704">
        <v>75.601153081794692</v>
      </c>
      <c r="P144" s="375" t="s">
        <v>622</v>
      </c>
      <c r="Q144" s="375" t="s">
        <v>622</v>
      </c>
      <c r="R144" s="696">
        <v>20200910</v>
      </c>
      <c r="S144" s="375" t="s">
        <v>1725</v>
      </c>
      <c r="T144" s="697" t="s">
        <v>771</v>
      </c>
      <c r="U144" s="375" t="s">
        <v>1726</v>
      </c>
      <c r="V144" s="723">
        <v>17.89</v>
      </c>
      <c r="W144" s="723">
        <v>0.94</v>
      </c>
      <c r="X144" s="723">
        <v>1.51</v>
      </c>
      <c r="Y144" s="723" t="s">
        <v>773</v>
      </c>
      <c r="Z144" s="382">
        <v>1.4582525023247861E-2</v>
      </c>
      <c r="AA144" s="372">
        <v>4955.2134708000003</v>
      </c>
      <c r="AB144" s="372">
        <v>10124.8121226</v>
      </c>
      <c r="AC144" s="372">
        <v>11476.926233599999</v>
      </c>
      <c r="AD144" s="372">
        <v>10250.8596428</v>
      </c>
      <c r="AE144" s="372">
        <v>8298</v>
      </c>
      <c r="AF144" s="372">
        <v>9720.59</v>
      </c>
      <c r="AG144" s="372">
        <v>10862</v>
      </c>
      <c r="AH144" s="372">
        <v>0</v>
      </c>
    </row>
    <row r="145" spans="1:34">
      <c r="A145" s="372" t="s">
        <v>1727</v>
      </c>
      <c r="B145" s="373" t="s">
        <v>1728</v>
      </c>
      <c r="C145" s="372" t="s">
        <v>1729</v>
      </c>
      <c r="D145" s="374">
        <v>1746110000981</v>
      </c>
      <c r="E145" s="372" t="s">
        <v>1730</v>
      </c>
      <c r="F145" s="372" t="s">
        <v>893</v>
      </c>
      <c r="G145" s="375" t="s">
        <v>894</v>
      </c>
      <c r="H145" s="375" t="s">
        <v>855</v>
      </c>
      <c r="I145" s="375" t="s">
        <v>754</v>
      </c>
      <c r="J145" s="375">
        <v>3369068.8369999998</v>
      </c>
      <c r="K145" s="375">
        <v>274458.88799999998</v>
      </c>
      <c r="L145" s="375">
        <v>293567.29700000002</v>
      </c>
      <c r="M145" s="375">
        <v>4856069.4550000001</v>
      </c>
      <c r="N145" s="372">
        <v>0.86399999999999999</v>
      </c>
      <c r="O145" s="704">
        <v>151.48585661482244</v>
      </c>
      <c r="P145" s="375" t="s">
        <v>622</v>
      </c>
      <c r="Q145" s="375" t="s">
        <v>622</v>
      </c>
      <c r="R145" s="696">
        <v>19850709</v>
      </c>
      <c r="S145" s="375" t="s">
        <v>1731</v>
      </c>
      <c r="T145" s="697">
        <v>0.23100000000000001</v>
      </c>
      <c r="U145" s="375" t="s">
        <v>15828</v>
      </c>
      <c r="V145" s="723">
        <v>5.76</v>
      </c>
      <c r="W145" s="723">
        <v>0.34</v>
      </c>
      <c r="X145" s="723">
        <v>0.41</v>
      </c>
      <c r="Y145" s="723">
        <v>8.3699999999999992</v>
      </c>
      <c r="Z145" s="382">
        <v>0.13446788091927031</v>
      </c>
      <c r="AA145" s="372">
        <v>20025.16778</v>
      </c>
      <c r="AB145" s="372">
        <v>32439.967519999998</v>
      </c>
      <c r="AC145" s="372">
        <v>27689.294000000002</v>
      </c>
      <c r="AD145" s="372">
        <v>26496.91893</v>
      </c>
      <c r="AE145" s="372">
        <v>38245</v>
      </c>
      <c r="AF145" s="372">
        <v>41300</v>
      </c>
      <c r="AG145" s="372">
        <v>43889.86</v>
      </c>
      <c r="AH145" s="372">
        <v>0</v>
      </c>
    </row>
    <row r="146" spans="1:34">
      <c r="A146" s="372" t="s">
        <v>1733</v>
      </c>
      <c r="B146" s="373" t="s">
        <v>1734</v>
      </c>
      <c r="C146" s="372" t="s">
        <v>1735</v>
      </c>
      <c r="D146" s="374">
        <v>1201110003848</v>
      </c>
      <c r="E146" s="372" t="s">
        <v>1736</v>
      </c>
      <c r="F146" s="375" t="s">
        <v>1598</v>
      </c>
      <c r="G146" s="375" t="s">
        <v>1599</v>
      </c>
      <c r="H146" s="375" t="s">
        <v>861</v>
      </c>
      <c r="I146" s="375" t="s">
        <v>862</v>
      </c>
      <c r="J146" s="375">
        <v>1370340.4830100001</v>
      </c>
      <c r="K146" s="375">
        <v>195464.73162000001</v>
      </c>
      <c r="L146" s="375">
        <v>180109.07209999999</v>
      </c>
      <c r="M146" s="375">
        <v>955195.63430999999</v>
      </c>
      <c r="N146" s="372">
        <v>1.1459999999999999</v>
      </c>
      <c r="O146" s="704">
        <v>46.98077637173386</v>
      </c>
      <c r="P146" s="375" t="s">
        <v>622</v>
      </c>
      <c r="Q146" s="375" t="s">
        <v>622</v>
      </c>
      <c r="R146" s="696">
        <v>19991218</v>
      </c>
      <c r="S146" s="375" t="s">
        <v>1737</v>
      </c>
      <c r="T146" s="697">
        <v>0.23100000000000001</v>
      </c>
      <c r="U146" s="372" t="s">
        <v>1738</v>
      </c>
      <c r="V146" s="723">
        <v>6.77</v>
      </c>
      <c r="W146" s="723">
        <v>1.61</v>
      </c>
      <c r="X146" s="723">
        <v>1.0900000000000001</v>
      </c>
      <c r="Y146" s="723">
        <v>10.51</v>
      </c>
      <c r="Z146" s="382" t="s">
        <v>927</v>
      </c>
      <c r="AA146" s="372">
        <v>9378.0079967999991</v>
      </c>
      <c r="AB146" s="372">
        <v>11612.8407716</v>
      </c>
      <c r="AC146" s="372">
        <v>14572.148083</v>
      </c>
      <c r="AD146" s="372">
        <v>13099.244379899999</v>
      </c>
      <c r="AE146" s="372">
        <v>14550</v>
      </c>
      <c r="AF146" s="372">
        <v>14570</v>
      </c>
      <c r="AG146" s="372">
        <v>0</v>
      </c>
      <c r="AH146" s="372">
        <v>0</v>
      </c>
    </row>
    <row r="147" spans="1:34">
      <c r="A147" s="372" t="s">
        <v>1739</v>
      </c>
      <c r="B147" s="373" t="s">
        <v>1740</v>
      </c>
      <c r="C147" s="372" t="s">
        <v>1741</v>
      </c>
      <c r="D147" s="374">
        <v>1101114129585</v>
      </c>
      <c r="E147" s="372" t="s">
        <v>1742</v>
      </c>
      <c r="F147" s="375" t="s">
        <v>1743</v>
      </c>
      <c r="G147" s="375" t="s">
        <v>1743</v>
      </c>
      <c r="H147" s="375" t="s">
        <v>846</v>
      </c>
      <c r="I147" s="375" t="s">
        <v>754</v>
      </c>
      <c r="J147" s="375">
        <v>3428165.3629299998</v>
      </c>
      <c r="K147" s="375">
        <v>421493.46058999997</v>
      </c>
      <c r="L147" s="375">
        <v>449756.89834999997</v>
      </c>
      <c r="M147" s="375">
        <v>3651063.4845799999</v>
      </c>
      <c r="N147" s="372">
        <v>0.69599999999999995</v>
      </c>
      <c r="O147" s="704">
        <v>25.028958105098038</v>
      </c>
      <c r="P147" s="375" t="s">
        <v>622</v>
      </c>
      <c r="Q147" s="375" t="s">
        <v>622</v>
      </c>
      <c r="R147" s="696">
        <v>20090730</v>
      </c>
      <c r="S147" s="375" t="s">
        <v>1744</v>
      </c>
      <c r="T147" s="697">
        <v>0.26400000000000001</v>
      </c>
      <c r="U147" s="375" t="s">
        <v>1745</v>
      </c>
      <c r="V147" s="723">
        <v>3.95</v>
      </c>
      <c r="W147" s="723">
        <v>0.52</v>
      </c>
      <c r="X147" s="723">
        <v>0.52</v>
      </c>
      <c r="Y147" s="723">
        <v>4.25</v>
      </c>
      <c r="Z147" s="382">
        <v>3.014396860403501E-4</v>
      </c>
      <c r="AA147" s="372">
        <v>24663.744292700001</v>
      </c>
      <c r="AB147" s="372">
        <v>27925.1846343</v>
      </c>
      <c r="AC147" s="372">
        <v>39109.609038199997</v>
      </c>
      <c r="AD147" s="372">
        <v>36043.770254000003</v>
      </c>
      <c r="AE147" s="372">
        <v>33573.56</v>
      </c>
      <c r="AF147" s="372">
        <v>34498.11</v>
      </c>
      <c r="AG147" s="372">
        <v>36087.25</v>
      </c>
      <c r="AH147" s="372">
        <v>0</v>
      </c>
    </row>
    <row r="148" spans="1:34">
      <c r="A148" s="372" t="s">
        <v>1746</v>
      </c>
      <c r="B148" s="373" t="s">
        <v>1747</v>
      </c>
      <c r="C148" s="372" t="s">
        <v>1748</v>
      </c>
      <c r="D148" s="374">
        <v>1101115618355</v>
      </c>
      <c r="E148" s="372" t="s">
        <v>1749</v>
      </c>
      <c r="F148" s="375" t="s">
        <v>1750</v>
      </c>
      <c r="G148" s="375" t="s">
        <v>1750</v>
      </c>
      <c r="H148" s="375" t="s">
        <v>861</v>
      </c>
      <c r="I148" s="375" t="s">
        <v>862</v>
      </c>
      <c r="J148" s="375">
        <v>215539.93707000001</v>
      </c>
      <c r="K148" s="375">
        <v>108568.89868</v>
      </c>
      <c r="L148" s="375">
        <v>107326.42809</v>
      </c>
      <c r="M148" s="375">
        <v>341975.06912</v>
      </c>
      <c r="N148" s="372">
        <v>0.65200000000000002</v>
      </c>
      <c r="O148" s="704">
        <v>1.9104883946251903</v>
      </c>
      <c r="P148" s="375" t="s">
        <v>622</v>
      </c>
      <c r="Q148" s="375" t="s">
        <v>622</v>
      </c>
      <c r="R148" s="696">
        <v>20150403</v>
      </c>
      <c r="S148" s="375" t="s">
        <v>1751</v>
      </c>
      <c r="T148" s="697">
        <v>0.23100000000000001</v>
      </c>
      <c r="U148" s="375" t="s">
        <v>1752</v>
      </c>
      <c r="V148" s="723">
        <v>30.57</v>
      </c>
      <c r="W148" s="723">
        <v>10.119999999999999</v>
      </c>
      <c r="X148" s="723">
        <v>16.149999999999999</v>
      </c>
      <c r="Y148" s="723">
        <v>41.01</v>
      </c>
      <c r="Z148" s="382">
        <v>0.20097099553128195</v>
      </c>
      <c r="AA148" s="372">
        <v>764.6093151</v>
      </c>
      <c r="AB148" s="372">
        <v>1005.9693557000001</v>
      </c>
      <c r="AC148" s="372">
        <v>1418.032424</v>
      </c>
      <c r="AD148" s="372">
        <v>1801.2279801</v>
      </c>
      <c r="AE148" s="372">
        <v>2350.11</v>
      </c>
      <c r="AF148" s="372">
        <v>3012.89</v>
      </c>
      <c r="AG148" s="372">
        <v>3747.13</v>
      </c>
      <c r="AH148" s="372">
        <v>5334</v>
      </c>
    </row>
    <row r="149" spans="1:34">
      <c r="A149" s="372" t="s">
        <v>1753</v>
      </c>
      <c r="B149" s="373" t="s">
        <v>1754</v>
      </c>
      <c r="C149" s="372" t="s">
        <v>1755</v>
      </c>
      <c r="D149" s="374">
        <v>1101110520076</v>
      </c>
      <c r="E149" s="372" t="s">
        <v>1755</v>
      </c>
      <c r="F149" s="375" t="s">
        <v>1756</v>
      </c>
      <c r="G149" s="375" t="s">
        <v>1757</v>
      </c>
      <c r="H149" s="375" t="s">
        <v>753</v>
      </c>
      <c r="I149" s="375" t="s">
        <v>754</v>
      </c>
      <c r="J149" s="375">
        <v>4222668.7756099999</v>
      </c>
      <c r="K149" s="375">
        <v>337908.88527999999</v>
      </c>
      <c r="L149" s="375">
        <v>299849.86489999999</v>
      </c>
      <c r="M149" s="375">
        <v>1844870.6492399999</v>
      </c>
      <c r="N149" s="372">
        <v>0.77700000000000002</v>
      </c>
      <c r="O149" s="704">
        <v>23.869394952114177</v>
      </c>
      <c r="P149" s="375" t="s">
        <v>622</v>
      </c>
      <c r="Q149" s="375" t="s">
        <v>622</v>
      </c>
      <c r="R149" s="696">
        <v>19940711</v>
      </c>
      <c r="S149" s="375" t="s">
        <v>1758</v>
      </c>
      <c r="T149" s="697">
        <v>0.23100000000000001</v>
      </c>
      <c r="U149" s="375" t="s">
        <v>1759</v>
      </c>
      <c r="V149" s="723">
        <v>12.06</v>
      </c>
      <c r="W149" s="723">
        <v>2.67</v>
      </c>
      <c r="X149" s="723">
        <v>1.1599999999999999</v>
      </c>
      <c r="Y149" s="723">
        <v>22.46</v>
      </c>
      <c r="Z149" s="382">
        <v>5.5562187281799957E-2</v>
      </c>
      <c r="AA149" s="372">
        <v>24026.725284200002</v>
      </c>
      <c r="AB149" s="372">
        <v>26682.6498025</v>
      </c>
      <c r="AC149" s="372">
        <v>33770.702158300002</v>
      </c>
      <c r="AD149" s="372">
        <v>42304.826284399998</v>
      </c>
      <c r="AE149" s="372">
        <v>43194.67</v>
      </c>
      <c r="AF149" s="372">
        <v>47315.28</v>
      </c>
      <c r="AG149" s="372">
        <v>52520.06</v>
      </c>
      <c r="AH149" s="372">
        <v>0</v>
      </c>
    </row>
    <row r="150" spans="1:34">
      <c r="A150" s="372" t="s">
        <v>1760</v>
      </c>
      <c r="B150" s="373" t="s">
        <v>1761</v>
      </c>
      <c r="C150" s="372" t="s">
        <v>1762</v>
      </c>
      <c r="D150" s="374">
        <v>1101110002959</v>
      </c>
      <c r="E150" s="372" t="s">
        <v>1763</v>
      </c>
      <c r="F150" s="375" t="s">
        <v>1764</v>
      </c>
      <c r="G150" s="375" t="s">
        <v>1765</v>
      </c>
      <c r="H150" s="375" t="s">
        <v>826</v>
      </c>
      <c r="I150" s="375" t="s">
        <v>754</v>
      </c>
      <c r="J150" s="375">
        <v>52122392</v>
      </c>
      <c r="K150" s="375">
        <v>1521473</v>
      </c>
      <c r="L150" s="375">
        <v>163835</v>
      </c>
      <c r="M150" s="375">
        <v>31257804</v>
      </c>
      <c r="N150" s="372">
        <v>1.2030000000000001</v>
      </c>
      <c r="O150" s="704">
        <v>1452.9536384405001</v>
      </c>
      <c r="P150" s="375" t="s">
        <v>622</v>
      </c>
      <c r="Q150" s="375" t="s">
        <v>622</v>
      </c>
      <c r="R150" s="696">
        <v>19760624</v>
      </c>
      <c r="S150" s="375" t="s">
        <v>1766</v>
      </c>
      <c r="T150" s="697">
        <v>0.23100000000000001</v>
      </c>
      <c r="U150" s="375" t="s">
        <v>1767</v>
      </c>
      <c r="V150" s="723">
        <v>14.77</v>
      </c>
      <c r="W150" s="723">
        <v>0.3</v>
      </c>
      <c r="X150" s="723">
        <v>0.05</v>
      </c>
      <c r="Y150" s="723" t="s">
        <v>773</v>
      </c>
      <c r="Z150" s="382">
        <v>2.5249856580816132E-2</v>
      </c>
      <c r="AA150" s="372">
        <v>509264.51</v>
      </c>
      <c r="AB150" s="372">
        <v>528360.68999999994</v>
      </c>
      <c r="AC150" s="372">
        <v>508867.31</v>
      </c>
      <c r="AD150" s="372">
        <v>531348.13</v>
      </c>
      <c r="AE150" s="372">
        <v>528973</v>
      </c>
      <c r="AF150" s="372">
        <v>565460</v>
      </c>
      <c r="AG150" s="372">
        <v>587081</v>
      </c>
      <c r="AH150" s="372">
        <v>0</v>
      </c>
    </row>
    <row r="151" spans="1:34">
      <c r="A151" s="372" t="s">
        <v>1768</v>
      </c>
      <c r="B151" s="373" t="s">
        <v>1769</v>
      </c>
      <c r="C151" s="372" t="s">
        <v>1770</v>
      </c>
      <c r="D151" s="374">
        <v>1101110004286</v>
      </c>
      <c r="E151" s="372" t="s">
        <v>1771</v>
      </c>
      <c r="F151" s="375" t="s">
        <v>907</v>
      </c>
      <c r="G151" s="375" t="s">
        <v>908</v>
      </c>
      <c r="H151" s="375" t="s">
        <v>909</v>
      </c>
      <c r="I151" s="375" t="s">
        <v>754</v>
      </c>
      <c r="J151" s="375">
        <v>4513929</v>
      </c>
      <c r="K151" s="375">
        <v>430104</v>
      </c>
      <c r="L151" s="375">
        <v>320689</v>
      </c>
      <c r="M151" s="375">
        <v>5069087</v>
      </c>
      <c r="N151" s="372">
        <v>0.98899999999999999</v>
      </c>
      <c r="O151" s="704">
        <v>159.53986481616801</v>
      </c>
      <c r="P151" s="375" t="s">
        <v>622</v>
      </c>
      <c r="Q151" s="375" t="s">
        <v>622</v>
      </c>
      <c r="R151" s="696">
        <v>20070921</v>
      </c>
      <c r="S151" s="375" t="s">
        <v>1772</v>
      </c>
      <c r="T151" s="697">
        <v>0.26400000000000001</v>
      </c>
      <c r="U151" s="375" t="s">
        <v>1773</v>
      </c>
      <c r="V151" s="723">
        <v>4.57</v>
      </c>
      <c r="W151" s="723">
        <v>0.42</v>
      </c>
      <c r="X151" s="723">
        <v>0.47</v>
      </c>
      <c r="Y151" s="723">
        <v>6.75</v>
      </c>
      <c r="Z151" s="382">
        <v>3.3140942437895227E-2</v>
      </c>
      <c r="AA151" s="372">
        <v>24971.59</v>
      </c>
      <c r="AB151" s="372">
        <v>46161.07</v>
      </c>
      <c r="AC151" s="372">
        <v>64203.12</v>
      </c>
      <c r="AD151" s="372">
        <v>43609.82</v>
      </c>
      <c r="AE151" s="372">
        <v>46315.69</v>
      </c>
      <c r="AF151" s="372">
        <v>47559</v>
      </c>
      <c r="AG151" s="372">
        <v>49684.69</v>
      </c>
      <c r="AH151" s="372">
        <v>0</v>
      </c>
    </row>
    <row r="152" spans="1:34">
      <c r="A152" s="372" t="s">
        <v>1774</v>
      </c>
      <c r="B152" s="373" t="s">
        <v>1775</v>
      </c>
      <c r="C152" s="372" t="s">
        <v>1776</v>
      </c>
      <c r="D152" s="374">
        <v>1101110186638</v>
      </c>
      <c r="E152" s="372" t="s">
        <v>1777</v>
      </c>
      <c r="F152" s="372" t="s">
        <v>998</v>
      </c>
      <c r="G152" s="375" t="s">
        <v>999</v>
      </c>
      <c r="H152" s="375" t="s">
        <v>753</v>
      </c>
      <c r="I152" s="375" t="s">
        <v>754</v>
      </c>
      <c r="J152" s="375">
        <v>784074.19298000005</v>
      </c>
      <c r="K152" s="375">
        <v>86971.95405</v>
      </c>
      <c r="L152" s="375">
        <v>75300.340859999997</v>
      </c>
      <c r="M152" s="375">
        <v>310610.19938000001</v>
      </c>
      <c r="N152" s="372">
        <v>1.512</v>
      </c>
      <c r="O152" s="704">
        <v>8.7794981512126196</v>
      </c>
      <c r="P152" s="375" t="s">
        <v>622</v>
      </c>
      <c r="Q152" s="375" t="s">
        <v>622</v>
      </c>
      <c r="R152" s="696">
        <v>20000818</v>
      </c>
      <c r="S152" s="375" t="s">
        <v>1778</v>
      </c>
      <c r="T152" s="697">
        <v>0.23100000000000001</v>
      </c>
      <c r="U152" s="375" t="s">
        <v>1779</v>
      </c>
      <c r="V152" s="723">
        <v>22.39</v>
      </c>
      <c r="W152" s="723">
        <v>7.44</v>
      </c>
      <c r="X152" s="723">
        <v>2.95</v>
      </c>
      <c r="Y152" s="723">
        <v>37.08</v>
      </c>
      <c r="Z152" s="382">
        <v>0.14400862041597962</v>
      </c>
      <c r="AA152" s="372">
        <v>3932.2867336999998</v>
      </c>
      <c r="AB152" s="372">
        <v>4696.2109412999998</v>
      </c>
      <c r="AC152" s="372">
        <v>6429.2053325999996</v>
      </c>
      <c r="AD152" s="372">
        <v>6753.3275569999996</v>
      </c>
      <c r="AE152" s="372">
        <v>8544.89</v>
      </c>
      <c r="AF152" s="372">
        <v>10320.11</v>
      </c>
      <c r="AG152" s="372">
        <v>11567.38</v>
      </c>
      <c r="AH152" s="372">
        <v>0</v>
      </c>
    </row>
    <row r="153" spans="1:34">
      <c r="A153" s="372" t="s">
        <v>1780</v>
      </c>
      <c r="B153" s="373" t="s">
        <v>1781</v>
      </c>
      <c r="C153" s="372" t="s">
        <v>1782</v>
      </c>
      <c r="D153" s="374">
        <v>1101112380890</v>
      </c>
      <c r="E153" s="372" t="s">
        <v>1783</v>
      </c>
      <c r="F153" s="375" t="s">
        <v>16101</v>
      </c>
      <c r="G153" s="375" t="s">
        <v>16101</v>
      </c>
      <c r="H153" s="375" t="s">
        <v>861</v>
      </c>
      <c r="I153" s="375" t="s">
        <v>862</v>
      </c>
      <c r="J153" s="375">
        <v>363785.13084</v>
      </c>
      <c r="K153" s="375">
        <v>156510.92946000001</v>
      </c>
      <c r="L153" s="375">
        <v>154354.05770999999</v>
      </c>
      <c r="M153" s="375">
        <v>852595.02012999996</v>
      </c>
      <c r="N153" s="372">
        <v>0.53600000000000003</v>
      </c>
      <c r="O153" s="704">
        <v>0.89941308308546453</v>
      </c>
      <c r="P153" s="375" t="s">
        <v>622</v>
      </c>
      <c r="Q153" s="375" t="s">
        <v>622</v>
      </c>
      <c r="R153" s="696">
        <v>20151224</v>
      </c>
      <c r="S153" s="375" t="s">
        <v>1784</v>
      </c>
      <c r="T153" s="697">
        <v>0.23100000000000001</v>
      </c>
      <c r="U153" s="375" t="s">
        <v>1785</v>
      </c>
      <c r="V153" s="723">
        <v>17.7</v>
      </c>
      <c r="W153" s="723">
        <v>2.8</v>
      </c>
      <c r="X153" s="723">
        <v>8.36</v>
      </c>
      <c r="Y153" s="723">
        <v>27.13</v>
      </c>
      <c r="Z153" s="382">
        <v>0.13429358148463577</v>
      </c>
      <c r="AA153" s="372">
        <v>2110.3834837999998</v>
      </c>
      <c r="AB153" s="372">
        <v>2318.5910819000001</v>
      </c>
      <c r="AC153" s="372">
        <v>2816.7513506</v>
      </c>
      <c r="AD153" s="372">
        <v>3196.9994115</v>
      </c>
      <c r="AE153" s="372">
        <v>3811.36</v>
      </c>
      <c r="AF153" s="372">
        <v>4539.91</v>
      </c>
      <c r="AG153" s="372">
        <v>5292.3</v>
      </c>
      <c r="AH153" s="372">
        <v>5450</v>
      </c>
    </row>
    <row r="154" spans="1:34">
      <c r="A154" s="372" t="s">
        <v>1786</v>
      </c>
      <c r="B154" s="373" t="s">
        <v>1787</v>
      </c>
      <c r="C154" s="372" t="s">
        <v>1788</v>
      </c>
      <c r="D154" s="374">
        <v>1101111128340</v>
      </c>
      <c r="E154" s="372" t="s">
        <v>1789</v>
      </c>
      <c r="F154" s="375" t="s">
        <v>1075</v>
      </c>
      <c r="G154" s="375" t="s">
        <v>1530</v>
      </c>
      <c r="H154" s="375" t="s">
        <v>1531</v>
      </c>
      <c r="I154" s="375" t="s">
        <v>862</v>
      </c>
      <c r="J154" s="375">
        <v>967229.80949000001</v>
      </c>
      <c r="K154" s="375">
        <v>62656.44887</v>
      </c>
      <c r="L154" s="375">
        <v>5216.2968099999998</v>
      </c>
      <c r="M154" s="375">
        <v>848263.94791999995</v>
      </c>
      <c r="N154" s="372">
        <v>0.56200000000000006</v>
      </c>
      <c r="O154" s="704">
        <v>6.4051638802991429</v>
      </c>
      <c r="P154" s="375" t="s">
        <v>622</v>
      </c>
      <c r="Q154" s="375" t="s">
        <v>622</v>
      </c>
      <c r="R154" s="696">
        <v>20000425</v>
      </c>
      <c r="S154" s="375" t="s">
        <v>1790</v>
      </c>
      <c r="T154" s="697">
        <v>0.20900000000000002</v>
      </c>
      <c r="U154" s="375" t="s">
        <v>1791</v>
      </c>
      <c r="V154" s="723">
        <v>13.79</v>
      </c>
      <c r="W154" s="723">
        <v>2.2000000000000002</v>
      </c>
      <c r="X154" s="723">
        <v>1.64</v>
      </c>
      <c r="Y154" s="723" t="s">
        <v>773</v>
      </c>
      <c r="Z154" s="382">
        <v>6.3519676739181685E-2</v>
      </c>
      <c r="AA154" s="372">
        <v>5798.7579065999998</v>
      </c>
      <c r="AB154" s="372">
        <v>7015.6317214000001</v>
      </c>
      <c r="AC154" s="372">
        <v>8507.6930912999997</v>
      </c>
      <c r="AD154" s="372">
        <v>9610.6971654000008</v>
      </c>
      <c r="AE154" s="372">
        <v>9799.2199999999993</v>
      </c>
      <c r="AF154" s="372">
        <v>11238.11</v>
      </c>
      <c r="AG154" s="372">
        <v>12295.24</v>
      </c>
      <c r="AH154" s="372">
        <v>15610</v>
      </c>
    </row>
    <row r="155" spans="1:34">
      <c r="A155" s="372" t="s">
        <v>1792</v>
      </c>
      <c r="B155" s="373" t="s">
        <v>1793</v>
      </c>
      <c r="C155" s="372" t="s">
        <v>1794</v>
      </c>
      <c r="D155" s="374">
        <v>1601110354045</v>
      </c>
      <c r="E155" s="372" t="s">
        <v>1795</v>
      </c>
      <c r="F155" s="372" t="s">
        <v>1796</v>
      </c>
      <c r="G155" s="375" t="s">
        <v>1797</v>
      </c>
      <c r="H155" s="375" t="s">
        <v>861</v>
      </c>
      <c r="I155" s="375" t="s">
        <v>862</v>
      </c>
      <c r="J155" s="375">
        <v>39537.128120000001</v>
      </c>
      <c r="K155" s="375">
        <v>-66936.429829999994</v>
      </c>
      <c r="L155" s="375">
        <v>-22258.403010000002</v>
      </c>
      <c r="M155" s="375">
        <v>233013.95804999999</v>
      </c>
      <c r="N155" s="372">
        <v>1.0069999999999999</v>
      </c>
      <c r="O155" s="704">
        <v>5.9525298578786687</v>
      </c>
      <c r="P155" s="375" t="s">
        <v>622</v>
      </c>
      <c r="Q155" s="372" t="s">
        <v>622</v>
      </c>
      <c r="R155" s="696">
        <v>20220721</v>
      </c>
      <c r="S155" s="375" t="s">
        <v>1798</v>
      </c>
      <c r="T155" s="697" t="s">
        <v>771</v>
      </c>
      <c r="U155" s="372" t="s">
        <v>1799</v>
      </c>
      <c r="V155" s="723" t="s">
        <v>773</v>
      </c>
      <c r="W155" s="723">
        <v>5.33</v>
      </c>
      <c r="X155" s="723">
        <v>30.81</v>
      </c>
      <c r="Y155" s="723" t="s">
        <v>773</v>
      </c>
      <c r="Z155" s="382">
        <v>0.53654002088551311</v>
      </c>
      <c r="AA155" s="372">
        <v>14.3004227</v>
      </c>
      <c r="AB155" s="372">
        <v>66.389989400000005</v>
      </c>
      <c r="AC155" s="372">
        <v>138.65732449999999</v>
      </c>
      <c r="AD155" s="372">
        <v>250.8023871</v>
      </c>
      <c r="AE155" s="372">
        <v>548.33000000000004</v>
      </c>
      <c r="AF155" s="372">
        <v>860.5</v>
      </c>
      <c r="AG155" s="372">
        <v>1398</v>
      </c>
      <c r="AH155" s="372">
        <v>2087</v>
      </c>
    </row>
    <row r="156" spans="1:34">
      <c r="A156" s="372" t="s">
        <v>1800</v>
      </c>
      <c r="B156" s="373" t="s">
        <v>1801</v>
      </c>
      <c r="C156" s="372" t="s">
        <v>1802</v>
      </c>
      <c r="D156" s="374">
        <v>1101111873755</v>
      </c>
      <c r="E156" s="372" t="s">
        <v>1803</v>
      </c>
      <c r="F156" s="375" t="s">
        <v>1006</v>
      </c>
      <c r="G156" s="375" t="s">
        <v>1215</v>
      </c>
      <c r="H156" s="375" t="s">
        <v>861</v>
      </c>
      <c r="I156" s="375" t="s">
        <v>862</v>
      </c>
      <c r="J156" s="375">
        <v>663577.07056000002</v>
      </c>
      <c r="K156" s="375">
        <v>-78675.163159999996</v>
      </c>
      <c r="L156" s="375">
        <v>-163930.40098999999</v>
      </c>
      <c r="M156" s="375">
        <v>380876.33672000002</v>
      </c>
      <c r="N156" s="372">
        <v>1.117</v>
      </c>
      <c r="O156" s="704">
        <v>15.688915085479469</v>
      </c>
      <c r="P156" s="375" t="s">
        <v>622</v>
      </c>
      <c r="Q156" s="375" t="s">
        <v>622</v>
      </c>
      <c r="R156" s="696">
        <v>20091218</v>
      </c>
      <c r="S156" s="375" t="s">
        <v>1804</v>
      </c>
      <c r="T156" s="697" t="s">
        <v>771</v>
      </c>
      <c r="U156" s="375" t="s">
        <v>1805</v>
      </c>
      <c r="V156" s="723" t="s">
        <v>773</v>
      </c>
      <c r="W156" s="723">
        <v>4.6399999999999997</v>
      </c>
      <c r="X156" s="723">
        <v>1.74</v>
      </c>
      <c r="Y156" s="723" t="s">
        <v>773</v>
      </c>
      <c r="Z156" s="382">
        <v>9.1431437554256423E-2</v>
      </c>
      <c r="AA156" s="372">
        <v>1267.048597</v>
      </c>
      <c r="AB156" s="372">
        <v>3349.8313171999998</v>
      </c>
      <c r="AC156" s="372">
        <v>4634.9156622</v>
      </c>
      <c r="AD156" s="372">
        <v>6052.5242830999996</v>
      </c>
      <c r="AE156" s="372">
        <v>7077.4</v>
      </c>
      <c r="AF156" s="372">
        <v>8004.8</v>
      </c>
      <c r="AG156" s="372">
        <v>8588.6</v>
      </c>
      <c r="AH156" s="372">
        <v>0</v>
      </c>
    </row>
    <row r="157" spans="1:34">
      <c r="A157" s="372" t="s">
        <v>1806</v>
      </c>
      <c r="B157" s="373" t="s">
        <v>1807</v>
      </c>
      <c r="C157" s="372" t="s">
        <v>1808</v>
      </c>
      <c r="D157" s="374">
        <v>1101112810590</v>
      </c>
      <c r="E157" s="372" t="s">
        <v>1809</v>
      </c>
      <c r="F157" s="375" t="s">
        <v>16105</v>
      </c>
      <c r="G157" s="375" t="s">
        <v>16105</v>
      </c>
      <c r="H157" s="375" t="s">
        <v>826</v>
      </c>
      <c r="I157" s="375" t="s">
        <v>754</v>
      </c>
      <c r="J157" s="375">
        <v>4352312.7564300001</v>
      </c>
      <c r="K157" s="375">
        <v>609497.20591999998</v>
      </c>
      <c r="L157" s="375">
        <v>451719.09509999998</v>
      </c>
      <c r="M157" s="375">
        <v>1675953.92341</v>
      </c>
      <c r="N157" s="372">
        <v>1.0980000000000001</v>
      </c>
      <c r="O157" s="704">
        <v>164.68870056149296</v>
      </c>
      <c r="P157" s="375" t="s">
        <v>622</v>
      </c>
      <c r="Q157" s="375" t="s">
        <v>622</v>
      </c>
      <c r="R157" s="696">
        <v>20050217</v>
      </c>
      <c r="S157" s="375" t="s">
        <v>1810</v>
      </c>
      <c r="T157" s="697">
        <v>0.26400000000000001</v>
      </c>
      <c r="U157" s="375" t="s">
        <v>1811</v>
      </c>
      <c r="V157" s="723">
        <v>3.75</v>
      </c>
      <c r="W157" s="723">
        <v>0.85</v>
      </c>
      <c r="X157" s="723">
        <v>0.3</v>
      </c>
      <c r="Y157" s="723">
        <v>3.88</v>
      </c>
      <c r="Z157" s="382">
        <v>5.7088155994891032E-2</v>
      </c>
      <c r="AA157" s="372">
        <v>21706.7730538</v>
      </c>
      <c r="AB157" s="372">
        <v>26012.232159399999</v>
      </c>
      <c r="AC157" s="372">
        <v>35591.584618399997</v>
      </c>
      <c r="AD157" s="372">
        <v>40414.121576799997</v>
      </c>
      <c r="AE157" s="372">
        <v>44559.38</v>
      </c>
      <c r="AF157" s="372">
        <v>47730.13</v>
      </c>
      <c r="AG157" s="372">
        <v>50463.57</v>
      </c>
      <c r="AH157" s="372">
        <v>57840</v>
      </c>
    </row>
    <row r="158" spans="1:34">
      <c r="A158" s="372" t="s">
        <v>1812</v>
      </c>
      <c r="B158" s="373" t="s">
        <v>1813</v>
      </c>
      <c r="C158" s="372" t="s">
        <v>1814</v>
      </c>
      <c r="D158" s="374">
        <v>1101110003098</v>
      </c>
      <c r="E158" s="372" t="s">
        <v>1815</v>
      </c>
      <c r="F158" s="375" t="s">
        <v>893</v>
      </c>
      <c r="G158" s="375" t="s">
        <v>894</v>
      </c>
      <c r="H158" s="375" t="s">
        <v>855</v>
      </c>
      <c r="I158" s="375" t="s">
        <v>754</v>
      </c>
      <c r="J158" s="375">
        <v>8826153.5509500001</v>
      </c>
      <c r="K158" s="375">
        <v>459947.97021</v>
      </c>
      <c r="L158" s="375">
        <v>155155.39744</v>
      </c>
      <c r="M158" s="375">
        <v>3133700.2302999999</v>
      </c>
      <c r="N158" s="372">
        <v>0.622</v>
      </c>
      <c r="O158" s="704">
        <v>207.12614851194951</v>
      </c>
      <c r="P158" s="375" t="s">
        <v>622</v>
      </c>
      <c r="Q158" s="375" t="s">
        <v>622</v>
      </c>
      <c r="R158" s="696">
        <v>19890307</v>
      </c>
      <c r="S158" s="375" t="s">
        <v>854</v>
      </c>
      <c r="T158" s="697">
        <v>0.23100000000000001</v>
      </c>
      <c r="U158" s="372" t="s">
        <v>15829</v>
      </c>
      <c r="V158" s="723">
        <v>4.55</v>
      </c>
      <c r="W158" s="723">
        <v>0.35</v>
      </c>
      <c r="X158" s="723">
        <v>0.15</v>
      </c>
      <c r="Y158" s="723">
        <v>23.12</v>
      </c>
      <c r="Z158" s="382">
        <v>3.734323216341795E-2</v>
      </c>
      <c r="AA158" s="372">
        <v>28573.313064000002</v>
      </c>
      <c r="AB158" s="372">
        <v>76029.996595100005</v>
      </c>
      <c r="AC158" s="372">
        <v>90262.5836748</v>
      </c>
      <c r="AD158" s="372">
        <v>89485.707579599999</v>
      </c>
      <c r="AE158" s="372">
        <v>92310</v>
      </c>
      <c r="AF158" s="372">
        <v>99100</v>
      </c>
      <c r="AG158" s="372">
        <v>103620</v>
      </c>
      <c r="AH158" s="372">
        <v>0</v>
      </c>
    </row>
    <row r="159" spans="1:34">
      <c r="A159" s="372" t="s">
        <v>1816</v>
      </c>
      <c r="B159" s="373" t="s">
        <v>1817</v>
      </c>
      <c r="C159" s="372" t="s">
        <v>1818</v>
      </c>
      <c r="D159" s="374">
        <v>1101110035835</v>
      </c>
      <c r="E159" s="372" t="s">
        <v>1819</v>
      </c>
      <c r="F159" s="375" t="s">
        <v>1820</v>
      </c>
      <c r="G159" s="375" t="s">
        <v>1821</v>
      </c>
      <c r="H159" s="375" t="s">
        <v>753</v>
      </c>
      <c r="I159" s="375" t="s">
        <v>754</v>
      </c>
      <c r="J159" s="375">
        <v>3212945.3879999998</v>
      </c>
      <c r="K159" s="375">
        <v>114114.664</v>
      </c>
      <c r="L159" s="375">
        <v>97457.641000000003</v>
      </c>
      <c r="M159" s="375">
        <v>1503432.3859999999</v>
      </c>
      <c r="N159" s="372">
        <v>0.877</v>
      </c>
      <c r="O159" s="704">
        <v>15.306424984894159</v>
      </c>
      <c r="P159" s="375" t="s">
        <v>622</v>
      </c>
      <c r="Q159" s="375" t="s">
        <v>622</v>
      </c>
      <c r="R159" s="696">
        <v>19681227</v>
      </c>
      <c r="S159" s="375" t="s">
        <v>1822</v>
      </c>
      <c r="T159" s="697">
        <v>0.23100000000000001</v>
      </c>
      <c r="U159" s="375" t="s">
        <v>1823</v>
      </c>
      <c r="V159" s="723">
        <v>16.11</v>
      </c>
      <c r="W159" s="723">
        <v>1.51</v>
      </c>
      <c r="X159" s="723">
        <v>0.61</v>
      </c>
      <c r="Y159" s="723">
        <v>18.45</v>
      </c>
      <c r="Z159" s="382">
        <v>8.5525796446777047E-2</v>
      </c>
      <c r="AA159" s="372">
        <v>15968.41749</v>
      </c>
      <c r="AB159" s="372">
        <v>19977.095560000002</v>
      </c>
      <c r="AC159" s="372">
        <v>24505.459750000002</v>
      </c>
      <c r="AD159" s="372">
        <v>28439.80012</v>
      </c>
      <c r="AE159" s="372">
        <v>33380</v>
      </c>
      <c r="AF159" s="372">
        <v>37310</v>
      </c>
      <c r="AG159" s="372">
        <v>39490</v>
      </c>
      <c r="AH159" s="372">
        <v>0</v>
      </c>
    </row>
    <row r="160" spans="1:34">
      <c r="A160" s="372" t="s">
        <v>1824</v>
      </c>
      <c r="B160" s="373" t="s">
        <v>1825</v>
      </c>
      <c r="C160" s="372" t="s">
        <v>1826</v>
      </c>
      <c r="D160" s="374">
        <v>1101110180888</v>
      </c>
      <c r="E160" s="372" t="s">
        <v>1827</v>
      </c>
      <c r="F160" s="375" t="s">
        <v>1828</v>
      </c>
      <c r="G160" s="375" t="s">
        <v>1829</v>
      </c>
      <c r="H160" s="375" t="s">
        <v>846</v>
      </c>
      <c r="I160" s="375" t="s">
        <v>754</v>
      </c>
      <c r="J160" s="375">
        <v>479362.64192999998</v>
      </c>
      <c r="K160" s="375">
        <v>42604.61148</v>
      </c>
      <c r="L160" s="375">
        <v>180614.23405999999</v>
      </c>
      <c r="M160" s="375">
        <v>1674558.46214</v>
      </c>
      <c r="N160" s="372">
        <v>0.74</v>
      </c>
      <c r="O160" s="704">
        <v>0.15534569050709482</v>
      </c>
      <c r="P160" s="375" t="s">
        <v>622</v>
      </c>
      <c r="Q160" s="375" t="s">
        <v>622</v>
      </c>
      <c r="R160" s="696">
        <v>19951227</v>
      </c>
      <c r="S160" s="375" t="s">
        <v>1830</v>
      </c>
      <c r="T160" s="697">
        <v>0.23100000000000001</v>
      </c>
      <c r="U160" s="375" t="s">
        <v>1831</v>
      </c>
      <c r="V160" s="723">
        <v>41.05</v>
      </c>
      <c r="W160" s="723">
        <v>1.1399999999999999</v>
      </c>
      <c r="X160" s="723">
        <v>3.98</v>
      </c>
      <c r="Y160" s="723">
        <v>11.73</v>
      </c>
      <c r="Z160" s="382" t="s">
        <v>927</v>
      </c>
      <c r="AA160" s="372">
        <v>4930.4072230000002</v>
      </c>
      <c r="AB160" s="372">
        <v>5353.2731924</v>
      </c>
      <c r="AC160" s="372">
        <v>5564.8660871000002</v>
      </c>
      <c r="AD160" s="372">
        <v>4896.9554156000004</v>
      </c>
      <c r="AE160" s="372">
        <v>0</v>
      </c>
      <c r="AF160" s="372">
        <v>0</v>
      </c>
      <c r="AG160" s="372">
        <v>0</v>
      </c>
      <c r="AH160" s="372">
        <v>0</v>
      </c>
    </row>
    <row r="161" spans="1:34">
      <c r="A161" s="372" t="s">
        <v>1832</v>
      </c>
      <c r="B161" s="373" t="s">
        <v>1833</v>
      </c>
      <c r="C161" s="372" t="s">
        <v>1834</v>
      </c>
      <c r="D161" s="374">
        <v>1311110057876</v>
      </c>
      <c r="E161" s="372" t="s">
        <v>1835</v>
      </c>
      <c r="F161" s="375" t="s">
        <v>1836</v>
      </c>
      <c r="G161" s="375" t="s">
        <v>1836</v>
      </c>
      <c r="H161" s="375" t="s">
        <v>3099</v>
      </c>
      <c r="I161" s="375" t="s">
        <v>862</v>
      </c>
      <c r="J161" s="375">
        <v>160169.22829999999</v>
      </c>
      <c r="K161" s="375">
        <v>39748.991800000003</v>
      </c>
      <c r="L161" s="375">
        <v>56151.345780000003</v>
      </c>
      <c r="M161" s="375">
        <v>511371.07293999998</v>
      </c>
      <c r="N161" s="372">
        <v>1.2729999999999999</v>
      </c>
      <c r="O161" s="704">
        <v>1.5388562332717775</v>
      </c>
      <c r="P161" s="375" t="s">
        <v>622</v>
      </c>
      <c r="Q161" s="375" t="s">
        <v>622</v>
      </c>
      <c r="R161" s="696">
        <v>20071001</v>
      </c>
      <c r="S161" s="375" t="s">
        <v>1837</v>
      </c>
      <c r="T161" s="697">
        <v>0.23100000000000001</v>
      </c>
      <c r="U161" s="375" t="s">
        <v>1838</v>
      </c>
      <c r="V161" s="723">
        <v>26.12</v>
      </c>
      <c r="W161" s="723">
        <v>2.3199999999999998</v>
      </c>
      <c r="X161" s="723">
        <v>7.65</v>
      </c>
      <c r="Y161" s="723">
        <v>27.24</v>
      </c>
      <c r="Z161" s="382">
        <v>0.1710937261650638</v>
      </c>
      <c r="AA161" s="372">
        <v>1217.6945860999999</v>
      </c>
      <c r="AB161" s="372">
        <v>1446.6982421</v>
      </c>
      <c r="AC161" s="372">
        <v>1788.7126456000001</v>
      </c>
      <c r="AD161" s="372">
        <v>1402.2193990000001</v>
      </c>
      <c r="AE161" s="372">
        <v>1808.33</v>
      </c>
      <c r="AF161" s="372">
        <v>2251.67</v>
      </c>
      <c r="AG161" s="372">
        <v>2637.44</v>
      </c>
      <c r="AH161" s="372">
        <v>4120</v>
      </c>
    </row>
    <row r="162" spans="1:34">
      <c r="A162" s="372" t="s">
        <v>1839</v>
      </c>
      <c r="B162" s="373" t="s">
        <v>1840</v>
      </c>
      <c r="C162" s="372" t="s">
        <v>1841</v>
      </c>
      <c r="D162" s="374">
        <v>1641110000397</v>
      </c>
      <c r="E162" s="372" t="s">
        <v>1842</v>
      </c>
      <c r="F162" s="375" t="s">
        <v>1323</v>
      </c>
      <c r="G162" s="375" t="s">
        <v>16106</v>
      </c>
      <c r="H162" s="375" t="s">
        <v>784</v>
      </c>
      <c r="I162" s="375" t="s">
        <v>754</v>
      </c>
      <c r="J162" s="375">
        <v>134244.51861999999</v>
      </c>
      <c r="K162" s="375">
        <v>-6771.8385200000002</v>
      </c>
      <c r="L162" s="375">
        <v>-7221.8963299999996</v>
      </c>
      <c r="M162" s="375">
        <v>171355.09841000001</v>
      </c>
      <c r="N162" s="372">
        <v>0.77700000000000002</v>
      </c>
      <c r="O162" s="704">
        <v>6.5343197641040421E-2</v>
      </c>
      <c r="P162" s="375" t="s">
        <v>622</v>
      </c>
      <c r="Q162" s="375" t="s">
        <v>622</v>
      </c>
      <c r="R162" s="696">
        <v>19891218</v>
      </c>
      <c r="S162" s="375" t="s">
        <v>1843</v>
      </c>
      <c r="T162" s="697" t="s">
        <v>771</v>
      </c>
      <c r="U162" s="375" t="s">
        <v>1844</v>
      </c>
      <c r="V162" s="723" t="s">
        <v>773</v>
      </c>
      <c r="W162" s="723">
        <v>10.98</v>
      </c>
      <c r="X162" s="723">
        <v>15.08</v>
      </c>
      <c r="Y162" s="723" t="s">
        <v>773</v>
      </c>
      <c r="Z162" s="382">
        <v>9.4801493773313705E-2</v>
      </c>
      <c r="AA162" s="372">
        <v>886.02270090000002</v>
      </c>
      <c r="AB162" s="372">
        <v>1015.9444369</v>
      </c>
      <c r="AC162" s="372">
        <v>1099.9541898</v>
      </c>
      <c r="AD162" s="372">
        <v>1349.0983762000001</v>
      </c>
      <c r="AE162" s="372">
        <v>1408.96</v>
      </c>
      <c r="AF162" s="372">
        <v>1650.84</v>
      </c>
      <c r="AG162" s="372">
        <v>1938.14</v>
      </c>
      <c r="AH162" s="372">
        <v>2493.5</v>
      </c>
    </row>
    <row r="163" spans="1:34">
      <c r="A163" s="372" t="s">
        <v>1845</v>
      </c>
      <c r="B163" s="373" t="s">
        <v>1846</v>
      </c>
      <c r="C163" s="372" t="s">
        <v>1847</v>
      </c>
      <c r="D163" s="374">
        <v>1101112137895</v>
      </c>
      <c r="E163" s="372" t="s">
        <v>1848</v>
      </c>
      <c r="F163" s="375" t="s">
        <v>1849</v>
      </c>
      <c r="G163" s="375" t="s">
        <v>1850</v>
      </c>
      <c r="H163" s="375" t="s">
        <v>1386</v>
      </c>
      <c r="I163" s="375" t="s">
        <v>754</v>
      </c>
      <c r="J163" s="375">
        <v>10634795.348549999</v>
      </c>
      <c r="K163" s="375">
        <v>359809.48751000001</v>
      </c>
      <c r="L163" s="375">
        <v>489871.58421</v>
      </c>
      <c r="M163" s="375">
        <v>4163801.6274100002</v>
      </c>
      <c r="N163" s="372">
        <v>0.78900000000000003</v>
      </c>
      <c r="O163" s="704">
        <v>267.80313637863537</v>
      </c>
      <c r="P163" s="375" t="s">
        <v>622</v>
      </c>
      <c r="Q163" s="375" t="s">
        <v>622</v>
      </c>
      <c r="R163" s="696">
        <v>20010323</v>
      </c>
      <c r="S163" s="375" t="s">
        <v>1851</v>
      </c>
      <c r="T163" s="697">
        <v>0.26400000000000001</v>
      </c>
      <c r="U163" s="375" t="s">
        <v>1852</v>
      </c>
      <c r="V163" s="723">
        <v>7.6</v>
      </c>
      <c r="W163" s="723">
        <v>0.37</v>
      </c>
      <c r="X163" s="723">
        <v>0.15</v>
      </c>
      <c r="Y163" s="723">
        <v>4.8600000000000003</v>
      </c>
      <c r="Z163" s="382">
        <v>-1.1773675669276451E-2</v>
      </c>
      <c r="AA163" s="372">
        <v>81367.057366399997</v>
      </c>
      <c r="AB163" s="372">
        <v>86852.076796599998</v>
      </c>
      <c r="AC163" s="372">
        <v>104192.1313213</v>
      </c>
      <c r="AD163" s="372">
        <v>116478.00864689999</v>
      </c>
      <c r="AE163" s="372">
        <v>104178.16</v>
      </c>
      <c r="AF163" s="372">
        <v>105066.42</v>
      </c>
      <c r="AG163" s="372">
        <v>111088.63</v>
      </c>
      <c r="AH163" s="372">
        <v>105000</v>
      </c>
    </row>
    <row r="164" spans="1:34">
      <c r="A164" s="372" t="s">
        <v>1853</v>
      </c>
      <c r="B164" s="373" t="s">
        <v>1854</v>
      </c>
      <c r="C164" s="372" t="s">
        <v>1855</v>
      </c>
      <c r="D164" s="374">
        <v>1101110028848</v>
      </c>
      <c r="E164" s="372" t="s">
        <v>1856</v>
      </c>
      <c r="F164" s="372" t="s">
        <v>1648</v>
      </c>
      <c r="G164" s="375" t="s">
        <v>1649</v>
      </c>
      <c r="H164" s="375" t="s">
        <v>846</v>
      </c>
      <c r="I164" s="375" t="s">
        <v>754</v>
      </c>
      <c r="J164" s="375">
        <v>6469501.6327200001</v>
      </c>
      <c r="K164" s="375">
        <v>579388.92764999997</v>
      </c>
      <c r="L164" s="375">
        <v>379258.23968</v>
      </c>
      <c r="M164" s="375">
        <v>6418808.3838299997</v>
      </c>
      <c r="N164" s="372">
        <v>0.76300000000000001</v>
      </c>
      <c r="O164" s="704">
        <v>377.70772407992376</v>
      </c>
      <c r="P164" s="375" t="s">
        <v>622</v>
      </c>
      <c r="Q164" s="375" t="s">
        <v>622</v>
      </c>
      <c r="R164" s="696">
        <v>19850819</v>
      </c>
      <c r="S164" s="375" t="s">
        <v>1857</v>
      </c>
      <c r="T164" s="697">
        <v>0.26400000000000001</v>
      </c>
      <c r="U164" s="375" t="s">
        <v>1858</v>
      </c>
      <c r="V164" s="723">
        <v>7.75</v>
      </c>
      <c r="W164" s="723">
        <v>0.35</v>
      </c>
      <c r="X164" s="723">
        <v>0.24</v>
      </c>
      <c r="Y164" s="723">
        <v>8.73</v>
      </c>
      <c r="Z164" s="382">
        <v>3.0216903540527085E-2</v>
      </c>
      <c r="AA164" s="372">
        <v>47692.7939185</v>
      </c>
      <c r="AB164" s="372">
        <v>63164.3593425</v>
      </c>
      <c r="AC164" s="372">
        <v>78127.551989</v>
      </c>
      <c r="AD164" s="372">
        <v>63570.885421400002</v>
      </c>
      <c r="AE164" s="372">
        <v>65179.12</v>
      </c>
      <c r="AF164" s="372">
        <v>68643.820000000007</v>
      </c>
      <c r="AG164" s="372">
        <v>71609.88</v>
      </c>
      <c r="AH164" s="372">
        <v>0</v>
      </c>
    </row>
    <row r="165" spans="1:34">
      <c r="A165" s="372" t="s">
        <v>1859</v>
      </c>
      <c r="B165" s="373" t="s">
        <v>1860</v>
      </c>
      <c r="C165" s="372" t="s">
        <v>1861</v>
      </c>
      <c r="D165" s="374">
        <v>1313110140776</v>
      </c>
      <c r="E165" s="372" t="s">
        <v>1862</v>
      </c>
      <c r="F165" s="375" t="s">
        <v>1863</v>
      </c>
      <c r="G165" s="375" t="s">
        <v>1864</v>
      </c>
      <c r="H165" s="375" t="s">
        <v>792</v>
      </c>
      <c r="I165" s="375" t="s">
        <v>754</v>
      </c>
      <c r="J165" s="375">
        <v>8616860.6082499996</v>
      </c>
      <c r="K165" s="375">
        <v>298330.17709999997</v>
      </c>
      <c r="L165" s="375">
        <v>255481.92296</v>
      </c>
      <c r="M165" s="375">
        <v>2490245.6275900002</v>
      </c>
      <c r="N165" s="372">
        <v>0.752</v>
      </c>
      <c r="O165" s="704">
        <v>133.86729132581115</v>
      </c>
      <c r="P165" s="375" t="s">
        <v>622</v>
      </c>
      <c r="Q165" s="375" t="s">
        <v>622</v>
      </c>
      <c r="R165" s="696">
        <v>20141006</v>
      </c>
      <c r="S165" s="375" t="s">
        <v>1865</v>
      </c>
      <c r="T165" s="697">
        <v>0.23100000000000001</v>
      </c>
      <c r="U165" s="375" t="s">
        <v>1866</v>
      </c>
      <c r="V165" s="723">
        <v>5.7</v>
      </c>
      <c r="W165" s="723">
        <v>0.74</v>
      </c>
      <c r="X165" s="723">
        <v>0.2</v>
      </c>
      <c r="Y165" s="723">
        <v>14.06</v>
      </c>
      <c r="Z165" s="382">
        <v>4.8424510104593033E-2</v>
      </c>
      <c r="AA165" s="372">
        <v>55635.044916500003</v>
      </c>
      <c r="AB165" s="372">
        <v>61474.331129500002</v>
      </c>
      <c r="AC165" s="372">
        <v>75161.638412300003</v>
      </c>
      <c r="AD165" s="372">
        <v>83930.8680092</v>
      </c>
      <c r="AE165" s="372">
        <v>87104.5</v>
      </c>
      <c r="AF165" s="372">
        <v>94667.55</v>
      </c>
      <c r="AG165" s="372">
        <v>101407.57</v>
      </c>
      <c r="AH165" s="372">
        <v>107440</v>
      </c>
    </row>
    <row r="166" spans="1:34">
      <c r="A166" s="372" t="s">
        <v>1867</v>
      </c>
      <c r="B166" s="373" t="s">
        <v>1868</v>
      </c>
      <c r="C166" s="372" t="s">
        <v>1869</v>
      </c>
      <c r="D166" s="374">
        <v>1301110033281</v>
      </c>
      <c r="E166" s="372" t="s">
        <v>1870</v>
      </c>
      <c r="F166" s="375" t="s">
        <v>1871</v>
      </c>
      <c r="G166" s="375" t="s">
        <v>1872</v>
      </c>
      <c r="H166" s="375" t="s">
        <v>861</v>
      </c>
      <c r="I166" s="375" t="s">
        <v>862</v>
      </c>
      <c r="J166" s="375">
        <v>399413.08997999999</v>
      </c>
      <c r="K166" s="375">
        <v>115163.42412</v>
      </c>
      <c r="L166" s="375">
        <v>130805.27043</v>
      </c>
      <c r="M166" s="375">
        <v>596957.94614999997</v>
      </c>
      <c r="N166" s="372">
        <v>1.4279999999999999</v>
      </c>
      <c r="O166" s="704">
        <v>3.5010121500166407</v>
      </c>
      <c r="P166" s="375" t="s">
        <v>622</v>
      </c>
      <c r="Q166" s="375" t="s">
        <v>622</v>
      </c>
      <c r="R166" s="696">
        <v>19991222</v>
      </c>
      <c r="S166" s="375" t="s">
        <v>1873</v>
      </c>
      <c r="T166" s="697">
        <v>0.23100000000000001</v>
      </c>
      <c r="U166" s="375" t="s">
        <v>1874</v>
      </c>
      <c r="V166" s="723">
        <v>9.4600000000000009</v>
      </c>
      <c r="W166" s="723">
        <v>2.12</v>
      </c>
      <c r="X166" s="723">
        <v>3.22</v>
      </c>
      <c r="Y166" s="723">
        <v>11.52</v>
      </c>
      <c r="Z166" s="382">
        <v>0.20567072740935677</v>
      </c>
      <c r="AA166" s="372">
        <v>1185.4586475000001</v>
      </c>
      <c r="AB166" s="372">
        <v>3772.9463107000001</v>
      </c>
      <c r="AC166" s="372">
        <v>4379.3872031000001</v>
      </c>
      <c r="AD166" s="372">
        <v>2847.4524666000002</v>
      </c>
      <c r="AE166" s="372">
        <v>4101.13</v>
      </c>
      <c r="AF166" s="372">
        <v>5209</v>
      </c>
      <c r="AG166" s="372">
        <v>6016.88</v>
      </c>
      <c r="AH166" s="372">
        <v>8110</v>
      </c>
    </row>
    <row r="167" spans="1:34">
      <c r="A167" s="372" t="s">
        <v>1875</v>
      </c>
      <c r="B167" s="373" t="s">
        <v>1876</v>
      </c>
      <c r="C167" s="372" t="s">
        <v>1877</v>
      </c>
      <c r="D167" s="374">
        <v>1101117736808</v>
      </c>
      <c r="E167" s="372" t="s">
        <v>1878</v>
      </c>
      <c r="F167" s="372" t="s">
        <v>1879</v>
      </c>
      <c r="G167" s="375" t="s">
        <v>1879</v>
      </c>
      <c r="H167" s="375" t="s">
        <v>1386</v>
      </c>
      <c r="I167" s="375" t="s">
        <v>754</v>
      </c>
      <c r="J167" s="375">
        <v>8212622.4649299998</v>
      </c>
      <c r="K167" s="375">
        <v>265032.76166000002</v>
      </c>
      <c r="L167" s="375">
        <v>167721.21874000001</v>
      </c>
      <c r="M167" s="375">
        <v>4818910.9574499996</v>
      </c>
      <c r="N167" s="372">
        <v>0.78300000000000003</v>
      </c>
      <c r="O167" s="704">
        <v>109.76865747701335</v>
      </c>
      <c r="P167" s="375" t="s">
        <v>622</v>
      </c>
      <c r="Q167" s="375" t="s">
        <v>622</v>
      </c>
      <c r="R167" s="696">
        <v>20210125</v>
      </c>
      <c r="S167" s="375" t="s">
        <v>1880</v>
      </c>
      <c r="T167" s="697">
        <v>0.23100000000000001</v>
      </c>
      <c r="U167" s="375" t="s">
        <v>1881</v>
      </c>
      <c r="V167" s="723">
        <v>3.49</v>
      </c>
      <c r="W167" s="723">
        <v>0.26</v>
      </c>
      <c r="X167" s="723">
        <v>0.16</v>
      </c>
      <c r="Y167" s="723">
        <v>11.05</v>
      </c>
      <c r="Z167" s="382">
        <v>2.5917191418114438E-2</v>
      </c>
      <c r="AA167" s="372">
        <v>0</v>
      </c>
      <c r="AB167" s="372">
        <v>76316.508985799999</v>
      </c>
      <c r="AC167" s="372">
        <v>74968.236794600001</v>
      </c>
      <c r="AD167" s="372">
        <v>79910.636166800003</v>
      </c>
      <c r="AE167" s="372">
        <v>81199.53</v>
      </c>
      <c r="AF167" s="372">
        <v>83525.53</v>
      </c>
      <c r="AG167" s="372">
        <v>88522.53</v>
      </c>
      <c r="AH167" s="372">
        <v>91470</v>
      </c>
    </row>
    <row r="168" spans="1:34">
      <c r="A168" s="372" t="s">
        <v>1882</v>
      </c>
      <c r="B168" s="373" t="s">
        <v>1883</v>
      </c>
      <c r="C168" s="372" t="s">
        <v>1884</v>
      </c>
      <c r="D168" s="374">
        <v>1301110005199</v>
      </c>
      <c r="E168" s="372" t="s">
        <v>1885</v>
      </c>
      <c r="F168" s="375" t="s">
        <v>845</v>
      </c>
      <c r="G168" s="375" t="s">
        <v>845</v>
      </c>
      <c r="H168" s="375" t="s">
        <v>846</v>
      </c>
      <c r="I168" s="375" t="s">
        <v>754</v>
      </c>
      <c r="J168" s="375">
        <v>9480303</v>
      </c>
      <c r="K168" s="375">
        <v>254226</v>
      </c>
      <c r="L168" s="375">
        <v>100116</v>
      </c>
      <c r="M168" s="375">
        <v>2147416</v>
      </c>
      <c r="N168" s="372">
        <v>0.86199999999999999</v>
      </c>
      <c r="O168" s="704">
        <v>216.82045110907549</v>
      </c>
      <c r="P168" s="375" t="s">
        <v>622</v>
      </c>
      <c r="Q168" s="375" t="s">
        <v>622</v>
      </c>
      <c r="R168" s="696">
        <v>19770630</v>
      </c>
      <c r="S168" s="375" t="s">
        <v>1886</v>
      </c>
      <c r="T168" s="697">
        <v>0.23100000000000001</v>
      </c>
      <c r="U168" s="375" t="s">
        <v>1887</v>
      </c>
      <c r="V168" s="723">
        <v>2.13</v>
      </c>
      <c r="W168" s="723">
        <v>0.47</v>
      </c>
      <c r="X168" s="723">
        <v>0.12</v>
      </c>
      <c r="Y168" s="723">
        <v>15.11</v>
      </c>
      <c r="Z168" s="382">
        <v>-1.8705216256769575E-2</v>
      </c>
      <c r="AA168" s="372">
        <v>106259.06</v>
      </c>
      <c r="AB168" s="372">
        <v>110181.4</v>
      </c>
      <c r="AC168" s="372">
        <v>94261.6</v>
      </c>
      <c r="AD168" s="372">
        <v>91338.67</v>
      </c>
      <c r="AE168" s="372">
        <v>82211.600000000006</v>
      </c>
      <c r="AF168" s="372">
        <v>82581.399999999994</v>
      </c>
      <c r="AG168" s="372">
        <v>84694</v>
      </c>
      <c r="AH168" s="372">
        <v>0</v>
      </c>
    </row>
    <row r="169" spans="1:34">
      <c r="A169" s="372" t="s">
        <v>1888</v>
      </c>
      <c r="B169" s="373" t="s">
        <v>1889</v>
      </c>
      <c r="C169" s="372" t="s">
        <v>1890</v>
      </c>
      <c r="D169" s="374">
        <v>1101116770154</v>
      </c>
      <c r="E169" s="372" t="s">
        <v>1891</v>
      </c>
      <c r="F169" s="375" t="s">
        <v>1414</v>
      </c>
      <c r="G169" s="375" t="s">
        <v>1414</v>
      </c>
      <c r="H169" s="375" t="s">
        <v>753</v>
      </c>
      <c r="I169" s="375" t="s">
        <v>754</v>
      </c>
      <c r="J169" s="375">
        <v>4615479.8406699998</v>
      </c>
      <c r="K169" s="375">
        <v>293692.13159</v>
      </c>
      <c r="L169" s="375">
        <v>206385.08720000001</v>
      </c>
      <c r="M169" s="375">
        <v>1325839.06115</v>
      </c>
      <c r="N169" s="372">
        <v>0.71199999999999997</v>
      </c>
      <c r="O169" s="704">
        <v>35.376113310943097</v>
      </c>
      <c r="P169" s="375" t="s">
        <v>622</v>
      </c>
      <c r="Q169" s="375" t="s">
        <v>622</v>
      </c>
      <c r="R169" s="696">
        <v>20180713</v>
      </c>
      <c r="S169" s="375" t="s">
        <v>771</v>
      </c>
      <c r="T169" s="697">
        <v>0.23100000000000001</v>
      </c>
      <c r="U169" s="375" t="s">
        <v>1892</v>
      </c>
      <c r="V169" s="723">
        <v>12</v>
      </c>
      <c r="W169" s="723">
        <v>2.74</v>
      </c>
      <c r="X169" s="723">
        <v>0.7</v>
      </c>
      <c r="Y169" s="723">
        <v>20.72</v>
      </c>
      <c r="Z169" s="382">
        <v>7.7022165771320594E-2</v>
      </c>
      <c r="AA169" s="372">
        <v>29839.7086303</v>
      </c>
      <c r="AB169" s="372">
        <v>30946.986447800002</v>
      </c>
      <c r="AC169" s="372">
        <v>35101.439176300002</v>
      </c>
      <c r="AD169" s="372">
        <v>43005.715032499997</v>
      </c>
      <c r="AE169" s="372">
        <v>47740.5</v>
      </c>
      <c r="AF169" s="372">
        <v>52747.08</v>
      </c>
      <c r="AG169" s="372">
        <v>57866.17</v>
      </c>
      <c r="AH169" s="372">
        <v>72940</v>
      </c>
    </row>
    <row r="170" spans="1:34">
      <c r="A170" s="372" t="s">
        <v>1893</v>
      </c>
      <c r="B170" s="373" t="s">
        <v>1894</v>
      </c>
      <c r="C170" s="372" t="s">
        <v>1895</v>
      </c>
      <c r="D170" s="374">
        <v>1341110002258</v>
      </c>
      <c r="E170" s="372" t="s">
        <v>1896</v>
      </c>
      <c r="F170" s="375" t="s">
        <v>2222</v>
      </c>
      <c r="G170" s="375" t="s">
        <v>2222</v>
      </c>
      <c r="H170" s="375" t="s">
        <v>1316</v>
      </c>
      <c r="I170" s="375" t="s">
        <v>754</v>
      </c>
      <c r="J170" s="375">
        <v>3481769.8809699998</v>
      </c>
      <c r="K170" s="375">
        <v>240352.78393000001</v>
      </c>
      <c r="L170" s="375">
        <v>221017.30875</v>
      </c>
      <c r="M170" s="375">
        <v>2166866.3119299999</v>
      </c>
      <c r="N170" s="372">
        <v>0.63700000000000001</v>
      </c>
      <c r="O170" s="704">
        <v>58.79697199760551</v>
      </c>
      <c r="P170" s="375" t="s">
        <v>622</v>
      </c>
      <c r="Q170" s="375" t="s">
        <v>622</v>
      </c>
      <c r="R170" s="696">
        <v>19940812</v>
      </c>
      <c r="S170" s="375" t="s">
        <v>1897</v>
      </c>
      <c r="T170" s="697">
        <v>0.23100000000000001</v>
      </c>
      <c r="U170" s="375" t="s">
        <v>1898</v>
      </c>
      <c r="V170" s="723">
        <v>4.58</v>
      </c>
      <c r="W170" s="723">
        <v>0.72</v>
      </c>
      <c r="X170" s="723">
        <v>0.49</v>
      </c>
      <c r="Y170" s="723">
        <v>10.92</v>
      </c>
      <c r="Z170" s="382">
        <v>2.1339805996808625E-2</v>
      </c>
      <c r="AA170" s="372">
        <v>25958.8091164</v>
      </c>
      <c r="AB170" s="372">
        <v>27390.368591999999</v>
      </c>
      <c r="AC170" s="372">
        <v>31833.148536600002</v>
      </c>
      <c r="AD170" s="372">
        <v>34545.484773999997</v>
      </c>
      <c r="AE170" s="372">
        <v>35355</v>
      </c>
      <c r="AF170" s="372">
        <v>36453</v>
      </c>
      <c r="AG170" s="372">
        <v>37590</v>
      </c>
      <c r="AH170" s="372">
        <v>0</v>
      </c>
    </row>
    <row r="171" spans="1:34">
      <c r="A171" s="372" t="s">
        <v>1899</v>
      </c>
      <c r="B171" s="373" t="s">
        <v>1900</v>
      </c>
      <c r="C171" s="372" t="s">
        <v>1901</v>
      </c>
      <c r="D171" s="374">
        <v>1344110001519</v>
      </c>
      <c r="E171" s="372" t="s">
        <v>1902</v>
      </c>
      <c r="F171" s="372" t="s">
        <v>1903</v>
      </c>
      <c r="G171" s="375" t="s">
        <v>1904</v>
      </c>
      <c r="H171" s="375" t="s">
        <v>1043</v>
      </c>
      <c r="I171" s="375" t="s">
        <v>754</v>
      </c>
      <c r="J171" s="375">
        <v>2801671.2228799998</v>
      </c>
      <c r="K171" s="375">
        <v>163507.73353</v>
      </c>
      <c r="L171" s="375">
        <v>102514.72894</v>
      </c>
      <c r="M171" s="375">
        <v>1260442.56</v>
      </c>
      <c r="N171" s="372">
        <v>0.78600000000000003</v>
      </c>
      <c r="O171" s="704">
        <v>55.793100099547942</v>
      </c>
      <c r="P171" s="375" t="s">
        <v>622</v>
      </c>
      <c r="Q171" s="375" t="s">
        <v>622</v>
      </c>
      <c r="R171" s="696">
        <v>19960703</v>
      </c>
      <c r="S171" s="375" t="s">
        <v>1905</v>
      </c>
      <c r="T171" s="697">
        <v>0.23100000000000001</v>
      </c>
      <c r="U171" s="375" t="s">
        <v>1906</v>
      </c>
      <c r="V171" s="723">
        <v>10.85</v>
      </c>
      <c r="W171" s="723">
        <v>1.37</v>
      </c>
      <c r="X171" s="723">
        <v>0.63</v>
      </c>
      <c r="Y171" s="723">
        <v>26.71</v>
      </c>
      <c r="Z171" s="382" t="s">
        <v>927</v>
      </c>
      <c r="AA171" s="372">
        <v>18211.846708100002</v>
      </c>
      <c r="AB171" s="372">
        <v>19734.264157699999</v>
      </c>
      <c r="AC171" s="372">
        <v>21293.0110126</v>
      </c>
      <c r="AD171" s="372">
        <v>26020.992118800001</v>
      </c>
      <c r="AE171" s="372">
        <v>21341</v>
      </c>
      <c r="AF171" s="372">
        <v>0</v>
      </c>
      <c r="AG171" s="372">
        <v>0</v>
      </c>
      <c r="AH171" s="372">
        <v>0</v>
      </c>
    </row>
    <row r="172" spans="1:34">
      <c r="A172" s="372" t="s">
        <v>1907</v>
      </c>
      <c r="B172" s="373" t="s">
        <v>1908</v>
      </c>
      <c r="C172" s="372" t="s">
        <v>1909</v>
      </c>
      <c r="D172" s="374">
        <v>1348110003327</v>
      </c>
      <c r="E172" s="372" t="s">
        <v>1910</v>
      </c>
      <c r="F172" s="375" t="s">
        <v>1323</v>
      </c>
      <c r="G172" s="375" t="s">
        <v>16106</v>
      </c>
      <c r="H172" s="375" t="s">
        <v>861</v>
      </c>
      <c r="I172" s="375" t="s">
        <v>862</v>
      </c>
      <c r="J172" s="375">
        <v>208221.05704000001</v>
      </c>
      <c r="K172" s="375">
        <v>5271.6289999999999</v>
      </c>
      <c r="L172" s="375">
        <v>11891.415290000001</v>
      </c>
      <c r="M172" s="375">
        <v>356380.74069000001</v>
      </c>
      <c r="N172" s="372">
        <v>1.5780000000000001</v>
      </c>
      <c r="O172" s="704">
        <v>1.9381107953748373</v>
      </c>
      <c r="P172" s="375" t="s">
        <v>622</v>
      </c>
      <c r="Q172" s="372" t="s">
        <v>622</v>
      </c>
      <c r="R172" s="696">
        <v>20000929</v>
      </c>
      <c r="S172" s="375" t="s">
        <v>1911</v>
      </c>
      <c r="T172" s="697">
        <v>0.20900000000000002</v>
      </c>
      <c r="U172" s="375" t="s">
        <v>1912</v>
      </c>
      <c r="V172" s="723">
        <v>239.1</v>
      </c>
      <c r="W172" s="723">
        <v>11.86</v>
      </c>
      <c r="X172" s="723">
        <v>15.73</v>
      </c>
      <c r="Y172" s="723">
        <v>640.80999999999995</v>
      </c>
      <c r="Z172" s="382" t="s">
        <v>927</v>
      </c>
      <c r="AA172" s="372">
        <v>1668.6233379</v>
      </c>
      <c r="AB172" s="372">
        <v>1672.7490387</v>
      </c>
      <c r="AC172" s="372">
        <v>1773.3541001000001</v>
      </c>
      <c r="AD172" s="372">
        <v>1926.6851561999999</v>
      </c>
      <c r="AE172" s="372">
        <v>0</v>
      </c>
      <c r="AF172" s="372">
        <v>0</v>
      </c>
      <c r="AG172" s="372">
        <v>0</v>
      </c>
      <c r="AH172" s="372">
        <v>0</v>
      </c>
    </row>
    <row r="173" spans="1:34">
      <c r="A173" s="372" t="s">
        <v>1913</v>
      </c>
      <c r="B173" s="373" t="s">
        <v>1914</v>
      </c>
      <c r="C173" s="372" t="s">
        <v>1915</v>
      </c>
      <c r="D173" s="374">
        <v>1101111568885</v>
      </c>
      <c r="E173" s="372" t="s">
        <v>1916</v>
      </c>
      <c r="F173" s="375" t="s">
        <v>1055</v>
      </c>
      <c r="G173" s="375" t="s">
        <v>16104</v>
      </c>
      <c r="H173" s="375" t="s">
        <v>861</v>
      </c>
      <c r="I173" s="375" t="s">
        <v>862</v>
      </c>
      <c r="J173" s="375">
        <v>97109.259340000004</v>
      </c>
      <c r="K173" s="375">
        <v>-26635.05488</v>
      </c>
      <c r="L173" s="375">
        <v>74382.644709999993</v>
      </c>
      <c r="M173" s="375">
        <v>433604.01676000003</v>
      </c>
      <c r="N173" s="372">
        <v>1.1419999999999999</v>
      </c>
      <c r="O173" s="704">
        <v>15.629744644510204</v>
      </c>
      <c r="P173" s="375" t="s">
        <v>622</v>
      </c>
      <c r="Q173" s="375" t="s">
        <v>622</v>
      </c>
      <c r="R173" s="696">
        <v>20081125</v>
      </c>
      <c r="S173" s="375" t="s">
        <v>1917</v>
      </c>
      <c r="T173" s="697">
        <v>0.23100000000000001</v>
      </c>
      <c r="U173" s="372" t="s">
        <v>1918</v>
      </c>
      <c r="V173" s="723" t="s">
        <v>773</v>
      </c>
      <c r="W173" s="723">
        <v>2.98</v>
      </c>
      <c r="X173" s="723">
        <v>12.42</v>
      </c>
      <c r="Y173" s="723">
        <v>16.98</v>
      </c>
      <c r="Z173" s="382" t="s">
        <v>927</v>
      </c>
      <c r="AA173" s="372">
        <v>917.9682368</v>
      </c>
      <c r="AB173" s="372">
        <v>534.94248119999997</v>
      </c>
      <c r="AC173" s="372">
        <v>995.91375500000004</v>
      </c>
      <c r="AD173" s="372">
        <v>979.90440679999995</v>
      </c>
      <c r="AE173" s="372">
        <v>0</v>
      </c>
      <c r="AF173" s="372">
        <v>0</v>
      </c>
      <c r="AG173" s="372">
        <v>0</v>
      </c>
      <c r="AH173" s="372">
        <v>0</v>
      </c>
    </row>
    <row r="174" spans="1:34">
      <c r="A174" s="372" t="s">
        <v>1919</v>
      </c>
      <c r="B174" s="373" t="s">
        <v>1920</v>
      </c>
      <c r="C174" s="372" t="s">
        <v>1921</v>
      </c>
      <c r="D174" s="374">
        <v>1942110000125</v>
      </c>
      <c r="E174" s="372" t="s">
        <v>1922</v>
      </c>
      <c r="F174" s="375" t="s">
        <v>1863</v>
      </c>
      <c r="G174" s="375" t="s">
        <v>1864</v>
      </c>
      <c r="H174" s="375" t="s">
        <v>792</v>
      </c>
      <c r="I174" s="375" t="s">
        <v>754</v>
      </c>
      <c r="J174" s="375">
        <v>8587069</v>
      </c>
      <c r="K174" s="375">
        <v>226671</v>
      </c>
      <c r="L174" s="375">
        <v>169602</v>
      </c>
      <c r="M174" s="375">
        <v>3865114</v>
      </c>
      <c r="N174" s="372">
        <v>1.0569999999999999</v>
      </c>
      <c r="O174" s="704">
        <v>113.32453512537701</v>
      </c>
      <c r="P174" s="375" t="s">
        <v>622</v>
      </c>
      <c r="Q174" s="375" t="s">
        <v>622</v>
      </c>
      <c r="R174" s="696">
        <v>20110221</v>
      </c>
      <c r="S174" s="375" t="s">
        <v>1923</v>
      </c>
      <c r="T174" s="697">
        <v>0.23100000000000001</v>
      </c>
      <c r="U174" s="375" t="s">
        <v>1924</v>
      </c>
      <c r="V174" s="723">
        <v>3.61</v>
      </c>
      <c r="W174" s="723">
        <v>0.39</v>
      </c>
      <c r="X174" s="723">
        <v>0.16</v>
      </c>
      <c r="Y174" s="723">
        <v>12.22</v>
      </c>
      <c r="Z174" s="382">
        <v>2.8997048373819778E-2</v>
      </c>
      <c r="AA174" s="372">
        <v>65922.42</v>
      </c>
      <c r="AB174" s="372">
        <v>75277.39</v>
      </c>
      <c r="AC174" s="372">
        <v>82076.14</v>
      </c>
      <c r="AD174" s="372">
        <v>85903.16</v>
      </c>
      <c r="AE174" s="372">
        <v>87349.19</v>
      </c>
      <c r="AF174" s="372">
        <v>91226.5</v>
      </c>
      <c r="AG174" s="372">
        <v>96308.73</v>
      </c>
      <c r="AH174" s="372">
        <v>104490</v>
      </c>
    </row>
    <row r="175" spans="1:34">
      <c r="A175" s="372" t="s">
        <v>1925</v>
      </c>
      <c r="B175" s="373" t="s">
        <v>1926</v>
      </c>
      <c r="C175" s="372" t="s">
        <v>1927</v>
      </c>
      <c r="D175" s="374">
        <v>1101111109134</v>
      </c>
      <c r="E175" s="372" t="s">
        <v>1928</v>
      </c>
      <c r="F175" s="375" t="s">
        <v>1929</v>
      </c>
      <c r="G175" s="375" t="s">
        <v>1929</v>
      </c>
      <c r="H175" s="375" t="s">
        <v>1337</v>
      </c>
      <c r="I175" s="375" t="s">
        <v>862</v>
      </c>
      <c r="J175" s="375">
        <v>4703052.7754699998</v>
      </c>
      <c r="K175" s="375">
        <v>122194.51033</v>
      </c>
      <c r="L175" s="375">
        <v>-487707.46087000001</v>
      </c>
      <c r="M175" s="375">
        <v>3539364.9693700001</v>
      </c>
      <c r="N175" s="372">
        <v>0.64700000000000002</v>
      </c>
      <c r="O175" s="704">
        <v>206.28746581299998</v>
      </c>
      <c r="P175" s="375" t="s">
        <v>622</v>
      </c>
      <c r="Q175" s="375" t="s">
        <v>622</v>
      </c>
      <c r="R175" s="696">
        <v>19991120</v>
      </c>
      <c r="S175" s="375" t="s">
        <v>1930</v>
      </c>
      <c r="T175" s="697" t="s">
        <v>771</v>
      </c>
      <c r="U175" s="375" t="s">
        <v>1931</v>
      </c>
      <c r="V175" s="723">
        <v>3.18</v>
      </c>
      <c r="W175" s="723">
        <v>0.52</v>
      </c>
      <c r="X175" s="723">
        <v>0.33</v>
      </c>
      <c r="Y175" s="723" t="s">
        <v>773</v>
      </c>
      <c r="Z175" s="382">
        <v>5.9691199688342689E-2</v>
      </c>
      <c r="AA175" s="372">
        <v>33911.840028699997</v>
      </c>
      <c r="AB175" s="372">
        <v>35523.965423000001</v>
      </c>
      <c r="AC175" s="372">
        <v>47922.377888700001</v>
      </c>
      <c r="AD175" s="372">
        <v>43683.606565100003</v>
      </c>
      <c r="AE175" s="372">
        <v>48530.720000000001</v>
      </c>
      <c r="AF175" s="372">
        <v>51752.89</v>
      </c>
      <c r="AG175" s="372">
        <v>55085.31</v>
      </c>
      <c r="AH175" s="372">
        <v>0</v>
      </c>
    </row>
    <row r="176" spans="1:34">
      <c r="A176" s="372" t="s">
        <v>1932</v>
      </c>
      <c r="B176" s="373" t="s">
        <v>1933</v>
      </c>
      <c r="C176" s="372" t="s">
        <v>1934</v>
      </c>
      <c r="D176" s="374">
        <v>1101110371148</v>
      </c>
      <c r="E176" s="372" t="s">
        <v>1935</v>
      </c>
      <c r="F176" s="375" t="s">
        <v>1936</v>
      </c>
      <c r="G176" s="375" t="s">
        <v>1937</v>
      </c>
      <c r="H176" s="375" t="s">
        <v>1386</v>
      </c>
      <c r="I176" s="375" t="s">
        <v>754</v>
      </c>
      <c r="J176" s="375">
        <v>1566312.6495099999</v>
      </c>
      <c r="K176" s="375">
        <v>227820.21677</v>
      </c>
      <c r="L176" s="375">
        <v>237283.77262</v>
      </c>
      <c r="M176" s="375">
        <v>1294642.0898800001</v>
      </c>
      <c r="N176" s="372">
        <v>0.54900000000000004</v>
      </c>
      <c r="O176" s="704">
        <v>0.64980854700854707</v>
      </c>
      <c r="P176" s="375" t="s">
        <v>622</v>
      </c>
      <c r="Q176" s="375" t="s">
        <v>622</v>
      </c>
      <c r="R176" s="696">
        <v>20071214</v>
      </c>
      <c r="S176" s="375" t="s">
        <v>1938</v>
      </c>
      <c r="T176" s="697">
        <v>0.23100000000000001</v>
      </c>
      <c r="U176" s="372" t="s">
        <v>1939</v>
      </c>
      <c r="V176" s="723">
        <v>6.55</v>
      </c>
      <c r="W176" s="723">
        <v>1.46</v>
      </c>
      <c r="X176" s="723">
        <v>1.21</v>
      </c>
      <c r="Y176" s="723">
        <v>10.35</v>
      </c>
      <c r="Z176" s="382">
        <v>2.9933979649524156E-2</v>
      </c>
      <c r="AA176" s="372">
        <v>13032.017661100001</v>
      </c>
      <c r="AB176" s="372">
        <v>13805.534289900001</v>
      </c>
      <c r="AC176" s="372">
        <v>14290.748364499999</v>
      </c>
      <c r="AD176" s="372">
        <v>15338.507914899999</v>
      </c>
      <c r="AE176" s="372">
        <v>15796.1</v>
      </c>
      <c r="AF176" s="372">
        <v>16438.7</v>
      </c>
      <c r="AG176" s="372">
        <v>17259.2</v>
      </c>
      <c r="AH176" s="372">
        <v>0</v>
      </c>
    </row>
    <row r="177" spans="1:34">
      <c r="A177" s="372" t="s">
        <v>1940</v>
      </c>
      <c r="B177" s="373" t="s">
        <v>1941</v>
      </c>
      <c r="C177" s="372" t="s">
        <v>1942</v>
      </c>
      <c r="D177" s="374">
        <v>1201110234469</v>
      </c>
      <c r="E177" s="372" t="s">
        <v>1943</v>
      </c>
      <c r="F177" s="372" t="s">
        <v>1282</v>
      </c>
      <c r="G177" s="375" t="s">
        <v>1283</v>
      </c>
      <c r="H177" s="375" t="s">
        <v>1043</v>
      </c>
      <c r="I177" s="375" t="s">
        <v>754</v>
      </c>
      <c r="J177" s="375">
        <v>4156874.13509</v>
      </c>
      <c r="K177" s="375">
        <v>209034.71170000001</v>
      </c>
      <c r="L177" s="375">
        <v>115960.47274</v>
      </c>
      <c r="M177" s="375">
        <v>1861915.3592999999</v>
      </c>
      <c r="N177" s="372">
        <v>1.1970000000000001</v>
      </c>
      <c r="O177" s="704">
        <v>99.902666986259717</v>
      </c>
      <c r="P177" s="375" t="s">
        <v>622</v>
      </c>
      <c r="Q177" s="372" t="s">
        <v>622</v>
      </c>
      <c r="R177" s="696">
        <v>20010202</v>
      </c>
      <c r="S177" s="372" t="s">
        <v>1944</v>
      </c>
      <c r="T177" s="697">
        <v>0.23100000000000001</v>
      </c>
      <c r="U177" s="372" t="s">
        <v>15830</v>
      </c>
      <c r="V177" s="723">
        <v>6.17</v>
      </c>
      <c r="W177" s="723">
        <v>0.77</v>
      </c>
      <c r="X177" s="723">
        <v>0.36</v>
      </c>
      <c r="Y177" s="723">
        <v>24.29</v>
      </c>
      <c r="Z177" s="382">
        <v>-1.3269247331606504E-3</v>
      </c>
      <c r="AA177" s="372">
        <v>39881.039970600003</v>
      </c>
      <c r="AB177" s="372">
        <v>45936.651463399998</v>
      </c>
      <c r="AC177" s="372">
        <v>47561.135016699998</v>
      </c>
      <c r="AD177" s="372">
        <v>46596.0459606</v>
      </c>
      <c r="AE177" s="372">
        <v>41534</v>
      </c>
      <c r="AF177" s="372">
        <v>43418.7</v>
      </c>
      <c r="AG177" s="372">
        <v>46349.22</v>
      </c>
      <c r="AH177" s="372">
        <v>49640</v>
      </c>
    </row>
    <row r="178" spans="1:34">
      <c r="A178" s="372" t="s">
        <v>1945</v>
      </c>
      <c r="B178" s="373" t="s">
        <v>1946</v>
      </c>
      <c r="C178" s="372" t="s">
        <v>16270</v>
      </c>
      <c r="D178" s="374">
        <v>1101116770170</v>
      </c>
      <c r="E178" s="372" t="s">
        <v>16271</v>
      </c>
      <c r="F178" s="375" t="s">
        <v>1947</v>
      </c>
      <c r="G178" s="375" t="s">
        <v>1947</v>
      </c>
      <c r="H178" s="375" t="s">
        <v>826</v>
      </c>
      <c r="I178" s="375" t="s">
        <v>754</v>
      </c>
      <c r="J178" s="375">
        <v>3274917.4310400002</v>
      </c>
      <c r="K178" s="375">
        <v>194487.78021</v>
      </c>
      <c r="L178" s="375">
        <v>91511.420629999993</v>
      </c>
      <c r="M178" s="375">
        <v>785066.38256000006</v>
      </c>
      <c r="N178" s="372">
        <v>1.073</v>
      </c>
      <c r="O178" s="704">
        <v>157.04683653676989</v>
      </c>
      <c r="P178" s="375" t="s">
        <v>622</v>
      </c>
      <c r="Q178" s="372" t="s">
        <v>622</v>
      </c>
      <c r="R178" s="696">
        <v>20180713</v>
      </c>
      <c r="S178" s="375" t="s">
        <v>1948</v>
      </c>
      <c r="T178" s="697">
        <v>0.23100000000000001</v>
      </c>
      <c r="U178" s="372" t="s">
        <v>1949</v>
      </c>
      <c r="V178" s="723">
        <v>8.3000000000000007</v>
      </c>
      <c r="W178" s="723">
        <v>1.87</v>
      </c>
      <c r="X178" s="723">
        <v>0.4</v>
      </c>
      <c r="Y178" s="723">
        <v>58.26</v>
      </c>
      <c r="Z178" s="382">
        <v>3.834528412801208E-2</v>
      </c>
      <c r="AA178" s="372">
        <v>23946.228989200001</v>
      </c>
      <c r="AB178" s="372">
        <v>35977.771003599999</v>
      </c>
      <c r="AC178" s="372">
        <v>38413.728257000002</v>
      </c>
      <c r="AD178" s="372">
        <v>32023.311794900001</v>
      </c>
      <c r="AE178" s="372">
        <v>33646.800000000003</v>
      </c>
      <c r="AF178" s="372">
        <v>35356.5</v>
      </c>
      <c r="AG178" s="372">
        <v>37224.89</v>
      </c>
      <c r="AH178" s="372">
        <v>0</v>
      </c>
    </row>
    <row r="179" spans="1:34">
      <c r="A179" s="372" t="s">
        <v>1950</v>
      </c>
      <c r="B179" s="373" t="s">
        <v>1951</v>
      </c>
      <c r="C179" s="372" t="s">
        <v>1952</v>
      </c>
      <c r="D179" s="374">
        <v>1101110028591</v>
      </c>
      <c r="E179" s="372" t="s">
        <v>1953</v>
      </c>
      <c r="F179" s="375" t="s">
        <v>1954</v>
      </c>
      <c r="G179" s="375" t="s">
        <v>1955</v>
      </c>
      <c r="H179" s="375" t="s">
        <v>1316</v>
      </c>
      <c r="I179" s="375" t="s">
        <v>754</v>
      </c>
      <c r="J179" s="375">
        <v>2592897.8350800001</v>
      </c>
      <c r="K179" s="375">
        <v>216648.30845000001</v>
      </c>
      <c r="L179" s="375">
        <v>158852.13496</v>
      </c>
      <c r="M179" s="375">
        <v>1171961.6244600001</v>
      </c>
      <c r="N179" s="372">
        <v>0.63300000000000001</v>
      </c>
      <c r="O179" s="704">
        <v>72.291536668547636</v>
      </c>
      <c r="P179" s="375" t="s">
        <v>622</v>
      </c>
      <c r="Q179" s="375" t="s">
        <v>622</v>
      </c>
      <c r="R179" s="696">
        <v>19730627</v>
      </c>
      <c r="S179" s="375" t="s">
        <v>16071</v>
      </c>
      <c r="T179" s="697">
        <v>0.23100000000000001</v>
      </c>
      <c r="U179" s="375" t="s">
        <v>1957</v>
      </c>
      <c r="V179" s="723">
        <v>6.06</v>
      </c>
      <c r="W179" s="723">
        <v>1.18</v>
      </c>
      <c r="X179" s="723">
        <v>0.56000000000000005</v>
      </c>
      <c r="Y179" s="723">
        <v>13.26</v>
      </c>
      <c r="Z179" s="382">
        <v>2.5168818246404046E-2</v>
      </c>
      <c r="AA179" s="372">
        <v>22563.229458500002</v>
      </c>
      <c r="AB179" s="372">
        <v>22029.038503700001</v>
      </c>
      <c r="AC179" s="372">
        <v>24975.548214400002</v>
      </c>
      <c r="AD179" s="372">
        <v>25201.8155162</v>
      </c>
      <c r="AE179" s="372">
        <v>26250.31</v>
      </c>
      <c r="AF179" s="372">
        <v>26998.46</v>
      </c>
      <c r="AG179" s="372">
        <v>27836.42</v>
      </c>
      <c r="AH179" s="372">
        <v>0</v>
      </c>
    </row>
    <row r="180" spans="1:34">
      <c r="A180" s="372" t="s">
        <v>1958</v>
      </c>
      <c r="B180" s="373" t="s">
        <v>1959</v>
      </c>
      <c r="C180" s="372" t="s">
        <v>1960</v>
      </c>
      <c r="D180" s="374">
        <v>1313110163174</v>
      </c>
      <c r="E180" s="372" t="s">
        <v>1961</v>
      </c>
      <c r="F180" s="372" t="s">
        <v>1962</v>
      </c>
      <c r="G180" s="375" t="s">
        <v>1962</v>
      </c>
      <c r="H180" s="375" t="s">
        <v>861</v>
      </c>
      <c r="I180" s="375" t="s">
        <v>862</v>
      </c>
      <c r="J180" s="375">
        <v>678739.61644000001</v>
      </c>
      <c r="K180" s="375">
        <v>-3288.2277800000002</v>
      </c>
      <c r="L180" s="375">
        <v>-18934.508829999999</v>
      </c>
      <c r="M180" s="375">
        <v>858744.53506000002</v>
      </c>
      <c r="N180" s="372">
        <v>0.94099999999999995</v>
      </c>
      <c r="O180" s="704">
        <v>0.67048355643118585</v>
      </c>
      <c r="P180" s="375" t="s">
        <v>622</v>
      </c>
      <c r="Q180" s="375" t="s">
        <v>622</v>
      </c>
      <c r="R180" s="696">
        <v>20160502</v>
      </c>
      <c r="S180" s="375" t="s">
        <v>1963</v>
      </c>
      <c r="T180" s="697" t="s">
        <v>771</v>
      </c>
      <c r="U180" s="375" t="s">
        <v>1964</v>
      </c>
      <c r="V180" s="723">
        <v>38.51</v>
      </c>
      <c r="W180" s="723">
        <v>1.76</v>
      </c>
      <c r="X180" s="723">
        <v>2.25</v>
      </c>
      <c r="Y180" s="723" t="s">
        <v>773</v>
      </c>
      <c r="Z180" s="382">
        <v>0.13137107442126883</v>
      </c>
      <c r="AA180" s="372">
        <v>10909.246891000001</v>
      </c>
      <c r="AB180" s="372">
        <v>12323.021989499999</v>
      </c>
      <c r="AC180" s="372">
        <v>10114.849817</v>
      </c>
      <c r="AD180" s="372">
        <v>6903.3758676999996</v>
      </c>
      <c r="AE180" s="372">
        <v>7456.38</v>
      </c>
      <c r="AF180" s="372">
        <v>9814.75</v>
      </c>
      <c r="AG180" s="372">
        <v>11310.5</v>
      </c>
      <c r="AH180" s="372">
        <v>19550</v>
      </c>
    </row>
    <row r="181" spans="1:34">
      <c r="A181" s="372" t="s">
        <v>1965</v>
      </c>
      <c r="B181" s="373" t="s">
        <v>1966</v>
      </c>
      <c r="C181" s="372" t="s">
        <v>1967</v>
      </c>
      <c r="D181" s="374">
        <v>1101115260669</v>
      </c>
      <c r="E181" s="372" t="s">
        <v>1968</v>
      </c>
      <c r="F181" s="375" t="s">
        <v>1323</v>
      </c>
      <c r="G181" s="375" t="s">
        <v>16106</v>
      </c>
      <c r="H181" s="375" t="s">
        <v>784</v>
      </c>
      <c r="I181" s="375" t="s">
        <v>754</v>
      </c>
      <c r="J181" s="375">
        <v>1675677.9863799999</v>
      </c>
      <c r="K181" s="375">
        <v>207070.03925</v>
      </c>
      <c r="L181" s="375">
        <v>208802.72430999999</v>
      </c>
      <c r="M181" s="375">
        <v>895585.14049999998</v>
      </c>
      <c r="N181" s="372">
        <v>0.73599999999999999</v>
      </c>
      <c r="O181" s="704">
        <v>16.580597147324365</v>
      </c>
      <c r="P181" s="375" t="s">
        <v>622</v>
      </c>
      <c r="Q181" s="375" t="s">
        <v>622</v>
      </c>
      <c r="R181" s="696">
        <v>20131206</v>
      </c>
      <c r="S181" s="375" t="s">
        <v>1969</v>
      </c>
      <c r="T181" s="697">
        <v>0.23100000000000001</v>
      </c>
      <c r="U181" s="375" t="s">
        <v>1970</v>
      </c>
      <c r="V181" s="723">
        <v>6.08</v>
      </c>
      <c r="W181" s="723">
        <v>1.55</v>
      </c>
      <c r="X181" s="723">
        <v>0.88</v>
      </c>
      <c r="Y181" s="723">
        <v>7.83</v>
      </c>
      <c r="Z181" s="382">
        <v>1.8870313803406757E-2</v>
      </c>
      <c r="AA181" s="372">
        <v>13030.0552439</v>
      </c>
      <c r="AB181" s="372">
        <v>13435.5936291</v>
      </c>
      <c r="AC181" s="372">
        <v>14883.4472864</v>
      </c>
      <c r="AD181" s="372">
        <v>16694.044387599999</v>
      </c>
      <c r="AE181" s="372">
        <v>15756.5</v>
      </c>
      <c r="AF181" s="372">
        <v>16929.5</v>
      </c>
      <c r="AG181" s="372">
        <v>17990.25</v>
      </c>
      <c r="AH181" s="372">
        <v>0</v>
      </c>
    </row>
    <row r="182" spans="1:34">
      <c r="A182" s="372" t="s">
        <v>1971</v>
      </c>
      <c r="B182" s="373" t="s">
        <v>1972</v>
      </c>
      <c r="C182" s="372" t="s">
        <v>1973</v>
      </c>
      <c r="D182" s="374">
        <v>1101110034233</v>
      </c>
      <c r="E182" s="372" t="s">
        <v>1974</v>
      </c>
      <c r="F182" s="372" t="s">
        <v>893</v>
      </c>
      <c r="G182" s="375" t="s">
        <v>894</v>
      </c>
      <c r="H182" s="375" t="s">
        <v>855</v>
      </c>
      <c r="I182" s="375" t="s">
        <v>754</v>
      </c>
      <c r="J182" s="375">
        <v>1412067.21199</v>
      </c>
      <c r="K182" s="375">
        <v>468275.93576000002</v>
      </c>
      <c r="L182" s="375">
        <v>406053.41051000002</v>
      </c>
      <c r="M182" s="375">
        <v>4326719.9658199996</v>
      </c>
      <c r="N182" s="372">
        <v>0.63500000000000001</v>
      </c>
      <c r="O182" s="704">
        <v>19.007023050078526</v>
      </c>
      <c r="P182" s="375" t="s">
        <v>622</v>
      </c>
      <c r="Q182" s="375" t="s">
        <v>622</v>
      </c>
      <c r="R182" s="696">
        <v>19681227</v>
      </c>
      <c r="S182" s="375" t="s">
        <v>1975</v>
      </c>
      <c r="T182" s="697">
        <v>0.26400000000000001</v>
      </c>
      <c r="U182" s="375" t="s">
        <v>1976</v>
      </c>
      <c r="V182" s="723">
        <v>3.41</v>
      </c>
      <c r="W182" s="723">
        <v>0.37</v>
      </c>
      <c r="X182" s="723">
        <v>1.1499999999999999</v>
      </c>
      <c r="Y182" s="723">
        <v>4.38</v>
      </c>
      <c r="Z182" s="382">
        <v>0.10404851308510077</v>
      </c>
      <c r="AA182" s="372">
        <v>8191.7612164000002</v>
      </c>
      <c r="AB182" s="372">
        <v>9633.0035449000006</v>
      </c>
      <c r="AC182" s="372">
        <v>10958.9577044</v>
      </c>
      <c r="AD182" s="372">
        <v>10896.680571000001</v>
      </c>
      <c r="AE182" s="372">
        <v>14632</v>
      </c>
      <c r="AF182" s="372">
        <v>15308</v>
      </c>
      <c r="AG182" s="372">
        <v>16190</v>
      </c>
      <c r="AH182" s="372">
        <v>0</v>
      </c>
    </row>
    <row r="183" spans="1:34">
      <c r="A183" s="372" t="s">
        <v>1977</v>
      </c>
      <c r="B183" s="373" t="s">
        <v>1978</v>
      </c>
      <c r="C183" s="372" t="s">
        <v>1979</v>
      </c>
      <c r="D183" s="374">
        <v>1701110429523</v>
      </c>
      <c r="E183" s="372" t="s">
        <v>1980</v>
      </c>
      <c r="F183" s="375" t="s">
        <v>853</v>
      </c>
      <c r="G183" s="375" t="s">
        <v>854</v>
      </c>
      <c r="H183" s="375" t="s">
        <v>855</v>
      </c>
      <c r="I183" s="375" t="s">
        <v>754</v>
      </c>
      <c r="J183" s="375">
        <v>0</v>
      </c>
      <c r="K183" s="375">
        <v>0</v>
      </c>
      <c r="L183" s="375">
        <v>0</v>
      </c>
      <c r="M183" s="375">
        <v>0</v>
      </c>
      <c r="N183" s="372">
        <v>0.69399999999999995</v>
      </c>
      <c r="O183" s="704" t="s">
        <v>16301</v>
      </c>
      <c r="P183" s="375" t="s">
        <v>622</v>
      </c>
      <c r="Q183" s="375" t="s">
        <v>622</v>
      </c>
      <c r="R183" s="696">
        <v>20110607</v>
      </c>
      <c r="S183" s="375" t="s">
        <v>854</v>
      </c>
      <c r="T183" s="697" t="s">
        <v>771</v>
      </c>
      <c r="U183" s="372" t="s">
        <v>1981</v>
      </c>
      <c r="V183" s="723">
        <v>0</v>
      </c>
      <c r="W183" s="723">
        <v>0</v>
      </c>
      <c r="X183" s="723">
        <v>0</v>
      </c>
      <c r="Y183" s="723">
        <v>0</v>
      </c>
      <c r="Z183" s="382">
        <v>2.2810708018973003E-2</v>
      </c>
      <c r="AA183" s="372">
        <v>20745.661208199999</v>
      </c>
      <c r="AB183" s="372">
        <v>21399.230916699998</v>
      </c>
      <c r="AC183" s="372">
        <v>29024.39673</v>
      </c>
      <c r="AD183" s="372">
        <v>40274.117856099998</v>
      </c>
      <c r="AE183" s="372">
        <v>41943.56</v>
      </c>
      <c r="AF183" s="372">
        <v>42238.75</v>
      </c>
      <c r="AG183" s="372">
        <v>44076.5</v>
      </c>
      <c r="AH183" s="372">
        <v>0</v>
      </c>
    </row>
    <row r="184" spans="1:34">
      <c r="A184" s="372" t="s">
        <v>1982</v>
      </c>
      <c r="B184" s="373" t="s">
        <v>1983</v>
      </c>
      <c r="C184" s="372" t="s">
        <v>1984</v>
      </c>
      <c r="D184" s="374">
        <v>2149110003625</v>
      </c>
      <c r="E184" s="372" t="s">
        <v>1985</v>
      </c>
      <c r="F184" s="375" t="s">
        <v>1276</v>
      </c>
      <c r="G184" s="375" t="s">
        <v>1452</v>
      </c>
      <c r="H184" s="375" t="s">
        <v>753</v>
      </c>
      <c r="I184" s="375" t="s">
        <v>754</v>
      </c>
      <c r="J184" s="375">
        <v>945392.93848999997</v>
      </c>
      <c r="K184" s="375">
        <v>-23247.985509999999</v>
      </c>
      <c r="L184" s="375">
        <v>22121.275730000001</v>
      </c>
      <c r="M184" s="375">
        <v>1842273.81926</v>
      </c>
      <c r="N184" s="372">
        <v>1.425</v>
      </c>
      <c r="O184" s="704">
        <v>13.858248082227561</v>
      </c>
      <c r="P184" s="375" t="s">
        <v>622</v>
      </c>
      <c r="Q184" s="372" t="s">
        <v>622</v>
      </c>
      <c r="R184" s="696">
        <v>20110304</v>
      </c>
      <c r="S184" s="372" t="s">
        <v>1986</v>
      </c>
      <c r="T184" s="697">
        <v>0.23100000000000001</v>
      </c>
      <c r="U184" s="372" t="s">
        <v>15831</v>
      </c>
      <c r="V184" s="723">
        <v>39.64</v>
      </c>
      <c r="W184" s="723">
        <v>1.39</v>
      </c>
      <c r="X184" s="723">
        <v>2.0099999999999998</v>
      </c>
      <c r="Y184" s="723">
        <v>284.56</v>
      </c>
      <c r="Z184" s="382">
        <v>0.11483353445299049</v>
      </c>
      <c r="AA184" s="372">
        <v>5369.1698067999996</v>
      </c>
      <c r="AB184" s="372">
        <v>6888.9261350999996</v>
      </c>
      <c r="AC184" s="372">
        <v>7293.6292181999997</v>
      </c>
      <c r="AD184" s="372">
        <v>8090.0605699999996</v>
      </c>
      <c r="AE184" s="372">
        <v>9411.7000000000007</v>
      </c>
      <c r="AF184" s="372">
        <v>10590.7</v>
      </c>
      <c r="AG184" s="372">
        <v>12496.6</v>
      </c>
      <c r="AH184" s="372">
        <v>18510</v>
      </c>
    </row>
    <row r="185" spans="1:34">
      <c r="A185" s="372" t="s">
        <v>1987</v>
      </c>
      <c r="B185" s="373" t="s">
        <v>1988</v>
      </c>
      <c r="C185" s="372" t="s">
        <v>1989</v>
      </c>
      <c r="D185" s="374">
        <v>1101110013774</v>
      </c>
      <c r="E185" s="372" t="s">
        <v>1990</v>
      </c>
      <c r="F185" s="375" t="s">
        <v>893</v>
      </c>
      <c r="G185" s="375" t="s">
        <v>894</v>
      </c>
      <c r="H185" s="375" t="s">
        <v>855</v>
      </c>
      <c r="I185" s="375" t="s">
        <v>754</v>
      </c>
      <c r="J185" s="375">
        <v>18204971.236260001</v>
      </c>
      <c r="K185" s="375">
        <v>1061142.1097899999</v>
      </c>
      <c r="L185" s="375">
        <v>358213.21003999998</v>
      </c>
      <c r="M185" s="375">
        <v>11595591.39105</v>
      </c>
      <c r="N185" s="372">
        <v>1.623</v>
      </c>
      <c r="O185" s="704">
        <v>341.99585742928485</v>
      </c>
      <c r="P185" s="375" t="s">
        <v>622</v>
      </c>
      <c r="Q185" s="375" t="s">
        <v>622</v>
      </c>
      <c r="R185" s="696">
        <v>19730629</v>
      </c>
      <c r="S185" s="372" t="s">
        <v>1991</v>
      </c>
      <c r="T185" s="697">
        <v>0.26400000000000001</v>
      </c>
      <c r="U185" s="375" t="s">
        <v>1992</v>
      </c>
      <c r="V185" s="723">
        <v>10.63</v>
      </c>
      <c r="W185" s="723">
        <v>2.09</v>
      </c>
      <c r="X185" s="723">
        <v>0.2</v>
      </c>
      <c r="Y185" s="723" t="s">
        <v>773</v>
      </c>
      <c r="Z185" s="382">
        <v>8.9876887640951697E-3</v>
      </c>
      <c r="AA185" s="372">
        <v>114285.4916143</v>
      </c>
      <c r="AB185" s="372">
        <v>128514.8579201</v>
      </c>
      <c r="AC185" s="372">
        <v>169957.60103009999</v>
      </c>
      <c r="AD185" s="372">
        <v>191301.29881899999</v>
      </c>
      <c r="AE185" s="372">
        <v>180760</v>
      </c>
      <c r="AF185" s="372">
        <v>191293.33</v>
      </c>
      <c r="AG185" s="372">
        <v>198272</v>
      </c>
      <c r="AH185" s="372">
        <v>0</v>
      </c>
    </row>
    <row r="186" spans="1:34">
      <c r="A186" s="372" t="s">
        <v>1993</v>
      </c>
      <c r="B186" s="373" t="s">
        <v>1994</v>
      </c>
      <c r="C186" s="372" t="s">
        <v>15982</v>
      </c>
      <c r="D186" s="374">
        <v>1601110206866</v>
      </c>
      <c r="E186" s="372" t="s">
        <v>15832</v>
      </c>
      <c r="F186" s="375" t="s">
        <v>1116</v>
      </c>
      <c r="G186" s="375" t="s">
        <v>1336</v>
      </c>
      <c r="H186" s="375" t="s">
        <v>1337</v>
      </c>
      <c r="I186" s="375" t="s">
        <v>862</v>
      </c>
      <c r="J186" s="375">
        <v>101417.07545999999</v>
      </c>
      <c r="K186" s="375">
        <v>-32404.274959999999</v>
      </c>
      <c r="L186" s="375">
        <v>-4381.6073900000001</v>
      </c>
      <c r="M186" s="375">
        <v>637308.86854000005</v>
      </c>
      <c r="N186" s="372">
        <v>1.111</v>
      </c>
      <c r="O186" s="704">
        <v>0.26962593663810713</v>
      </c>
      <c r="P186" s="375" t="s">
        <v>622</v>
      </c>
      <c r="Q186" s="375" t="s">
        <v>622</v>
      </c>
      <c r="R186" s="696">
        <v>20130510</v>
      </c>
      <c r="S186" s="375" t="s">
        <v>1995</v>
      </c>
      <c r="T186" s="697" t="s">
        <v>771</v>
      </c>
      <c r="U186" s="375" t="s">
        <v>1996</v>
      </c>
      <c r="V186" s="723" t="s">
        <v>773</v>
      </c>
      <c r="W186" s="723">
        <v>5.62</v>
      </c>
      <c r="X186" s="723">
        <v>31.58</v>
      </c>
      <c r="Y186" s="723" t="s">
        <v>773</v>
      </c>
      <c r="Z186" s="382">
        <v>0.59825099003877091</v>
      </c>
      <c r="AA186" s="372">
        <v>493.93701590000001</v>
      </c>
      <c r="AB186" s="372">
        <v>321.57006369999999</v>
      </c>
      <c r="AC186" s="372">
        <v>334.12042600000001</v>
      </c>
      <c r="AD186" s="372">
        <v>341.45640059999999</v>
      </c>
      <c r="AE186" s="372">
        <v>1307.3800000000001</v>
      </c>
      <c r="AF186" s="372">
        <v>2100.25</v>
      </c>
      <c r="AG186" s="372">
        <v>2228</v>
      </c>
      <c r="AH186" s="372">
        <v>980</v>
      </c>
    </row>
    <row r="187" spans="1:34">
      <c r="A187" s="372" t="s">
        <v>1997</v>
      </c>
      <c r="B187" s="373" t="s">
        <v>1998</v>
      </c>
      <c r="C187" s="372" t="s">
        <v>1999</v>
      </c>
      <c r="D187" s="374">
        <v>1648110016928</v>
      </c>
      <c r="E187" s="372" t="s">
        <v>2000</v>
      </c>
      <c r="F187" s="372" t="s">
        <v>16101</v>
      </c>
      <c r="G187" s="375" t="s">
        <v>16101</v>
      </c>
      <c r="H187" s="375" t="s">
        <v>861</v>
      </c>
      <c r="I187" s="375" t="s">
        <v>862</v>
      </c>
      <c r="J187" s="375">
        <v>241449.92579000001</v>
      </c>
      <c r="K187" s="375">
        <v>21831.53787</v>
      </c>
      <c r="L187" s="375">
        <v>13433.05003</v>
      </c>
      <c r="M187" s="375">
        <v>498577.30580999999</v>
      </c>
      <c r="N187" s="372">
        <v>0.93</v>
      </c>
      <c r="O187" s="704">
        <v>7.0508957345115864</v>
      </c>
      <c r="P187" s="375" t="s">
        <v>622</v>
      </c>
      <c r="Q187" s="375" t="s">
        <v>622</v>
      </c>
      <c r="R187" s="696">
        <v>20090116</v>
      </c>
      <c r="S187" s="375" t="s">
        <v>2001</v>
      </c>
      <c r="T187" s="697">
        <v>0.20900000000000002</v>
      </c>
      <c r="U187" s="375" t="s">
        <v>2002</v>
      </c>
      <c r="V187" s="723">
        <v>35.380000000000003</v>
      </c>
      <c r="W187" s="723">
        <v>2.52</v>
      </c>
      <c r="X187" s="723">
        <v>6.17</v>
      </c>
      <c r="Y187" s="723">
        <v>127.24</v>
      </c>
      <c r="Z187" s="382">
        <v>0.13326548015542605</v>
      </c>
      <c r="AA187" s="372">
        <v>1408.2751475</v>
      </c>
      <c r="AB187" s="372">
        <v>1848.6954794999999</v>
      </c>
      <c r="AC187" s="372">
        <v>1950.9622013000001</v>
      </c>
      <c r="AD187" s="372">
        <v>2211.2068258999998</v>
      </c>
      <c r="AE187" s="372">
        <v>2484</v>
      </c>
      <c r="AF187" s="372">
        <v>3006.67</v>
      </c>
      <c r="AG187" s="372">
        <v>3647.17</v>
      </c>
      <c r="AH187" s="372">
        <v>0</v>
      </c>
    </row>
    <row r="188" spans="1:34">
      <c r="A188" s="372" t="s">
        <v>2003</v>
      </c>
      <c r="B188" s="373" t="s">
        <v>2004</v>
      </c>
      <c r="C188" s="372" t="s">
        <v>2005</v>
      </c>
      <c r="D188" s="374">
        <v>1701110000034</v>
      </c>
      <c r="E188" s="372" t="s">
        <v>2006</v>
      </c>
      <c r="F188" s="375" t="s">
        <v>2007</v>
      </c>
      <c r="G188" s="375" t="s">
        <v>2007</v>
      </c>
      <c r="H188" s="375" t="s">
        <v>792</v>
      </c>
      <c r="I188" s="375" t="s">
        <v>754</v>
      </c>
      <c r="J188" s="375">
        <v>4926775.4855800001</v>
      </c>
      <c r="K188" s="375">
        <v>419760.82225000003</v>
      </c>
      <c r="L188" s="375">
        <v>462386.70847999997</v>
      </c>
      <c r="M188" s="375">
        <v>2283320.4944500001</v>
      </c>
      <c r="N188" s="372">
        <v>1.173</v>
      </c>
      <c r="O188" s="704">
        <v>21.188502275531011</v>
      </c>
      <c r="P188" s="375" t="s">
        <v>622</v>
      </c>
      <c r="Q188" s="375" t="s">
        <v>622</v>
      </c>
      <c r="R188" s="696">
        <v>19881108</v>
      </c>
      <c r="S188" s="375" t="s">
        <v>2008</v>
      </c>
      <c r="T188" s="697">
        <v>0.26400000000000001</v>
      </c>
      <c r="U188" s="375" t="s">
        <v>2009</v>
      </c>
      <c r="V188" s="723">
        <v>2.99</v>
      </c>
      <c r="W188" s="723">
        <v>0.75</v>
      </c>
      <c r="X188" s="723">
        <v>0.33</v>
      </c>
      <c r="Y188" s="723">
        <v>4.43</v>
      </c>
      <c r="Z188" s="382">
        <v>4.0386368481838408E-2</v>
      </c>
      <c r="AA188" s="372">
        <v>25050.168865799998</v>
      </c>
      <c r="AB188" s="372">
        <v>30011.4219634</v>
      </c>
      <c r="AC188" s="372">
        <v>41745.379348499999</v>
      </c>
      <c r="AD188" s="372">
        <v>48388.466959799996</v>
      </c>
      <c r="AE188" s="372">
        <v>50150.5</v>
      </c>
      <c r="AF188" s="372">
        <v>53350.33</v>
      </c>
      <c r="AG188" s="372">
        <v>56691.83</v>
      </c>
      <c r="AH188" s="372">
        <v>66860</v>
      </c>
    </row>
    <row r="189" spans="1:34">
      <c r="A189" s="372" t="s">
        <v>2010</v>
      </c>
      <c r="B189" s="373" t="s">
        <v>2011</v>
      </c>
      <c r="C189" s="372" t="s">
        <v>2012</v>
      </c>
      <c r="D189" s="374">
        <v>1101110035132</v>
      </c>
      <c r="E189" s="372" t="s">
        <v>2013</v>
      </c>
      <c r="F189" s="375" t="s">
        <v>2014</v>
      </c>
      <c r="G189" s="375" t="s">
        <v>2014</v>
      </c>
      <c r="H189" s="375" t="s">
        <v>792</v>
      </c>
      <c r="I189" s="375" t="s">
        <v>754</v>
      </c>
      <c r="J189" s="375">
        <v>3627059.8621999999</v>
      </c>
      <c r="K189" s="375">
        <v>-44204.829949999999</v>
      </c>
      <c r="L189" s="375">
        <v>-15499.35333</v>
      </c>
      <c r="M189" s="375">
        <v>1158436.7690399999</v>
      </c>
      <c r="N189" s="372" t="s">
        <v>1026</v>
      </c>
      <c r="O189" s="704">
        <v>27.395347762679091</v>
      </c>
      <c r="P189" s="375" t="s">
        <v>622</v>
      </c>
      <c r="Q189" s="372" t="s">
        <v>622</v>
      </c>
      <c r="R189" s="696">
        <v>19750529</v>
      </c>
      <c r="S189" s="372" t="s">
        <v>2015</v>
      </c>
      <c r="T189" s="697" t="s">
        <v>771</v>
      </c>
      <c r="U189" s="372" t="s">
        <v>15833</v>
      </c>
      <c r="V189" s="723">
        <v>9.36</v>
      </c>
      <c r="W189" s="723">
        <v>0.9</v>
      </c>
      <c r="X189" s="723">
        <v>0.28999999999999998</v>
      </c>
      <c r="Y189" s="723" t="s">
        <v>773</v>
      </c>
      <c r="Z189" s="382" t="s">
        <v>927</v>
      </c>
      <c r="AA189" s="372">
        <v>29501.807191299999</v>
      </c>
      <c r="AB189" s="372">
        <v>24293.277008000001</v>
      </c>
      <c r="AC189" s="372">
        <v>34233.408732900003</v>
      </c>
      <c r="AD189" s="372">
        <v>37363.689685700003</v>
      </c>
      <c r="AE189" s="372">
        <v>0</v>
      </c>
      <c r="AF189" s="372">
        <v>0</v>
      </c>
      <c r="AG189" s="372">
        <v>0</v>
      </c>
      <c r="AH189" s="372">
        <v>0</v>
      </c>
    </row>
    <row r="190" spans="1:34">
      <c r="A190" s="372" t="s">
        <v>2016</v>
      </c>
      <c r="B190" s="373" t="s">
        <v>2017</v>
      </c>
      <c r="C190" s="372" t="s">
        <v>2018</v>
      </c>
      <c r="D190" s="374">
        <v>1201110005266</v>
      </c>
      <c r="E190" s="372" t="s">
        <v>2019</v>
      </c>
      <c r="F190" s="375" t="s">
        <v>975</v>
      </c>
      <c r="G190" s="375" t="s">
        <v>2020</v>
      </c>
      <c r="H190" s="375" t="s">
        <v>817</v>
      </c>
      <c r="I190" s="375" t="s">
        <v>754</v>
      </c>
      <c r="J190" s="375">
        <v>393366.87198</v>
      </c>
      <c r="K190" s="375">
        <v>80088.247019999995</v>
      </c>
      <c r="L190" s="375">
        <v>81434.366089999996</v>
      </c>
      <c r="M190" s="375">
        <v>537648.96730999998</v>
      </c>
      <c r="N190" s="372">
        <v>0.41099999999999998</v>
      </c>
      <c r="O190" s="704">
        <v>17.569390462597866</v>
      </c>
      <c r="P190" s="375" t="s">
        <v>622</v>
      </c>
      <c r="Q190" s="375" t="s">
        <v>622</v>
      </c>
      <c r="R190" s="696">
        <v>19881028</v>
      </c>
      <c r="S190" s="375" t="s">
        <v>1797</v>
      </c>
      <c r="T190" s="697">
        <v>0.23100000000000001</v>
      </c>
      <c r="U190" s="375" t="s">
        <v>2021</v>
      </c>
      <c r="V190" s="723">
        <v>15.19</v>
      </c>
      <c r="W190" s="723">
        <v>2.73</v>
      </c>
      <c r="X190" s="723">
        <v>4.1900000000000004</v>
      </c>
      <c r="Y190" s="723">
        <v>25.26</v>
      </c>
      <c r="Z190" s="382">
        <v>8.623634208154729E-2</v>
      </c>
      <c r="AA190" s="372">
        <v>3064.5563298000002</v>
      </c>
      <c r="AB190" s="372">
        <v>3187.4698561999999</v>
      </c>
      <c r="AC190" s="372">
        <v>3043.0294125999999</v>
      </c>
      <c r="AD190" s="372">
        <v>3535.6262717</v>
      </c>
      <c r="AE190" s="372">
        <v>4011.88</v>
      </c>
      <c r="AF190" s="372">
        <v>4471.88</v>
      </c>
      <c r="AG190" s="372">
        <v>4922.25</v>
      </c>
      <c r="AH190" s="372">
        <v>0</v>
      </c>
    </row>
    <row r="191" spans="1:34">
      <c r="A191" s="372" t="s">
        <v>2022</v>
      </c>
      <c r="B191" s="373" t="s">
        <v>2023</v>
      </c>
      <c r="C191" s="372" t="s">
        <v>2024</v>
      </c>
      <c r="D191" s="374">
        <v>1358110272682</v>
      </c>
      <c r="E191" s="372" t="s">
        <v>2025</v>
      </c>
      <c r="F191" s="375" t="s">
        <v>1276</v>
      </c>
      <c r="G191" s="375" t="s">
        <v>1276</v>
      </c>
      <c r="H191" s="375" t="s">
        <v>753</v>
      </c>
      <c r="I191" s="375" t="s">
        <v>754</v>
      </c>
      <c r="J191" s="375">
        <v>1569896.8178399999</v>
      </c>
      <c r="K191" s="375">
        <v>82702.171889999998</v>
      </c>
      <c r="L191" s="375">
        <v>72151.841459999996</v>
      </c>
      <c r="M191" s="375">
        <v>429743.80602999998</v>
      </c>
      <c r="N191" s="372">
        <v>0.318</v>
      </c>
      <c r="O191" s="704">
        <v>35.111216798073904</v>
      </c>
      <c r="P191" s="375" t="s">
        <v>622</v>
      </c>
      <c r="Q191" s="375" t="s">
        <v>622</v>
      </c>
      <c r="R191" s="696">
        <v>20210202</v>
      </c>
      <c r="S191" s="375" t="s">
        <v>2026</v>
      </c>
      <c r="T191" s="697">
        <v>0.23100000000000001</v>
      </c>
      <c r="U191" s="375" t="s">
        <v>2027</v>
      </c>
      <c r="V191" s="723">
        <v>9.92</v>
      </c>
      <c r="W191" s="723">
        <v>2.2200000000000002</v>
      </c>
      <c r="X191" s="723">
        <v>0.65</v>
      </c>
      <c r="Y191" s="723">
        <v>22.84</v>
      </c>
      <c r="Z191" s="382">
        <v>2.1457112586251048E-2</v>
      </c>
      <c r="AA191" s="372">
        <v>10764.7432266</v>
      </c>
      <c r="AB191" s="372">
        <v>11532.5020086</v>
      </c>
      <c r="AC191" s="372">
        <v>16945.439077999999</v>
      </c>
      <c r="AD191" s="372">
        <v>19510.878641800002</v>
      </c>
      <c r="AE191" s="372">
        <v>16150</v>
      </c>
      <c r="AF191" s="372">
        <v>19443.27</v>
      </c>
      <c r="AG191" s="372">
        <v>21240.14</v>
      </c>
      <c r="AH191" s="372">
        <v>0</v>
      </c>
    </row>
    <row r="192" spans="1:34">
      <c r="A192" s="372" t="s">
        <v>2028</v>
      </c>
      <c r="B192" s="373" t="s">
        <v>2029</v>
      </c>
      <c r="C192" s="372" t="s">
        <v>2030</v>
      </c>
      <c r="D192" s="374">
        <v>1101116052164</v>
      </c>
      <c r="E192" s="372" t="s">
        <v>2031</v>
      </c>
      <c r="F192" s="375" t="s">
        <v>2032</v>
      </c>
      <c r="G192" s="375" t="s">
        <v>2033</v>
      </c>
      <c r="H192" s="375" t="s">
        <v>1531</v>
      </c>
      <c r="I192" s="375" t="s">
        <v>862</v>
      </c>
      <c r="J192" s="375">
        <v>580608.91468000005</v>
      </c>
      <c r="K192" s="375">
        <v>27192.941750000002</v>
      </c>
      <c r="L192" s="375">
        <v>10482.50412</v>
      </c>
      <c r="M192" s="375">
        <v>710066.4142</v>
      </c>
      <c r="N192" s="372">
        <v>0.55500000000000005</v>
      </c>
      <c r="O192" s="704">
        <v>0.12231052224350313</v>
      </c>
      <c r="P192" s="375" t="s">
        <v>622</v>
      </c>
      <c r="Q192" s="372" t="s">
        <v>622</v>
      </c>
      <c r="R192" s="696">
        <v>20171124</v>
      </c>
      <c r="S192" s="372" t="s">
        <v>2034</v>
      </c>
      <c r="T192" s="697">
        <v>0.20900000000000002</v>
      </c>
      <c r="U192" s="372" t="s">
        <v>2035</v>
      </c>
      <c r="V192" s="723">
        <v>5.77</v>
      </c>
      <c r="W192" s="723">
        <v>1.58</v>
      </c>
      <c r="X192" s="723">
        <v>1.93</v>
      </c>
      <c r="Y192" s="723">
        <v>202.48</v>
      </c>
      <c r="Z192" s="382">
        <v>-9.3126816991109251E-3</v>
      </c>
      <c r="AA192" s="372">
        <v>5257.2945126000004</v>
      </c>
      <c r="AB192" s="372">
        <v>4871.1352519000002</v>
      </c>
      <c r="AC192" s="372">
        <v>6979.4582297999996</v>
      </c>
      <c r="AD192" s="372">
        <v>7531.4574992999997</v>
      </c>
      <c r="AE192" s="372">
        <v>5466.94</v>
      </c>
      <c r="AF192" s="372">
        <v>6625.88</v>
      </c>
      <c r="AG192" s="372">
        <v>7254.8</v>
      </c>
      <c r="AH192" s="372">
        <v>0</v>
      </c>
    </row>
    <row r="193" spans="1:34">
      <c r="A193" s="372" t="s">
        <v>2036</v>
      </c>
      <c r="B193" s="373" t="s">
        <v>2037</v>
      </c>
      <c r="C193" s="372" t="s">
        <v>2038</v>
      </c>
      <c r="D193" s="374">
        <v>1101110413247</v>
      </c>
      <c r="E193" s="372" t="s">
        <v>2039</v>
      </c>
      <c r="F193" s="375" t="s">
        <v>2040</v>
      </c>
      <c r="G193" s="375" t="s">
        <v>2041</v>
      </c>
      <c r="H193" s="375" t="s">
        <v>846</v>
      </c>
      <c r="I193" s="375" t="s">
        <v>754</v>
      </c>
      <c r="J193" s="375">
        <v>6739353.6960000005</v>
      </c>
      <c r="K193" s="375">
        <v>135943.21243000001</v>
      </c>
      <c r="L193" s="375">
        <v>237398.33256000001</v>
      </c>
      <c r="M193" s="375">
        <v>2663617.01927</v>
      </c>
      <c r="N193" s="372">
        <v>0.47299999999999998</v>
      </c>
      <c r="O193" s="704">
        <v>179.07247473741674</v>
      </c>
      <c r="P193" s="375" t="s">
        <v>622</v>
      </c>
      <c r="Q193" s="372" t="s">
        <v>622</v>
      </c>
      <c r="R193" s="696">
        <v>19970827</v>
      </c>
      <c r="S193" s="375" t="s">
        <v>2042</v>
      </c>
      <c r="T193" s="697">
        <v>0.23100000000000001</v>
      </c>
      <c r="U193" s="375" t="s">
        <v>2043</v>
      </c>
      <c r="V193" s="723">
        <v>13.89</v>
      </c>
      <c r="W193" s="723">
        <v>0.59</v>
      </c>
      <c r="X193" s="723">
        <v>0.23</v>
      </c>
      <c r="Y193" s="723">
        <v>9.52</v>
      </c>
      <c r="Z193" s="382">
        <v>4.8549654819646015E-2</v>
      </c>
      <c r="AA193" s="372">
        <v>44123.189832199998</v>
      </c>
      <c r="AB193" s="372">
        <v>64945.131859499998</v>
      </c>
      <c r="AC193" s="372">
        <v>80661.6911826</v>
      </c>
      <c r="AD193" s="372">
        <v>69922.573908499995</v>
      </c>
      <c r="AE193" s="372">
        <v>70121.429999999993</v>
      </c>
      <c r="AF193" s="372">
        <v>81104.710000000006</v>
      </c>
      <c r="AG193" s="372">
        <v>84522.71</v>
      </c>
      <c r="AH193" s="372">
        <v>86120</v>
      </c>
    </row>
    <row r="194" spans="1:34">
      <c r="A194" s="372" t="s">
        <v>2044</v>
      </c>
      <c r="B194" s="373" t="s">
        <v>2045</v>
      </c>
      <c r="C194" s="372" t="s">
        <v>2046</v>
      </c>
      <c r="D194" s="374">
        <v>1101112070334</v>
      </c>
      <c r="E194" s="372" t="s">
        <v>2047</v>
      </c>
      <c r="F194" s="375" t="s">
        <v>1055</v>
      </c>
      <c r="G194" s="375" t="s">
        <v>1055</v>
      </c>
      <c r="H194" s="375" t="s">
        <v>861</v>
      </c>
      <c r="I194" s="375" t="s">
        <v>862</v>
      </c>
      <c r="J194" s="375">
        <v>399421.75341</v>
      </c>
      <c r="K194" s="375">
        <v>-6773.86895</v>
      </c>
      <c r="L194" s="375">
        <v>31889.70566</v>
      </c>
      <c r="M194" s="375">
        <v>1030093.18086</v>
      </c>
      <c r="N194" s="372">
        <v>0.72699999999999998</v>
      </c>
      <c r="O194" s="704">
        <v>13.393399058165992</v>
      </c>
      <c r="P194" s="375" t="s">
        <v>622</v>
      </c>
      <c r="Q194" s="375" t="s">
        <v>622</v>
      </c>
      <c r="R194" s="696">
        <v>20100910</v>
      </c>
      <c r="S194" s="375" t="s">
        <v>2048</v>
      </c>
      <c r="T194" s="697">
        <v>0.23100000000000001</v>
      </c>
      <c r="U194" s="375" t="s">
        <v>2049</v>
      </c>
      <c r="V194" s="723">
        <v>20.49</v>
      </c>
      <c r="W194" s="723">
        <v>1.06</v>
      </c>
      <c r="X194" s="723">
        <v>3.24</v>
      </c>
      <c r="Y194" s="723">
        <v>43.86</v>
      </c>
      <c r="Z194" s="382">
        <v>0.11262722994988317</v>
      </c>
      <c r="AA194" s="372">
        <v>11252.1554822</v>
      </c>
      <c r="AB194" s="372">
        <v>13708.3301202</v>
      </c>
      <c r="AC194" s="372">
        <v>8535.6109123999995</v>
      </c>
      <c r="AD194" s="372">
        <v>3673.7504898000002</v>
      </c>
      <c r="AE194" s="372">
        <v>4087</v>
      </c>
      <c r="AF194" s="372">
        <v>4663</v>
      </c>
      <c r="AG194" s="372">
        <v>5630</v>
      </c>
      <c r="AH194" s="372">
        <v>3630</v>
      </c>
    </row>
    <row r="195" spans="1:34">
      <c r="A195" s="372" t="s">
        <v>2050</v>
      </c>
      <c r="B195" s="373" t="s">
        <v>2051</v>
      </c>
      <c r="C195" s="372" t="s">
        <v>2052</v>
      </c>
      <c r="D195" s="374">
        <v>1358110191121</v>
      </c>
      <c r="E195" s="372" t="s">
        <v>2053</v>
      </c>
      <c r="F195" s="375" t="s">
        <v>2054</v>
      </c>
      <c r="G195" s="375" t="s">
        <v>2055</v>
      </c>
      <c r="H195" s="375" t="s">
        <v>2056</v>
      </c>
      <c r="I195" s="375" t="s">
        <v>754</v>
      </c>
      <c r="J195" s="375">
        <v>674066.22323999996</v>
      </c>
      <c r="K195" s="375">
        <v>-39645.86004</v>
      </c>
      <c r="L195" s="375">
        <v>-209254.31385999999</v>
      </c>
      <c r="M195" s="375">
        <v>2912483.9023699998</v>
      </c>
      <c r="N195" s="372">
        <v>0.92500000000000004</v>
      </c>
      <c r="O195" s="704">
        <v>46.568678031712935</v>
      </c>
      <c r="P195" s="375" t="s">
        <v>622</v>
      </c>
      <c r="Q195" s="375" t="s">
        <v>622</v>
      </c>
      <c r="R195" s="696">
        <v>20210716</v>
      </c>
      <c r="S195" s="375" t="s">
        <v>2057</v>
      </c>
      <c r="T195" s="697" t="s">
        <v>771</v>
      </c>
      <c r="U195" s="375" t="s">
        <v>2058</v>
      </c>
      <c r="V195" s="723">
        <v>10.55</v>
      </c>
      <c r="W195" s="723">
        <v>0.38</v>
      </c>
      <c r="X195" s="723">
        <v>1.7</v>
      </c>
      <c r="Y195" s="723" t="s">
        <v>773</v>
      </c>
      <c r="Z195" s="382">
        <v>8.7150344835619897E-2</v>
      </c>
      <c r="AA195" s="372">
        <v>16861.630332699999</v>
      </c>
      <c r="AB195" s="372">
        <v>29299.608398699998</v>
      </c>
      <c r="AC195" s="372">
        <v>29320.014403000001</v>
      </c>
      <c r="AD195" s="372">
        <v>6556.7651323</v>
      </c>
      <c r="AE195" s="372">
        <v>7172</v>
      </c>
      <c r="AF195" s="372">
        <v>8179</v>
      </c>
      <c r="AG195" s="372">
        <v>9159</v>
      </c>
      <c r="AH195" s="372">
        <v>0</v>
      </c>
    </row>
    <row r="196" spans="1:34">
      <c r="A196" s="372" t="s">
        <v>2059</v>
      </c>
      <c r="B196" s="373" t="s">
        <v>2060</v>
      </c>
      <c r="C196" s="372" t="s">
        <v>2061</v>
      </c>
      <c r="D196" s="374">
        <v>1101110034308</v>
      </c>
      <c r="E196" s="372" t="s">
        <v>2062</v>
      </c>
      <c r="F196" s="375" t="s">
        <v>2222</v>
      </c>
      <c r="G196" s="375" t="s">
        <v>2222</v>
      </c>
      <c r="H196" s="375" t="s">
        <v>1316</v>
      </c>
      <c r="I196" s="375" t="s">
        <v>754</v>
      </c>
      <c r="J196" s="375">
        <v>1575907.1391799999</v>
      </c>
      <c r="K196" s="375">
        <v>293073.21126000001</v>
      </c>
      <c r="L196" s="375">
        <v>297905.36238000001</v>
      </c>
      <c r="M196" s="375">
        <v>754525.09375</v>
      </c>
      <c r="N196" s="372">
        <v>0.121</v>
      </c>
      <c r="O196" s="704">
        <v>11.147983594167194</v>
      </c>
      <c r="P196" s="375" t="s">
        <v>622</v>
      </c>
      <c r="Q196" s="372" t="s">
        <v>622</v>
      </c>
      <c r="R196" s="696">
        <v>19750630</v>
      </c>
      <c r="S196" s="375" t="s">
        <v>2063</v>
      </c>
      <c r="T196" s="697">
        <v>0.23100000000000001</v>
      </c>
      <c r="U196" s="375" t="s">
        <v>2064</v>
      </c>
      <c r="V196" s="723">
        <v>12.31</v>
      </c>
      <c r="W196" s="723">
        <v>5.46</v>
      </c>
      <c r="X196" s="723">
        <v>2.6</v>
      </c>
      <c r="Y196" s="723">
        <v>18</v>
      </c>
      <c r="Z196" s="382">
        <v>0.18398155515033832</v>
      </c>
      <c r="AA196" s="372">
        <v>6485.0661145000004</v>
      </c>
      <c r="AB196" s="372">
        <v>6420.3031414999996</v>
      </c>
      <c r="AC196" s="372">
        <v>9090.3657158999995</v>
      </c>
      <c r="AD196" s="372">
        <v>11929.146079800001</v>
      </c>
      <c r="AE196" s="372">
        <v>16733.080000000002</v>
      </c>
      <c r="AF196" s="372">
        <v>19603.27</v>
      </c>
      <c r="AG196" s="372">
        <v>23441.7</v>
      </c>
      <c r="AH196" s="372">
        <v>0</v>
      </c>
    </row>
    <row r="197" spans="1:34">
      <c r="A197" s="372" t="s">
        <v>2065</v>
      </c>
      <c r="B197" s="373" t="s">
        <v>2066</v>
      </c>
      <c r="C197" s="372" t="s">
        <v>2067</v>
      </c>
      <c r="D197" s="374">
        <v>1348110294273</v>
      </c>
      <c r="E197" s="372" t="s">
        <v>2068</v>
      </c>
      <c r="F197" s="375" t="s">
        <v>1096</v>
      </c>
      <c r="G197" s="375" t="s">
        <v>1097</v>
      </c>
      <c r="H197" s="375" t="s">
        <v>826</v>
      </c>
      <c r="I197" s="375" t="s">
        <v>754</v>
      </c>
      <c r="J197" s="375">
        <v>2044788.5350299999</v>
      </c>
      <c r="K197" s="375">
        <v>158100.72279999999</v>
      </c>
      <c r="L197" s="375">
        <v>118283.16099</v>
      </c>
      <c r="M197" s="375">
        <v>475528.38261999999</v>
      </c>
      <c r="N197" s="372">
        <v>0.43</v>
      </c>
      <c r="O197" s="704">
        <v>46.378511006264581</v>
      </c>
      <c r="P197" s="375" t="s">
        <v>622</v>
      </c>
      <c r="Q197" s="375" t="s">
        <v>622</v>
      </c>
      <c r="R197" s="696">
        <v>20140407</v>
      </c>
      <c r="S197" s="375" t="s">
        <v>2069</v>
      </c>
      <c r="T197" s="697">
        <v>0.23100000000000001</v>
      </c>
      <c r="U197" s="375" t="s">
        <v>2070</v>
      </c>
      <c r="V197" s="723">
        <v>9.99</v>
      </c>
      <c r="W197" s="723">
        <v>3.74</v>
      </c>
      <c r="X197" s="723">
        <v>0.81</v>
      </c>
      <c r="Y197" s="723">
        <v>21.06</v>
      </c>
      <c r="Z197" s="382">
        <v>0.10951574550469645</v>
      </c>
      <c r="AA197" s="372">
        <v>13828.8068852</v>
      </c>
      <c r="AB197" s="372">
        <v>15914.876215</v>
      </c>
      <c r="AC197" s="372">
        <v>16001.2577019</v>
      </c>
      <c r="AD197" s="372">
        <v>17774.944483200001</v>
      </c>
      <c r="AE197" s="372">
        <v>21206.5</v>
      </c>
      <c r="AF197" s="372">
        <v>24208.61</v>
      </c>
      <c r="AG197" s="372">
        <v>26936.560000000001</v>
      </c>
      <c r="AH197" s="372">
        <v>30449</v>
      </c>
    </row>
    <row r="198" spans="1:34">
      <c r="A198" s="372" t="s">
        <v>2071</v>
      </c>
      <c r="B198" s="373" t="s">
        <v>2072</v>
      </c>
      <c r="C198" s="372" t="s">
        <v>2073</v>
      </c>
      <c r="D198" s="374">
        <v>2149110058935</v>
      </c>
      <c r="E198" s="372" t="s">
        <v>2074</v>
      </c>
      <c r="F198" s="375" t="s">
        <v>2075</v>
      </c>
      <c r="G198" s="375" t="s">
        <v>2076</v>
      </c>
      <c r="H198" s="375" t="s">
        <v>753</v>
      </c>
      <c r="I198" s="375" t="s">
        <v>754</v>
      </c>
      <c r="J198" s="375">
        <v>266415.55651000002</v>
      </c>
      <c r="K198" s="375">
        <v>-1856.79034</v>
      </c>
      <c r="L198" s="375">
        <v>-14393.4642</v>
      </c>
      <c r="M198" s="375">
        <v>507069.47898000001</v>
      </c>
      <c r="N198" s="372">
        <v>1.202</v>
      </c>
      <c r="O198" s="704">
        <v>40.874511744738854</v>
      </c>
      <c r="P198" s="375" t="s">
        <v>622</v>
      </c>
      <c r="Q198" s="375" t="s">
        <v>622</v>
      </c>
      <c r="R198" s="696">
        <v>20191018</v>
      </c>
      <c r="S198" s="375" t="s">
        <v>2077</v>
      </c>
      <c r="T198" s="697" t="s">
        <v>771</v>
      </c>
      <c r="U198" s="375" t="s">
        <v>2078</v>
      </c>
      <c r="V198" s="723">
        <v>108.28</v>
      </c>
      <c r="W198" s="723">
        <v>3.06</v>
      </c>
      <c r="X198" s="723">
        <v>5.83</v>
      </c>
      <c r="Y198" s="723" t="s">
        <v>773</v>
      </c>
      <c r="Z198" s="382" t="s">
        <v>927</v>
      </c>
      <c r="AA198" s="372">
        <v>4618.3898202999999</v>
      </c>
      <c r="AB198" s="372">
        <v>3814.1234780999998</v>
      </c>
      <c r="AC198" s="372">
        <v>3121.4872080999999</v>
      </c>
      <c r="AD198" s="372">
        <v>2608.86184</v>
      </c>
      <c r="AE198" s="372">
        <v>0</v>
      </c>
      <c r="AF198" s="372">
        <v>0</v>
      </c>
      <c r="AG198" s="372">
        <v>0</v>
      </c>
      <c r="AH198" s="372">
        <v>0</v>
      </c>
    </row>
    <row r="199" spans="1:34">
      <c r="A199" s="372" t="s">
        <v>2079</v>
      </c>
      <c r="B199" s="373" t="s">
        <v>2080</v>
      </c>
      <c r="C199" s="372" t="s">
        <v>2081</v>
      </c>
      <c r="D199" s="374">
        <v>1511110058698</v>
      </c>
      <c r="E199" s="372" t="s">
        <v>2082</v>
      </c>
      <c r="F199" s="375" t="s">
        <v>16100</v>
      </c>
      <c r="G199" s="375" t="s">
        <v>16103</v>
      </c>
      <c r="H199" s="375" t="s">
        <v>861</v>
      </c>
      <c r="I199" s="375" t="s">
        <v>862</v>
      </c>
      <c r="J199" s="375">
        <v>396725.34675000003</v>
      </c>
      <c r="K199" s="375">
        <v>-13592.233130000001</v>
      </c>
      <c r="L199" s="375">
        <v>-15092.072749999999</v>
      </c>
      <c r="M199" s="375">
        <v>999453.29853000003</v>
      </c>
      <c r="N199" s="372">
        <v>1.0529999999999999</v>
      </c>
      <c r="O199" s="704">
        <v>90.351683455084725</v>
      </c>
      <c r="P199" s="375" t="s">
        <v>622</v>
      </c>
      <c r="Q199" s="372" t="s">
        <v>622</v>
      </c>
      <c r="R199" s="696">
        <v>20220930</v>
      </c>
      <c r="S199" s="372" t="s">
        <v>2083</v>
      </c>
      <c r="T199" s="697" t="s">
        <v>771</v>
      </c>
      <c r="U199" s="372" t="s">
        <v>2084</v>
      </c>
      <c r="V199" s="723">
        <v>24.85</v>
      </c>
      <c r="W199" s="723">
        <v>0.68</v>
      </c>
      <c r="X199" s="723">
        <v>1.71</v>
      </c>
      <c r="Y199" s="723" t="s">
        <v>773</v>
      </c>
      <c r="Z199" s="382">
        <v>0.18532073058084175</v>
      </c>
      <c r="AA199" s="372">
        <v>1118.75227</v>
      </c>
      <c r="AB199" s="372">
        <v>1854.9867395000001</v>
      </c>
      <c r="AC199" s="372">
        <v>2574.5142543000002</v>
      </c>
      <c r="AD199" s="372">
        <v>3049.8633718999999</v>
      </c>
      <c r="AE199" s="372">
        <v>3865</v>
      </c>
      <c r="AF199" s="372">
        <v>4146.13</v>
      </c>
      <c r="AG199" s="372">
        <v>6020.38</v>
      </c>
      <c r="AH199" s="372">
        <v>6250</v>
      </c>
    </row>
    <row r="200" spans="1:34">
      <c r="A200" s="372" t="s">
        <v>2085</v>
      </c>
      <c r="B200" s="373" t="s">
        <v>2086</v>
      </c>
      <c r="C200" s="372" t="s">
        <v>2087</v>
      </c>
      <c r="D200" s="374">
        <v>1101110032112</v>
      </c>
      <c r="E200" s="372" t="s">
        <v>2088</v>
      </c>
      <c r="F200" s="375" t="s">
        <v>2089</v>
      </c>
      <c r="G200" s="375" t="s">
        <v>2090</v>
      </c>
      <c r="H200" s="375" t="s">
        <v>812</v>
      </c>
      <c r="I200" s="375" t="s">
        <v>754</v>
      </c>
      <c r="J200" s="375">
        <v>602533.75529999996</v>
      </c>
      <c r="K200" s="375">
        <v>13138.482980000001</v>
      </c>
      <c r="L200" s="375">
        <v>16292.11896</v>
      </c>
      <c r="M200" s="375">
        <v>244381.7255</v>
      </c>
      <c r="N200" s="372">
        <v>1.68</v>
      </c>
      <c r="O200" s="704">
        <v>21.195607089137955</v>
      </c>
      <c r="P200" s="375" t="s">
        <v>622</v>
      </c>
      <c r="Q200" s="375" t="s">
        <v>622</v>
      </c>
      <c r="R200" s="696">
        <v>19841221</v>
      </c>
      <c r="S200" s="375" t="s">
        <v>2091</v>
      </c>
      <c r="T200" s="697">
        <v>0.20900000000000002</v>
      </c>
      <c r="U200" s="375" t="s">
        <v>2092</v>
      </c>
      <c r="V200" s="723">
        <v>58.33</v>
      </c>
      <c r="W200" s="723">
        <v>4.18</v>
      </c>
      <c r="X200" s="723">
        <v>1.67</v>
      </c>
      <c r="Y200" s="723">
        <v>43.12</v>
      </c>
      <c r="Z200" s="382">
        <v>3.9234448874463368E-2</v>
      </c>
      <c r="AA200" s="372">
        <v>4317.9791230000001</v>
      </c>
      <c r="AB200" s="372">
        <v>5366.5112932000002</v>
      </c>
      <c r="AC200" s="372">
        <v>6844.1463137999999</v>
      </c>
      <c r="AD200" s="372">
        <v>6244.1862712000002</v>
      </c>
      <c r="AE200" s="372">
        <v>5793</v>
      </c>
      <c r="AF200" s="372">
        <v>6146.33</v>
      </c>
      <c r="AG200" s="372">
        <v>7283.33</v>
      </c>
      <c r="AH200" s="372">
        <v>0</v>
      </c>
    </row>
    <row r="201" spans="1:34">
      <c r="A201" s="372" t="s">
        <v>2093</v>
      </c>
      <c r="B201" s="373" t="s">
        <v>2094</v>
      </c>
      <c r="C201" s="372" t="s">
        <v>2095</v>
      </c>
      <c r="D201" s="374">
        <v>1101116770138</v>
      </c>
      <c r="E201" s="372" t="s">
        <v>2096</v>
      </c>
      <c r="F201" s="372" t="s">
        <v>1947</v>
      </c>
      <c r="G201" s="375" t="s">
        <v>1947</v>
      </c>
      <c r="H201" s="375" t="s">
        <v>826</v>
      </c>
      <c r="I201" s="375" t="s">
        <v>754</v>
      </c>
      <c r="J201" s="375">
        <v>7565376.7487000003</v>
      </c>
      <c r="K201" s="375">
        <v>257295.42679999999</v>
      </c>
      <c r="L201" s="375">
        <v>195405.38649999999</v>
      </c>
      <c r="M201" s="375">
        <v>1659681.44472</v>
      </c>
      <c r="N201" s="372">
        <v>0.78</v>
      </c>
      <c r="O201" s="704">
        <v>93.335525599210712</v>
      </c>
      <c r="P201" s="375" t="s">
        <v>622</v>
      </c>
      <c r="Q201" s="372" t="s">
        <v>622</v>
      </c>
      <c r="R201" s="696">
        <v>20180713</v>
      </c>
      <c r="S201" s="372" t="s">
        <v>2097</v>
      </c>
      <c r="T201" s="697">
        <v>0.23100000000000001</v>
      </c>
      <c r="U201" s="375" t="s">
        <v>2098</v>
      </c>
      <c r="V201" s="723">
        <v>5.32</v>
      </c>
      <c r="W201" s="723">
        <v>1.01</v>
      </c>
      <c r="X201" s="723">
        <v>0.18</v>
      </c>
      <c r="Y201" s="723">
        <v>9.65</v>
      </c>
      <c r="Z201" s="382">
        <v>2.6515325927997546E-2</v>
      </c>
      <c r="AA201" s="372">
        <v>51616.169996299999</v>
      </c>
      <c r="AB201" s="372">
        <v>85960.301653699993</v>
      </c>
      <c r="AC201" s="372">
        <v>88827.296651800003</v>
      </c>
      <c r="AD201" s="372">
        <v>75269.188242100005</v>
      </c>
      <c r="AE201" s="372">
        <v>76888.289999999994</v>
      </c>
      <c r="AF201" s="372">
        <v>80236.710000000006</v>
      </c>
      <c r="AG201" s="372">
        <v>83575.5</v>
      </c>
      <c r="AH201" s="372">
        <v>0</v>
      </c>
    </row>
    <row r="202" spans="1:34">
      <c r="A202" s="372" t="s">
        <v>2099</v>
      </c>
      <c r="B202" s="373" t="s">
        <v>2100</v>
      </c>
      <c r="C202" s="372" t="s">
        <v>2101</v>
      </c>
      <c r="D202" s="374">
        <v>1101110030497</v>
      </c>
      <c r="E202" s="372" t="s">
        <v>2102</v>
      </c>
      <c r="F202" s="375" t="s">
        <v>2103</v>
      </c>
      <c r="G202" s="375" t="s">
        <v>2103</v>
      </c>
      <c r="H202" s="375" t="s">
        <v>855</v>
      </c>
      <c r="I202" s="375" t="s">
        <v>754</v>
      </c>
      <c r="J202" s="375">
        <v>3705100.5359399999</v>
      </c>
      <c r="K202" s="375">
        <v>148923.06487</v>
      </c>
      <c r="L202" s="375">
        <v>76479.179539999997</v>
      </c>
      <c r="M202" s="375">
        <v>2313106.10445</v>
      </c>
      <c r="N202" s="372">
        <v>0.80100000000000005</v>
      </c>
      <c r="O202" s="704">
        <v>139.59576261716617</v>
      </c>
      <c r="P202" s="375" t="s">
        <v>622</v>
      </c>
      <c r="Q202" s="375" t="s">
        <v>622</v>
      </c>
      <c r="R202" s="696">
        <v>19730630</v>
      </c>
      <c r="S202" s="375" t="s">
        <v>2104</v>
      </c>
      <c r="T202" s="697">
        <v>0.23100000000000001</v>
      </c>
      <c r="U202" s="375" t="s">
        <v>2105</v>
      </c>
      <c r="V202" s="723">
        <v>8.58</v>
      </c>
      <c r="W202" s="723">
        <v>0.43</v>
      </c>
      <c r="X202" s="723">
        <v>0.28000000000000003</v>
      </c>
      <c r="Y202" s="723">
        <v>3.19</v>
      </c>
      <c r="Z202" s="382">
        <v>-3.3081310559468169E-2</v>
      </c>
      <c r="AA202" s="372">
        <v>25961.759470600002</v>
      </c>
      <c r="AB202" s="372">
        <v>35365.227690899999</v>
      </c>
      <c r="AC202" s="372">
        <v>37193.255231299998</v>
      </c>
      <c r="AD202" s="372">
        <v>34366.880232299998</v>
      </c>
      <c r="AE202" s="372">
        <v>28635</v>
      </c>
      <c r="AF202" s="372">
        <v>29320</v>
      </c>
      <c r="AG202" s="372">
        <v>30040</v>
      </c>
      <c r="AH202" s="372">
        <v>0</v>
      </c>
    </row>
    <row r="203" spans="1:34">
      <c r="A203" s="372" t="s">
        <v>2106</v>
      </c>
      <c r="B203" s="373" t="s">
        <v>2107</v>
      </c>
      <c r="C203" s="372" t="s">
        <v>2108</v>
      </c>
      <c r="D203" s="374">
        <v>1601110089395</v>
      </c>
      <c r="E203" s="372" t="s">
        <v>2109</v>
      </c>
      <c r="F203" s="375" t="s">
        <v>769</v>
      </c>
      <c r="G203" s="375" t="s">
        <v>769</v>
      </c>
      <c r="H203" s="375" t="s">
        <v>753</v>
      </c>
      <c r="I203" s="375" t="s">
        <v>754</v>
      </c>
      <c r="J203" s="375">
        <v>1875802.62292</v>
      </c>
      <c r="K203" s="375">
        <v>203721.73308999999</v>
      </c>
      <c r="L203" s="375">
        <v>199510.67773</v>
      </c>
      <c r="M203" s="375">
        <v>1057360.0700600001</v>
      </c>
      <c r="N203" s="372">
        <v>0.999</v>
      </c>
      <c r="O203" s="704">
        <v>2.5517931792450219</v>
      </c>
      <c r="P203" s="375" t="s">
        <v>622</v>
      </c>
      <c r="Q203" s="375" t="s">
        <v>622</v>
      </c>
      <c r="R203" s="696">
        <v>20100608</v>
      </c>
      <c r="S203" s="375" t="s">
        <v>2110</v>
      </c>
      <c r="T203" s="697">
        <v>0.23100000000000001</v>
      </c>
      <c r="U203" s="375" t="s">
        <v>2111</v>
      </c>
      <c r="V203" s="723">
        <v>4.46</v>
      </c>
      <c r="W203" s="723">
        <v>0.99</v>
      </c>
      <c r="X203" s="723">
        <v>0.56000000000000005</v>
      </c>
      <c r="Y203" s="723">
        <v>6.68</v>
      </c>
      <c r="Z203" s="382">
        <v>3.9561794956345597E-2</v>
      </c>
      <c r="AA203" s="372">
        <v>11618.962860199999</v>
      </c>
      <c r="AB203" s="372">
        <v>18988.4571602</v>
      </c>
      <c r="AC203" s="372">
        <v>21193.453636099999</v>
      </c>
      <c r="AD203" s="372">
        <v>19014.449750200001</v>
      </c>
      <c r="AE203" s="372">
        <v>18863</v>
      </c>
      <c r="AF203" s="372">
        <v>20194.400000000001</v>
      </c>
      <c r="AG203" s="372">
        <v>22206.75</v>
      </c>
      <c r="AH203" s="372">
        <v>0</v>
      </c>
    </row>
    <row r="204" spans="1:34">
      <c r="A204" s="372" t="s">
        <v>2112</v>
      </c>
      <c r="B204" s="373" t="s">
        <v>2113</v>
      </c>
      <c r="C204" s="372" t="s">
        <v>2114</v>
      </c>
      <c r="D204" s="374">
        <v>1341110002365</v>
      </c>
      <c r="E204" s="372" t="s">
        <v>2115</v>
      </c>
      <c r="F204" s="372" t="s">
        <v>2116</v>
      </c>
      <c r="G204" s="375" t="s">
        <v>2117</v>
      </c>
      <c r="H204" s="375" t="s">
        <v>812</v>
      </c>
      <c r="I204" s="375" t="s">
        <v>754</v>
      </c>
      <c r="J204" s="375">
        <v>250121.40382000001</v>
      </c>
      <c r="K204" s="375">
        <v>-6731.3367900000003</v>
      </c>
      <c r="L204" s="375">
        <v>-11600.29233</v>
      </c>
      <c r="M204" s="375">
        <v>246433.92176</v>
      </c>
      <c r="N204" s="372">
        <v>1.0900000000000001</v>
      </c>
      <c r="O204" s="704">
        <v>16.854593962352375</v>
      </c>
      <c r="P204" s="375" t="s">
        <v>622</v>
      </c>
      <c r="Q204" s="375" t="s">
        <v>622</v>
      </c>
      <c r="R204" s="696">
        <v>19801205</v>
      </c>
      <c r="S204" s="375" t="s">
        <v>2118</v>
      </c>
      <c r="T204" s="697" t="s">
        <v>771</v>
      </c>
      <c r="U204" s="375" t="s">
        <v>2119</v>
      </c>
      <c r="V204" s="723">
        <v>98.27</v>
      </c>
      <c r="W204" s="723">
        <v>3.04</v>
      </c>
      <c r="X204" s="723">
        <v>3</v>
      </c>
      <c r="Y204" s="723" t="s">
        <v>773</v>
      </c>
      <c r="Z204" s="382" t="s">
        <v>927</v>
      </c>
      <c r="AA204" s="372">
        <v>1970.1347679</v>
      </c>
      <c r="AB204" s="372">
        <v>2529.6552453999998</v>
      </c>
      <c r="AC204" s="372">
        <v>3120.5588342000001</v>
      </c>
      <c r="AD204" s="372">
        <v>2680.2342042999999</v>
      </c>
      <c r="AE204" s="372">
        <v>4377</v>
      </c>
      <c r="AF204" s="372">
        <v>0</v>
      </c>
      <c r="AG204" s="372">
        <v>0</v>
      </c>
      <c r="AH204" s="372">
        <v>0</v>
      </c>
    </row>
    <row r="205" spans="1:34">
      <c r="A205" s="372" t="s">
        <v>2120</v>
      </c>
      <c r="B205" s="373" t="s">
        <v>2121</v>
      </c>
      <c r="C205" s="372" t="s">
        <v>2122</v>
      </c>
      <c r="D205" s="374">
        <v>1351110052892</v>
      </c>
      <c r="E205" s="372" t="s">
        <v>2123</v>
      </c>
      <c r="F205" s="375" t="s">
        <v>2124</v>
      </c>
      <c r="G205" s="375" t="s">
        <v>2125</v>
      </c>
      <c r="H205" s="375" t="s">
        <v>2056</v>
      </c>
      <c r="I205" s="375" t="s">
        <v>754</v>
      </c>
      <c r="J205" s="375">
        <v>413294.63598000002</v>
      </c>
      <c r="K205" s="375">
        <v>125593.56518000001</v>
      </c>
      <c r="L205" s="375">
        <v>116937.20462999999</v>
      </c>
      <c r="M205" s="375">
        <v>517137.26779999997</v>
      </c>
      <c r="N205" s="372">
        <v>0.95099999999999996</v>
      </c>
      <c r="O205" s="704">
        <v>37.875256410867323</v>
      </c>
      <c r="P205" s="375" t="s">
        <v>622</v>
      </c>
      <c r="Q205" s="375" t="s">
        <v>622</v>
      </c>
      <c r="R205" s="696">
        <v>20170315</v>
      </c>
      <c r="S205" s="375" t="s">
        <v>2125</v>
      </c>
      <c r="T205" s="697">
        <v>0.23100000000000001</v>
      </c>
      <c r="U205" s="372" t="s">
        <v>2126</v>
      </c>
      <c r="V205" s="723">
        <v>7.14</v>
      </c>
      <c r="W205" s="723">
        <v>1.68</v>
      </c>
      <c r="X205" s="723">
        <v>2.19</v>
      </c>
      <c r="Y205" s="723">
        <v>10.5</v>
      </c>
      <c r="Z205" s="382">
        <v>7.9574391936391597E-2</v>
      </c>
      <c r="AA205" s="372">
        <v>2297.4943131999999</v>
      </c>
      <c r="AB205" s="372">
        <v>2915.2968747</v>
      </c>
      <c r="AC205" s="372">
        <v>3558.6597504000001</v>
      </c>
      <c r="AD205" s="372">
        <v>3931.8858113000001</v>
      </c>
      <c r="AE205" s="372">
        <v>4273.78</v>
      </c>
      <c r="AF205" s="372">
        <v>4768.8900000000003</v>
      </c>
      <c r="AG205" s="372">
        <v>5340.86</v>
      </c>
      <c r="AH205" s="372">
        <v>12550</v>
      </c>
    </row>
    <row r="206" spans="1:34">
      <c r="A206" s="372" t="s">
        <v>2127</v>
      </c>
      <c r="B206" s="373" t="s">
        <v>2128</v>
      </c>
      <c r="C206" s="372" t="s">
        <v>2129</v>
      </c>
      <c r="D206" s="374">
        <v>1101110002694</v>
      </c>
      <c r="E206" s="372" t="s">
        <v>2130</v>
      </c>
      <c r="F206" s="375" t="s">
        <v>1849</v>
      </c>
      <c r="G206" s="375" t="s">
        <v>2131</v>
      </c>
      <c r="H206" s="375" t="s">
        <v>1386</v>
      </c>
      <c r="I206" s="375" t="s">
        <v>754</v>
      </c>
      <c r="J206" s="375">
        <v>12798780.41299</v>
      </c>
      <c r="K206" s="375">
        <v>52532.010020000002</v>
      </c>
      <c r="L206" s="375">
        <v>67338.106199999995</v>
      </c>
      <c r="M206" s="375">
        <v>5114551.1961000003</v>
      </c>
      <c r="N206" s="372">
        <v>0.83499999999999996</v>
      </c>
      <c r="O206" s="704">
        <v>379.80054741077345</v>
      </c>
      <c r="P206" s="375" t="s">
        <v>622</v>
      </c>
      <c r="Q206" s="372" t="s">
        <v>622</v>
      </c>
      <c r="R206" s="696">
        <v>19810803</v>
      </c>
      <c r="S206" s="375" t="s">
        <v>2132</v>
      </c>
      <c r="T206" s="697">
        <v>0.23100000000000001</v>
      </c>
      <c r="U206" s="375" t="s">
        <v>2133</v>
      </c>
      <c r="V206" s="723">
        <v>18.309999999999999</v>
      </c>
      <c r="W206" s="723">
        <v>0.35</v>
      </c>
      <c r="X206" s="723">
        <v>0.12</v>
      </c>
      <c r="Y206" s="723" t="s">
        <v>773</v>
      </c>
      <c r="Z206" s="382">
        <v>-6.3294081694988957E-3</v>
      </c>
      <c r="AA206" s="372">
        <v>101229.3083745</v>
      </c>
      <c r="AB206" s="372">
        <v>90365.754228000005</v>
      </c>
      <c r="AC206" s="372">
        <v>122991.9621475</v>
      </c>
      <c r="AD206" s="372">
        <v>134366.84904470001</v>
      </c>
      <c r="AE206" s="372">
        <v>127664.11</v>
      </c>
      <c r="AF206" s="372">
        <v>128735.26</v>
      </c>
      <c r="AG206" s="372">
        <v>130997.16</v>
      </c>
      <c r="AH206" s="372">
        <v>130600</v>
      </c>
    </row>
    <row r="207" spans="1:34">
      <c r="A207" s="372" t="s">
        <v>2134</v>
      </c>
      <c r="B207" s="373" t="s">
        <v>2135</v>
      </c>
      <c r="C207" s="372" t="s">
        <v>2136</v>
      </c>
      <c r="D207" s="374">
        <v>1648110021208</v>
      </c>
      <c r="E207" s="372" t="s">
        <v>2137</v>
      </c>
      <c r="F207" s="372" t="s">
        <v>1656</v>
      </c>
      <c r="G207" s="375" t="s">
        <v>1656</v>
      </c>
      <c r="H207" s="375" t="s">
        <v>861</v>
      </c>
      <c r="I207" s="375" t="s">
        <v>862</v>
      </c>
      <c r="J207" s="375">
        <v>1108458.84619</v>
      </c>
      <c r="K207" s="375">
        <v>53722.604879999999</v>
      </c>
      <c r="L207" s="375">
        <v>-54345.124709999996</v>
      </c>
      <c r="M207" s="375">
        <v>583741.97768000001</v>
      </c>
      <c r="N207" s="372">
        <v>1.2010000000000001</v>
      </c>
      <c r="O207" s="704">
        <v>142.17890740371445</v>
      </c>
      <c r="P207" s="375" t="s">
        <v>622</v>
      </c>
      <c r="Q207" s="375" t="s">
        <v>622</v>
      </c>
      <c r="R207" s="696">
        <v>20051011</v>
      </c>
      <c r="S207" s="375" t="s">
        <v>2138</v>
      </c>
      <c r="T207" s="697" t="s">
        <v>771</v>
      </c>
      <c r="U207" s="375" t="s">
        <v>2139</v>
      </c>
      <c r="V207" s="723">
        <v>9.9600000000000009</v>
      </c>
      <c r="W207" s="723">
        <v>1.9</v>
      </c>
      <c r="X207" s="723">
        <v>0.65</v>
      </c>
      <c r="Y207" s="723" t="s">
        <v>773</v>
      </c>
      <c r="Z207" s="382">
        <v>0.17795723924472995</v>
      </c>
      <c r="AA207" s="372">
        <v>5394.6019311</v>
      </c>
      <c r="AB207" s="372">
        <v>6695.1196232000002</v>
      </c>
      <c r="AC207" s="372">
        <v>8943.9589245000006</v>
      </c>
      <c r="AD207" s="372">
        <v>9679.7148471</v>
      </c>
      <c r="AE207" s="372">
        <v>12256.8</v>
      </c>
      <c r="AF207" s="372">
        <v>16042.6</v>
      </c>
      <c r="AG207" s="372">
        <v>18637.2</v>
      </c>
      <c r="AH207" s="372">
        <v>0</v>
      </c>
    </row>
    <row r="208" spans="1:34">
      <c r="A208" s="372" t="s">
        <v>2140</v>
      </c>
      <c r="B208" s="373" t="s">
        <v>2141</v>
      </c>
      <c r="C208" s="372" t="s">
        <v>2142</v>
      </c>
      <c r="D208" s="374">
        <v>1348110075342</v>
      </c>
      <c r="E208" s="372" t="s">
        <v>2143</v>
      </c>
      <c r="F208" s="372" t="s">
        <v>1249</v>
      </c>
      <c r="G208" s="375" t="s">
        <v>1249</v>
      </c>
      <c r="H208" s="375" t="s">
        <v>784</v>
      </c>
      <c r="I208" s="375" t="s">
        <v>754</v>
      </c>
      <c r="J208" s="375">
        <v>1416626.10883</v>
      </c>
      <c r="K208" s="375">
        <v>137931.01495000001</v>
      </c>
      <c r="L208" s="375">
        <v>110588.93081999999</v>
      </c>
      <c r="M208" s="375">
        <v>951353.15289999999</v>
      </c>
      <c r="N208" s="372">
        <v>0.751</v>
      </c>
      <c r="O208" s="704">
        <v>32.234804819268</v>
      </c>
      <c r="P208" s="375" t="s">
        <v>622</v>
      </c>
      <c r="Q208" s="375" t="s">
        <v>622</v>
      </c>
      <c r="R208" s="696">
        <v>20021101</v>
      </c>
      <c r="S208" s="375" t="s">
        <v>2144</v>
      </c>
      <c r="T208" s="697">
        <v>0.23100000000000001</v>
      </c>
      <c r="U208" s="375" t="s">
        <v>2145</v>
      </c>
      <c r="V208" s="723">
        <v>11.97</v>
      </c>
      <c r="W208" s="723">
        <v>1.95</v>
      </c>
      <c r="X208" s="723">
        <v>1.1299999999999999</v>
      </c>
      <c r="Y208" s="723">
        <v>15.47</v>
      </c>
      <c r="Z208" s="382">
        <v>3.8841984925904516E-2</v>
      </c>
      <c r="AA208" s="372">
        <v>10554.2369</v>
      </c>
      <c r="AB208" s="372">
        <v>11529.7569817</v>
      </c>
      <c r="AC208" s="372">
        <v>12800.9185101</v>
      </c>
      <c r="AD208" s="372">
        <v>13753.287448700001</v>
      </c>
      <c r="AE208" s="372">
        <v>14050.38</v>
      </c>
      <c r="AF208" s="372">
        <v>15003.75</v>
      </c>
      <c r="AG208" s="372">
        <v>16017.86</v>
      </c>
      <c r="AH208" s="372">
        <v>0</v>
      </c>
    </row>
    <row r="209" spans="1:34">
      <c r="A209" s="372" t="s">
        <v>2146</v>
      </c>
      <c r="B209" s="373" t="s">
        <v>2147</v>
      </c>
      <c r="C209" s="372" t="s">
        <v>2148</v>
      </c>
      <c r="D209" s="374">
        <v>1101110109854</v>
      </c>
      <c r="E209" s="372" t="s">
        <v>2149</v>
      </c>
      <c r="F209" s="375" t="s">
        <v>1323</v>
      </c>
      <c r="G209" s="375" t="s">
        <v>16106</v>
      </c>
      <c r="H209" s="375" t="s">
        <v>784</v>
      </c>
      <c r="I209" s="375" t="s">
        <v>754</v>
      </c>
      <c r="J209" s="375">
        <v>1643982.59097</v>
      </c>
      <c r="K209" s="375">
        <v>33802.303979999997</v>
      </c>
      <c r="L209" s="375">
        <v>-26075.81135</v>
      </c>
      <c r="M209" s="375">
        <v>1523562.66753</v>
      </c>
      <c r="N209" s="372">
        <v>0.873</v>
      </c>
      <c r="O209" s="704">
        <v>48.167189386823466</v>
      </c>
      <c r="P209" s="375" t="s">
        <v>622</v>
      </c>
      <c r="Q209" s="375" t="s">
        <v>622</v>
      </c>
      <c r="R209" s="696">
        <v>19890801</v>
      </c>
      <c r="S209" s="375" t="s">
        <v>2150</v>
      </c>
      <c r="T209" s="697" t="s">
        <v>771</v>
      </c>
      <c r="U209" s="375" t="s">
        <v>15834</v>
      </c>
      <c r="V209" s="723">
        <v>25.03</v>
      </c>
      <c r="W209" s="723">
        <v>1.34</v>
      </c>
      <c r="X209" s="723">
        <v>1.08</v>
      </c>
      <c r="Y209" s="723" t="s">
        <v>773</v>
      </c>
      <c r="Z209" s="382">
        <v>6.3550722466943599E-2</v>
      </c>
      <c r="AA209" s="372">
        <v>15041.152786500001</v>
      </c>
      <c r="AB209" s="372">
        <v>15378.257502500001</v>
      </c>
      <c r="AC209" s="372">
        <v>17113.127395300002</v>
      </c>
      <c r="AD209" s="372">
        <v>16266.438158200001</v>
      </c>
      <c r="AE209" s="372">
        <v>17054.830000000002</v>
      </c>
      <c r="AF209" s="372">
        <v>18903.919999999998</v>
      </c>
      <c r="AG209" s="372">
        <v>20812.55</v>
      </c>
      <c r="AH209" s="372">
        <v>21270</v>
      </c>
    </row>
    <row r="210" spans="1:34">
      <c r="A210" s="372" t="s">
        <v>2152</v>
      </c>
      <c r="B210" s="373" t="s">
        <v>2153</v>
      </c>
      <c r="C210" s="372" t="s">
        <v>2154</v>
      </c>
      <c r="D210" s="374">
        <v>1812110000013</v>
      </c>
      <c r="E210" s="372" t="s">
        <v>2155</v>
      </c>
      <c r="F210" s="372" t="s">
        <v>824</v>
      </c>
      <c r="G210" s="375" t="s">
        <v>16108</v>
      </c>
      <c r="H210" s="375" t="s">
        <v>826</v>
      </c>
      <c r="I210" s="375" t="s">
        <v>754</v>
      </c>
      <c r="J210" s="375">
        <v>1653196.2514599999</v>
      </c>
      <c r="K210" s="375">
        <v>46709.979610000002</v>
      </c>
      <c r="L210" s="375">
        <v>105035.24397</v>
      </c>
      <c r="M210" s="375">
        <v>2387750.9247900001</v>
      </c>
      <c r="N210" s="372">
        <v>0.78100000000000003</v>
      </c>
      <c r="O210" s="704">
        <v>17.100505543564768</v>
      </c>
      <c r="P210" s="375" t="s">
        <v>622</v>
      </c>
      <c r="Q210" s="375" t="s">
        <v>622</v>
      </c>
      <c r="R210" s="696">
        <v>19760415</v>
      </c>
      <c r="S210" s="375" t="s">
        <v>2156</v>
      </c>
      <c r="T210" s="697">
        <v>0.23100000000000001</v>
      </c>
      <c r="U210" s="372" t="s">
        <v>2157</v>
      </c>
      <c r="V210" s="723">
        <v>6.16</v>
      </c>
      <c r="W210" s="723">
        <v>0.52</v>
      </c>
      <c r="X210" s="723">
        <v>0.75</v>
      </c>
      <c r="Y210" s="723">
        <v>19.100000000000001</v>
      </c>
      <c r="Z210" s="382">
        <v>2.2558142682934657E-2</v>
      </c>
      <c r="AA210" s="372">
        <v>12636.356380699999</v>
      </c>
      <c r="AB210" s="372">
        <v>17802.930567899999</v>
      </c>
      <c r="AC210" s="372">
        <v>24637.593080899998</v>
      </c>
      <c r="AD210" s="372">
        <v>17686.211157199999</v>
      </c>
      <c r="AE210" s="372">
        <v>16893.45</v>
      </c>
      <c r="AF210" s="372">
        <v>18113</v>
      </c>
      <c r="AG210" s="372">
        <v>19336.900000000001</v>
      </c>
      <c r="AH210" s="372">
        <v>0</v>
      </c>
    </row>
    <row r="211" spans="1:34">
      <c r="A211" s="372" t="s">
        <v>2158</v>
      </c>
      <c r="B211" s="373" t="s">
        <v>2159</v>
      </c>
      <c r="C211" s="372" t="s">
        <v>2160</v>
      </c>
      <c r="D211" s="374">
        <v>1101110003684</v>
      </c>
      <c r="E211" s="372" t="s">
        <v>2161</v>
      </c>
      <c r="F211" s="372" t="s">
        <v>2162</v>
      </c>
      <c r="G211" s="375" t="s">
        <v>2163</v>
      </c>
      <c r="H211" s="375" t="s">
        <v>1316</v>
      </c>
      <c r="I211" s="375" t="s">
        <v>754</v>
      </c>
      <c r="J211" s="375">
        <v>4019540.7757700002</v>
      </c>
      <c r="K211" s="375">
        <v>183681.29221000001</v>
      </c>
      <c r="L211" s="375">
        <v>154749.40617</v>
      </c>
      <c r="M211" s="375">
        <v>1591630.41922</v>
      </c>
      <c r="N211" s="372">
        <v>0.45800000000000002</v>
      </c>
      <c r="O211" s="704">
        <v>153.80578617456831</v>
      </c>
      <c r="P211" s="375" t="s">
        <v>622</v>
      </c>
      <c r="Q211" s="372" t="s">
        <v>622</v>
      </c>
      <c r="R211" s="696">
        <v>19730621</v>
      </c>
      <c r="S211" s="375" t="s">
        <v>2164</v>
      </c>
      <c r="T211" s="697">
        <v>0.23100000000000001</v>
      </c>
      <c r="U211" s="375" t="s">
        <v>2165</v>
      </c>
      <c r="V211" s="723">
        <v>6.72</v>
      </c>
      <c r="W211" s="723">
        <v>0.86</v>
      </c>
      <c r="X211" s="723">
        <v>0.33</v>
      </c>
      <c r="Y211" s="723">
        <v>11.07</v>
      </c>
      <c r="Z211" s="382">
        <v>8.5984886142450589E-2</v>
      </c>
      <c r="AA211" s="372">
        <v>22579.733009399999</v>
      </c>
      <c r="AB211" s="372">
        <v>25060.932701999998</v>
      </c>
      <c r="AC211" s="372">
        <v>28417.4704986</v>
      </c>
      <c r="AD211" s="372">
        <v>32246.804818000001</v>
      </c>
      <c r="AE211" s="372">
        <v>40779.800000000003</v>
      </c>
      <c r="AF211" s="372">
        <v>42818.8</v>
      </c>
      <c r="AG211" s="372">
        <v>44852</v>
      </c>
      <c r="AH211" s="372">
        <v>0</v>
      </c>
    </row>
    <row r="212" spans="1:34">
      <c r="A212" s="372" t="s">
        <v>2166</v>
      </c>
      <c r="B212" s="373" t="s">
        <v>2167</v>
      </c>
      <c r="C212" s="372" t="s">
        <v>2168</v>
      </c>
      <c r="D212" s="374">
        <v>1346110007844</v>
      </c>
      <c r="E212" s="372" t="s">
        <v>2169</v>
      </c>
      <c r="F212" s="375" t="s">
        <v>2170</v>
      </c>
      <c r="G212" s="375" t="s">
        <v>2171</v>
      </c>
      <c r="H212" s="375" t="s">
        <v>861</v>
      </c>
      <c r="I212" s="375" t="s">
        <v>862</v>
      </c>
      <c r="J212" s="375">
        <v>264836.80183000001</v>
      </c>
      <c r="K212" s="375">
        <v>76954.402249999999</v>
      </c>
      <c r="L212" s="375">
        <v>84953.423079999993</v>
      </c>
      <c r="M212" s="375">
        <v>497603.34258</v>
      </c>
      <c r="N212" s="372">
        <v>0.874</v>
      </c>
      <c r="O212" s="704">
        <v>6.2073677698886755E-2</v>
      </c>
      <c r="P212" s="375" t="s">
        <v>622</v>
      </c>
      <c r="Q212" s="375" t="s">
        <v>622</v>
      </c>
      <c r="R212" s="696">
        <v>20030813</v>
      </c>
      <c r="S212" s="375" t="s">
        <v>2172</v>
      </c>
      <c r="T212" s="697">
        <v>0.23100000000000001</v>
      </c>
      <c r="U212" s="375" t="s">
        <v>2173</v>
      </c>
      <c r="V212" s="723">
        <v>0</v>
      </c>
      <c r="W212" s="723">
        <v>0</v>
      </c>
      <c r="X212" s="723">
        <v>0</v>
      </c>
      <c r="Y212" s="723">
        <v>0</v>
      </c>
      <c r="Z212" s="382" t="s">
        <v>927</v>
      </c>
      <c r="AA212" s="372">
        <v>2282.0974500000002</v>
      </c>
      <c r="AB212" s="372">
        <v>2707.6656769000001</v>
      </c>
      <c r="AC212" s="372">
        <v>3195.6283619000001</v>
      </c>
      <c r="AD212" s="372">
        <v>2266.5288153000001</v>
      </c>
      <c r="AE212" s="372">
        <v>0</v>
      </c>
      <c r="AF212" s="372">
        <v>0</v>
      </c>
      <c r="AG212" s="372">
        <v>0</v>
      </c>
      <c r="AH212" s="372">
        <v>0</v>
      </c>
    </row>
    <row r="213" spans="1:34">
      <c r="A213" s="372" t="s">
        <v>2174</v>
      </c>
      <c r="B213" s="373" t="s">
        <v>2175</v>
      </c>
      <c r="C213" s="372" t="s">
        <v>2176</v>
      </c>
      <c r="D213" s="374">
        <v>1311110000271</v>
      </c>
      <c r="E213" s="372" t="s">
        <v>2177</v>
      </c>
      <c r="F213" s="375" t="s">
        <v>1249</v>
      </c>
      <c r="G213" s="375" t="s">
        <v>1249</v>
      </c>
      <c r="H213" s="375" t="s">
        <v>784</v>
      </c>
      <c r="I213" s="375" t="s">
        <v>754</v>
      </c>
      <c r="J213" s="375">
        <v>1880070.6288000001</v>
      </c>
      <c r="K213" s="375">
        <v>233122.09847</v>
      </c>
      <c r="L213" s="375">
        <v>171158.82957999999</v>
      </c>
      <c r="M213" s="375">
        <v>1543950.94257</v>
      </c>
      <c r="N213" s="372">
        <v>1.2569999999999999</v>
      </c>
      <c r="O213" s="704">
        <v>58.727505611957511</v>
      </c>
      <c r="P213" s="375" t="s">
        <v>622</v>
      </c>
      <c r="Q213" s="375" t="s">
        <v>622</v>
      </c>
      <c r="R213" s="696">
        <v>19730626</v>
      </c>
      <c r="S213" s="375" t="s">
        <v>2178</v>
      </c>
      <c r="T213" s="697">
        <v>0.23100000000000001</v>
      </c>
      <c r="U213" s="375" t="s">
        <v>2179</v>
      </c>
      <c r="V213" s="723">
        <v>7.74</v>
      </c>
      <c r="W213" s="723">
        <v>1.24</v>
      </c>
      <c r="X213" s="723">
        <v>0.73</v>
      </c>
      <c r="Y213" s="723">
        <v>11.08</v>
      </c>
      <c r="Z213" s="382">
        <v>8.2104280637142368E-2</v>
      </c>
      <c r="AA213" s="372">
        <v>13553.3738675</v>
      </c>
      <c r="AB213" s="372">
        <v>15113.7358081</v>
      </c>
      <c r="AC213" s="372">
        <v>16973.3848258</v>
      </c>
      <c r="AD213" s="372">
        <v>18138.414621200001</v>
      </c>
      <c r="AE213" s="372">
        <v>19466</v>
      </c>
      <c r="AF213" s="372">
        <v>22040</v>
      </c>
      <c r="AG213" s="372">
        <v>24870</v>
      </c>
      <c r="AH213" s="372">
        <v>28610</v>
      </c>
    </row>
    <row r="214" spans="1:34">
      <c r="A214" s="372" t="s">
        <v>2180</v>
      </c>
      <c r="B214" s="373" t="s">
        <v>2181</v>
      </c>
      <c r="C214" s="372" t="s">
        <v>2182</v>
      </c>
      <c r="D214" s="374">
        <v>1101111397648</v>
      </c>
      <c r="E214" s="372" t="s">
        <v>2183</v>
      </c>
      <c r="F214" s="375" t="s">
        <v>2184</v>
      </c>
      <c r="G214" s="375" t="s">
        <v>2185</v>
      </c>
      <c r="H214" s="375" t="s">
        <v>861</v>
      </c>
      <c r="I214" s="375" t="s">
        <v>862</v>
      </c>
      <c r="J214" s="375">
        <v>157204.73001</v>
      </c>
      <c r="K214" s="375">
        <v>31753.486499999999</v>
      </c>
      <c r="L214" s="375">
        <v>32471.630150000001</v>
      </c>
      <c r="M214" s="375">
        <v>164910.18913000001</v>
      </c>
      <c r="N214" s="372">
        <v>0.79200000000000004</v>
      </c>
      <c r="O214" s="704">
        <v>2.5972577422124328</v>
      </c>
      <c r="P214" s="375" t="s">
        <v>622</v>
      </c>
      <c r="Q214" s="372" t="s">
        <v>622</v>
      </c>
      <c r="R214" s="696">
        <v>20151217</v>
      </c>
      <c r="S214" s="372" t="s">
        <v>2186</v>
      </c>
      <c r="T214" s="697">
        <v>0.23100000000000001</v>
      </c>
      <c r="U214" s="375" t="s">
        <v>2187</v>
      </c>
      <c r="V214" s="723">
        <v>35.69</v>
      </c>
      <c r="W214" s="723">
        <v>8.06</v>
      </c>
      <c r="X214" s="723">
        <v>8.56</v>
      </c>
      <c r="Y214" s="723">
        <v>44.2</v>
      </c>
      <c r="Z214" s="382">
        <v>0.15746644094344342</v>
      </c>
      <c r="AA214" s="372">
        <v>712.231358</v>
      </c>
      <c r="AB214" s="372">
        <v>852.50257550000003</v>
      </c>
      <c r="AC214" s="372">
        <v>1245.220114</v>
      </c>
      <c r="AD214" s="372">
        <v>1448.0637632</v>
      </c>
      <c r="AE214" s="372">
        <v>1723.5</v>
      </c>
      <c r="AF214" s="372">
        <v>2146.92</v>
      </c>
      <c r="AG214" s="372">
        <v>2599.09</v>
      </c>
      <c r="AH214" s="372">
        <v>2900</v>
      </c>
    </row>
    <row r="215" spans="1:34">
      <c r="A215" s="372" t="s">
        <v>2188</v>
      </c>
      <c r="B215" s="373" t="s">
        <v>2189</v>
      </c>
      <c r="C215" s="372" t="s">
        <v>2190</v>
      </c>
      <c r="D215" s="374">
        <v>1314110460809</v>
      </c>
      <c r="E215" s="372" t="s">
        <v>2191</v>
      </c>
      <c r="F215" s="375" t="s">
        <v>998</v>
      </c>
      <c r="G215" s="375" t="s">
        <v>998</v>
      </c>
      <c r="H215" s="375" t="s">
        <v>753</v>
      </c>
      <c r="I215" s="375" t="s">
        <v>754</v>
      </c>
      <c r="J215" s="375">
        <v>920010.17056</v>
      </c>
      <c r="K215" s="375">
        <v>23666.670529999999</v>
      </c>
      <c r="L215" s="375">
        <v>29003.63593</v>
      </c>
      <c r="M215" s="375">
        <v>872551.51838999998</v>
      </c>
      <c r="N215" s="372">
        <v>1.27</v>
      </c>
      <c r="O215" s="704">
        <v>1.7912071499915829</v>
      </c>
      <c r="P215" s="375" t="s">
        <v>622</v>
      </c>
      <c r="Q215" s="375" t="s">
        <v>622</v>
      </c>
      <c r="R215" s="696">
        <v>20200521</v>
      </c>
      <c r="S215" s="375" t="s">
        <v>2192</v>
      </c>
      <c r="T215" s="697">
        <v>0.23100000000000001</v>
      </c>
      <c r="U215" s="375" t="s">
        <v>2193</v>
      </c>
      <c r="V215" s="723">
        <v>6.67</v>
      </c>
      <c r="W215" s="723">
        <v>1.1100000000000001</v>
      </c>
      <c r="X215" s="723">
        <v>1.05</v>
      </c>
      <c r="Y215" s="723">
        <v>38.04</v>
      </c>
      <c r="Z215" s="382">
        <v>6.8712291903476164E-2</v>
      </c>
      <c r="AA215" s="372">
        <v>6109.1990331999996</v>
      </c>
      <c r="AB215" s="372">
        <v>10009.315187800001</v>
      </c>
      <c r="AC215" s="372">
        <v>13161.634202499999</v>
      </c>
      <c r="AD215" s="372">
        <v>9096.5148688999998</v>
      </c>
      <c r="AE215" s="372">
        <v>9147.9</v>
      </c>
      <c r="AF215" s="372">
        <v>10387.5</v>
      </c>
      <c r="AG215" s="372">
        <v>11866.38</v>
      </c>
      <c r="AH215" s="372">
        <v>17430</v>
      </c>
    </row>
    <row r="216" spans="1:34">
      <c r="A216" s="372" t="s">
        <v>2194</v>
      </c>
      <c r="B216" s="373" t="s">
        <v>2195</v>
      </c>
      <c r="C216" s="372" t="s">
        <v>2196</v>
      </c>
      <c r="D216" s="374">
        <v>1101115379692</v>
      </c>
      <c r="E216" s="372" t="s">
        <v>2197</v>
      </c>
      <c r="F216" s="375" t="s">
        <v>1249</v>
      </c>
      <c r="G216" s="375" t="s">
        <v>1249</v>
      </c>
      <c r="H216" s="375" t="s">
        <v>861</v>
      </c>
      <c r="I216" s="375" t="s">
        <v>862</v>
      </c>
      <c r="J216" s="375">
        <v>885430.75525000005</v>
      </c>
      <c r="K216" s="375">
        <v>86381.718909999996</v>
      </c>
      <c r="L216" s="375">
        <v>65783.571519999998</v>
      </c>
      <c r="M216" s="375">
        <v>1238534.80476</v>
      </c>
      <c r="N216" s="372">
        <v>0.44500000000000001</v>
      </c>
      <c r="O216" s="704">
        <v>31.340259852189106</v>
      </c>
      <c r="P216" s="375" t="s">
        <v>622</v>
      </c>
      <c r="Q216" s="375" t="s">
        <v>622</v>
      </c>
      <c r="R216" s="696">
        <v>20210809</v>
      </c>
      <c r="S216" s="375" t="s">
        <v>2198</v>
      </c>
      <c r="T216" s="697">
        <v>0.23100000000000001</v>
      </c>
      <c r="U216" s="375" t="s">
        <v>2199</v>
      </c>
      <c r="V216" s="723">
        <v>0</v>
      </c>
      <c r="W216" s="723">
        <v>0</v>
      </c>
      <c r="X216" s="723">
        <v>0</v>
      </c>
      <c r="Y216" s="723">
        <v>0</v>
      </c>
      <c r="Z216" s="382" t="s">
        <v>927</v>
      </c>
      <c r="AA216" s="372">
        <v>5984.4671816</v>
      </c>
      <c r="AB216" s="372">
        <v>7697.8555546999996</v>
      </c>
      <c r="AC216" s="372">
        <v>8465.2170062999994</v>
      </c>
      <c r="AD216" s="372">
        <v>8289.0823282000001</v>
      </c>
      <c r="AE216" s="372">
        <v>9542</v>
      </c>
      <c r="AF216" s="372">
        <v>10980</v>
      </c>
      <c r="AG216" s="372">
        <v>0</v>
      </c>
      <c r="AH216" s="372">
        <v>0</v>
      </c>
    </row>
    <row r="217" spans="1:34">
      <c r="A217" s="372" t="s">
        <v>2200</v>
      </c>
      <c r="B217" s="373" t="s">
        <v>2201</v>
      </c>
      <c r="C217" s="372" t="s">
        <v>2202</v>
      </c>
      <c r="D217" s="374">
        <v>1101112644725</v>
      </c>
      <c r="E217" s="372" t="s">
        <v>2203</v>
      </c>
      <c r="F217" s="375" t="s">
        <v>1648</v>
      </c>
      <c r="G217" s="375" t="s">
        <v>1649</v>
      </c>
      <c r="H217" s="375" t="s">
        <v>846</v>
      </c>
      <c r="I217" s="375" t="s">
        <v>754</v>
      </c>
      <c r="J217" s="375">
        <v>4147586.0350000001</v>
      </c>
      <c r="K217" s="375">
        <v>272288.83500000002</v>
      </c>
      <c r="L217" s="375">
        <v>-231417.28599999999</v>
      </c>
      <c r="M217" s="375">
        <v>6204709.6320000002</v>
      </c>
      <c r="N217" s="372">
        <v>0.89900000000000002</v>
      </c>
      <c r="O217" s="704">
        <v>237.58479159318705</v>
      </c>
      <c r="P217" s="375" t="s">
        <v>622</v>
      </c>
      <c r="Q217" s="375" t="s">
        <v>622</v>
      </c>
      <c r="R217" s="696">
        <v>20021125</v>
      </c>
      <c r="S217" s="375" t="s">
        <v>1649</v>
      </c>
      <c r="T217" s="697" t="s">
        <v>771</v>
      </c>
      <c r="U217" s="375" t="s">
        <v>2204</v>
      </c>
      <c r="V217" s="723">
        <v>6.18</v>
      </c>
      <c r="W217" s="723">
        <v>0.25</v>
      </c>
      <c r="X217" s="723">
        <v>0.28000000000000003</v>
      </c>
      <c r="Y217" s="723" t="s">
        <v>773</v>
      </c>
      <c r="Z217" s="382">
        <v>2.5826211291312795E-2</v>
      </c>
      <c r="AA217" s="372">
        <v>22731.518650000002</v>
      </c>
      <c r="AB217" s="372">
        <v>35724.331819999999</v>
      </c>
      <c r="AC217" s="372">
        <v>50141.236290000001</v>
      </c>
      <c r="AD217" s="372">
        <v>42074.52895</v>
      </c>
      <c r="AE217" s="372">
        <v>41934.410000000003</v>
      </c>
      <c r="AF217" s="372">
        <v>44644.31</v>
      </c>
      <c r="AG217" s="372">
        <v>46592.33</v>
      </c>
      <c r="AH217" s="372">
        <v>0</v>
      </c>
    </row>
    <row r="218" spans="1:34">
      <c r="A218" s="372" t="s">
        <v>2205</v>
      </c>
      <c r="B218" s="373" t="s">
        <v>2206</v>
      </c>
      <c r="C218" s="372" t="s">
        <v>2207</v>
      </c>
      <c r="D218" s="374">
        <v>1101112508088</v>
      </c>
      <c r="E218" s="372" t="s">
        <v>2208</v>
      </c>
      <c r="F218" s="375" t="s">
        <v>1185</v>
      </c>
      <c r="G218" s="375" t="s">
        <v>1186</v>
      </c>
      <c r="H218" s="375" t="s">
        <v>861</v>
      </c>
      <c r="I218" s="375" t="s">
        <v>862</v>
      </c>
      <c r="J218" s="375">
        <v>210637.52885</v>
      </c>
      <c r="K218" s="375">
        <v>11836.47443</v>
      </c>
      <c r="L218" s="375">
        <v>14692.72797</v>
      </c>
      <c r="M218" s="375">
        <v>310180.11888000002</v>
      </c>
      <c r="N218" s="372">
        <v>1.288</v>
      </c>
      <c r="O218" s="704">
        <v>2.299951841657756</v>
      </c>
      <c r="P218" s="375" t="s">
        <v>622</v>
      </c>
      <c r="Q218" s="372" t="s">
        <v>622</v>
      </c>
      <c r="R218" s="696">
        <v>20080603</v>
      </c>
      <c r="S218" s="375" t="s">
        <v>2209</v>
      </c>
      <c r="T218" s="697">
        <v>0.20900000000000002</v>
      </c>
      <c r="U218" s="375" t="s">
        <v>2210</v>
      </c>
      <c r="V218" s="723">
        <v>29.84</v>
      </c>
      <c r="W218" s="723">
        <v>2.08</v>
      </c>
      <c r="X218" s="723">
        <v>3.45</v>
      </c>
      <c r="Y218" s="723">
        <v>61.31</v>
      </c>
      <c r="Z218" s="382">
        <v>5.4606431581846859E-2</v>
      </c>
      <c r="AA218" s="372">
        <v>1795.4513394000001</v>
      </c>
      <c r="AB218" s="372">
        <v>2473.0134207999999</v>
      </c>
      <c r="AC218" s="372">
        <v>2753.5958719999999</v>
      </c>
      <c r="AD218" s="372">
        <v>2256.3069138999999</v>
      </c>
      <c r="AE218" s="372">
        <v>2190.33</v>
      </c>
      <c r="AF218" s="372">
        <v>2487.67</v>
      </c>
      <c r="AG218" s="372">
        <v>2791</v>
      </c>
      <c r="AH218" s="372">
        <v>0</v>
      </c>
    </row>
    <row r="219" spans="1:34">
      <c r="A219" s="372" t="s">
        <v>2211</v>
      </c>
      <c r="B219" s="373" t="s">
        <v>2212</v>
      </c>
      <c r="C219" s="372" t="s">
        <v>2213</v>
      </c>
      <c r="D219" s="374">
        <v>1101110226533</v>
      </c>
      <c r="E219" s="372" t="s">
        <v>2214</v>
      </c>
      <c r="F219" s="375" t="s">
        <v>2215</v>
      </c>
      <c r="G219" s="375" t="s">
        <v>2215</v>
      </c>
      <c r="H219" s="375" t="s">
        <v>933</v>
      </c>
      <c r="I219" s="375" t="s">
        <v>754</v>
      </c>
      <c r="J219" s="375">
        <v>5274063.2246200005</v>
      </c>
      <c r="K219" s="375">
        <v>319717.19448000001</v>
      </c>
      <c r="L219" s="375">
        <v>317675.68809000001</v>
      </c>
      <c r="M219" s="375">
        <v>3377271.3021200001</v>
      </c>
      <c r="N219" s="372">
        <v>0.44500000000000001</v>
      </c>
      <c r="O219" s="704">
        <v>0</v>
      </c>
      <c r="P219" s="375" t="s">
        <v>622</v>
      </c>
      <c r="Q219" s="375" t="s">
        <v>622</v>
      </c>
      <c r="R219" s="696">
        <v>19691222</v>
      </c>
      <c r="S219" s="375" t="s">
        <v>2216</v>
      </c>
      <c r="T219" s="697">
        <v>0.26400000000000001</v>
      </c>
      <c r="U219" s="375" t="s">
        <v>2217</v>
      </c>
      <c r="V219" s="723">
        <v>0</v>
      </c>
      <c r="W219" s="723">
        <v>0.39</v>
      </c>
      <c r="X219" s="723">
        <v>0.2</v>
      </c>
      <c r="Y219" s="723">
        <v>5.15</v>
      </c>
      <c r="Z219" s="382" t="s">
        <v>927</v>
      </c>
      <c r="AA219" s="372">
        <v>84470.677850499997</v>
      </c>
      <c r="AB219" s="372">
        <v>84887.203650299998</v>
      </c>
      <c r="AC219" s="372">
        <v>60320.207805700004</v>
      </c>
      <c r="AD219" s="372">
        <v>53384.638239</v>
      </c>
      <c r="AE219" s="372">
        <v>0</v>
      </c>
      <c r="AF219" s="372">
        <v>0</v>
      </c>
      <c r="AG219" s="372">
        <v>0</v>
      </c>
      <c r="AH219" s="372">
        <v>0</v>
      </c>
    </row>
    <row r="220" spans="1:34">
      <c r="A220" s="372" t="s">
        <v>2218</v>
      </c>
      <c r="B220" s="373" t="s">
        <v>2219</v>
      </c>
      <c r="C220" s="372" t="s">
        <v>2220</v>
      </c>
      <c r="D220" s="374">
        <v>1101116536481</v>
      </c>
      <c r="E220" s="372" t="s">
        <v>2221</v>
      </c>
      <c r="F220" s="375" t="s">
        <v>2222</v>
      </c>
      <c r="G220" s="375" t="s">
        <v>2222</v>
      </c>
      <c r="H220" s="375" t="s">
        <v>1316</v>
      </c>
      <c r="I220" s="375" t="s">
        <v>754</v>
      </c>
      <c r="J220" s="375">
        <v>4053363.9478199999</v>
      </c>
      <c r="K220" s="375">
        <v>205880.08145999999</v>
      </c>
      <c r="L220" s="375">
        <v>136281.99819000001</v>
      </c>
      <c r="M220" s="375">
        <v>2218344.27868</v>
      </c>
      <c r="N220" s="372">
        <v>0.66700000000000004</v>
      </c>
      <c r="O220" s="704">
        <v>119.88333329959656</v>
      </c>
      <c r="P220" s="375" t="s">
        <v>622</v>
      </c>
      <c r="Q220" s="375" t="s">
        <v>622</v>
      </c>
      <c r="R220" s="696">
        <v>20171030</v>
      </c>
      <c r="S220" s="375" t="s">
        <v>2223</v>
      </c>
      <c r="T220" s="697">
        <v>0.23100000000000001</v>
      </c>
      <c r="U220" s="375" t="s">
        <v>15835</v>
      </c>
      <c r="V220" s="723">
        <v>5.52</v>
      </c>
      <c r="W220" s="723">
        <v>0.62</v>
      </c>
      <c r="X220" s="723">
        <v>0.33</v>
      </c>
      <c r="Y220" s="723">
        <v>14.08</v>
      </c>
      <c r="Z220" s="382">
        <v>2.1646805505589617E-2</v>
      </c>
      <c r="AA220" s="372">
        <v>20760.480219500001</v>
      </c>
      <c r="AB220" s="372">
        <v>21454.072447800001</v>
      </c>
      <c r="AC220" s="372">
        <v>32032.6446105</v>
      </c>
      <c r="AD220" s="372">
        <v>40663.918631100001</v>
      </c>
      <c r="AE220" s="372">
        <v>40776.78</v>
      </c>
      <c r="AF220" s="372">
        <v>42500.56</v>
      </c>
      <c r="AG220" s="372">
        <v>44300.88</v>
      </c>
      <c r="AH220" s="372">
        <v>0</v>
      </c>
    </row>
    <row r="221" spans="1:34">
      <c r="A221" s="372" t="s">
        <v>2224</v>
      </c>
      <c r="B221" s="373" t="s">
        <v>2225</v>
      </c>
      <c r="C221" s="372" t="s">
        <v>15983</v>
      </c>
      <c r="D221" s="374">
        <v>1101111263203</v>
      </c>
      <c r="E221" s="372" t="s">
        <v>15984</v>
      </c>
      <c r="F221" s="375" t="s">
        <v>1370</v>
      </c>
      <c r="G221" s="375" t="s">
        <v>1370</v>
      </c>
      <c r="H221" s="375" t="s">
        <v>861</v>
      </c>
      <c r="I221" s="375" t="s">
        <v>862</v>
      </c>
      <c r="J221" s="375">
        <v>411825.02892999997</v>
      </c>
      <c r="K221" s="375">
        <v>112101.84935</v>
      </c>
      <c r="L221" s="375">
        <v>119335.26581</v>
      </c>
      <c r="M221" s="375">
        <v>355424.65805999999</v>
      </c>
      <c r="N221" s="372">
        <v>0.877</v>
      </c>
      <c r="O221" s="704">
        <v>1.5006761777708333</v>
      </c>
      <c r="P221" s="375" t="s">
        <v>622</v>
      </c>
      <c r="Q221" s="375" t="s">
        <v>622</v>
      </c>
      <c r="R221" s="696">
        <v>20031217</v>
      </c>
      <c r="S221" s="375" t="s">
        <v>2226</v>
      </c>
      <c r="T221" s="697">
        <v>0.23100000000000001</v>
      </c>
      <c r="U221" s="375" t="s">
        <v>2227</v>
      </c>
      <c r="V221" s="723">
        <v>8.66</v>
      </c>
      <c r="W221" s="723">
        <v>2.85</v>
      </c>
      <c r="X221" s="723">
        <v>2.8</v>
      </c>
      <c r="Y221" s="723">
        <v>12.55</v>
      </c>
      <c r="Z221" s="382">
        <v>0.11218531475210636</v>
      </c>
      <c r="AA221" s="372">
        <v>1965.6647788</v>
      </c>
      <c r="AB221" s="372">
        <v>2722.9477099999999</v>
      </c>
      <c r="AC221" s="372">
        <v>3149.7699131999998</v>
      </c>
      <c r="AD221" s="372">
        <v>3476.1826289999999</v>
      </c>
      <c r="AE221" s="372">
        <v>4301.78</v>
      </c>
      <c r="AF221" s="372">
        <v>4786.1899999999996</v>
      </c>
      <c r="AG221" s="372">
        <v>5318.77</v>
      </c>
      <c r="AH221" s="372">
        <v>0</v>
      </c>
    </row>
    <row r="222" spans="1:34">
      <c r="A222" s="372" t="s">
        <v>2228</v>
      </c>
      <c r="B222" s="373" t="s">
        <v>2229</v>
      </c>
      <c r="C222" s="372" t="s">
        <v>2230</v>
      </c>
      <c r="D222" s="374">
        <v>1545110039704</v>
      </c>
      <c r="E222" s="372" t="s">
        <v>2231</v>
      </c>
      <c r="F222" s="372" t="s">
        <v>1249</v>
      </c>
      <c r="G222" s="375" t="s">
        <v>1249</v>
      </c>
      <c r="H222" s="375" t="s">
        <v>861</v>
      </c>
      <c r="I222" s="375" t="s">
        <v>862</v>
      </c>
      <c r="J222" s="375">
        <v>278642.83412000001</v>
      </c>
      <c r="K222" s="375">
        <v>26442.727009999999</v>
      </c>
      <c r="L222" s="375">
        <v>36691.145620000003</v>
      </c>
      <c r="M222" s="375">
        <v>488523.93648999999</v>
      </c>
      <c r="N222" s="372">
        <v>0.95</v>
      </c>
      <c r="O222" s="704">
        <v>6.0227647572609166</v>
      </c>
      <c r="P222" s="375" t="s">
        <v>622</v>
      </c>
      <c r="Q222" s="375" t="s">
        <v>622</v>
      </c>
      <c r="R222" s="696">
        <v>20160623</v>
      </c>
      <c r="S222" s="375" t="s">
        <v>2232</v>
      </c>
      <c r="T222" s="697">
        <v>0.23100000000000001</v>
      </c>
      <c r="U222" s="375" t="s">
        <v>2233</v>
      </c>
      <c r="V222" s="723">
        <v>39.57</v>
      </c>
      <c r="W222" s="723">
        <v>4.1500000000000004</v>
      </c>
      <c r="X222" s="723">
        <v>7.27</v>
      </c>
      <c r="Y222" s="723">
        <v>62.52</v>
      </c>
      <c r="Z222" s="382">
        <v>0.11426869000394135</v>
      </c>
      <c r="AA222" s="372">
        <v>1241.0866398000001</v>
      </c>
      <c r="AB222" s="372">
        <v>1656.4194705</v>
      </c>
      <c r="AC222" s="372">
        <v>2493.2167797000002</v>
      </c>
      <c r="AD222" s="372">
        <v>2849.9165240000002</v>
      </c>
      <c r="AE222" s="372">
        <v>2951.54</v>
      </c>
      <c r="AF222" s="372">
        <v>3602.38</v>
      </c>
      <c r="AG222" s="372">
        <v>4393.3100000000004</v>
      </c>
      <c r="AH222" s="372">
        <v>5877.67</v>
      </c>
    </row>
    <row r="223" spans="1:34">
      <c r="A223" s="372" t="s">
        <v>2234</v>
      </c>
      <c r="B223" s="373" t="s">
        <v>2235</v>
      </c>
      <c r="C223" s="372" t="s">
        <v>2236</v>
      </c>
      <c r="D223" s="374">
        <v>1601110094162</v>
      </c>
      <c r="E223" s="372" t="s">
        <v>2237</v>
      </c>
      <c r="F223" s="375" t="s">
        <v>1764</v>
      </c>
      <c r="G223" s="375" t="s">
        <v>2238</v>
      </c>
      <c r="H223" s="375" t="s">
        <v>861</v>
      </c>
      <c r="I223" s="375" t="s">
        <v>862</v>
      </c>
      <c r="J223" s="375">
        <v>86634.712</v>
      </c>
      <c r="K223" s="375">
        <v>7989.0823</v>
      </c>
      <c r="L223" s="375">
        <v>7771.8069800000003</v>
      </c>
      <c r="M223" s="375">
        <v>242980.67756000001</v>
      </c>
      <c r="N223" s="372">
        <v>0.94199999999999995</v>
      </c>
      <c r="O223" s="704">
        <v>14.624237295656336</v>
      </c>
      <c r="P223" s="375" t="s">
        <v>622</v>
      </c>
      <c r="Q223" s="372" t="s">
        <v>622</v>
      </c>
      <c r="R223" s="696">
        <v>20110209</v>
      </c>
      <c r="S223" s="375" t="s">
        <v>2239</v>
      </c>
      <c r="T223" s="697">
        <v>0.20900000000000002</v>
      </c>
      <c r="U223" s="375" t="s">
        <v>2240</v>
      </c>
      <c r="V223" s="723">
        <v>92.38</v>
      </c>
      <c r="W223" s="723">
        <v>4.7</v>
      </c>
      <c r="X223" s="723">
        <v>13.31</v>
      </c>
      <c r="Y223" s="723">
        <v>151.66999999999999</v>
      </c>
      <c r="Z223" s="382">
        <v>0.31645547489855574</v>
      </c>
      <c r="AA223" s="372">
        <v>485.24487749999997</v>
      </c>
      <c r="AB223" s="372">
        <v>610.68879909999998</v>
      </c>
      <c r="AC223" s="372">
        <v>799.12146319999999</v>
      </c>
      <c r="AD223" s="372">
        <v>831.70197740000003</v>
      </c>
      <c r="AE223" s="372">
        <v>1039</v>
      </c>
      <c r="AF223" s="372">
        <v>1574</v>
      </c>
      <c r="AG223" s="372">
        <v>2498</v>
      </c>
      <c r="AH223" s="372">
        <v>0</v>
      </c>
    </row>
    <row r="224" spans="1:34">
      <c r="A224" s="372" t="s">
        <v>2241</v>
      </c>
      <c r="B224" s="373" t="s">
        <v>2242</v>
      </c>
      <c r="C224" s="372" t="s">
        <v>2243</v>
      </c>
      <c r="D224" s="374">
        <v>1201110004218</v>
      </c>
      <c r="E224" s="372" t="s">
        <v>2244</v>
      </c>
      <c r="F224" s="375" t="s">
        <v>2245</v>
      </c>
      <c r="G224" s="375" t="s">
        <v>2246</v>
      </c>
      <c r="H224" s="375" t="s">
        <v>861</v>
      </c>
      <c r="I224" s="375" t="s">
        <v>862</v>
      </c>
      <c r="J224" s="375">
        <v>924572.97222</v>
      </c>
      <c r="K224" s="375">
        <v>11983.57646</v>
      </c>
      <c r="L224" s="375">
        <v>-39364.941769999998</v>
      </c>
      <c r="M224" s="375">
        <v>968220.38950000005</v>
      </c>
      <c r="N224" s="372">
        <v>0.85399999999999998</v>
      </c>
      <c r="O224" s="704">
        <v>184.43812994501533</v>
      </c>
      <c r="P224" s="375" t="s">
        <v>622</v>
      </c>
      <c r="Q224" s="375" t="s">
        <v>622</v>
      </c>
      <c r="R224" s="696">
        <v>19950731</v>
      </c>
      <c r="S224" s="375" t="s">
        <v>2247</v>
      </c>
      <c r="T224" s="697" t="s">
        <v>771</v>
      </c>
      <c r="U224" s="375" t="s">
        <v>2248</v>
      </c>
      <c r="V224" s="723">
        <v>18.77</v>
      </c>
      <c r="W224" s="723">
        <v>0.71</v>
      </c>
      <c r="X224" s="723">
        <v>0.68</v>
      </c>
      <c r="Y224" s="723" t="s">
        <v>773</v>
      </c>
      <c r="Z224" s="382">
        <v>3.2268836751541796E-2</v>
      </c>
      <c r="AA224" s="372">
        <v>7448.7800656999998</v>
      </c>
      <c r="AB224" s="372">
        <v>9323.9425993999994</v>
      </c>
      <c r="AC224" s="372">
        <v>11004.151125</v>
      </c>
      <c r="AD224" s="372">
        <v>9632.2322528000004</v>
      </c>
      <c r="AE224" s="372">
        <v>9023</v>
      </c>
      <c r="AF224" s="372">
        <v>9640</v>
      </c>
      <c r="AG224" s="372">
        <v>10937</v>
      </c>
      <c r="AH224" s="372">
        <v>0</v>
      </c>
    </row>
    <row r="225" spans="1:34">
      <c r="A225" s="372" t="s">
        <v>2249</v>
      </c>
      <c r="B225" s="373" t="s">
        <v>2250</v>
      </c>
      <c r="C225" s="372" t="s">
        <v>2251</v>
      </c>
      <c r="D225" s="374">
        <v>1101112310946</v>
      </c>
      <c r="E225" s="372" t="s">
        <v>2252</v>
      </c>
      <c r="F225" s="375" t="s">
        <v>16101</v>
      </c>
      <c r="G225" s="375" t="s">
        <v>16101</v>
      </c>
      <c r="H225" s="375" t="s">
        <v>861</v>
      </c>
      <c r="I225" s="375" t="s">
        <v>862</v>
      </c>
      <c r="J225" s="375">
        <v>78667.819570000007</v>
      </c>
      <c r="K225" s="375">
        <v>38459.269659999998</v>
      </c>
      <c r="L225" s="375">
        <v>41324.118349999997</v>
      </c>
      <c r="M225" s="375">
        <v>220715.79641000001</v>
      </c>
      <c r="N225" s="372">
        <v>0.73399999999999999</v>
      </c>
      <c r="O225" s="704">
        <v>0</v>
      </c>
      <c r="P225" s="375" t="s">
        <v>622</v>
      </c>
      <c r="Q225" s="375" t="s">
        <v>622</v>
      </c>
      <c r="R225" s="696">
        <v>20151117</v>
      </c>
      <c r="S225" s="375" t="s">
        <v>2253</v>
      </c>
      <c r="T225" s="697">
        <v>0.23100000000000001</v>
      </c>
      <c r="U225" s="375" t="s">
        <v>2254</v>
      </c>
      <c r="V225" s="723">
        <v>23.75</v>
      </c>
      <c r="W225" s="723">
        <v>3.58</v>
      </c>
      <c r="X225" s="723">
        <v>13.21</v>
      </c>
      <c r="Y225" s="723">
        <v>29.04</v>
      </c>
      <c r="Z225" s="382" t="s">
        <v>927</v>
      </c>
      <c r="AA225" s="372">
        <v>602.95113419999996</v>
      </c>
      <c r="AB225" s="372">
        <v>590.87882660000002</v>
      </c>
      <c r="AC225" s="372">
        <v>690.9767488</v>
      </c>
      <c r="AD225" s="372">
        <v>792.09511669999995</v>
      </c>
      <c r="AE225" s="372">
        <v>0</v>
      </c>
      <c r="AF225" s="372">
        <v>0</v>
      </c>
      <c r="AG225" s="372">
        <v>0</v>
      </c>
      <c r="AH225" s="372">
        <v>0</v>
      </c>
    </row>
    <row r="226" spans="1:34">
      <c r="A226" s="372" t="s">
        <v>2255</v>
      </c>
      <c r="B226" s="373" t="s">
        <v>2256</v>
      </c>
      <c r="C226" s="372" t="s">
        <v>2257</v>
      </c>
      <c r="D226" s="374">
        <v>1101116740008</v>
      </c>
      <c r="E226" s="372" t="s">
        <v>2258</v>
      </c>
      <c r="F226" s="375" t="s">
        <v>2259</v>
      </c>
      <c r="G226" s="375" t="s">
        <v>2259</v>
      </c>
      <c r="H226" s="375" t="s">
        <v>1386</v>
      </c>
      <c r="I226" s="375" t="s">
        <v>754</v>
      </c>
      <c r="J226" s="375">
        <v>4280284.9661299996</v>
      </c>
      <c r="K226" s="375">
        <v>220348.98853999999</v>
      </c>
      <c r="L226" s="375">
        <v>228962.79814</v>
      </c>
      <c r="M226" s="375">
        <v>3075578.7260500002</v>
      </c>
      <c r="N226" s="372">
        <v>0.66</v>
      </c>
      <c r="O226" s="704">
        <v>191.82375020525893</v>
      </c>
      <c r="P226" s="375" t="s">
        <v>622</v>
      </c>
      <c r="Q226" s="372" t="s">
        <v>622</v>
      </c>
      <c r="R226" s="696">
        <v>20180612</v>
      </c>
      <c r="S226" s="372" t="s">
        <v>2260</v>
      </c>
      <c r="T226" s="697">
        <v>0.23100000000000001</v>
      </c>
      <c r="U226" s="372" t="s">
        <v>2261</v>
      </c>
      <c r="V226" s="723">
        <v>10.37</v>
      </c>
      <c r="W226" s="723">
        <v>0.47</v>
      </c>
      <c r="X226" s="723">
        <v>0.34</v>
      </c>
      <c r="Y226" s="723">
        <v>8.8699999999999992</v>
      </c>
      <c r="Z226" s="382">
        <v>4.7622385590723848E-2</v>
      </c>
      <c r="AA226" s="372">
        <v>36702.2498041</v>
      </c>
      <c r="AB226" s="372">
        <v>33639.056057900001</v>
      </c>
      <c r="AC226" s="372">
        <v>32982.996417299997</v>
      </c>
      <c r="AD226" s="372">
        <v>41907.8814834</v>
      </c>
      <c r="AE226" s="372">
        <v>43358.6</v>
      </c>
      <c r="AF226" s="372">
        <v>48029.87</v>
      </c>
      <c r="AG226" s="372">
        <v>50479.47</v>
      </c>
      <c r="AH226" s="372">
        <v>50430</v>
      </c>
    </row>
    <row r="227" spans="1:34">
      <c r="A227" s="372" t="s">
        <v>2262</v>
      </c>
      <c r="B227" s="373" t="s">
        <v>2263</v>
      </c>
      <c r="C227" s="372" t="s">
        <v>16072</v>
      </c>
      <c r="D227" s="374">
        <v>1101110129274</v>
      </c>
      <c r="E227" s="372" t="s">
        <v>2264</v>
      </c>
      <c r="F227" s="375" t="s">
        <v>1444</v>
      </c>
      <c r="G227" s="375" t="s">
        <v>1445</v>
      </c>
      <c r="H227" s="375" t="s">
        <v>817</v>
      </c>
      <c r="I227" s="375" t="s">
        <v>754</v>
      </c>
      <c r="J227" s="375">
        <v>1048092.70043</v>
      </c>
      <c r="K227" s="375">
        <v>131346.1525</v>
      </c>
      <c r="L227" s="375">
        <v>69508.607080000002</v>
      </c>
      <c r="M227" s="375">
        <v>1852182.7747599999</v>
      </c>
      <c r="N227" s="372">
        <v>0.56200000000000006</v>
      </c>
      <c r="O227" s="704">
        <v>143.08260720548958</v>
      </c>
      <c r="P227" s="375" t="s">
        <v>622</v>
      </c>
      <c r="Q227" s="375" t="s">
        <v>622</v>
      </c>
      <c r="R227" s="696">
        <v>20021101</v>
      </c>
      <c r="S227" s="375" t="s">
        <v>16073</v>
      </c>
      <c r="T227" s="697">
        <v>0.23100000000000001</v>
      </c>
      <c r="U227" s="375" t="s">
        <v>2266</v>
      </c>
      <c r="V227" s="723">
        <v>9.3000000000000007</v>
      </c>
      <c r="W227" s="723">
        <v>0.75</v>
      </c>
      <c r="X227" s="723">
        <v>1.06</v>
      </c>
      <c r="Y227" s="723">
        <v>26.88</v>
      </c>
      <c r="Z227" s="382">
        <v>5.7984840545692862E-2</v>
      </c>
      <c r="AA227" s="372">
        <v>4538.8118127999996</v>
      </c>
      <c r="AB227" s="372">
        <v>4144.6617282999996</v>
      </c>
      <c r="AC227" s="372">
        <v>5876.3741092999999</v>
      </c>
      <c r="AD227" s="372">
        <v>9941.9911364</v>
      </c>
      <c r="AE227" s="372">
        <v>10809.45</v>
      </c>
      <c r="AF227" s="372">
        <v>11674.09</v>
      </c>
      <c r="AG227" s="372">
        <v>12456.36</v>
      </c>
      <c r="AH227" s="372">
        <v>16290</v>
      </c>
    </row>
    <row r="228" spans="1:34">
      <c r="A228" s="372" t="s">
        <v>2267</v>
      </c>
      <c r="B228" s="373" t="s">
        <v>2268</v>
      </c>
      <c r="C228" s="372" t="s">
        <v>2269</v>
      </c>
      <c r="D228" s="374">
        <v>1101110084915</v>
      </c>
      <c r="E228" s="372" t="s">
        <v>2269</v>
      </c>
      <c r="F228" s="375" t="s">
        <v>1303</v>
      </c>
      <c r="G228" s="375" t="s">
        <v>1303</v>
      </c>
      <c r="H228" s="375" t="s">
        <v>826</v>
      </c>
      <c r="I228" s="375" t="s">
        <v>754</v>
      </c>
      <c r="J228" s="375">
        <v>5565712.3655000003</v>
      </c>
      <c r="K228" s="375">
        <v>513295.86543000001</v>
      </c>
      <c r="L228" s="375">
        <v>142117.2108</v>
      </c>
      <c r="M228" s="375">
        <v>4531184.06929</v>
      </c>
      <c r="N228" s="372">
        <v>1.177</v>
      </c>
      <c r="O228" s="704">
        <v>669.24473626221072</v>
      </c>
      <c r="P228" s="375" t="s">
        <v>622</v>
      </c>
      <c r="Q228" s="375" t="s">
        <v>622</v>
      </c>
      <c r="R228" s="696">
        <v>19760202</v>
      </c>
      <c r="S228" s="375" t="s">
        <v>854</v>
      </c>
      <c r="T228" s="697">
        <v>0.23100000000000001</v>
      </c>
      <c r="U228" s="372" t="s">
        <v>2270</v>
      </c>
      <c r="V228" s="723">
        <v>6.86</v>
      </c>
      <c r="W228" s="723">
        <v>0.26</v>
      </c>
      <c r="X228" s="723">
        <v>0.18</v>
      </c>
      <c r="Y228" s="723">
        <v>15.7</v>
      </c>
      <c r="Z228" s="382">
        <v>3.2773292259664188E-2</v>
      </c>
      <c r="AA228" s="372">
        <v>15661.488116799999</v>
      </c>
      <c r="AB228" s="372">
        <v>23587.747967700001</v>
      </c>
      <c r="AC228" s="372">
        <v>51737.071701699999</v>
      </c>
      <c r="AD228" s="372">
        <v>50178.158212399998</v>
      </c>
      <c r="AE228" s="372">
        <v>57407.33</v>
      </c>
      <c r="AF228" s="372">
        <v>56789</v>
      </c>
      <c r="AG228" s="372">
        <v>57086.67</v>
      </c>
      <c r="AH228" s="372">
        <v>0</v>
      </c>
    </row>
    <row r="229" spans="1:34">
      <c r="A229" s="372" t="s">
        <v>2271</v>
      </c>
      <c r="B229" s="373" t="s">
        <v>2272</v>
      </c>
      <c r="C229" s="372" t="s">
        <v>2273</v>
      </c>
      <c r="D229" s="374">
        <v>1647110030756</v>
      </c>
      <c r="E229" s="372" t="s">
        <v>2274</v>
      </c>
      <c r="F229" s="375" t="s">
        <v>1096</v>
      </c>
      <c r="G229" s="375" t="s">
        <v>1097</v>
      </c>
      <c r="H229" s="375" t="s">
        <v>826</v>
      </c>
      <c r="I229" s="375" t="s">
        <v>754</v>
      </c>
      <c r="J229" s="375">
        <v>2413458.5088399998</v>
      </c>
      <c r="K229" s="375">
        <v>196088.31035000001</v>
      </c>
      <c r="L229" s="375">
        <v>70266.500419999997</v>
      </c>
      <c r="M229" s="375">
        <v>1476953.15441</v>
      </c>
      <c r="N229" s="372">
        <v>0.29699999999999999</v>
      </c>
      <c r="O229" s="704">
        <v>67.62566913143209</v>
      </c>
      <c r="P229" s="375" t="s">
        <v>622</v>
      </c>
      <c r="Q229" s="375" t="s">
        <v>622</v>
      </c>
      <c r="R229" s="696">
        <v>20121019</v>
      </c>
      <c r="S229" s="375" t="s">
        <v>2275</v>
      </c>
      <c r="T229" s="697">
        <v>0.23100000000000001</v>
      </c>
      <c r="U229" s="375" t="s">
        <v>2276</v>
      </c>
      <c r="V229" s="723">
        <v>11.73</v>
      </c>
      <c r="W229" s="723">
        <v>2.2799999999999998</v>
      </c>
      <c r="X229" s="723">
        <v>0.72</v>
      </c>
      <c r="Y229" s="723">
        <v>179.64</v>
      </c>
      <c r="Z229" s="382">
        <v>8.6933211815767297E-2</v>
      </c>
      <c r="AA229" s="372">
        <v>13220.813176600001</v>
      </c>
      <c r="AB229" s="372">
        <v>15863.327102400001</v>
      </c>
      <c r="AC229" s="372">
        <v>18657.315230299999</v>
      </c>
      <c r="AD229" s="372">
        <v>21556.759274200002</v>
      </c>
      <c r="AE229" s="372">
        <v>24764.67</v>
      </c>
      <c r="AF229" s="372">
        <v>27501.94</v>
      </c>
      <c r="AG229" s="372">
        <v>30088.11</v>
      </c>
      <c r="AH229" s="372">
        <v>33701.5</v>
      </c>
    </row>
    <row r="230" spans="1:34">
      <c r="A230" s="372" t="s">
        <v>2277</v>
      </c>
      <c r="B230" s="373" t="s">
        <v>2278</v>
      </c>
      <c r="C230" s="372" t="s">
        <v>2279</v>
      </c>
      <c r="D230" s="374">
        <v>1311110501021</v>
      </c>
      <c r="E230" s="372" t="s">
        <v>2280</v>
      </c>
      <c r="F230" s="375" t="s">
        <v>2281</v>
      </c>
      <c r="G230" s="375" t="s">
        <v>2281</v>
      </c>
      <c r="H230" s="375" t="s">
        <v>826</v>
      </c>
      <c r="I230" s="375" t="s">
        <v>754</v>
      </c>
      <c r="J230" s="375">
        <v>1652755.15129</v>
      </c>
      <c r="K230" s="375">
        <v>-11100.958570000001</v>
      </c>
      <c r="L230" s="375">
        <v>-29482.444299999999</v>
      </c>
      <c r="M230" s="375">
        <v>2715049.6714400002</v>
      </c>
      <c r="N230" s="372">
        <v>0.97099999999999997</v>
      </c>
      <c r="O230" s="704">
        <v>185.10153880589161</v>
      </c>
      <c r="P230" s="375" t="s">
        <v>622</v>
      </c>
      <c r="Q230" s="375" t="s">
        <v>622</v>
      </c>
      <c r="R230" s="696">
        <v>20180105</v>
      </c>
      <c r="S230" s="375" t="s">
        <v>2282</v>
      </c>
      <c r="T230" s="697" t="s">
        <v>771</v>
      </c>
      <c r="U230" s="375" t="s">
        <v>2283</v>
      </c>
      <c r="V230" s="723">
        <v>13.54</v>
      </c>
      <c r="W230" s="723">
        <v>0.46</v>
      </c>
      <c r="X230" s="723">
        <v>0.6</v>
      </c>
      <c r="Y230" s="723" t="s">
        <v>773</v>
      </c>
      <c r="Z230" s="382">
        <v>-6.1722878790189117E-3</v>
      </c>
      <c r="AA230" s="372">
        <v>11987.8077039</v>
      </c>
      <c r="AB230" s="372">
        <v>20896.3187641</v>
      </c>
      <c r="AC230" s="372">
        <v>18291.913229199999</v>
      </c>
      <c r="AD230" s="372">
        <v>17487.777403799999</v>
      </c>
      <c r="AE230" s="372">
        <v>16370</v>
      </c>
      <c r="AF230" s="372">
        <v>16999.5</v>
      </c>
      <c r="AG230" s="372">
        <v>17060</v>
      </c>
      <c r="AH230" s="372">
        <v>0</v>
      </c>
    </row>
    <row r="231" spans="1:34">
      <c r="A231" s="372" t="s">
        <v>2284</v>
      </c>
      <c r="B231" s="373" t="s">
        <v>2285</v>
      </c>
      <c r="C231" s="372" t="s">
        <v>2286</v>
      </c>
      <c r="D231" s="374">
        <v>1501110205802</v>
      </c>
      <c r="E231" s="372" t="s">
        <v>2287</v>
      </c>
      <c r="F231" s="375" t="s">
        <v>998</v>
      </c>
      <c r="G231" s="375" t="s">
        <v>999</v>
      </c>
      <c r="H231" s="375" t="s">
        <v>861</v>
      </c>
      <c r="I231" s="375" t="s">
        <v>862</v>
      </c>
      <c r="J231" s="375">
        <v>1227344.43573</v>
      </c>
      <c r="K231" s="375">
        <v>-39610.647409999998</v>
      </c>
      <c r="L231" s="375">
        <v>-99782.020860000004</v>
      </c>
      <c r="M231" s="375">
        <v>462364.18296000001</v>
      </c>
      <c r="N231" s="372">
        <v>1.2589999999999999</v>
      </c>
      <c r="O231" s="704">
        <v>99.511869538347554</v>
      </c>
      <c r="P231" s="375" t="s">
        <v>622</v>
      </c>
      <c r="Q231" s="375" t="s">
        <v>622</v>
      </c>
      <c r="R231" s="696">
        <v>20150807</v>
      </c>
      <c r="S231" s="375" t="s">
        <v>2288</v>
      </c>
      <c r="T231" s="697" t="s">
        <v>771</v>
      </c>
      <c r="U231" s="375" t="s">
        <v>2289</v>
      </c>
      <c r="V231" s="723">
        <v>23.11</v>
      </c>
      <c r="W231" s="723">
        <v>1.33</v>
      </c>
      <c r="X231" s="723">
        <v>0.5</v>
      </c>
      <c r="Y231" s="723" t="s">
        <v>773</v>
      </c>
      <c r="Z231" s="382">
        <v>9.0613169406889238E-2</v>
      </c>
      <c r="AA231" s="372">
        <v>12013.747035</v>
      </c>
      <c r="AB231" s="372">
        <v>13658.3287612</v>
      </c>
      <c r="AC231" s="372">
        <v>16974.52348</v>
      </c>
      <c r="AD231" s="372">
        <v>10418.957249700001</v>
      </c>
      <c r="AE231" s="372">
        <v>12362.88</v>
      </c>
      <c r="AF231" s="372">
        <v>13398.75</v>
      </c>
      <c r="AG231" s="372">
        <v>14740.33</v>
      </c>
      <c r="AH231" s="372">
        <v>15480</v>
      </c>
    </row>
    <row r="232" spans="1:34">
      <c r="A232" s="372" t="s">
        <v>2290</v>
      </c>
      <c r="B232" s="373" t="s">
        <v>2291</v>
      </c>
      <c r="C232" s="372" t="s">
        <v>2292</v>
      </c>
      <c r="D232" s="374">
        <v>1353110013606</v>
      </c>
      <c r="E232" s="372" t="s">
        <v>2293</v>
      </c>
      <c r="F232" s="375" t="s">
        <v>1947</v>
      </c>
      <c r="G232" s="375" t="s">
        <v>1947</v>
      </c>
      <c r="H232" s="375" t="s">
        <v>826</v>
      </c>
      <c r="I232" s="375" t="s">
        <v>754</v>
      </c>
      <c r="J232" s="375">
        <v>5096807.2697900003</v>
      </c>
      <c r="K232" s="375">
        <v>136560.04589000001</v>
      </c>
      <c r="L232" s="375">
        <v>59818.458890000002</v>
      </c>
      <c r="M232" s="375">
        <v>3268600.5337200002</v>
      </c>
      <c r="N232" s="372">
        <v>0.85499999999999998</v>
      </c>
      <c r="O232" s="704">
        <v>234.89371243878955</v>
      </c>
      <c r="P232" s="375" t="s">
        <v>622</v>
      </c>
      <c r="Q232" s="372" t="s">
        <v>622</v>
      </c>
      <c r="R232" s="696">
        <v>20100201</v>
      </c>
      <c r="S232" s="375" t="s">
        <v>2294</v>
      </c>
      <c r="T232" s="697">
        <v>0.23100000000000001</v>
      </c>
      <c r="U232" s="372" t="s">
        <v>2295</v>
      </c>
      <c r="V232" s="723">
        <v>7.45</v>
      </c>
      <c r="W232" s="723">
        <v>0.35</v>
      </c>
      <c r="X232" s="723">
        <v>0.21</v>
      </c>
      <c r="Y232" s="723">
        <v>26.76</v>
      </c>
      <c r="Z232" s="382">
        <v>9.8799181527104984E-3</v>
      </c>
      <c r="AA232" s="372">
        <v>39702.639661100002</v>
      </c>
      <c r="AB232" s="372">
        <v>46620.503954400003</v>
      </c>
      <c r="AC232" s="372">
        <v>53674.735560699999</v>
      </c>
      <c r="AD232" s="372">
        <v>50611.579213899997</v>
      </c>
      <c r="AE232" s="372">
        <v>49240.86</v>
      </c>
      <c r="AF232" s="372">
        <v>50951.71</v>
      </c>
      <c r="AG232" s="372">
        <v>52641.57</v>
      </c>
      <c r="AH232" s="372">
        <v>0</v>
      </c>
    </row>
    <row r="233" spans="1:34">
      <c r="A233" s="372" t="s">
        <v>2296</v>
      </c>
      <c r="B233" s="373" t="s">
        <v>2297</v>
      </c>
      <c r="C233" s="372" t="s">
        <v>2298</v>
      </c>
      <c r="D233" s="374">
        <v>1101110152738</v>
      </c>
      <c r="E233" s="372" t="s">
        <v>2299</v>
      </c>
      <c r="F233" s="375" t="s">
        <v>1764</v>
      </c>
      <c r="G233" s="375" t="s">
        <v>2238</v>
      </c>
      <c r="H233" s="375" t="s">
        <v>826</v>
      </c>
      <c r="I233" s="375" t="s">
        <v>754</v>
      </c>
      <c r="J233" s="375">
        <v>689235.32039999997</v>
      </c>
      <c r="K233" s="375">
        <v>-4303.5584500000004</v>
      </c>
      <c r="L233" s="375">
        <v>-11419.1522</v>
      </c>
      <c r="M233" s="375">
        <v>639352.44796999998</v>
      </c>
      <c r="N233" s="372">
        <v>1.264</v>
      </c>
      <c r="O233" s="704">
        <v>37.998042787018925</v>
      </c>
      <c r="P233" s="375" t="s">
        <v>622</v>
      </c>
      <c r="Q233" s="375" t="s">
        <v>622</v>
      </c>
      <c r="R233" s="696">
        <v>19870723</v>
      </c>
      <c r="S233" s="375" t="s">
        <v>2300</v>
      </c>
      <c r="T233" s="697" t="s">
        <v>771</v>
      </c>
      <c r="U233" s="375" t="s">
        <v>2301</v>
      </c>
      <c r="V233" s="723">
        <v>63.53</v>
      </c>
      <c r="W233" s="723">
        <v>3.25</v>
      </c>
      <c r="X233" s="723">
        <v>1.3</v>
      </c>
      <c r="Y233" s="723" t="s">
        <v>773</v>
      </c>
      <c r="Z233" s="382" t="s">
        <v>927</v>
      </c>
      <c r="AA233" s="372">
        <v>3555.0197140999999</v>
      </c>
      <c r="AB233" s="372">
        <v>5126.1434812999996</v>
      </c>
      <c r="AC233" s="372">
        <v>7181.9457009999996</v>
      </c>
      <c r="AD233" s="372">
        <v>7989.8365289000003</v>
      </c>
      <c r="AE233" s="372">
        <v>15152</v>
      </c>
      <c r="AF233" s="372">
        <v>0</v>
      </c>
      <c r="AG233" s="372">
        <v>0</v>
      </c>
      <c r="AH233" s="372">
        <v>0</v>
      </c>
    </row>
    <row r="234" spans="1:34">
      <c r="A234" s="372" t="s">
        <v>2302</v>
      </c>
      <c r="B234" s="373" t="s">
        <v>2303</v>
      </c>
      <c r="C234" s="372" t="s">
        <v>2304</v>
      </c>
      <c r="D234" s="374">
        <v>1101112183749</v>
      </c>
      <c r="E234" s="372" t="s">
        <v>2305</v>
      </c>
      <c r="F234" s="375" t="s">
        <v>1055</v>
      </c>
      <c r="G234" s="375" t="s">
        <v>16104</v>
      </c>
      <c r="H234" s="375" t="s">
        <v>861</v>
      </c>
      <c r="I234" s="375" t="s">
        <v>862</v>
      </c>
      <c r="J234" s="375">
        <v>316996.82279000001</v>
      </c>
      <c r="K234" s="375">
        <v>112728.46991</v>
      </c>
      <c r="L234" s="375">
        <v>112550.5502</v>
      </c>
      <c r="M234" s="375">
        <v>542211.12754000002</v>
      </c>
      <c r="N234" s="372">
        <v>0.188</v>
      </c>
      <c r="O234" s="704">
        <v>1.3983666194528046</v>
      </c>
      <c r="P234" s="375" t="s">
        <v>622</v>
      </c>
      <c r="Q234" s="375" t="s">
        <v>622</v>
      </c>
      <c r="R234" s="696">
        <v>20150724</v>
      </c>
      <c r="S234" s="375" t="s">
        <v>2306</v>
      </c>
      <c r="T234" s="697">
        <v>0.23100000000000001</v>
      </c>
      <c r="U234" s="375" t="s">
        <v>15836</v>
      </c>
      <c r="V234" s="723">
        <v>16.32</v>
      </c>
      <c r="W234" s="723">
        <v>3.92</v>
      </c>
      <c r="X234" s="723">
        <v>6.34</v>
      </c>
      <c r="Y234" s="723">
        <v>22.65</v>
      </c>
      <c r="Z234" s="382">
        <v>0.18716478928062852</v>
      </c>
      <c r="AA234" s="372">
        <v>1087.4592187999999</v>
      </c>
      <c r="AB234" s="372">
        <v>1540.8289789</v>
      </c>
      <c r="AC234" s="372">
        <v>1947.5864392999999</v>
      </c>
      <c r="AD234" s="372">
        <v>2610.1091056</v>
      </c>
      <c r="AE234" s="372">
        <v>3408.58</v>
      </c>
      <c r="AF234" s="372">
        <v>4237.33</v>
      </c>
      <c r="AG234" s="372">
        <v>5184.45</v>
      </c>
      <c r="AH234" s="372">
        <v>5370</v>
      </c>
    </row>
    <row r="235" spans="1:34">
      <c r="A235" s="372" t="s">
        <v>2307</v>
      </c>
      <c r="B235" s="373" t="s">
        <v>2308</v>
      </c>
      <c r="C235" s="372" t="s">
        <v>2309</v>
      </c>
      <c r="D235" s="374">
        <v>1341110003595</v>
      </c>
      <c r="E235" s="372" t="s">
        <v>2310</v>
      </c>
      <c r="F235" s="372" t="s">
        <v>2311</v>
      </c>
      <c r="G235" s="375" t="s">
        <v>2312</v>
      </c>
      <c r="H235" s="375" t="s">
        <v>846</v>
      </c>
      <c r="I235" s="375" t="s">
        <v>754</v>
      </c>
      <c r="J235" s="375">
        <v>1920002.9385599999</v>
      </c>
      <c r="K235" s="375">
        <v>38909.774839999998</v>
      </c>
      <c r="L235" s="375">
        <v>170178.89911999999</v>
      </c>
      <c r="M235" s="375">
        <v>461413.70520999999</v>
      </c>
      <c r="N235" s="372">
        <v>0.90600000000000003</v>
      </c>
      <c r="O235" s="704">
        <v>40.151432052165475</v>
      </c>
      <c r="P235" s="375" t="s">
        <v>622</v>
      </c>
      <c r="Q235" s="375" t="s">
        <v>622</v>
      </c>
      <c r="R235" s="696">
        <v>20020716</v>
      </c>
      <c r="S235" s="375" t="s">
        <v>2313</v>
      </c>
      <c r="T235" s="697">
        <v>0.23100000000000001</v>
      </c>
      <c r="U235" s="372" t="s">
        <v>2314</v>
      </c>
      <c r="V235" s="723">
        <v>11.64</v>
      </c>
      <c r="W235" s="723">
        <v>1.81</v>
      </c>
      <c r="X235" s="723">
        <v>0.69</v>
      </c>
      <c r="Y235" s="723">
        <v>10.95</v>
      </c>
      <c r="Z235" s="382">
        <v>9.8225615441644987E-3</v>
      </c>
      <c r="AA235" s="372">
        <v>20674.686626999999</v>
      </c>
      <c r="AB235" s="372">
        <v>22312.209492999998</v>
      </c>
      <c r="AC235" s="372">
        <v>20009.0606572</v>
      </c>
      <c r="AD235" s="372">
        <v>19669.4703381</v>
      </c>
      <c r="AE235" s="372">
        <v>19212.62</v>
      </c>
      <c r="AF235" s="372">
        <v>19638.38</v>
      </c>
      <c r="AG235" s="372">
        <v>20453.75</v>
      </c>
      <c r="AH235" s="372">
        <v>0</v>
      </c>
    </row>
    <row r="236" spans="1:34">
      <c r="A236" s="372" t="s">
        <v>2315</v>
      </c>
      <c r="B236" s="373" t="s">
        <v>2316</v>
      </c>
      <c r="C236" s="372" t="s">
        <v>2317</v>
      </c>
      <c r="D236" s="374">
        <v>1615110027263</v>
      </c>
      <c r="E236" s="372" t="s">
        <v>2318</v>
      </c>
      <c r="F236" s="372" t="s">
        <v>1656</v>
      </c>
      <c r="G236" s="375" t="s">
        <v>1656</v>
      </c>
      <c r="H236" s="375" t="s">
        <v>861</v>
      </c>
      <c r="I236" s="375" t="s">
        <v>862</v>
      </c>
      <c r="J236" s="375">
        <v>431320.18293000001</v>
      </c>
      <c r="K236" s="375">
        <v>-3018.44074</v>
      </c>
      <c r="L236" s="375">
        <v>-2892.9348</v>
      </c>
      <c r="M236" s="375">
        <v>498778.83756000001</v>
      </c>
      <c r="N236" s="372">
        <v>1.141</v>
      </c>
      <c r="O236" s="704">
        <v>15.676400309930196</v>
      </c>
      <c r="P236" s="375" t="s">
        <v>622</v>
      </c>
      <c r="Q236" s="375" t="s">
        <v>622</v>
      </c>
      <c r="R236" s="696">
        <v>20010427</v>
      </c>
      <c r="S236" s="375" t="s">
        <v>2319</v>
      </c>
      <c r="T236" s="697" t="s">
        <v>771</v>
      </c>
      <c r="U236" s="375" t="s">
        <v>2320</v>
      </c>
      <c r="V236" s="723">
        <v>14.73</v>
      </c>
      <c r="W236" s="723">
        <v>1.27</v>
      </c>
      <c r="X236" s="723">
        <v>1.42</v>
      </c>
      <c r="Y236" s="723">
        <v>24.02</v>
      </c>
      <c r="Z236" s="382">
        <v>5.5198248768833169E-2</v>
      </c>
      <c r="AA236" s="372">
        <v>5730.7754034</v>
      </c>
      <c r="AB236" s="372">
        <v>6411.0881968000003</v>
      </c>
      <c r="AC236" s="372">
        <v>6994.1211063000001</v>
      </c>
      <c r="AD236" s="372">
        <v>4375.8607714999998</v>
      </c>
      <c r="AE236" s="372">
        <v>4326.5</v>
      </c>
      <c r="AF236" s="372">
        <v>4847.5</v>
      </c>
      <c r="AG236" s="372">
        <v>5425</v>
      </c>
      <c r="AH236" s="372">
        <v>0</v>
      </c>
    </row>
    <row r="237" spans="1:34">
      <c r="A237" s="372" t="s">
        <v>2321</v>
      </c>
      <c r="B237" s="373" t="s">
        <v>2322</v>
      </c>
      <c r="C237" s="372" t="s">
        <v>2323</v>
      </c>
      <c r="D237" s="374">
        <v>1101115974020</v>
      </c>
      <c r="E237" s="372" t="s">
        <v>2324</v>
      </c>
      <c r="F237" s="375" t="s">
        <v>16101</v>
      </c>
      <c r="G237" s="375" t="s">
        <v>16101</v>
      </c>
      <c r="H237" s="375" t="s">
        <v>861</v>
      </c>
      <c r="I237" s="375" t="s">
        <v>862</v>
      </c>
      <c r="J237" s="375">
        <v>32321.03501</v>
      </c>
      <c r="K237" s="375">
        <v>-50442.286079999998</v>
      </c>
      <c r="L237" s="375">
        <v>-49041.169220000003</v>
      </c>
      <c r="M237" s="375">
        <v>180786.91651000001</v>
      </c>
      <c r="N237" s="372">
        <v>1.216</v>
      </c>
      <c r="O237" s="704">
        <v>2.4381305315283779</v>
      </c>
      <c r="P237" s="375" t="s">
        <v>622</v>
      </c>
      <c r="Q237" s="375" t="s">
        <v>622</v>
      </c>
      <c r="R237" s="696">
        <v>20181219</v>
      </c>
      <c r="S237" s="375" t="s">
        <v>2325</v>
      </c>
      <c r="T237" s="697" t="s">
        <v>771</v>
      </c>
      <c r="U237" s="375" t="s">
        <v>2326</v>
      </c>
      <c r="V237" s="723" t="s">
        <v>773</v>
      </c>
      <c r="W237" s="723">
        <v>9.23</v>
      </c>
      <c r="X237" s="723">
        <v>47.21</v>
      </c>
      <c r="Y237" s="723" t="s">
        <v>773</v>
      </c>
      <c r="Z237" s="382">
        <v>-5.6124470522069148E-2</v>
      </c>
      <c r="AA237" s="372">
        <v>81.042034599999994</v>
      </c>
      <c r="AB237" s="372">
        <v>53.320689399999999</v>
      </c>
      <c r="AC237" s="372">
        <v>673.00799410000002</v>
      </c>
      <c r="AD237" s="372">
        <v>655.47054619999994</v>
      </c>
      <c r="AE237" s="372">
        <v>396.25</v>
      </c>
      <c r="AF237" s="372">
        <v>852.75</v>
      </c>
      <c r="AG237" s="372">
        <v>520.25</v>
      </c>
      <c r="AH237" s="372">
        <v>2490</v>
      </c>
    </row>
    <row r="238" spans="1:34">
      <c r="A238" s="372" t="s">
        <v>2327</v>
      </c>
      <c r="B238" s="373" t="s">
        <v>2328</v>
      </c>
      <c r="C238" s="372" t="s">
        <v>2329</v>
      </c>
      <c r="D238" s="374">
        <v>1101110004632</v>
      </c>
      <c r="E238" s="372" t="s">
        <v>2330</v>
      </c>
      <c r="F238" s="375" t="s">
        <v>1069</v>
      </c>
      <c r="G238" s="375" t="s">
        <v>2331</v>
      </c>
      <c r="H238" s="375" t="s">
        <v>846</v>
      </c>
      <c r="I238" s="375" t="s">
        <v>754</v>
      </c>
      <c r="J238" s="375">
        <v>16124602.49302</v>
      </c>
      <c r="K238" s="375">
        <v>473500.84510999999</v>
      </c>
      <c r="L238" s="375">
        <v>415859.64311</v>
      </c>
      <c r="M238" s="375">
        <v>3423830.49915</v>
      </c>
      <c r="N238" s="372">
        <v>0.89400000000000002</v>
      </c>
      <c r="O238" s="704">
        <v>238.43203455471468</v>
      </c>
      <c r="P238" s="375" t="s">
        <v>622</v>
      </c>
      <c r="Q238" s="375" t="s">
        <v>622</v>
      </c>
      <c r="R238" s="696">
        <v>19760130</v>
      </c>
      <c r="S238" s="375" t="s">
        <v>2332</v>
      </c>
      <c r="T238" s="697">
        <v>0.26400000000000001</v>
      </c>
      <c r="U238" s="372" t="s">
        <v>2333</v>
      </c>
      <c r="V238" s="723">
        <v>4.3</v>
      </c>
      <c r="W238" s="723">
        <v>0.45</v>
      </c>
      <c r="X238" s="723">
        <v>7.0000000000000007E-2</v>
      </c>
      <c r="Y238" s="723">
        <v>6.9</v>
      </c>
      <c r="Z238" s="382">
        <v>3.520267205618266E-2</v>
      </c>
      <c r="AA238" s="372">
        <v>112826.3238957</v>
      </c>
      <c r="AB238" s="372">
        <v>166865.3263365</v>
      </c>
      <c r="AC238" s="372">
        <v>187595.49404029999</v>
      </c>
      <c r="AD238" s="372">
        <v>145143.49869119999</v>
      </c>
      <c r="AE238" s="372">
        <v>163111.13</v>
      </c>
      <c r="AF238" s="372">
        <v>165802.75</v>
      </c>
      <c r="AG238" s="372">
        <v>166686</v>
      </c>
      <c r="AH238" s="372">
        <v>171390</v>
      </c>
    </row>
    <row r="239" spans="1:34">
      <c r="A239" s="372" t="s">
        <v>2334</v>
      </c>
      <c r="B239" s="373" t="s">
        <v>2335</v>
      </c>
      <c r="C239" s="372" t="s">
        <v>2336</v>
      </c>
      <c r="D239" s="374">
        <v>1301110007616</v>
      </c>
      <c r="E239" s="372" t="s">
        <v>2337</v>
      </c>
      <c r="F239" s="375" t="s">
        <v>1276</v>
      </c>
      <c r="G239" s="375" t="s">
        <v>1452</v>
      </c>
      <c r="H239" s="375" t="s">
        <v>861</v>
      </c>
      <c r="I239" s="375" t="s">
        <v>862</v>
      </c>
      <c r="J239" s="375">
        <v>208247.29887</v>
      </c>
      <c r="K239" s="375">
        <v>24169.65076</v>
      </c>
      <c r="L239" s="375">
        <v>20853.51843</v>
      </c>
      <c r="M239" s="375">
        <v>172448.95782000001</v>
      </c>
      <c r="N239" s="372">
        <v>1.179</v>
      </c>
      <c r="O239" s="704">
        <v>18.403159691484497</v>
      </c>
      <c r="P239" s="375" t="s">
        <v>622</v>
      </c>
      <c r="Q239" s="375" t="s">
        <v>622</v>
      </c>
      <c r="R239" s="696">
        <v>20041208</v>
      </c>
      <c r="S239" s="375" t="s">
        <v>2338</v>
      </c>
      <c r="T239" s="697">
        <v>0.23100000000000001</v>
      </c>
      <c r="U239" s="375" t="s">
        <v>2339</v>
      </c>
      <c r="V239" s="723">
        <v>55.41</v>
      </c>
      <c r="W239" s="723">
        <v>9.61</v>
      </c>
      <c r="X239" s="723">
        <v>8.33</v>
      </c>
      <c r="Y239" s="723">
        <v>97.43</v>
      </c>
      <c r="Z239" s="382">
        <v>0.21657153547536012</v>
      </c>
      <c r="AA239" s="372">
        <v>1545.4346883000001</v>
      </c>
      <c r="AB239" s="372">
        <v>1987.0769931</v>
      </c>
      <c r="AC239" s="372">
        <v>1740.9840732</v>
      </c>
      <c r="AD239" s="372">
        <v>1849.8888182000001</v>
      </c>
      <c r="AE239" s="372">
        <v>2181</v>
      </c>
      <c r="AF239" s="372">
        <v>2948.25</v>
      </c>
      <c r="AG239" s="372">
        <v>4052.25</v>
      </c>
      <c r="AH239" s="372">
        <v>0</v>
      </c>
    </row>
    <row r="240" spans="1:34">
      <c r="A240" s="372" t="s">
        <v>2340</v>
      </c>
      <c r="B240" s="373" t="s">
        <v>2341</v>
      </c>
      <c r="C240" s="372" t="s">
        <v>2342</v>
      </c>
      <c r="D240" s="374">
        <v>1313110083497</v>
      </c>
      <c r="E240" s="372" t="s">
        <v>2343</v>
      </c>
      <c r="F240" s="375" t="s">
        <v>2344</v>
      </c>
      <c r="G240" s="375" t="s">
        <v>2344</v>
      </c>
      <c r="H240" s="375" t="s">
        <v>812</v>
      </c>
      <c r="I240" s="375" t="s">
        <v>754</v>
      </c>
      <c r="J240" s="375">
        <v>4440070.3679</v>
      </c>
      <c r="K240" s="375">
        <v>347908.94339999999</v>
      </c>
      <c r="L240" s="375">
        <v>314827.33172999998</v>
      </c>
      <c r="M240" s="375">
        <v>2146379.7278800001</v>
      </c>
      <c r="N240" s="372">
        <v>0.95499999999999996</v>
      </c>
      <c r="O240" s="704">
        <v>44.978691203376755</v>
      </c>
      <c r="P240" s="375" t="s">
        <v>622</v>
      </c>
      <c r="Q240" s="372" t="s">
        <v>622</v>
      </c>
      <c r="R240" s="696">
        <v>20080730</v>
      </c>
      <c r="S240" s="375">
        <v>0</v>
      </c>
      <c r="T240" s="697">
        <v>0.26400000000000001</v>
      </c>
      <c r="U240" s="375" t="s">
        <v>2345</v>
      </c>
      <c r="V240" s="723">
        <v>4.96</v>
      </c>
      <c r="W240" s="723">
        <v>0.79</v>
      </c>
      <c r="X240" s="723">
        <v>0.39</v>
      </c>
      <c r="Y240" s="723">
        <v>7.39</v>
      </c>
      <c r="Z240" s="382">
        <v>5.2188770778108573E-2</v>
      </c>
      <c r="AA240" s="372">
        <v>25936.3602574</v>
      </c>
      <c r="AB240" s="372">
        <v>35094.982785200002</v>
      </c>
      <c r="AC240" s="372">
        <v>43729.825012200003</v>
      </c>
      <c r="AD240" s="372">
        <v>41252.639472499999</v>
      </c>
      <c r="AE240" s="372">
        <v>46510.76</v>
      </c>
      <c r="AF240" s="372">
        <v>48946.59</v>
      </c>
      <c r="AG240" s="372">
        <v>50562.25</v>
      </c>
      <c r="AH240" s="372">
        <v>0</v>
      </c>
    </row>
    <row r="241" spans="1:34">
      <c r="A241" s="372" t="s">
        <v>2346</v>
      </c>
      <c r="B241" s="373" t="s">
        <v>2347</v>
      </c>
      <c r="C241" s="372" t="s">
        <v>2348</v>
      </c>
      <c r="D241" s="374">
        <v>2111110049793</v>
      </c>
      <c r="E241" s="372" t="s">
        <v>2349</v>
      </c>
      <c r="F241" s="375" t="s">
        <v>1303</v>
      </c>
      <c r="G241" s="375" t="s">
        <v>1303</v>
      </c>
      <c r="H241" s="375" t="s">
        <v>861</v>
      </c>
      <c r="I241" s="375" t="s">
        <v>862</v>
      </c>
      <c r="J241" s="375">
        <v>145255.75236000001</v>
      </c>
      <c r="K241" s="375">
        <v>-66305.000090000001</v>
      </c>
      <c r="L241" s="375">
        <v>-73879.398839999994</v>
      </c>
      <c r="M241" s="375">
        <v>284370.19861999998</v>
      </c>
      <c r="N241" s="372">
        <v>0.90900000000000003</v>
      </c>
      <c r="O241" s="704">
        <v>53.93831181140164</v>
      </c>
      <c r="P241" s="375" t="s">
        <v>622</v>
      </c>
      <c r="Q241" s="375" t="s">
        <v>622</v>
      </c>
      <c r="R241" s="696">
        <v>20220728</v>
      </c>
      <c r="S241" s="375" t="s">
        <v>2350</v>
      </c>
      <c r="T241" s="697" t="s">
        <v>771</v>
      </c>
      <c r="U241" s="375" t="s">
        <v>2351</v>
      </c>
      <c r="V241" s="723" t="s">
        <v>773</v>
      </c>
      <c r="W241" s="723">
        <v>2.72</v>
      </c>
      <c r="X241" s="723">
        <v>4.88</v>
      </c>
      <c r="Y241" s="723" t="s">
        <v>773</v>
      </c>
      <c r="Z241" s="382">
        <v>0.15054397929321373</v>
      </c>
      <c r="AA241" s="372">
        <v>659.38698829999998</v>
      </c>
      <c r="AB241" s="372">
        <v>1472.5408579</v>
      </c>
      <c r="AC241" s="372">
        <v>2698.9552051999999</v>
      </c>
      <c r="AD241" s="372">
        <v>2473.6778684999999</v>
      </c>
      <c r="AE241" s="372">
        <v>1599.33</v>
      </c>
      <c r="AF241" s="372">
        <v>2950.33</v>
      </c>
      <c r="AG241" s="372">
        <v>4334.67</v>
      </c>
      <c r="AH241" s="372">
        <v>0</v>
      </c>
    </row>
    <row r="242" spans="1:34">
      <c r="A242" s="372" t="s">
        <v>2352</v>
      </c>
      <c r="B242" s="373" t="s">
        <v>2353</v>
      </c>
      <c r="C242" s="372" t="s">
        <v>2354</v>
      </c>
      <c r="D242" s="374">
        <v>1341110010839</v>
      </c>
      <c r="E242" s="372" t="s">
        <v>2355</v>
      </c>
      <c r="F242" s="375" t="s">
        <v>1357</v>
      </c>
      <c r="G242" s="375" t="s">
        <v>1357</v>
      </c>
      <c r="H242" s="375" t="s">
        <v>826</v>
      </c>
      <c r="I242" s="375" t="s">
        <v>754</v>
      </c>
      <c r="J242" s="375">
        <v>1003309.16411</v>
      </c>
      <c r="K242" s="375">
        <v>26150.301350000002</v>
      </c>
      <c r="L242" s="375">
        <v>8264.1587999999992</v>
      </c>
      <c r="M242" s="375">
        <v>283448.77554</v>
      </c>
      <c r="N242" s="372" t="s">
        <v>1026</v>
      </c>
      <c r="O242" s="704">
        <v>72.698749695952912</v>
      </c>
      <c r="P242" s="375" t="s">
        <v>622</v>
      </c>
      <c r="Q242" s="375" t="s">
        <v>622</v>
      </c>
      <c r="R242" s="696">
        <v>20231222</v>
      </c>
      <c r="S242" s="375" t="s">
        <v>2356</v>
      </c>
      <c r="T242" s="697">
        <v>0.20900000000000002</v>
      </c>
      <c r="U242" s="372" t="s">
        <v>15837</v>
      </c>
      <c r="V242" s="723">
        <v>18.28</v>
      </c>
      <c r="W242" s="723">
        <v>1.61</v>
      </c>
      <c r="X242" s="723">
        <v>0.44</v>
      </c>
      <c r="Y242" s="723">
        <v>61.96</v>
      </c>
      <c r="Z242" s="382" t="s">
        <v>927</v>
      </c>
      <c r="AA242" s="372">
        <v>5993.5350900000003</v>
      </c>
      <c r="AB242" s="372">
        <v>9005.0721379999995</v>
      </c>
      <c r="AC242" s="372">
        <v>11337.1996375</v>
      </c>
      <c r="AD242" s="372">
        <v>10704.4004255</v>
      </c>
      <c r="AE242" s="372">
        <v>10300</v>
      </c>
      <c r="AF242" s="372">
        <v>12277</v>
      </c>
      <c r="AG242" s="372">
        <v>0</v>
      </c>
      <c r="AH242" s="372">
        <v>0</v>
      </c>
    </row>
    <row r="243" spans="1:34">
      <c r="A243" s="372" t="s">
        <v>2357</v>
      </c>
      <c r="B243" s="373" t="s">
        <v>2358</v>
      </c>
      <c r="C243" s="372" t="s">
        <v>2359</v>
      </c>
      <c r="D243" s="374">
        <v>1101112615578</v>
      </c>
      <c r="E243" s="372" t="s">
        <v>2360</v>
      </c>
      <c r="F243" s="375" t="s">
        <v>1116</v>
      </c>
      <c r="G243" s="375" t="s">
        <v>1336</v>
      </c>
      <c r="H243" s="375" t="s">
        <v>1337</v>
      </c>
      <c r="I243" s="375" t="s">
        <v>862</v>
      </c>
      <c r="J243" s="375">
        <v>14076.8071</v>
      </c>
      <c r="K243" s="375">
        <v>-13586.887940000001</v>
      </c>
      <c r="L243" s="375">
        <v>-13628.2484</v>
      </c>
      <c r="M243" s="375">
        <v>53763.080479999997</v>
      </c>
      <c r="N243" s="372">
        <v>0.34</v>
      </c>
      <c r="O243" s="704">
        <v>0.13639890912173525</v>
      </c>
      <c r="P243" s="375" t="s">
        <v>622</v>
      </c>
      <c r="Q243" s="375" t="s">
        <v>622</v>
      </c>
      <c r="R243" s="696">
        <v>20120120</v>
      </c>
      <c r="S243" s="375" t="s">
        <v>2361</v>
      </c>
      <c r="T243" s="697" t="s">
        <v>771</v>
      </c>
      <c r="U243" s="375" t="s">
        <v>2362</v>
      </c>
      <c r="V243" s="723" t="s">
        <v>773</v>
      </c>
      <c r="W243" s="723">
        <v>15.1</v>
      </c>
      <c r="X243" s="723">
        <v>57.36</v>
      </c>
      <c r="Y243" s="723" t="s">
        <v>773</v>
      </c>
      <c r="Z243" s="382" t="s">
        <v>927</v>
      </c>
      <c r="AA243" s="372">
        <v>286.34181280000001</v>
      </c>
      <c r="AB243" s="372">
        <v>266.53873349999998</v>
      </c>
      <c r="AC243" s="372">
        <v>307.26176390000001</v>
      </c>
      <c r="AD243" s="372">
        <v>317.2093223</v>
      </c>
      <c r="AE243" s="372">
        <v>0</v>
      </c>
      <c r="AF243" s="372">
        <v>0</v>
      </c>
      <c r="AG243" s="372">
        <v>0</v>
      </c>
      <c r="AH243" s="372">
        <v>0</v>
      </c>
    </row>
    <row r="244" spans="1:34">
      <c r="A244" s="372" t="s">
        <v>2363</v>
      </c>
      <c r="B244" s="373" t="s">
        <v>2364</v>
      </c>
      <c r="C244" s="372" t="s">
        <v>2365</v>
      </c>
      <c r="D244" s="374">
        <v>1101115767269</v>
      </c>
      <c r="E244" s="372" t="s">
        <v>2366</v>
      </c>
      <c r="F244" s="375" t="s">
        <v>1656</v>
      </c>
      <c r="G244" s="375" t="s">
        <v>2367</v>
      </c>
      <c r="H244" s="375" t="s">
        <v>861</v>
      </c>
      <c r="I244" s="375" t="s">
        <v>862</v>
      </c>
      <c r="J244" s="375">
        <v>23946.085050000002</v>
      </c>
      <c r="K244" s="375">
        <v>-93116.529240000003</v>
      </c>
      <c r="L244" s="375">
        <v>-90649.268129999997</v>
      </c>
      <c r="M244" s="375">
        <v>121160.72968999999</v>
      </c>
      <c r="N244" s="372" t="s">
        <v>1026</v>
      </c>
      <c r="O244" s="704">
        <v>2.106718791372002</v>
      </c>
      <c r="P244" s="375" t="s">
        <v>622</v>
      </c>
      <c r="Q244" s="375" t="s">
        <v>622</v>
      </c>
      <c r="R244" s="696">
        <v>20230807</v>
      </c>
      <c r="S244" s="375" t="s">
        <v>2368</v>
      </c>
      <c r="T244" s="697" t="s">
        <v>771</v>
      </c>
      <c r="U244" s="372" t="s">
        <v>2369</v>
      </c>
      <c r="V244" s="723" t="s">
        <v>773</v>
      </c>
      <c r="W244" s="723">
        <v>6.18</v>
      </c>
      <c r="X244" s="723">
        <v>30.59</v>
      </c>
      <c r="Y244" s="723" t="s">
        <v>773</v>
      </c>
      <c r="Z244" s="382" t="s">
        <v>927</v>
      </c>
      <c r="AA244" s="372">
        <v>8.3850867999999998</v>
      </c>
      <c r="AB244" s="372">
        <v>51.568164400000001</v>
      </c>
      <c r="AC244" s="372">
        <v>564.01518169999997</v>
      </c>
      <c r="AD244" s="372">
        <v>224.7090571</v>
      </c>
      <c r="AE244" s="372">
        <v>0</v>
      </c>
      <c r="AF244" s="372">
        <v>0</v>
      </c>
      <c r="AG244" s="372">
        <v>0</v>
      </c>
      <c r="AH244" s="372">
        <v>0</v>
      </c>
    </row>
    <row r="245" spans="1:34">
      <c r="A245" s="372" t="s">
        <v>2370</v>
      </c>
      <c r="B245" s="373" t="s">
        <v>2371</v>
      </c>
      <c r="C245" s="372" t="s">
        <v>2372</v>
      </c>
      <c r="D245" s="374">
        <v>1101110165830</v>
      </c>
      <c r="E245" s="372" t="s">
        <v>2373</v>
      </c>
      <c r="F245" s="375" t="s">
        <v>893</v>
      </c>
      <c r="G245" s="375" t="s">
        <v>894</v>
      </c>
      <c r="H245" s="375" t="s">
        <v>855</v>
      </c>
      <c r="I245" s="375" t="s">
        <v>754</v>
      </c>
      <c r="J245" s="375">
        <v>4181726.1388300001</v>
      </c>
      <c r="K245" s="375">
        <v>650263.53926999995</v>
      </c>
      <c r="L245" s="375">
        <v>702393.24861999997</v>
      </c>
      <c r="M245" s="375">
        <v>4640646.8638300002</v>
      </c>
      <c r="N245" s="372">
        <v>0.70599999999999996</v>
      </c>
      <c r="O245" s="704">
        <v>39.944213080723628</v>
      </c>
      <c r="P245" s="375" t="s">
        <v>622</v>
      </c>
      <c r="Q245" s="372" t="s">
        <v>622</v>
      </c>
      <c r="R245" s="696">
        <v>19881107</v>
      </c>
      <c r="S245" s="372" t="s">
        <v>2374</v>
      </c>
      <c r="T245" s="697">
        <v>0.26400000000000001</v>
      </c>
      <c r="U245" s="372" t="s">
        <v>1745</v>
      </c>
      <c r="V245" s="723">
        <v>4.5199999999999996</v>
      </c>
      <c r="W245" s="723">
        <v>0.51</v>
      </c>
      <c r="X245" s="723">
        <v>0.3</v>
      </c>
      <c r="Y245" s="723">
        <v>3.7</v>
      </c>
      <c r="Z245" s="382" t="s">
        <v>927</v>
      </c>
      <c r="AA245" s="372">
        <v>28509.564683600001</v>
      </c>
      <c r="AB245" s="372">
        <v>32405.138274199999</v>
      </c>
      <c r="AC245" s="372">
        <v>45338.7920552</v>
      </c>
      <c r="AD245" s="372">
        <v>43554.782623300001</v>
      </c>
      <c r="AE245" s="372">
        <v>47130</v>
      </c>
      <c r="AF245" s="372">
        <v>54560</v>
      </c>
      <c r="AG245" s="372">
        <v>0</v>
      </c>
      <c r="AH245" s="372">
        <v>0</v>
      </c>
    </row>
    <row r="246" spans="1:34">
      <c r="A246" s="372" t="s">
        <v>2375</v>
      </c>
      <c r="B246" s="373" t="s">
        <v>2376</v>
      </c>
      <c r="C246" s="372" t="s">
        <v>2377</v>
      </c>
      <c r="D246" s="374">
        <v>2201110050575</v>
      </c>
      <c r="E246" s="372" t="s">
        <v>2378</v>
      </c>
      <c r="F246" s="375" t="s">
        <v>1089</v>
      </c>
      <c r="G246" s="375" t="s">
        <v>1089</v>
      </c>
      <c r="H246" s="375" t="s">
        <v>909</v>
      </c>
      <c r="I246" s="375" t="s">
        <v>754</v>
      </c>
      <c r="J246" s="375">
        <v>1967268.6035800001</v>
      </c>
      <c r="K246" s="375">
        <v>146494.68762000001</v>
      </c>
      <c r="L246" s="375">
        <v>141942.43974999999</v>
      </c>
      <c r="M246" s="375">
        <v>389685.66065999999</v>
      </c>
      <c r="N246" s="372">
        <v>0.52700000000000002</v>
      </c>
      <c r="O246" s="704">
        <v>87.123257047873068</v>
      </c>
      <c r="P246" s="375" t="s">
        <v>622</v>
      </c>
      <c r="Q246" s="375" t="s">
        <v>622</v>
      </c>
      <c r="R246" s="696">
        <v>20151106</v>
      </c>
      <c r="S246" s="375" t="s">
        <v>2379</v>
      </c>
      <c r="T246" s="697">
        <v>0.23100000000000001</v>
      </c>
      <c r="U246" s="375" t="s">
        <v>2380</v>
      </c>
      <c r="V246" s="723">
        <v>4.13</v>
      </c>
      <c r="W246" s="723">
        <v>1.85</v>
      </c>
      <c r="X246" s="723">
        <v>0.37</v>
      </c>
      <c r="Y246" s="723">
        <v>6.36</v>
      </c>
      <c r="Z246" s="382">
        <v>4.8200928336201043E-2</v>
      </c>
      <c r="AA246" s="372">
        <v>3770.4566070000001</v>
      </c>
      <c r="AB246" s="372">
        <v>2730.7919907999999</v>
      </c>
      <c r="AC246" s="372">
        <v>7025.0327580000003</v>
      </c>
      <c r="AD246" s="372">
        <v>17240.085422299999</v>
      </c>
      <c r="AE246" s="372">
        <v>19727.919999999998</v>
      </c>
      <c r="AF246" s="372">
        <v>20087.419999999998</v>
      </c>
      <c r="AG246" s="372">
        <v>20812.18</v>
      </c>
      <c r="AH246" s="372">
        <v>0</v>
      </c>
    </row>
    <row r="247" spans="1:34">
      <c r="A247" s="372" t="s">
        <v>2381</v>
      </c>
      <c r="B247" s="373" t="s">
        <v>2382</v>
      </c>
      <c r="C247" s="372" t="s">
        <v>2383</v>
      </c>
      <c r="D247" s="374">
        <v>1101116525723</v>
      </c>
      <c r="E247" s="372" t="s">
        <v>2384</v>
      </c>
      <c r="F247" s="375" t="s">
        <v>1357</v>
      </c>
      <c r="G247" s="375" t="s">
        <v>1357</v>
      </c>
      <c r="H247" s="375" t="s">
        <v>861</v>
      </c>
      <c r="I247" s="375" t="s">
        <v>862</v>
      </c>
      <c r="J247" s="375">
        <v>125618.88724</v>
      </c>
      <c r="K247" s="375">
        <v>23130.094349999999</v>
      </c>
      <c r="L247" s="375">
        <v>15978.86356</v>
      </c>
      <c r="M247" s="375">
        <v>122044.04732</v>
      </c>
      <c r="N247" s="372">
        <v>1.3640000000000001</v>
      </c>
      <c r="O247" s="704">
        <v>21.354909322029307</v>
      </c>
      <c r="P247" s="375" t="s">
        <v>622</v>
      </c>
      <c r="Q247" s="375" t="s">
        <v>622</v>
      </c>
      <c r="R247" s="696">
        <v>20171212</v>
      </c>
      <c r="S247" s="375" t="s">
        <v>2385</v>
      </c>
      <c r="T247" s="697">
        <v>0.20900000000000002</v>
      </c>
      <c r="U247" s="372" t="s">
        <v>2386</v>
      </c>
      <c r="V247" s="723">
        <v>37.729999999999997</v>
      </c>
      <c r="W247" s="723">
        <v>9.27</v>
      </c>
      <c r="X247" s="723">
        <v>8.94</v>
      </c>
      <c r="Y247" s="723">
        <v>63.08</v>
      </c>
      <c r="Z247" s="382" t="s">
        <v>927</v>
      </c>
      <c r="AA247" s="372">
        <v>464.8735193</v>
      </c>
      <c r="AB247" s="372">
        <v>818.53769509999995</v>
      </c>
      <c r="AC247" s="372">
        <v>1315.0671548</v>
      </c>
      <c r="AD247" s="372">
        <v>1177.8981114000001</v>
      </c>
      <c r="AE247" s="372">
        <v>1497.5</v>
      </c>
      <c r="AF247" s="372">
        <v>2149</v>
      </c>
      <c r="AG247" s="372">
        <v>0</v>
      </c>
      <c r="AH247" s="372">
        <v>0</v>
      </c>
    </row>
    <row r="248" spans="1:34">
      <c r="A248" s="372" t="s">
        <v>2387</v>
      </c>
      <c r="B248" s="373" t="s">
        <v>2388</v>
      </c>
      <c r="C248" s="372" t="s">
        <v>2389</v>
      </c>
      <c r="D248" s="374">
        <v>1101115781277</v>
      </c>
      <c r="E248" s="372" t="s">
        <v>2390</v>
      </c>
      <c r="F248" s="375" t="s">
        <v>1370</v>
      </c>
      <c r="G248" s="375" t="s">
        <v>1370</v>
      </c>
      <c r="H248" s="375" t="s">
        <v>861</v>
      </c>
      <c r="I248" s="375" t="s">
        <v>862</v>
      </c>
      <c r="J248" s="375">
        <v>248932.83837000001</v>
      </c>
      <c r="K248" s="375">
        <v>30428.122869999999</v>
      </c>
      <c r="L248" s="375">
        <v>35016.867129999999</v>
      </c>
      <c r="M248" s="375">
        <v>305043.30897000001</v>
      </c>
      <c r="N248" s="372">
        <v>0.70299999999999996</v>
      </c>
      <c r="O248" s="704">
        <v>9.0794623557503105</v>
      </c>
      <c r="P248" s="375" t="s">
        <v>622</v>
      </c>
      <c r="Q248" s="375" t="s">
        <v>622</v>
      </c>
      <c r="R248" s="696">
        <v>20150925</v>
      </c>
      <c r="S248" s="375" t="s">
        <v>2391</v>
      </c>
      <c r="T248" s="697">
        <v>0.23100000000000001</v>
      </c>
      <c r="U248" s="375" t="s">
        <v>15838</v>
      </c>
      <c r="V248" s="723">
        <v>23.24</v>
      </c>
      <c r="W248" s="723">
        <v>3.05</v>
      </c>
      <c r="X248" s="723">
        <v>4.13</v>
      </c>
      <c r="Y248" s="723">
        <v>44.42</v>
      </c>
      <c r="Z248" s="382">
        <v>0.1697146026629337</v>
      </c>
      <c r="AA248" s="372">
        <v>814.04202239999995</v>
      </c>
      <c r="AB248" s="372">
        <v>630.84058000000005</v>
      </c>
      <c r="AC248" s="372">
        <v>1323.7492596</v>
      </c>
      <c r="AD248" s="372">
        <v>1932.7216953</v>
      </c>
      <c r="AE248" s="372">
        <v>2805.83</v>
      </c>
      <c r="AF248" s="372">
        <v>2910</v>
      </c>
      <c r="AG248" s="372">
        <v>3618.17</v>
      </c>
      <c r="AH248" s="372">
        <v>0</v>
      </c>
    </row>
    <row r="249" spans="1:34">
      <c r="A249" s="372" t="s">
        <v>2392</v>
      </c>
      <c r="B249" s="373" t="s">
        <v>2393</v>
      </c>
      <c r="C249" s="372" t="s">
        <v>2394</v>
      </c>
      <c r="D249" s="374">
        <v>1345110065662</v>
      </c>
      <c r="E249" s="372" t="s">
        <v>2395</v>
      </c>
      <c r="F249" s="375" t="s">
        <v>16101</v>
      </c>
      <c r="G249" s="375" t="s">
        <v>16101</v>
      </c>
      <c r="H249" s="375" t="s">
        <v>861</v>
      </c>
      <c r="I249" s="375" t="s">
        <v>862</v>
      </c>
      <c r="J249" s="375">
        <v>1009799.45383</v>
      </c>
      <c r="K249" s="375">
        <v>-38163.315459999998</v>
      </c>
      <c r="L249" s="375">
        <v>-4906.2464200000004</v>
      </c>
      <c r="M249" s="375">
        <v>743408.51381000003</v>
      </c>
      <c r="N249" s="372">
        <v>1.0409999999999999</v>
      </c>
      <c r="O249" s="704">
        <v>71.568394842024375</v>
      </c>
      <c r="P249" s="375" t="s">
        <v>622</v>
      </c>
      <c r="Q249" s="375" t="s">
        <v>622</v>
      </c>
      <c r="R249" s="696">
        <v>20051227</v>
      </c>
      <c r="S249" s="375" t="s">
        <v>2396</v>
      </c>
      <c r="T249" s="697" t="s">
        <v>771</v>
      </c>
      <c r="U249" s="375" t="s">
        <v>2397</v>
      </c>
      <c r="V249" s="723">
        <v>960.14</v>
      </c>
      <c r="W249" s="723">
        <v>2.98</v>
      </c>
      <c r="X249" s="723">
        <v>0.97</v>
      </c>
      <c r="Y249" s="723" t="s">
        <v>773</v>
      </c>
      <c r="Z249" s="382" t="s">
        <v>927</v>
      </c>
      <c r="AA249" s="372">
        <v>6647.1682565999999</v>
      </c>
      <c r="AB249" s="372">
        <v>7274.7608676</v>
      </c>
      <c r="AC249" s="372">
        <v>8445.8286731000007</v>
      </c>
      <c r="AD249" s="372">
        <v>9539.5142312999997</v>
      </c>
      <c r="AE249" s="372">
        <v>0</v>
      </c>
      <c r="AF249" s="372">
        <v>0</v>
      </c>
      <c r="AG249" s="372">
        <v>0</v>
      </c>
      <c r="AH249" s="372">
        <v>0</v>
      </c>
    </row>
    <row r="250" spans="1:34">
      <c r="A250" s="372" t="s">
        <v>2398</v>
      </c>
      <c r="B250" s="373" t="s">
        <v>2399</v>
      </c>
      <c r="C250" s="372" t="s">
        <v>2400</v>
      </c>
      <c r="D250" s="374">
        <v>1601110014483</v>
      </c>
      <c r="E250" s="372" t="s">
        <v>2401</v>
      </c>
      <c r="F250" s="375" t="s">
        <v>932</v>
      </c>
      <c r="G250" s="375" t="s">
        <v>932</v>
      </c>
      <c r="H250" s="375" t="s">
        <v>933</v>
      </c>
      <c r="I250" s="375" t="s">
        <v>754</v>
      </c>
      <c r="J250" s="375">
        <v>1539204.7548499999</v>
      </c>
      <c r="K250" s="375">
        <v>49998.167430000001</v>
      </c>
      <c r="L250" s="375">
        <v>-6024.2785100000001</v>
      </c>
      <c r="M250" s="375">
        <v>2408999.5466300002</v>
      </c>
      <c r="N250" s="372">
        <v>0.76600000000000001</v>
      </c>
      <c r="O250" s="704">
        <v>43.541258164279142</v>
      </c>
      <c r="P250" s="375" t="s">
        <v>622</v>
      </c>
      <c r="Q250" s="375" t="s">
        <v>622</v>
      </c>
      <c r="R250" s="696">
        <v>20150708</v>
      </c>
      <c r="S250" s="375" t="s">
        <v>2402</v>
      </c>
      <c r="T250" s="697" t="s">
        <v>771</v>
      </c>
      <c r="U250" s="375" t="s">
        <v>2403</v>
      </c>
      <c r="V250" s="723">
        <v>0</v>
      </c>
      <c r="W250" s="723">
        <v>0.37</v>
      </c>
      <c r="X250" s="723">
        <v>0.22</v>
      </c>
      <c r="Y250" s="723" t="s">
        <v>773</v>
      </c>
      <c r="Z250" s="382" t="s">
        <v>927</v>
      </c>
      <c r="AA250" s="372">
        <v>17905.6291432</v>
      </c>
      <c r="AB250" s="372">
        <v>17317.427294900001</v>
      </c>
      <c r="AC250" s="372">
        <v>40945.965871300003</v>
      </c>
      <c r="AD250" s="372">
        <v>15136.824873199999</v>
      </c>
      <c r="AE250" s="372">
        <v>0</v>
      </c>
      <c r="AF250" s="372">
        <v>0</v>
      </c>
      <c r="AG250" s="372">
        <v>0</v>
      </c>
      <c r="AH250" s="372">
        <v>0</v>
      </c>
    </row>
    <row r="251" spans="1:34">
      <c r="A251" s="372" t="s">
        <v>2404</v>
      </c>
      <c r="B251" s="373" t="s">
        <v>2405</v>
      </c>
      <c r="C251" s="372" t="s">
        <v>2406</v>
      </c>
      <c r="D251" s="374">
        <v>1344110015693</v>
      </c>
      <c r="E251" s="372" t="s">
        <v>2407</v>
      </c>
      <c r="F251" s="375" t="s">
        <v>1357</v>
      </c>
      <c r="G251" s="375" t="s">
        <v>1357</v>
      </c>
      <c r="H251" s="375" t="s">
        <v>861</v>
      </c>
      <c r="I251" s="375" t="s">
        <v>862</v>
      </c>
      <c r="J251" s="375">
        <v>7735.4049100000002</v>
      </c>
      <c r="K251" s="375">
        <v>-9477.3162200000006</v>
      </c>
      <c r="L251" s="375">
        <v>-16413.799350000001</v>
      </c>
      <c r="M251" s="375">
        <v>43740.429049999999</v>
      </c>
      <c r="N251" s="372">
        <v>0.33600000000000002</v>
      </c>
      <c r="O251" s="704">
        <v>3.679816910518567</v>
      </c>
      <c r="P251" s="375" t="s">
        <v>622</v>
      </c>
      <c r="Q251" s="375" t="s">
        <v>622</v>
      </c>
      <c r="R251" s="696">
        <v>20020806</v>
      </c>
      <c r="S251" s="375" t="s">
        <v>2408</v>
      </c>
      <c r="T251" s="697" t="s">
        <v>771</v>
      </c>
      <c r="U251" s="375" t="s">
        <v>2409</v>
      </c>
      <c r="V251" s="723" t="s">
        <v>773</v>
      </c>
      <c r="W251" s="723">
        <v>17.43</v>
      </c>
      <c r="X251" s="723">
        <v>98.57</v>
      </c>
      <c r="Y251" s="723" t="s">
        <v>773</v>
      </c>
      <c r="Z251" s="382" t="s">
        <v>927</v>
      </c>
      <c r="AA251" s="372">
        <v>125.1141578</v>
      </c>
      <c r="AB251" s="372">
        <v>92.414944899999995</v>
      </c>
      <c r="AC251" s="372">
        <v>78.515781000000004</v>
      </c>
      <c r="AD251" s="372">
        <v>94.813846299999994</v>
      </c>
      <c r="AE251" s="372">
        <v>0</v>
      </c>
      <c r="AF251" s="372">
        <v>0</v>
      </c>
      <c r="AG251" s="372">
        <v>0</v>
      </c>
      <c r="AH251" s="372">
        <v>0</v>
      </c>
    </row>
    <row r="252" spans="1:34">
      <c r="A252" s="372" t="s">
        <v>2410</v>
      </c>
      <c r="B252" s="373" t="s">
        <v>2411</v>
      </c>
      <c r="C252" s="372" t="s">
        <v>2412</v>
      </c>
      <c r="D252" s="374">
        <v>1101116363868</v>
      </c>
      <c r="E252" s="372" t="s">
        <v>2413</v>
      </c>
      <c r="F252" s="375" t="s">
        <v>2414</v>
      </c>
      <c r="G252" s="375" t="s">
        <v>2414</v>
      </c>
      <c r="H252" s="375" t="s">
        <v>1043</v>
      </c>
      <c r="I252" s="375" t="s">
        <v>754</v>
      </c>
      <c r="J252" s="375">
        <v>3494776.2510000002</v>
      </c>
      <c r="K252" s="375">
        <v>181992.05</v>
      </c>
      <c r="L252" s="375">
        <v>70570.44</v>
      </c>
      <c r="M252" s="375">
        <v>1815224.7039999999</v>
      </c>
      <c r="N252" s="372">
        <v>0.85499999999999998</v>
      </c>
      <c r="O252" s="704">
        <v>89.658350462751272</v>
      </c>
      <c r="P252" s="375" t="s">
        <v>622</v>
      </c>
      <c r="Q252" s="372" t="s">
        <v>622</v>
      </c>
      <c r="R252" s="696">
        <v>20170510</v>
      </c>
      <c r="S252" s="372" t="s">
        <v>2415</v>
      </c>
      <c r="T252" s="697">
        <v>0.23100000000000001</v>
      </c>
      <c r="U252" s="372" t="s">
        <v>15839</v>
      </c>
      <c r="V252" s="723">
        <v>5.94</v>
      </c>
      <c r="W252" s="723">
        <v>0.56999999999999995</v>
      </c>
      <c r="X252" s="723">
        <v>0.28999999999999998</v>
      </c>
      <c r="Y252" s="723">
        <v>20.260000000000002</v>
      </c>
      <c r="Z252" s="382">
        <v>6.5782687653406224E-3</v>
      </c>
      <c r="AA252" s="372">
        <v>23905.09794</v>
      </c>
      <c r="AB252" s="372">
        <v>32843.396229999998</v>
      </c>
      <c r="AC252" s="372">
        <v>35156.119209999997</v>
      </c>
      <c r="AD252" s="372">
        <v>38249.66876</v>
      </c>
      <c r="AE252" s="372">
        <v>35337.449999999997</v>
      </c>
      <c r="AF252" s="372">
        <v>36853.269999999997</v>
      </c>
      <c r="AG252" s="372">
        <v>39266.11</v>
      </c>
      <c r="AH252" s="372">
        <v>0</v>
      </c>
    </row>
    <row r="253" spans="1:34">
      <c r="A253" s="372" t="s">
        <v>2416</v>
      </c>
      <c r="B253" s="373" t="s">
        <v>2417</v>
      </c>
      <c r="C253" s="372" t="s">
        <v>2418</v>
      </c>
      <c r="D253" s="374">
        <v>1351110051329</v>
      </c>
      <c r="E253" s="372" t="s">
        <v>2419</v>
      </c>
      <c r="F253" s="375" t="s">
        <v>1185</v>
      </c>
      <c r="G253" s="375" t="s">
        <v>1186</v>
      </c>
      <c r="H253" s="375" t="s">
        <v>861</v>
      </c>
      <c r="I253" s="375" t="s">
        <v>862</v>
      </c>
      <c r="J253" s="375">
        <v>294206.98064000002</v>
      </c>
      <c r="K253" s="375">
        <v>34950.122730000003</v>
      </c>
      <c r="L253" s="375">
        <v>39958.08412</v>
      </c>
      <c r="M253" s="375">
        <v>397988.7035</v>
      </c>
      <c r="N253" s="372">
        <v>1.2849999999999999</v>
      </c>
      <c r="O253" s="704">
        <v>1.9206597085907828</v>
      </c>
      <c r="P253" s="375" t="s">
        <v>622</v>
      </c>
      <c r="Q253" s="375" t="s">
        <v>622</v>
      </c>
      <c r="R253" s="696">
        <v>20060117</v>
      </c>
      <c r="S253" s="375" t="s">
        <v>2420</v>
      </c>
      <c r="T253" s="697">
        <v>0.23100000000000001</v>
      </c>
      <c r="U253" s="375" t="s">
        <v>2421</v>
      </c>
      <c r="V253" s="723">
        <v>17.36</v>
      </c>
      <c r="W253" s="723">
        <v>2.27</v>
      </c>
      <c r="X253" s="723">
        <v>2.96</v>
      </c>
      <c r="Y253" s="723">
        <v>26.71</v>
      </c>
      <c r="Z253" s="382">
        <v>0.14106404710914044</v>
      </c>
      <c r="AA253" s="372">
        <v>2025.9182542000001</v>
      </c>
      <c r="AB253" s="372">
        <v>3245.7585726000002</v>
      </c>
      <c r="AC253" s="372">
        <v>3106.3291776999999</v>
      </c>
      <c r="AD253" s="372">
        <v>2765.3335077000002</v>
      </c>
      <c r="AE253" s="372">
        <v>3313</v>
      </c>
      <c r="AF253" s="372">
        <v>4270.3999999999996</v>
      </c>
      <c r="AG253" s="372">
        <v>4688</v>
      </c>
      <c r="AH253" s="372">
        <v>5520</v>
      </c>
    </row>
    <row r="254" spans="1:34">
      <c r="A254" s="372" t="s">
        <v>2422</v>
      </c>
      <c r="B254" s="373" t="s">
        <v>2423</v>
      </c>
      <c r="C254" s="372" t="s">
        <v>2424</v>
      </c>
      <c r="D254" s="374">
        <v>1942110032714</v>
      </c>
      <c r="E254" s="372" t="s">
        <v>2425</v>
      </c>
      <c r="F254" s="372" t="s">
        <v>2426</v>
      </c>
      <c r="G254" s="375" t="s">
        <v>2427</v>
      </c>
      <c r="H254" s="375" t="s">
        <v>861</v>
      </c>
      <c r="I254" s="375" t="s">
        <v>862</v>
      </c>
      <c r="J254" s="375">
        <v>2290923.5633999999</v>
      </c>
      <c r="K254" s="375">
        <v>-4892.9077500000003</v>
      </c>
      <c r="L254" s="375">
        <v>-21596.349399999999</v>
      </c>
      <c r="M254" s="375">
        <v>1569483.9845100001</v>
      </c>
      <c r="N254" s="372">
        <v>0.81699999999999995</v>
      </c>
      <c r="O254" s="704">
        <v>52.34374793307277</v>
      </c>
      <c r="P254" s="375" t="s">
        <v>622</v>
      </c>
      <c r="Q254" s="375" t="s">
        <v>622</v>
      </c>
      <c r="R254" s="696">
        <v>20011214</v>
      </c>
      <c r="S254" s="375" t="s">
        <v>2428</v>
      </c>
      <c r="T254" s="697" t="s">
        <v>771</v>
      </c>
      <c r="U254" s="375" t="s">
        <v>2429</v>
      </c>
      <c r="V254" s="723">
        <v>17.079999999999998</v>
      </c>
      <c r="W254" s="723">
        <v>0.86</v>
      </c>
      <c r="X254" s="723">
        <v>0.41</v>
      </c>
      <c r="Y254" s="723" t="s">
        <v>773</v>
      </c>
      <c r="Z254" s="382">
        <v>7.7634417917127108E-2</v>
      </c>
      <c r="AA254" s="372">
        <v>15511.7093365</v>
      </c>
      <c r="AB254" s="372">
        <v>15649.371698200001</v>
      </c>
      <c r="AC254" s="372">
        <v>16843.663855999999</v>
      </c>
      <c r="AD254" s="372">
        <v>18811.986256699998</v>
      </c>
      <c r="AE254" s="372">
        <v>21161.5</v>
      </c>
      <c r="AF254" s="372">
        <v>22328</v>
      </c>
      <c r="AG254" s="372">
        <v>25370</v>
      </c>
      <c r="AH254" s="372">
        <v>0</v>
      </c>
    </row>
    <row r="255" spans="1:34">
      <c r="A255" s="372" t="s">
        <v>2430</v>
      </c>
      <c r="B255" s="373" t="s">
        <v>2431</v>
      </c>
      <c r="C255" s="372" t="s">
        <v>2432</v>
      </c>
      <c r="D255" s="374">
        <v>1746110000866</v>
      </c>
      <c r="E255" s="372" t="s">
        <v>2433</v>
      </c>
      <c r="F255" s="375" t="s">
        <v>2089</v>
      </c>
      <c r="G255" s="375" t="s">
        <v>2434</v>
      </c>
      <c r="H255" s="375" t="s">
        <v>861</v>
      </c>
      <c r="I255" s="375" t="s">
        <v>862</v>
      </c>
      <c r="J255" s="375">
        <v>344799.60064000002</v>
      </c>
      <c r="K255" s="375">
        <v>843.43591000000004</v>
      </c>
      <c r="L255" s="375">
        <v>2182.6002199999998</v>
      </c>
      <c r="M255" s="375">
        <v>114928.70052</v>
      </c>
      <c r="N255" s="372">
        <v>1.556</v>
      </c>
      <c r="O255" s="704">
        <v>0.1270326578370265</v>
      </c>
      <c r="P255" s="375" t="s">
        <v>622</v>
      </c>
      <c r="Q255" s="375" t="s">
        <v>622</v>
      </c>
      <c r="R255" s="696">
        <v>19971110</v>
      </c>
      <c r="S255" s="375" t="s">
        <v>2435</v>
      </c>
      <c r="T255" s="697">
        <v>0.20900000000000002</v>
      </c>
      <c r="U255" s="375" t="s">
        <v>2436</v>
      </c>
      <c r="V255" s="723">
        <v>0</v>
      </c>
      <c r="W255" s="723">
        <v>0</v>
      </c>
      <c r="X255" s="723">
        <v>0</v>
      </c>
      <c r="Y255" s="723">
        <v>0</v>
      </c>
      <c r="Z255" s="382" t="s">
        <v>927</v>
      </c>
      <c r="AA255" s="372">
        <v>2553.9980006000001</v>
      </c>
      <c r="AB255" s="372">
        <v>3238.7835908000002</v>
      </c>
      <c r="AC255" s="372">
        <v>3421.7591078999999</v>
      </c>
      <c r="AD255" s="372">
        <v>3414.1023522999999</v>
      </c>
      <c r="AE255" s="372">
        <v>0</v>
      </c>
      <c r="AF255" s="372">
        <v>0</v>
      </c>
      <c r="AG255" s="372">
        <v>0</v>
      </c>
      <c r="AH255" s="372">
        <v>0</v>
      </c>
    </row>
    <row r="256" spans="1:34">
      <c r="A256" s="372" t="s">
        <v>2437</v>
      </c>
      <c r="B256" s="373" t="s">
        <v>2438</v>
      </c>
      <c r="C256" s="372" t="s">
        <v>2439</v>
      </c>
      <c r="D256" s="374">
        <v>1101110981038</v>
      </c>
      <c r="E256" s="372" t="s">
        <v>2440</v>
      </c>
      <c r="F256" s="375" t="s">
        <v>2441</v>
      </c>
      <c r="G256" s="375" t="s">
        <v>2441</v>
      </c>
      <c r="H256" s="375" t="s">
        <v>817</v>
      </c>
      <c r="I256" s="375" t="s">
        <v>754</v>
      </c>
      <c r="J256" s="375">
        <v>593932.47297999996</v>
      </c>
      <c r="K256" s="375">
        <v>48477.683409999998</v>
      </c>
      <c r="L256" s="375">
        <v>71249.207469999994</v>
      </c>
      <c r="M256" s="375">
        <v>131496.97294000001</v>
      </c>
      <c r="N256" s="372">
        <v>0.67700000000000005</v>
      </c>
      <c r="O256" s="704">
        <v>16.41916112809254</v>
      </c>
      <c r="P256" s="375" t="s">
        <v>622</v>
      </c>
      <c r="Q256" s="372" t="s">
        <v>622</v>
      </c>
      <c r="R256" s="696">
        <v>20001124</v>
      </c>
      <c r="S256" s="375" t="s">
        <v>2442</v>
      </c>
      <c r="T256" s="697">
        <v>0.23100000000000001</v>
      </c>
      <c r="U256" s="375" t="s">
        <v>2443</v>
      </c>
      <c r="V256" s="723">
        <v>10.59</v>
      </c>
      <c r="W256" s="723">
        <v>4.8</v>
      </c>
      <c r="X256" s="723">
        <v>1.36</v>
      </c>
      <c r="Y256" s="723">
        <v>15.41</v>
      </c>
      <c r="Z256" s="382">
        <v>0.17689611983215436</v>
      </c>
      <c r="AA256" s="372">
        <v>1095.7161432</v>
      </c>
      <c r="AB256" s="372">
        <v>402.58281899999997</v>
      </c>
      <c r="AC256" s="372">
        <v>1149.6946299000001</v>
      </c>
      <c r="AD256" s="372">
        <v>4116.1160946</v>
      </c>
      <c r="AE256" s="372">
        <v>6500.29</v>
      </c>
      <c r="AF256" s="372">
        <v>7299.43</v>
      </c>
      <c r="AG256" s="372">
        <v>7896.6</v>
      </c>
      <c r="AH256" s="372">
        <v>8560</v>
      </c>
    </row>
    <row r="257" spans="1:34">
      <c r="A257" s="372" t="s">
        <v>2444</v>
      </c>
      <c r="B257" s="373" t="s">
        <v>2445</v>
      </c>
      <c r="C257" s="372" t="s">
        <v>2446</v>
      </c>
      <c r="D257" s="374">
        <v>1101118626561</v>
      </c>
      <c r="E257" s="372" t="s">
        <v>2447</v>
      </c>
      <c r="F257" s="375" t="s">
        <v>824</v>
      </c>
      <c r="G257" s="375" t="s">
        <v>825</v>
      </c>
      <c r="H257" s="375" t="s">
        <v>826</v>
      </c>
      <c r="I257" s="375" t="s">
        <v>754</v>
      </c>
      <c r="J257" s="375">
        <v>274294.13770000002</v>
      </c>
      <c r="K257" s="375">
        <v>3070.0992200000001</v>
      </c>
      <c r="L257" s="375">
        <v>-3244.5679599999999</v>
      </c>
      <c r="M257" s="375">
        <v>118836.86134</v>
      </c>
      <c r="N257" s="372" t="s">
        <v>1026</v>
      </c>
      <c r="O257" s="704">
        <v>10.717618572701289</v>
      </c>
      <c r="P257" s="375" t="s">
        <v>622</v>
      </c>
      <c r="Q257" s="375" t="s">
        <v>622</v>
      </c>
      <c r="R257" s="696">
        <v>20230531</v>
      </c>
      <c r="S257" s="375" t="s">
        <v>2448</v>
      </c>
      <c r="T257" s="697" t="s">
        <v>771</v>
      </c>
      <c r="U257" s="375" t="s">
        <v>2449</v>
      </c>
      <c r="V257" s="723">
        <v>0</v>
      </c>
      <c r="W257" s="723">
        <v>0</v>
      </c>
      <c r="X257" s="723">
        <v>0</v>
      </c>
      <c r="Y257" s="723">
        <v>0</v>
      </c>
      <c r="Z257" s="382" t="s">
        <v>927</v>
      </c>
      <c r="AA257" s="372">
        <v>0</v>
      </c>
      <c r="AB257" s="372">
        <v>0</v>
      </c>
      <c r="AC257" s="372">
        <v>0</v>
      </c>
      <c r="AD257" s="372">
        <v>1175.2861493</v>
      </c>
      <c r="AE257" s="372">
        <v>0</v>
      </c>
      <c r="AF257" s="372">
        <v>0</v>
      </c>
      <c r="AG257" s="372">
        <v>0</v>
      </c>
      <c r="AH257" s="372">
        <v>0</v>
      </c>
    </row>
    <row r="258" spans="1:34">
      <c r="A258" s="372" t="s">
        <v>2450</v>
      </c>
      <c r="B258" s="373" t="s">
        <v>2451</v>
      </c>
      <c r="C258" s="372" t="s">
        <v>2452</v>
      </c>
      <c r="D258" s="374">
        <v>1311110047918</v>
      </c>
      <c r="E258" s="372" t="s">
        <v>2453</v>
      </c>
      <c r="F258" s="372" t="s">
        <v>1656</v>
      </c>
      <c r="G258" s="375" t="s">
        <v>1656</v>
      </c>
      <c r="H258" s="375" t="s">
        <v>861</v>
      </c>
      <c r="I258" s="375" t="s">
        <v>862</v>
      </c>
      <c r="J258" s="375">
        <v>173456.52210999999</v>
      </c>
      <c r="K258" s="375">
        <v>14559.37206</v>
      </c>
      <c r="L258" s="375">
        <v>17383.878659999998</v>
      </c>
      <c r="M258" s="375">
        <v>175194.33558000001</v>
      </c>
      <c r="N258" s="372">
        <v>0.91300000000000003</v>
      </c>
      <c r="O258" s="704">
        <v>4.311446259206809</v>
      </c>
      <c r="P258" s="375" t="s">
        <v>622</v>
      </c>
      <c r="Q258" s="372" t="s">
        <v>622</v>
      </c>
      <c r="R258" s="696">
        <v>20050125</v>
      </c>
      <c r="S258" s="375" t="s">
        <v>2454</v>
      </c>
      <c r="T258" s="697">
        <v>0.20900000000000002</v>
      </c>
      <c r="U258" s="375" t="s">
        <v>2455</v>
      </c>
      <c r="V258" s="723">
        <v>26.39</v>
      </c>
      <c r="W258" s="723">
        <v>2.57</v>
      </c>
      <c r="X258" s="723">
        <v>2.63</v>
      </c>
      <c r="Y258" s="723">
        <v>54.19</v>
      </c>
      <c r="Z258" s="382" t="s">
        <v>927</v>
      </c>
      <c r="AA258" s="372">
        <v>1269.5276961</v>
      </c>
      <c r="AB258" s="372">
        <v>1933.1467587</v>
      </c>
      <c r="AC258" s="372">
        <v>1582.5806288000001</v>
      </c>
      <c r="AD258" s="372">
        <v>1458.9979358999999</v>
      </c>
      <c r="AE258" s="372">
        <v>0</v>
      </c>
      <c r="AF258" s="372">
        <v>0</v>
      </c>
      <c r="AG258" s="372">
        <v>0</v>
      </c>
      <c r="AH258" s="372">
        <v>0</v>
      </c>
    </row>
    <row r="259" spans="1:34">
      <c r="A259" s="372" t="s">
        <v>2456</v>
      </c>
      <c r="B259" s="373" t="s">
        <v>2457</v>
      </c>
      <c r="C259" s="372" t="s">
        <v>2458</v>
      </c>
      <c r="D259" s="374">
        <v>1101113326588</v>
      </c>
      <c r="E259" s="372" t="s">
        <v>2459</v>
      </c>
      <c r="F259" s="375" t="s">
        <v>2460</v>
      </c>
      <c r="G259" s="375" t="s">
        <v>2460</v>
      </c>
      <c r="H259" s="375" t="s">
        <v>817</v>
      </c>
      <c r="I259" s="375" t="s">
        <v>754</v>
      </c>
      <c r="J259" s="375">
        <v>2726638.76841</v>
      </c>
      <c r="K259" s="375">
        <v>266353.94615999999</v>
      </c>
      <c r="L259" s="375">
        <v>118365.66314</v>
      </c>
      <c r="M259" s="375">
        <v>1389166.92719</v>
      </c>
      <c r="N259" s="372">
        <v>0.59099999999999997</v>
      </c>
      <c r="O259" s="704">
        <v>420.8097728278596</v>
      </c>
      <c r="P259" s="375" t="s">
        <v>622</v>
      </c>
      <c r="Q259" s="375" t="s">
        <v>622</v>
      </c>
      <c r="R259" s="696">
        <v>20210819</v>
      </c>
      <c r="S259" s="375" t="s">
        <v>2461</v>
      </c>
      <c r="T259" s="697">
        <v>0.23100000000000001</v>
      </c>
      <c r="U259" s="375" t="s">
        <v>2462</v>
      </c>
      <c r="V259" s="723">
        <v>3.74</v>
      </c>
      <c r="W259" s="723">
        <v>0.79</v>
      </c>
      <c r="X259" s="723">
        <v>0.41</v>
      </c>
      <c r="Y259" s="723">
        <v>13.01</v>
      </c>
      <c r="Z259" s="382">
        <v>3.7664227390409089E-2</v>
      </c>
      <c r="AA259" s="372">
        <v>22520.727878400001</v>
      </c>
      <c r="AB259" s="372">
        <v>24226.588384899998</v>
      </c>
      <c r="AC259" s="372">
        <v>27389.395892699999</v>
      </c>
      <c r="AD259" s="372">
        <v>27522.9210509</v>
      </c>
      <c r="AE259" s="372">
        <v>27893.79</v>
      </c>
      <c r="AF259" s="372">
        <v>30099.29</v>
      </c>
      <c r="AG259" s="372">
        <v>31909.64</v>
      </c>
      <c r="AH259" s="372">
        <v>0</v>
      </c>
    </row>
    <row r="260" spans="1:34">
      <c r="A260" s="372" t="s">
        <v>2463</v>
      </c>
      <c r="B260" s="373" t="s">
        <v>2464</v>
      </c>
      <c r="C260" s="372" t="s">
        <v>2465</v>
      </c>
      <c r="D260" s="374">
        <v>1615110176036</v>
      </c>
      <c r="E260" s="372" t="s">
        <v>2466</v>
      </c>
      <c r="F260" s="375" t="s">
        <v>1275</v>
      </c>
      <c r="G260" s="375" t="s">
        <v>1275</v>
      </c>
      <c r="H260" s="375" t="s">
        <v>861</v>
      </c>
      <c r="I260" s="375" t="s">
        <v>862</v>
      </c>
      <c r="J260" s="375">
        <v>205545.00176000001</v>
      </c>
      <c r="K260" s="375">
        <v>44561.839390000001</v>
      </c>
      <c r="L260" s="375">
        <v>45351.383540000003</v>
      </c>
      <c r="M260" s="375">
        <v>382675.31906000001</v>
      </c>
      <c r="N260" s="372">
        <v>0.59899999999999998</v>
      </c>
      <c r="O260" s="704">
        <v>3.380386318895042</v>
      </c>
      <c r="P260" s="375" t="s">
        <v>622</v>
      </c>
      <c r="Q260" s="375" t="s">
        <v>622</v>
      </c>
      <c r="R260" s="696">
        <v>20150206</v>
      </c>
      <c r="S260" s="375" t="s">
        <v>2467</v>
      </c>
      <c r="T260" s="697">
        <v>0.23100000000000001</v>
      </c>
      <c r="U260" s="375" t="s">
        <v>2468</v>
      </c>
      <c r="V260" s="723">
        <v>14.39</v>
      </c>
      <c r="W260" s="723">
        <v>1.99</v>
      </c>
      <c r="X260" s="723">
        <v>3.79</v>
      </c>
      <c r="Y260" s="723">
        <v>20.23</v>
      </c>
      <c r="Z260" s="382">
        <v>0.14675693706649784</v>
      </c>
      <c r="AA260" s="372">
        <v>1441.6264718</v>
      </c>
      <c r="AB260" s="372">
        <v>1913.5800134000001</v>
      </c>
      <c r="AC260" s="372">
        <v>1766.7717318</v>
      </c>
      <c r="AD260" s="372">
        <v>1637.0214326</v>
      </c>
      <c r="AE260" s="372">
        <v>2116.81</v>
      </c>
      <c r="AF260" s="372">
        <v>2348.48</v>
      </c>
      <c r="AG260" s="372">
        <v>2831</v>
      </c>
      <c r="AH260" s="372">
        <v>0</v>
      </c>
    </row>
    <row r="261" spans="1:34">
      <c r="A261" s="372" t="s">
        <v>2469</v>
      </c>
      <c r="B261" s="373" t="s">
        <v>2470</v>
      </c>
      <c r="C261" s="372" t="s">
        <v>2471</v>
      </c>
      <c r="D261" s="374">
        <v>1615110086227</v>
      </c>
      <c r="E261" s="372" t="s">
        <v>2472</v>
      </c>
      <c r="F261" s="375" t="s">
        <v>769</v>
      </c>
      <c r="G261" s="375" t="s">
        <v>769</v>
      </c>
      <c r="H261" s="375" t="s">
        <v>861</v>
      </c>
      <c r="I261" s="375" t="s">
        <v>862</v>
      </c>
      <c r="J261" s="375">
        <v>217219.65917</v>
      </c>
      <c r="K261" s="375">
        <v>27876.45537</v>
      </c>
      <c r="L261" s="375">
        <v>24704.008620000001</v>
      </c>
      <c r="M261" s="375">
        <v>353285.04580000002</v>
      </c>
      <c r="N261" s="372">
        <v>1.135</v>
      </c>
      <c r="O261" s="704">
        <v>35.170125190114604</v>
      </c>
      <c r="P261" s="375" t="s">
        <v>622</v>
      </c>
      <c r="Q261" s="375" t="s">
        <v>622</v>
      </c>
      <c r="R261" s="696">
        <v>20170428</v>
      </c>
      <c r="S261" s="375" t="s">
        <v>2473</v>
      </c>
      <c r="T261" s="697">
        <v>0.23100000000000001</v>
      </c>
      <c r="U261" s="372" t="s">
        <v>2474</v>
      </c>
      <c r="V261" s="723">
        <v>12.93</v>
      </c>
      <c r="W261" s="723">
        <v>1.77</v>
      </c>
      <c r="X261" s="723">
        <v>2.92</v>
      </c>
      <c r="Y261" s="723">
        <v>34.01</v>
      </c>
      <c r="Z261" s="382">
        <v>9.1618274034875435E-2</v>
      </c>
      <c r="AA261" s="372">
        <v>2006.8545323999999</v>
      </c>
      <c r="AB261" s="372">
        <v>2711.005647</v>
      </c>
      <c r="AC261" s="372">
        <v>3073.2440068000001</v>
      </c>
      <c r="AD261" s="372">
        <v>2335.7671629000001</v>
      </c>
      <c r="AE261" s="372">
        <v>2498</v>
      </c>
      <c r="AF261" s="372">
        <v>3129.4</v>
      </c>
      <c r="AG261" s="372">
        <v>3316.75</v>
      </c>
      <c r="AH261" s="372">
        <v>0</v>
      </c>
    </row>
    <row r="262" spans="1:34">
      <c r="A262" s="372" t="s">
        <v>2475</v>
      </c>
      <c r="B262" s="373" t="s">
        <v>2476</v>
      </c>
      <c r="C262" s="372" t="s">
        <v>2477</v>
      </c>
      <c r="D262" s="374">
        <v>1101110003824</v>
      </c>
      <c r="E262" s="372" t="s">
        <v>2478</v>
      </c>
      <c r="F262" s="375" t="s">
        <v>1033</v>
      </c>
      <c r="G262" s="375" t="s">
        <v>1034</v>
      </c>
      <c r="H262" s="375" t="s">
        <v>812</v>
      </c>
      <c r="I262" s="375" t="s">
        <v>754</v>
      </c>
      <c r="J262" s="375">
        <v>3018743.97169</v>
      </c>
      <c r="K262" s="375">
        <v>-177284.24421</v>
      </c>
      <c r="L262" s="375">
        <v>-124019.63253</v>
      </c>
      <c r="M262" s="375">
        <v>4329226.8677500002</v>
      </c>
      <c r="N262" s="372">
        <v>1.2789999999999999</v>
      </c>
      <c r="O262" s="704">
        <v>112.70771651365534</v>
      </c>
      <c r="P262" s="375" t="s">
        <v>622</v>
      </c>
      <c r="Q262" s="375" t="s">
        <v>622</v>
      </c>
      <c r="R262" s="696">
        <v>19760612</v>
      </c>
      <c r="S262" s="375" t="s">
        <v>2479</v>
      </c>
      <c r="T262" s="697" t="s">
        <v>771</v>
      </c>
      <c r="U262" s="375" t="s">
        <v>2480</v>
      </c>
      <c r="V262" s="723" t="s">
        <v>773</v>
      </c>
      <c r="W262" s="723">
        <v>0.17</v>
      </c>
      <c r="X262" s="723">
        <v>0.22</v>
      </c>
      <c r="Y262" s="723" t="s">
        <v>773</v>
      </c>
      <c r="Z262" s="382" t="s">
        <v>927</v>
      </c>
      <c r="AA262" s="372">
        <v>31834.327772600001</v>
      </c>
      <c r="AB262" s="372">
        <v>35820.748263599999</v>
      </c>
      <c r="AC262" s="372">
        <v>44294.881666000001</v>
      </c>
      <c r="AD262" s="372">
        <v>37617.326322599998</v>
      </c>
      <c r="AE262" s="372">
        <v>36250</v>
      </c>
      <c r="AF262" s="372">
        <v>38790</v>
      </c>
      <c r="AG262" s="372">
        <v>0</v>
      </c>
      <c r="AH262" s="372">
        <v>0</v>
      </c>
    </row>
    <row r="263" spans="1:34">
      <c r="A263" s="372" t="s">
        <v>2481</v>
      </c>
      <c r="B263" s="373" t="s">
        <v>2482</v>
      </c>
      <c r="C263" s="372" t="s">
        <v>2483</v>
      </c>
      <c r="D263" s="374">
        <v>1913110003485</v>
      </c>
      <c r="E263" s="372" t="s">
        <v>2484</v>
      </c>
      <c r="F263" s="375" t="s">
        <v>2485</v>
      </c>
      <c r="G263" s="375" t="s">
        <v>2486</v>
      </c>
      <c r="H263" s="375" t="s">
        <v>812</v>
      </c>
      <c r="I263" s="375" t="s">
        <v>754</v>
      </c>
      <c r="J263" s="375">
        <v>710819.02555000002</v>
      </c>
      <c r="K263" s="375">
        <v>49663.368739999998</v>
      </c>
      <c r="L263" s="375">
        <v>28180.334920000001</v>
      </c>
      <c r="M263" s="375">
        <v>715677.96152999997</v>
      </c>
      <c r="N263" s="372">
        <v>0.91</v>
      </c>
      <c r="O263" s="704">
        <v>25.69036691640439</v>
      </c>
      <c r="P263" s="375" t="s">
        <v>622</v>
      </c>
      <c r="Q263" s="375" t="s">
        <v>622</v>
      </c>
      <c r="R263" s="696">
        <v>20080801</v>
      </c>
      <c r="S263" s="375" t="s">
        <v>2487</v>
      </c>
      <c r="T263" s="697">
        <v>0.23100000000000001</v>
      </c>
      <c r="U263" s="375" t="s">
        <v>15840</v>
      </c>
      <c r="V263" s="723">
        <v>12.52</v>
      </c>
      <c r="W263" s="723">
        <v>1.25</v>
      </c>
      <c r="X263" s="723">
        <v>1.25</v>
      </c>
      <c r="Y263" s="723">
        <v>34.14</v>
      </c>
      <c r="Z263" s="382">
        <v>7.6021880988291102E-2</v>
      </c>
      <c r="AA263" s="372">
        <v>4272.3922583000003</v>
      </c>
      <c r="AB263" s="372">
        <v>5030.6040007000001</v>
      </c>
      <c r="AC263" s="372">
        <v>6918.3013922</v>
      </c>
      <c r="AD263" s="372">
        <v>9258.3567583999993</v>
      </c>
      <c r="AE263" s="372">
        <v>7183.8</v>
      </c>
      <c r="AF263" s="372">
        <v>10182</v>
      </c>
      <c r="AG263" s="372">
        <v>12411.33</v>
      </c>
      <c r="AH263" s="372">
        <v>17060</v>
      </c>
    </row>
    <row r="264" spans="1:34">
      <c r="A264" s="372" t="s">
        <v>2488</v>
      </c>
      <c r="B264" s="373" t="s">
        <v>2489</v>
      </c>
      <c r="C264" s="372" t="s">
        <v>2490</v>
      </c>
      <c r="D264" s="374">
        <v>1345110078029</v>
      </c>
      <c r="E264" s="372" t="s">
        <v>2491</v>
      </c>
      <c r="F264" s="375" t="s">
        <v>1962</v>
      </c>
      <c r="G264" s="375" t="s">
        <v>1962</v>
      </c>
      <c r="H264" s="375" t="s">
        <v>861</v>
      </c>
      <c r="I264" s="375" t="s">
        <v>862</v>
      </c>
      <c r="J264" s="375">
        <v>40208.820619999999</v>
      </c>
      <c r="K264" s="375">
        <v>7199.3831200000004</v>
      </c>
      <c r="L264" s="375">
        <v>13003.38229</v>
      </c>
      <c r="M264" s="375">
        <v>204973.08025</v>
      </c>
      <c r="N264" s="372" t="s">
        <v>1026</v>
      </c>
      <c r="O264" s="704">
        <v>4.2300667896201283</v>
      </c>
      <c r="P264" s="375" t="s">
        <v>622</v>
      </c>
      <c r="Q264" s="375" t="s">
        <v>622</v>
      </c>
      <c r="R264" s="696">
        <v>20230524</v>
      </c>
      <c r="S264" s="375" t="s">
        <v>2492</v>
      </c>
      <c r="T264" s="697">
        <v>0.20900000000000002</v>
      </c>
      <c r="U264" s="375" t="s">
        <v>2493</v>
      </c>
      <c r="V264" s="723">
        <v>0</v>
      </c>
      <c r="W264" s="723">
        <v>0</v>
      </c>
      <c r="X264" s="723">
        <v>0</v>
      </c>
      <c r="Y264" s="723">
        <v>0</v>
      </c>
      <c r="Z264" s="382" t="s">
        <v>927</v>
      </c>
      <c r="AA264" s="372">
        <v>680.74131320000004</v>
      </c>
      <c r="AB264" s="372">
        <v>439.73155100000002</v>
      </c>
      <c r="AC264" s="372">
        <v>997.27656930000001</v>
      </c>
      <c r="AD264" s="372">
        <v>914.22516770000004</v>
      </c>
      <c r="AE264" s="372">
        <v>0</v>
      </c>
      <c r="AF264" s="372">
        <v>0</v>
      </c>
      <c r="AG264" s="372">
        <v>0</v>
      </c>
      <c r="AH264" s="372">
        <v>0</v>
      </c>
    </row>
    <row r="265" spans="1:34">
      <c r="A265" s="372" t="s">
        <v>2494</v>
      </c>
      <c r="B265" s="373" t="s">
        <v>2495</v>
      </c>
      <c r="C265" s="372" t="s">
        <v>2496</v>
      </c>
      <c r="D265" s="374">
        <v>1101110185276</v>
      </c>
      <c r="E265" s="372" t="s">
        <v>2497</v>
      </c>
      <c r="F265" s="375" t="s">
        <v>1947</v>
      </c>
      <c r="G265" s="375" t="s">
        <v>2498</v>
      </c>
      <c r="H265" s="375" t="s">
        <v>826</v>
      </c>
      <c r="I265" s="375" t="s">
        <v>754</v>
      </c>
      <c r="J265" s="375">
        <v>2167715.4967499999</v>
      </c>
      <c r="K265" s="375">
        <v>-53223.141320000002</v>
      </c>
      <c r="L265" s="375">
        <v>47596.637900000002</v>
      </c>
      <c r="M265" s="375">
        <v>3903689.66756</v>
      </c>
      <c r="N265" s="372">
        <v>0.98699999999999999</v>
      </c>
      <c r="O265" s="704">
        <v>17.989007222380149</v>
      </c>
      <c r="P265" s="375" t="s">
        <v>622</v>
      </c>
      <c r="Q265" s="375" t="s">
        <v>622</v>
      </c>
      <c r="R265" s="696">
        <v>19751227</v>
      </c>
      <c r="S265" s="375" t="s">
        <v>2499</v>
      </c>
      <c r="T265" s="697">
        <v>0.23100000000000001</v>
      </c>
      <c r="U265" s="372" t="s">
        <v>2500</v>
      </c>
      <c r="V265" s="723" t="s">
        <v>773</v>
      </c>
      <c r="W265" s="723">
        <v>0.18</v>
      </c>
      <c r="X265" s="723">
        <v>0.34</v>
      </c>
      <c r="Y265" s="723">
        <v>22.19</v>
      </c>
      <c r="Z265" s="382" t="s">
        <v>927</v>
      </c>
      <c r="AA265" s="372">
        <v>17405.882274</v>
      </c>
      <c r="AB265" s="372">
        <v>25918.462499900001</v>
      </c>
      <c r="AC265" s="372">
        <v>26065.963066699998</v>
      </c>
      <c r="AD265" s="372">
        <v>22654.899182000001</v>
      </c>
      <c r="AE265" s="372">
        <v>0</v>
      </c>
      <c r="AF265" s="372">
        <v>0</v>
      </c>
      <c r="AG265" s="372">
        <v>0</v>
      </c>
      <c r="AH265" s="372">
        <v>0</v>
      </c>
    </row>
    <row r="266" spans="1:34">
      <c r="A266" s="372" t="s">
        <v>2501</v>
      </c>
      <c r="B266" s="373" t="s">
        <v>2502</v>
      </c>
      <c r="C266" s="372" t="s">
        <v>2503</v>
      </c>
      <c r="D266" s="374">
        <v>1101114855924</v>
      </c>
      <c r="E266" s="372" t="s">
        <v>2504</v>
      </c>
      <c r="F266" s="375" t="s">
        <v>1006</v>
      </c>
      <c r="G266" s="375" t="s">
        <v>1006</v>
      </c>
      <c r="H266" s="375" t="s">
        <v>817</v>
      </c>
      <c r="I266" s="375" t="s">
        <v>754</v>
      </c>
      <c r="J266" s="375">
        <v>631151.98427000002</v>
      </c>
      <c r="K266" s="375">
        <v>251066.84203999999</v>
      </c>
      <c r="L266" s="375">
        <v>274733.01818999997</v>
      </c>
      <c r="M266" s="375">
        <v>1362905.2387000001</v>
      </c>
      <c r="N266" s="372">
        <v>0.71199999999999997</v>
      </c>
      <c r="O266" s="704">
        <v>4.3969791616064358</v>
      </c>
      <c r="P266" s="375" t="s">
        <v>622</v>
      </c>
      <c r="Q266" s="372" t="s">
        <v>622</v>
      </c>
      <c r="R266" s="696">
        <v>20151104</v>
      </c>
      <c r="S266" s="372" t="s">
        <v>2505</v>
      </c>
      <c r="T266" s="697">
        <v>0.23100000000000001</v>
      </c>
      <c r="U266" s="375" t="s">
        <v>2506</v>
      </c>
      <c r="V266" s="723">
        <v>5.49</v>
      </c>
      <c r="W266" s="723">
        <v>1.02</v>
      </c>
      <c r="X266" s="723">
        <v>1.7</v>
      </c>
      <c r="Y266" s="723">
        <v>6.63</v>
      </c>
      <c r="Z266" s="382">
        <v>5.795546144454633E-2</v>
      </c>
      <c r="AA266" s="372">
        <v>6581.7593852</v>
      </c>
      <c r="AB266" s="372">
        <v>6240.6077347</v>
      </c>
      <c r="AC266" s="372">
        <v>6172.6201951000003</v>
      </c>
      <c r="AD266" s="372">
        <v>5823.3357500000002</v>
      </c>
      <c r="AE266" s="372">
        <v>6473.83</v>
      </c>
      <c r="AF266" s="372">
        <v>6864.67</v>
      </c>
      <c r="AG266" s="372">
        <v>7295.27</v>
      </c>
      <c r="AH266" s="372">
        <v>8310</v>
      </c>
    </row>
    <row r="267" spans="1:34">
      <c r="A267" s="372" t="s">
        <v>2507</v>
      </c>
      <c r="B267" s="373" t="s">
        <v>2508</v>
      </c>
      <c r="C267" s="372" t="s">
        <v>2509</v>
      </c>
      <c r="D267" s="374">
        <v>1341110011712</v>
      </c>
      <c r="E267" s="372" t="s">
        <v>2510</v>
      </c>
      <c r="F267" s="375" t="s">
        <v>2511</v>
      </c>
      <c r="G267" s="375" t="s">
        <v>2511</v>
      </c>
      <c r="H267" s="375" t="s">
        <v>826</v>
      </c>
      <c r="I267" s="375" t="s">
        <v>754</v>
      </c>
      <c r="J267" s="375">
        <v>1301267.0218100001</v>
      </c>
      <c r="K267" s="375">
        <v>88793.143070000006</v>
      </c>
      <c r="L267" s="375">
        <v>75795.118390000003</v>
      </c>
      <c r="M267" s="375">
        <v>813463.99010000005</v>
      </c>
      <c r="N267" s="372">
        <v>1.081</v>
      </c>
      <c r="O267" s="704">
        <v>38.561692953886258</v>
      </c>
      <c r="P267" s="375" t="s">
        <v>622</v>
      </c>
      <c r="Q267" s="375" t="s">
        <v>622</v>
      </c>
      <c r="R267" s="696">
        <v>19940329</v>
      </c>
      <c r="S267" s="375" t="s">
        <v>2512</v>
      </c>
      <c r="T267" s="697">
        <v>0.23100000000000001</v>
      </c>
      <c r="U267" s="375" t="s">
        <v>2513</v>
      </c>
      <c r="V267" s="723">
        <v>9.42</v>
      </c>
      <c r="W267" s="723">
        <v>1.59</v>
      </c>
      <c r="X267" s="723">
        <v>0.99</v>
      </c>
      <c r="Y267" s="723">
        <v>18.97</v>
      </c>
      <c r="Z267" s="382">
        <v>4.7661697740125852E-2</v>
      </c>
      <c r="AA267" s="372">
        <v>10785.395439899999</v>
      </c>
      <c r="AB267" s="372">
        <v>12508.822703100001</v>
      </c>
      <c r="AC267" s="372">
        <v>14369.994515599999</v>
      </c>
      <c r="AD267" s="372">
        <v>12766.506464100001</v>
      </c>
      <c r="AE267" s="372">
        <v>13460</v>
      </c>
      <c r="AF267" s="372">
        <v>14570</v>
      </c>
      <c r="AG267" s="372">
        <v>15380</v>
      </c>
      <c r="AH267" s="372">
        <v>0</v>
      </c>
    </row>
    <row r="268" spans="1:34">
      <c r="A268" s="372" t="s">
        <v>2514</v>
      </c>
      <c r="B268" s="373" t="s">
        <v>2515</v>
      </c>
      <c r="C268" s="372" t="s">
        <v>2516</v>
      </c>
      <c r="D268" s="374">
        <v>1101110414758</v>
      </c>
      <c r="E268" s="372" t="s">
        <v>2517</v>
      </c>
      <c r="F268" s="375" t="s">
        <v>2518</v>
      </c>
      <c r="G268" s="375" t="s">
        <v>2518</v>
      </c>
      <c r="H268" s="375" t="s">
        <v>817</v>
      </c>
      <c r="I268" s="375" t="s">
        <v>754</v>
      </c>
      <c r="J268" s="375">
        <v>10121104.834070001</v>
      </c>
      <c r="K268" s="375">
        <v>721252.71880000003</v>
      </c>
      <c r="L268" s="375">
        <v>728825.77683999995</v>
      </c>
      <c r="M268" s="375">
        <v>6148636.6408200003</v>
      </c>
      <c r="N268" s="372">
        <v>1.1040000000000001</v>
      </c>
      <c r="O268" s="704">
        <v>56.938836323148493</v>
      </c>
      <c r="P268" s="375" t="s">
        <v>622</v>
      </c>
      <c r="Q268" s="375" t="s">
        <v>622</v>
      </c>
      <c r="R268" s="696">
        <v>19970827</v>
      </c>
      <c r="S268" s="375" t="s">
        <v>2519</v>
      </c>
      <c r="T268" s="697">
        <v>0.26400000000000001</v>
      </c>
      <c r="U268" s="372" t="s">
        <v>2520</v>
      </c>
      <c r="V268" s="723">
        <v>5.38</v>
      </c>
      <c r="W268" s="723">
        <v>0.28999999999999998</v>
      </c>
      <c r="X268" s="723">
        <v>0.08</v>
      </c>
      <c r="Y268" s="723">
        <v>3.81</v>
      </c>
      <c r="Z268" s="382" t="s">
        <v>927</v>
      </c>
      <c r="AA268" s="372">
        <v>47329.3510398</v>
      </c>
      <c r="AB268" s="372">
        <v>60869.804018900002</v>
      </c>
      <c r="AC268" s="372">
        <v>92106.103130799995</v>
      </c>
      <c r="AD268" s="372">
        <v>98551.417971300005</v>
      </c>
      <c r="AE268" s="372">
        <v>0</v>
      </c>
      <c r="AF268" s="372">
        <v>0</v>
      </c>
      <c r="AG268" s="372">
        <v>0</v>
      </c>
      <c r="AH268" s="372">
        <v>0</v>
      </c>
    </row>
    <row r="269" spans="1:34">
      <c r="A269" s="372" t="s">
        <v>2521</v>
      </c>
      <c r="B269" s="373" t="s">
        <v>2522</v>
      </c>
      <c r="C269" s="372" t="s">
        <v>2523</v>
      </c>
      <c r="D269" s="374">
        <v>1501110307674</v>
      </c>
      <c r="E269" s="372" t="s">
        <v>2524</v>
      </c>
      <c r="F269" s="372" t="s">
        <v>1357</v>
      </c>
      <c r="G269" s="375" t="s">
        <v>1357</v>
      </c>
      <c r="H269" s="375" t="s">
        <v>861</v>
      </c>
      <c r="I269" s="375" t="s">
        <v>862</v>
      </c>
      <c r="J269" s="375">
        <v>202012.06229999999</v>
      </c>
      <c r="K269" s="375">
        <v>23796.36105</v>
      </c>
      <c r="L269" s="375">
        <v>23065.8305</v>
      </c>
      <c r="M269" s="375">
        <v>117050.93552</v>
      </c>
      <c r="N269" s="372">
        <v>1.236</v>
      </c>
      <c r="O269" s="704">
        <v>13.792178907773463</v>
      </c>
      <c r="P269" s="375" t="s">
        <v>622</v>
      </c>
      <c r="Q269" s="375" t="s">
        <v>622</v>
      </c>
      <c r="R269" s="696">
        <v>20210528</v>
      </c>
      <c r="S269" s="375" t="s">
        <v>2525</v>
      </c>
      <c r="T269" s="697">
        <v>0.23100000000000001</v>
      </c>
      <c r="U269" s="372" t="s">
        <v>2526</v>
      </c>
      <c r="V269" s="723">
        <v>31.3</v>
      </c>
      <c r="W269" s="723">
        <v>7.05</v>
      </c>
      <c r="X269" s="723">
        <v>4.1900000000000004</v>
      </c>
      <c r="Y269" s="723">
        <v>41.82</v>
      </c>
      <c r="Z269" s="382" t="s">
        <v>927</v>
      </c>
      <c r="AA269" s="372">
        <v>0</v>
      </c>
      <c r="AB269" s="372">
        <v>909.04348389999996</v>
      </c>
      <c r="AC269" s="372">
        <v>2182.3774487000001</v>
      </c>
      <c r="AD269" s="372">
        <v>2289.4602319999999</v>
      </c>
      <c r="AE269" s="372">
        <v>3580</v>
      </c>
      <c r="AF269" s="372">
        <v>5500</v>
      </c>
      <c r="AG269" s="372">
        <v>0</v>
      </c>
      <c r="AH269" s="372">
        <v>0</v>
      </c>
    </row>
    <row r="270" spans="1:34">
      <c r="A270" s="372" t="s">
        <v>2527</v>
      </c>
      <c r="B270" s="373" t="s">
        <v>2528</v>
      </c>
      <c r="C270" s="372" t="s">
        <v>2529</v>
      </c>
      <c r="D270" s="374">
        <v>1311110057925</v>
      </c>
      <c r="E270" s="372" t="s">
        <v>2530</v>
      </c>
      <c r="F270" s="375" t="s">
        <v>1276</v>
      </c>
      <c r="G270" s="375" t="s">
        <v>1452</v>
      </c>
      <c r="H270" s="375" t="s">
        <v>861</v>
      </c>
      <c r="I270" s="375" t="s">
        <v>862</v>
      </c>
      <c r="J270" s="375">
        <v>171178.62413000001</v>
      </c>
      <c r="K270" s="375">
        <v>31607.118869999998</v>
      </c>
      <c r="L270" s="375">
        <v>35317.710099999997</v>
      </c>
      <c r="M270" s="375">
        <v>243192.53148999999</v>
      </c>
      <c r="N270" s="372">
        <v>1.341</v>
      </c>
      <c r="O270" s="704">
        <v>3.2474836476715367</v>
      </c>
      <c r="P270" s="375" t="s">
        <v>622</v>
      </c>
      <c r="Q270" s="372" t="s">
        <v>622</v>
      </c>
      <c r="R270" s="696">
        <v>20090414</v>
      </c>
      <c r="S270" s="375" t="s">
        <v>2531</v>
      </c>
      <c r="T270" s="697">
        <v>0.23100000000000001</v>
      </c>
      <c r="U270" s="375" t="s">
        <v>2532</v>
      </c>
      <c r="V270" s="723">
        <v>12.44</v>
      </c>
      <c r="W270" s="723">
        <v>2.2599999999999998</v>
      </c>
      <c r="X270" s="723">
        <v>3.25</v>
      </c>
      <c r="Y270" s="723">
        <v>18.75</v>
      </c>
      <c r="Z270" s="382">
        <v>0.23500700647584893</v>
      </c>
      <c r="AA270" s="372">
        <v>873.7436328</v>
      </c>
      <c r="AB270" s="372">
        <v>988.42798679999999</v>
      </c>
      <c r="AC270" s="372">
        <v>1235.0669545000001</v>
      </c>
      <c r="AD270" s="372">
        <v>1503.2040821999999</v>
      </c>
      <c r="AE270" s="372">
        <v>1769</v>
      </c>
      <c r="AF270" s="372">
        <v>2330.5</v>
      </c>
      <c r="AG270" s="372">
        <v>3497</v>
      </c>
      <c r="AH270" s="372">
        <v>0</v>
      </c>
    </row>
    <row r="271" spans="1:34">
      <c r="A271" s="372" t="s">
        <v>2533</v>
      </c>
      <c r="B271" s="373" t="s">
        <v>2534</v>
      </c>
      <c r="C271" s="372" t="s">
        <v>2535</v>
      </c>
      <c r="D271" s="374">
        <v>0</v>
      </c>
      <c r="E271" s="372" t="s">
        <v>2536</v>
      </c>
      <c r="F271" s="375" t="s">
        <v>16101</v>
      </c>
      <c r="G271" s="375" t="s">
        <v>16101</v>
      </c>
      <c r="H271" s="375">
        <v>0</v>
      </c>
      <c r="I271" s="375" t="s">
        <v>862</v>
      </c>
      <c r="J271" s="375">
        <v>5054.5730000000003</v>
      </c>
      <c r="K271" s="375">
        <v>-21068.411</v>
      </c>
      <c r="L271" s="375">
        <v>-18999.774000000001</v>
      </c>
      <c r="M271" s="375">
        <v>148868.30300000001</v>
      </c>
      <c r="N271" s="372">
        <v>0.70699999999999996</v>
      </c>
      <c r="O271" s="704">
        <v>1.3122982920229167</v>
      </c>
      <c r="P271" s="375" t="s">
        <v>622</v>
      </c>
      <c r="Q271" s="372" t="s">
        <v>622</v>
      </c>
      <c r="R271" s="696">
        <v>20171106</v>
      </c>
      <c r="S271" s="372" t="s">
        <v>2537</v>
      </c>
      <c r="T271" s="697" t="s">
        <v>771</v>
      </c>
      <c r="U271" s="375" t="s">
        <v>2538</v>
      </c>
      <c r="V271" s="723">
        <v>0</v>
      </c>
      <c r="W271" s="723">
        <v>0</v>
      </c>
      <c r="X271" s="723">
        <v>0</v>
      </c>
      <c r="Y271" s="723">
        <v>0</v>
      </c>
      <c r="Z271" s="382" t="s">
        <v>927</v>
      </c>
      <c r="AA271" s="372">
        <v>35.558419999999998</v>
      </c>
      <c r="AB271" s="372">
        <v>40.031500000000001</v>
      </c>
      <c r="AC271" s="372">
        <v>94.560429999999997</v>
      </c>
      <c r="AD271" s="372">
        <v>37.060589999999998</v>
      </c>
      <c r="AE271" s="372">
        <v>0</v>
      </c>
      <c r="AF271" s="372">
        <v>0</v>
      </c>
      <c r="AG271" s="372">
        <v>0</v>
      </c>
      <c r="AH271" s="372">
        <v>0</v>
      </c>
    </row>
    <row r="272" spans="1:34">
      <c r="A272" s="372" t="s">
        <v>2539</v>
      </c>
      <c r="B272" s="373" t="s">
        <v>2540</v>
      </c>
      <c r="C272" s="372" t="s">
        <v>2541</v>
      </c>
      <c r="D272" s="374">
        <v>1101110024698</v>
      </c>
      <c r="E272" s="372" t="s">
        <v>2542</v>
      </c>
      <c r="F272" s="375" t="s">
        <v>824</v>
      </c>
      <c r="G272" s="375" t="s">
        <v>825</v>
      </c>
      <c r="H272" s="375" t="s">
        <v>826</v>
      </c>
      <c r="I272" s="375" t="s">
        <v>754</v>
      </c>
      <c r="J272" s="375">
        <v>2759900.0472800001</v>
      </c>
      <c r="K272" s="375">
        <v>-60453.553480000002</v>
      </c>
      <c r="L272" s="375">
        <v>-46586.263350000001</v>
      </c>
      <c r="M272" s="375">
        <v>1790712.42936</v>
      </c>
      <c r="N272" s="372">
        <v>0.96199999999999997</v>
      </c>
      <c r="O272" s="704">
        <v>28.210308434137133</v>
      </c>
      <c r="P272" s="375" t="s">
        <v>622</v>
      </c>
      <c r="Q272" s="375" t="s">
        <v>622</v>
      </c>
      <c r="R272" s="696">
        <v>19990811</v>
      </c>
      <c r="S272" s="375" t="s">
        <v>2543</v>
      </c>
      <c r="T272" s="697" t="s">
        <v>771</v>
      </c>
      <c r="U272" s="375" t="s">
        <v>2544</v>
      </c>
      <c r="V272" s="723">
        <v>7.33</v>
      </c>
      <c r="W272" s="723">
        <v>0.42</v>
      </c>
      <c r="X272" s="723">
        <v>0.27</v>
      </c>
      <c r="Y272" s="723" t="s">
        <v>773</v>
      </c>
      <c r="Z272" s="382">
        <v>6.1455531051092249E-2</v>
      </c>
      <c r="AA272" s="372">
        <v>18827.333756799999</v>
      </c>
      <c r="AB272" s="372">
        <v>25148.516015099998</v>
      </c>
      <c r="AC272" s="372">
        <v>22220.709779199999</v>
      </c>
      <c r="AD272" s="372">
        <v>24999.726279400002</v>
      </c>
      <c r="AE272" s="372">
        <v>28091</v>
      </c>
      <c r="AF272" s="372">
        <v>29788.25</v>
      </c>
      <c r="AG272" s="372">
        <v>31735.29</v>
      </c>
      <c r="AH272" s="372">
        <v>0</v>
      </c>
    </row>
    <row r="273" spans="1:34">
      <c r="A273" s="372" t="s">
        <v>2545</v>
      </c>
      <c r="B273" s="373" t="s">
        <v>2546</v>
      </c>
      <c r="C273" s="372" t="s">
        <v>2547</v>
      </c>
      <c r="D273" s="374">
        <v>1101110004690</v>
      </c>
      <c r="E273" s="372" t="s">
        <v>2548</v>
      </c>
      <c r="F273" s="375" t="s">
        <v>2103</v>
      </c>
      <c r="G273" s="375" t="s">
        <v>2103</v>
      </c>
      <c r="H273" s="375" t="s">
        <v>855</v>
      </c>
      <c r="I273" s="375" t="s">
        <v>754</v>
      </c>
      <c r="J273" s="375">
        <v>3101313.19264</v>
      </c>
      <c r="K273" s="375">
        <v>481327.62433000002</v>
      </c>
      <c r="L273" s="375">
        <v>476666.18475000001</v>
      </c>
      <c r="M273" s="375">
        <v>4565878.3042000001</v>
      </c>
      <c r="N273" s="372">
        <v>0.55600000000000005</v>
      </c>
      <c r="O273" s="704">
        <v>13.924012816613343</v>
      </c>
      <c r="P273" s="375" t="s">
        <v>622</v>
      </c>
      <c r="Q273" s="372" t="s">
        <v>622</v>
      </c>
      <c r="R273" s="696">
        <v>19750627</v>
      </c>
      <c r="S273" s="372" t="s">
        <v>2549</v>
      </c>
      <c r="T273" s="697">
        <v>0.26400000000000001</v>
      </c>
      <c r="U273" s="375" t="s">
        <v>2550</v>
      </c>
      <c r="V273" s="723">
        <v>4.46</v>
      </c>
      <c r="W273" s="723">
        <v>0.44</v>
      </c>
      <c r="X273" s="723">
        <v>0.32</v>
      </c>
      <c r="Y273" s="723">
        <v>8.48</v>
      </c>
      <c r="Z273" s="382">
        <v>6.5911626829021186E-2</v>
      </c>
      <c r="AA273" s="372">
        <v>22804.873782800001</v>
      </c>
      <c r="AB273" s="372">
        <v>24150.591494600001</v>
      </c>
      <c r="AC273" s="372">
        <v>29346.2336063</v>
      </c>
      <c r="AD273" s="372">
        <v>29538.062658499999</v>
      </c>
      <c r="AE273" s="372">
        <v>32631.8</v>
      </c>
      <c r="AF273" s="372">
        <v>36991.5</v>
      </c>
      <c r="AG273" s="372">
        <v>38130</v>
      </c>
      <c r="AH273" s="372">
        <v>0</v>
      </c>
    </row>
    <row r="274" spans="1:34">
      <c r="A274" s="372" t="s">
        <v>2551</v>
      </c>
      <c r="B274" s="373" t="s">
        <v>2552</v>
      </c>
      <c r="C274" s="372" t="s">
        <v>2553</v>
      </c>
      <c r="D274" s="374">
        <v>1712110000958</v>
      </c>
      <c r="E274" s="372" t="s">
        <v>2554</v>
      </c>
      <c r="F274" s="375" t="s">
        <v>880</v>
      </c>
      <c r="G274" s="375" t="s">
        <v>880</v>
      </c>
      <c r="H274" s="375" t="s">
        <v>792</v>
      </c>
      <c r="I274" s="375" t="s">
        <v>754</v>
      </c>
      <c r="J274" s="375">
        <v>1624960.6557499999</v>
      </c>
      <c r="K274" s="375">
        <v>167520.04758000001</v>
      </c>
      <c r="L274" s="375">
        <v>157472.23108</v>
      </c>
      <c r="M274" s="375">
        <v>632300.76466999995</v>
      </c>
      <c r="N274" s="372">
        <v>1.2210000000000001</v>
      </c>
      <c r="O274" s="704">
        <v>38.922741020817092</v>
      </c>
      <c r="P274" s="375" t="s">
        <v>622</v>
      </c>
      <c r="Q274" s="375" t="s">
        <v>622</v>
      </c>
      <c r="R274" s="696">
        <v>20201207</v>
      </c>
      <c r="S274" s="375" t="s">
        <v>2555</v>
      </c>
      <c r="T274" s="697">
        <v>0.23100000000000001</v>
      </c>
      <c r="U274" s="375" t="s">
        <v>2556</v>
      </c>
      <c r="V274" s="723">
        <v>3.25</v>
      </c>
      <c r="W274" s="723">
        <v>1.08</v>
      </c>
      <c r="X274" s="723">
        <v>0.42</v>
      </c>
      <c r="Y274" s="723">
        <v>5.77</v>
      </c>
      <c r="Z274" s="382">
        <v>7.5475034480743108E-3</v>
      </c>
      <c r="AA274" s="372">
        <v>8090.2781338000004</v>
      </c>
      <c r="AB274" s="372">
        <v>11077.084336100001</v>
      </c>
      <c r="AC274" s="372">
        <v>15152.420905499999</v>
      </c>
      <c r="AD274" s="372">
        <v>17389.0509662</v>
      </c>
      <c r="AE274" s="372">
        <v>16720</v>
      </c>
      <c r="AF274" s="372">
        <v>17660</v>
      </c>
      <c r="AG274" s="372">
        <v>17920</v>
      </c>
      <c r="AH274" s="372">
        <v>0</v>
      </c>
    </row>
    <row r="275" spans="1:34">
      <c r="A275" s="372" t="s">
        <v>2557</v>
      </c>
      <c r="B275" s="373" t="s">
        <v>2558</v>
      </c>
      <c r="C275" s="372" t="s">
        <v>2559</v>
      </c>
      <c r="D275" s="374">
        <v>1101110012560</v>
      </c>
      <c r="E275" s="372" t="s">
        <v>2560</v>
      </c>
      <c r="F275" s="375" t="s">
        <v>1249</v>
      </c>
      <c r="G275" s="375" t="s">
        <v>1249</v>
      </c>
      <c r="H275" s="375" t="s">
        <v>784</v>
      </c>
      <c r="I275" s="375" t="s">
        <v>754</v>
      </c>
      <c r="J275" s="375">
        <v>991429.63427000004</v>
      </c>
      <c r="K275" s="375">
        <v>70697.529699999999</v>
      </c>
      <c r="L275" s="375">
        <v>56628.014479999998</v>
      </c>
      <c r="M275" s="375">
        <v>599063.35774999997</v>
      </c>
      <c r="N275" s="372">
        <v>0.90900000000000003</v>
      </c>
      <c r="O275" s="704">
        <v>25.351801986891232</v>
      </c>
      <c r="P275" s="375" t="s">
        <v>622</v>
      </c>
      <c r="Q275" s="372" t="s">
        <v>622</v>
      </c>
      <c r="R275" s="696">
        <v>19881024</v>
      </c>
      <c r="S275" s="375" t="s">
        <v>2561</v>
      </c>
      <c r="T275" s="697">
        <v>0.23100000000000001</v>
      </c>
      <c r="U275" s="375" t="s">
        <v>2562</v>
      </c>
      <c r="V275" s="723">
        <v>7.78</v>
      </c>
      <c r="W275" s="723">
        <v>1.19</v>
      </c>
      <c r="X275" s="723">
        <v>0.75</v>
      </c>
      <c r="Y275" s="723">
        <v>11.99</v>
      </c>
      <c r="Z275" s="382">
        <v>0.10090504369196873</v>
      </c>
      <c r="AA275" s="372">
        <v>5618.6659245000001</v>
      </c>
      <c r="AB275" s="372">
        <v>6272.7939004999998</v>
      </c>
      <c r="AC275" s="372">
        <v>7604.7584469000003</v>
      </c>
      <c r="AD275" s="372">
        <v>8596.2558575999992</v>
      </c>
      <c r="AE275" s="372">
        <v>10383.25</v>
      </c>
      <c r="AF275" s="372">
        <v>11519.25</v>
      </c>
      <c r="AG275" s="372">
        <v>12627.25</v>
      </c>
      <c r="AH275" s="372">
        <v>0</v>
      </c>
    </row>
    <row r="276" spans="1:34">
      <c r="A276" s="372" t="s">
        <v>2563</v>
      </c>
      <c r="B276" s="373" t="s">
        <v>2564</v>
      </c>
      <c r="C276" s="372" t="s">
        <v>2565</v>
      </c>
      <c r="D276" s="374">
        <v>1101110562804</v>
      </c>
      <c r="E276" s="372" t="s">
        <v>2566</v>
      </c>
      <c r="F276" s="375" t="s">
        <v>1089</v>
      </c>
      <c r="G276" s="375" t="s">
        <v>1089</v>
      </c>
      <c r="H276" s="375" t="s">
        <v>909</v>
      </c>
      <c r="I276" s="375" t="s">
        <v>754</v>
      </c>
      <c r="J276" s="375">
        <v>8249950.5549299996</v>
      </c>
      <c r="K276" s="375">
        <v>359448.89539999998</v>
      </c>
      <c r="L276" s="375">
        <v>90952.851729999995</v>
      </c>
      <c r="M276" s="375">
        <v>675721.02382</v>
      </c>
      <c r="N276" s="372">
        <v>0.73499999999999999</v>
      </c>
      <c r="O276" s="704">
        <v>897.86190832085299</v>
      </c>
      <c r="P276" s="375" t="s">
        <v>622</v>
      </c>
      <c r="Q276" s="372" t="s">
        <v>622</v>
      </c>
      <c r="R276" s="696">
        <v>19991222</v>
      </c>
      <c r="S276" s="372" t="s">
        <v>2567</v>
      </c>
      <c r="T276" s="697">
        <v>0.23100000000000001</v>
      </c>
      <c r="U276" s="375" t="s">
        <v>2568</v>
      </c>
      <c r="V276" s="723">
        <v>4.08</v>
      </c>
      <c r="W276" s="723">
        <v>1.36</v>
      </c>
      <c r="X276" s="723">
        <v>0.09</v>
      </c>
      <c r="Y276" s="723">
        <v>7.97</v>
      </c>
      <c r="Z276" s="382">
        <v>2.2286581583146114E-2</v>
      </c>
      <c r="AA276" s="372">
        <v>38781.331035800002</v>
      </c>
      <c r="AB276" s="372">
        <v>43397.064114200002</v>
      </c>
      <c r="AC276" s="372">
        <v>62066.693346699998</v>
      </c>
      <c r="AD276" s="372">
        <v>76233.483473600005</v>
      </c>
      <c r="AE276" s="372">
        <v>81950</v>
      </c>
      <c r="AF276" s="372">
        <v>83660</v>
      </c>
      <c r="AG276" s="372">
        <v>83260</v>
      </c>
      <c r="AH276" s="372">
        <v>0</v>
      </c>
    </row>
    <row r="277" spans="1:34">
      <c r="A277" s="372" t="s">
        <v>2569</v>
      </c>
      <c r="B277" s="373" t="s">
        <v>2570</v>
      </c>
      <c r="C277" s="372" t="s">
        <v>2571</v>
      </c>
      <c r="D277" s="374">
        <v>1615110027883</v>
      </c>
      <c r="E277" s="372" t="s">
        <v>2572</v>
      </c>
      <c r="F277" s="375" t="s">
        <v>1276</v>
      </c>
      <c r="G277" s="375" t="s">
        <v>1276</v>
      </c>
      <c r="H277" s="375" t="s">
        <v>753</v>
      </c>
      <c r="I277" s="375" t="s">
        <v>754</v>
      </c>
      <c r="J277" s="375">
        <v>1128275.12482</v>
      </c>
      <c r="K277" s="375">
        <v>29267.877649999999</v>
      </c>
      <c r="L277" s="375">
        <v>28932.20047</v>
      </c>
      <c r="M277" s="375">
        <v>495602.91505000001</v>
      </c>
      <c r="N277" s="372">
        <v>0.88800000000000001</v>
      </c>
      <c r="O277" s="704">
        <v>37.928016039320291</v>
      </c>
      <c r="P277" s="375" t="s">
        <v>622</v>
      </c>
      <c r="Q277" s="375" t="s">
        <v>622</v>
      </c>
      <c r="R277" s="696">
        <v>20190314</v>
      </c>
      <c r="S277" s="375" t="s">
        <v>2573</v>
      </c>
      <c r="T277" s="697">
        <v>0.23100000000000001</v>
      </c>
      <c r="U277" s="375" t="s">
        <v>2574</v>
      </c>
      <c r="V277" s="723">
        <v>9.32</v>
      </c>
      <c r="W277" s="723">
        <v>1.47</v>
      </c>
      <c r="X277" s="723">
        <v>0.52</v>
      </c>
      <c r="Y277" s="723">
        <v>52.39</v>
      </c>
      <c r="Z277" s="382">
        <v>8.9556346578303803E-2</v>
      </c>
      <c r="AA277" s="372">
        <v>9546.5945812000009</v>
      </c>
      <c r="AB277" s="372">
        <v>12316.232905999999</v>
      </c>
      <c r="AC277" s="372">
        <v>13686.4353237</v>
      </c>
      <c r="AD277" s="372">
        <v>10303.807735300001</v>
      </c>
      <c r="AE277" s="372">
        <v>11073.8</v>
      </c>
      <c r="AF277" s="372">
        <v>12777</v>
      </c>
      <c r="AG277" s="372">
        <v>14521</v>
      </c>
      <c r="AH277" s="372">
        <v>0</v>
      </c>
    </row>
    <row r="278" spans="1:34">
      <c r="A278" s="372" t="s">
        <v>2575</v>
      </c>
      <c r="B278" s="373" t="s">
        <v>2576</v>
      </c>
      <c r="C278" s="372" t="s">
        <v>2577</v>
      </c>
      <c r="D278" s="374">
        <v>1101110118996</v>
      </c>
      <c r="E278" s="372" t="s">
        <v>2578</v>
      </c>
      <c r="F278" s="372" t="s">
        <v>893</v>
      </c>
      <c r="G278" s="375" t="s">
        <v>894</v>
      </c>
      <c r="H278" s="375" t="s">
        <v>855</v>
      </c>
      <c r="I278" s="375" t="s">
        <v>754</v>
      </c>
      <c r="J278" s="375">
        <v>3667084.8456799998</v>
      </c>
      <c r="K278" s="375">
        <v>236195.16868</v>
      </c>
      <c r="L278" s="375">
        <v>217928.56408000001</v>
      </c>
      <c r="M278" s="375">
        <v>2534982.5945600001</v>
      </c>
      <c r="N278" s="372">
        <v>0.78</v>
      </c>
      <c r="O278" s="704">
        <v>250.69008374238265</v>
      </c>
      <c r="P278" s="375" t="s">
        <v>622</v>
      </c>
      <c r="Q278" s="375" t="s">
        <v>622</v>
      </c>
      <c r="R278" s="696">
        <v>19690513</v>
      </c>
      <c r="S278" s="375" t="s">
        <v>2579</v>
      </c>
      <c r="T278" s="697">
        <v>0.23100000000000001</v>
      </c>
      <c r="U278" s="375" t="s">
        <v>15841</v>
      </c>
      <c r="V278" s="723">
        <v>8.01</v>
      </c>
      <c r="W278" s="723">
        <v>0.38</v>
      </c>
      <c r="X278" s="723">
        <v>0.2</v>
      </c>
      <c r="Y278" s="723">
        <v>8.19</v>
      </c>
      <c r="Z278" s="382">
        <v>7.6829738740269438E-3</v>
      </c>
      <c r="AA278" s="372">
        <v>23063.574417600001</v>
      </c>
      <c r="AB278" s="372">
        <v>28417.221275700002</v>
      </c>
      <c r="AC278" s="372">
        <v>39538.341506600002</v>
      </c>
      <c r="AD278" s="372">
        <v>39133.424727400001</v>
      </c>
      <c r="AE278" s="372">
        <v>36420</v>
      </c>
      <c r="AF278" s="372">
        <v>37280</v>
      </c>
      <c r="AG278" s="372">
        <v>40350</v>
      </c>
      <c r="AH278" s="372">
        <v>0</v>
      </c>
    </row>
    <row r="279" spans="1:34">
      <c r="A279" s="372" t="s">
        <v>2580</v>
      </c>
      <c r="B279" s="373" t="s">
        <v>2581</v>
      </c>
      <c r="C279" s="372" t="s">
        <v>2582</v>
      </c>
      <c r="D279" s="374">
        <v>1942110223694</v>
      </c>
      <c r="E279" s="372" t="s">
        <v>2583</v>
      </c>
      <c r="F279" s="375" t="s">
        <v>1275</v>
      </c>
      <c r="G279" s="375" t="s">
        <v>1275</v>
      </c>
      <c r="H279" s="375" t="s">
        <v>753</v>
      </c>
      <c r="I279" s="375" t="s">
        <v>754</v>
      </c>
      <c r="J279" s="375">
        <v>602938.69235000003</v>
      </c>
      <c r="K279" s="375">
        <v>66939.456200000001</v>
      </c>
      <c r="L279" s="375">
        <v>64252.753400000001</v>
      </c>
      <c r="M279" s="375">
        <v>546462.04735999997</v>
      </c>
      <c r="N279" s="372">
        <v>1.2769999999999999</v>
      </c>
      <c r="O279" s="704">
        <v>20.144645302897281</v>
      </c>
      <c r="P279" s="375" t="s">
        <v>622</v>
      </c>
      <c r="Q279" s="375" t="s">
        <v>622</v>
      </c>
      <c r="R279" s="696">
        <v>20160624</v>
      </c>
      <c r="S279" s="375" t="s">
        <v>2584</v>
      </c>
      <c r="T279" s="697">
        <v>0.23100000000000001</v>
      </c>
      <c r="U279" s="375" t="s">
        <v>2585</v>
      </c>
      <c r="V279" s="723">
        <v>4.38</v>
      </c>
      <c r="W279" s="723">
        <v>0.91</v>
      </c>
      <c r="X279" s="723">
        <v>0.83</v>
      </c>
      <c r="Y279" s="723">
        <v>8.76</v>
      </c>
      <c r="Z279" s="382">
        <v>3.3755381913141536E-2</v>
      </c>
      <c r="AA279" s="372">
        <v>4587.4616757000003</v>
      </c>
      <c r="AB279" s="372">
        <v>6553.7301286000002</v>
      </c>
      <c r="AC279" s="372">
        <v>8393.5797320999991</v>
      </c>
      <c r="AD279" s="372">
        <v>6722.4527816999998</v>
      </c>
      <c r="AE279" s="372">
        <v>6286.75</v>
      </c>
      <c r="AF279" s="372">
        <v>6975</v>
      </c>
      <c r="AG279" s="372">
        <v>7677.13</v>
      </c>
      <c r="AH279" s="372">
        <v>0</v>
      </c>
    </row>
    <row r="280" spans="1:34">
      <c r="A280" s="372" t="s">
        <v>2586</v>
      </c>
      <c r="B280" s="373" t="s">
        <v>2587</v>
      </c>
      <c r="C280" s="372" t="s">
        <v>2588</v>
      </c>
      <c r="D280" s="374">
        <v>1101113229097</v>
      </c>
      <c r="E280" s="372" t="s">
        <v>2589</v>
      </c>
      <c r="F280" s="372" t="s">
        <v>1696</v>
      </c>
      <c r="G280" s="375" t="s">
        <v>1696</v>
      </c>
      <c r="H280" s="375" t="s">
        <v>817</v>
      </c>
      <c r="I280" s="375" t="s">
        <v>754</v>
      </c>
      <c r="J280" s="375">
        <v>2160571.0589700001</v>
      </c>
      <c r="K280" s="375">
        <v>161281.53662999999</v>
      </c>
      <c r="L280" s="375">
        <v>164381.40792999999</v>
      </c>
      <c r="M280" s="375">
        <v>974922.76632000005</v>
      </c>
      <c r="N280" s="372">
        <v>0.60899999999999999</v>
      </c>
      <c r="O280" s="704">
        <v>31.488248233215543</v>
      </c>
      <c r="P280" s="375" t="s">
        <v>622</v>
      </c>
      <c r="Q280" s="375" t="s">
        <v>622</v>
      </c>
      <c r="R280" s="696">
        <v>20150717</v>
      </c>
      <c r="S280" s="375" t="s">
        <v>2590</v>
      </c>
      <c r="T280" s="697">
        <v>0.23100000000000001</v>
      </c>
      <c r="U280" s="372" t="s">
        <v>2591</v>
      </c>
      <c r="V280" s="723">
        <v>3.62</v>
      </c>
      <c r="W280" s="723">
        <v>0.81</v>
      </c>
      <c r="X280" s="723">
        <v>0.35</v>
      </c>
      <c r="Y280" s="723">
        <v>8.5299999999999994</v>
      </c>
      <c r="Z280" s="382">
        <v>3.2180483612087807E-2</v>
      </c>
      <c r="AA280" s="372">
        <v>12210.7241393</v>
      </c>
      <c r="AB280" s="372">
        <v>15020.344009599999</v>
      </c>
      <c r="AC280" s="372">
        <v>17504.076244399999</v>
      </c>
      <c r="AD280" s="372">
        <v>20928.932990199999</v>
      </c>
      <c r="AE280" s="372">
        <v>21581.73</v>
      </c>
      <c r="AF280" s="372">
        <v>22839.360000000001</v>
      </c>
      <c r="AG280" s="372">
        <v>23755.8</v>
      </c>
      <c r="AH280" s="372">
        <v>0</v>
      </c>
    </row>
    <row r="281" spans="1:34">
      <c r="A281" s="372" t="s">
        <v>2592</v>
      </c>
      <c r="B281" s="373" t="s">
        <v>2593</v>
      </c>
      <c r="C281" s="372" t="s">
        <v>2594</v>
      </c>
      <c r="D281" s="374">
        <v>1845110000642</v>
      </c>
      <c r="E281" s="372" t="s">
        <v>2595</v>
      </c>
      <c r="F281" s="372" t="s">
        <v>16100</v>
      </c>
      <c r="G281" s="375" t="s">
        <v>16103</v>
      </c>
      <c r="H281" s="375" t="s">
        <v>753</v>
      </c>
      <c r="I281" s="375" t="s">
        <v>754</v>
      </c>
      <c r="J281" s="375">
        <v>3320920.3839599998</v>
      </c>
      <c r="K281" s="375">
        <v>514088.47522999998</v>
      </c>
      <c r="L281" s="375">
        <v>417721.53391</v>
      </c>
      <c r="M281" s="375">
        <v>2057132.5493300001</v>
      </c>
      <c r="N281" s="372">
        <v>0.41599999999999998</v>
      </c>
      <c r="O281" s="704">
        <v>195.089665456722</v>
      </c>
      <c r="P281" s="375" t="s">
        <v>622</v>
      </c>
      <c r="Q281" s="375" t="s">
        <v>622</v>
      </c>
      <c r="R281" s="696">
        <v>19880924</v>
      </c>
      <c r="S281" s="375" t="s">
        <v>2596</v>
      </c>
      <c r="T281" s="697">
        <v>0.26400000000000001</v>
      </c>
      <c r="U281" s="375" t="s">
        <v>15842</v>
      </c>
      <c r="V281" s="723">
        <v>4.88</v>
      </c>
      <c r="W281" s="723">
        <v>3.64</v>
      </c>
      <c r="X281" s="723">
        <v>1.56</v>
      </c>
      <c r="Y281" s="723">
        <v>17.23</v>
      </c>
      <c r="Z281" s="382" t="s">
        <v>927</v>
      </c>
      <c r="AA281" s="372">
        <v>8030.9637719000002</v>
      </c>
      <c r="AB281" s="372">
        <v>9307.5273039999993</v>
      </c>
      <c r="AC281" s="372">
        <v>31563.7622357</v>
      </c>
      <c r="AD281" s="372">
        <v>32692.4306511</v>
      </c>
      <c r="AE281" s="372">
        <v>33270</v>
      </c>
      <c r="AF281" s="372">
        <v>0</v>
      </c>
      <c r="AG281" s="372">
        <v>0</v>
      </c>
      <c r="AH281" s="372">
        <v>0</v>
      </c>
    </row>
    <row r="282" spans="1:34">
      <c r="A282" s="372" t="s">
        <v>2597</v>
      </c>
      <c r="B282" s="373" t="s">
        <v>2598</v>
      </c>
      <c r="C282" s="372" t="s">
        <v>2599</v>
      </c>
      <c r="D282" s="374">
        <v>1511110031157</v>
      </c>
      <c r="E282" s="372" t="s">
        <v>2600</v>
      </c>
      <c r="F282" s="375" t="s">
        <v>1303</v>
      </c>
      <c r="G282" s="375" t="s">
        <v>1303</v>
      </c>
      <c r="H282" s="375" t="s">
        <v>861</v>
      </c>
      <c r="I282" s="375" t="s">
        <v>862</v>
      </c>
      <c r="J282" s="375">
        <v>152269.40547999999</v>
      </c>
      <c r="K282" s="375">
        <v>-36857.165090000002</v>
      </c>
      <c r="L282" s="375">
        <v>-72642.687189999997</v>
      </c>
      <c r="M282" s="375">
        <v>296437.77873000002</v>
      </c>
      <c r="N282" s="372">
        <v>1.2729999999999999</v>
      </c>
      <c r="O282" s="704">
        <v>101.36236015302811</v>
      </c>
      <c r="P282" s="375" t="s">
        <v>622</v>
      </c>
      <c r="Q282" s="375" t="s">
        <v>622</v>
      </c>
      <c r="R282" s="696">
        <v>20190211</v>
      </c>
      <c r="S282" s="375" t="s">
        <v>2601</v>
      </c>
      <c r="T282" s="697" t="s">
        <v>771</v>
      </c>
      <c r="U282" s="375" t="s">
        <v>2602</v>
      </c>
      <c r="V282" s="723" t="s">
        <v>773</v>
      </c>
      <c r="W282" s="723">
        <v>2.41</v>
      </c>
      <c r="X282" s="723">
        <v>3.97</v>
      </c>
      <c r="Y282" s="723" t="s">
        <v>773</v>
      </c>
      <c r="Z282" s="382">
        <v>0.2114650463000145</v>
      </c>
      <c r="AA282" s="372">
        <v>1554.9135744</v>
      </c>
      <c r="AB282" s="372">
        <v>2715.7889559</v>
      </c>
      <c r="AC282" s="372">
        <v>3288.5894496999999</v>
      </c>
      <c r="AD282" s="372">
        <v>1826.9774591</v>
      </c>
      <c r="AE282" s="372">
        <v>1613</v>
      </c>
      <c r="AF282" s="372">
        <v>2531</v>
      </c>
      <c r="AG282" s="372">
        <v>3935.29</v>
      </c>
      <c r="AH282" s="372">
        <v>4389</v>
      </c>
    </row>
    <row r="283" spans="1:34">
      <c r="A283" s="372" t="s">
        <v>2603</v>
      </c>
      <c r="B283" s="373" t="s">
        <v>2604</v>
      </c>
      <c r="C283" s="372" t="s">
        <v>2605</v>
      </c>
      <c r="D283" s="374">
        <v>2101110086548</v>
      </c>
      <c r="E283" s="372" t="s">
        <v>2606</v>
      </c>
      <c r="F283" s="372" t="s">
        <v>2607</v>
      </c>
      <c r="G283" s="375" t="s">
        <v>2607</v>
      </c>
      <c r="H283" s="375" t="s">
        <v>792</v>
      </c>
      <c r="I283" s="375" t="s">
        <v>754</v>
      </c>
      <c r="J283" s="375">
        <v>71576.495160000006</v>
      </c>
      <c r="K283" s="375">
        <v>-9825.0630999999994</v>
      </c>
      <c r="L283" s="375">
        <v>3.9061400000000002</v>
      </c>
      <c r="M283" s="375">
        <v>317112.68628000002</v>
      </c>
      <c r="N283" s="372">
        <v>1.0920000000000001</v>
      </c>
      <c r="O283" s="704">
        <v>3.1065318401490193E-2</v>
      </c>
      <c r="P283" s="375" t="s">
        <v>622</v>
      </c>
      <c r="Q283" s="375" t="s">
        <v>622</v>
      </c>
      <c r="R283" s="696">
        <v>20210901</v>
      </c>
      <c r="S283" s="375" t="s">
        <v>2608</v>
      </c>
      <c r="T283" s="697">
        <v>9.9000000000000005E-2</v>
      </c>
      <c r="U283" s="375" t="s">
        <v>2609</v>
      </c>
      <c r="V283" s="723">
        <v>0</v>
      </c>
      <c r="W283" s="723">
        <v>0</v>
      </c>
      <c r="X283" s="723">
        <v>0</v>
      </c>
      <c r="Y283" s="723">
        <v>0</v>
      </c>
      <c r="Z283" s="382" t="s">
        <v>927</v>
      </c>
      <c r="AA283" s="372">
        <v>1135.2494019999999</v>
      </c>
      <c r="AB283" s="372">
        <v>1176.9071887</v>
      </c>
      <c r="AC283" s="372">
        <v>1090.8082643</v>
      </c>
      <c r="AD283" s="372">
        <v>787.40158699999995</v>
      </c>
      <c r="AE283" s="372">
        <v>0</v>
      </c>
      <c r="AF283" s="372">
        <v>0</v>
      </c>
      <c r="AG283" s="372">
        <v>0</v>
      </c>
      <c r="AH283" s="372">
        <v>0</v>
      </c>
    </row>
    <row r="284" spans="1:34">
      <c r="A284" s="372" t="s">
        <v>2610</v>
      </c>
      <c r="B284" s="373" t="s">
        <v>2611</v>
      </c>
      <c r="C284" s="372" t="s">
        <v>2612</v>
      </c>
      <c r="D284" s="374">
        <v>1101112611906</v>
      </c>
      <c r="E284" s="372" t="s">
        <v>2613</v>
      </c>
      <c r="F284" s="375" t="s">
        <v>1764</v>
      </c>
      <c r="G284" s="375" t="s">
        <v>2238</v>
      </c>
      <c r="H284" s="375" t="s">
        <v>826</v>
      </c>
      <c r="I284" s="375" t="s">
        <v>754</v>
      </c>
      <c r="J284" s="375">
        <v>1097506.2034700001</v>
      </c>
      <c r="K284" s="375">
        <v>71019.619959999996</v>
      </c>
      <c r="L284" s="375">
        <v>101979.24875</v>
      </c>
      <c r="M284" s="375">
        <v>869340.56475999998</v>
      </c>
      <c r="N284" s="372">
        <v>0.73</v>
      </c>
      <c r="O284" s="704">
        <v>3.6207459837873643</v>
      </c>
      <c r="P284" s="375" t="s">
        <v>622</v>
      </c>
      <c r="Q284" s="372" t="s">
        <v>622</v>
      </c>
      <c r="R284" s="696">
        <v>20021007</v>
      </c>
      <c r="S284" s="372" t="s">
        <v>2614</v>
      </c>
      <c r="T284" s="697">
        <v>0.23100000000000001</v>
      </c>
      <c r="U284" s="372" t="s">
        <v>15843</v>
      </c>
      <c r="V284" s="723">
        <v>7.26</v>
      </c>
      <c r="W284" s="723">
        <v>0.85</v>
      </c>
      <c r="X284" s="723">
        <v>0.72</v>
      </c>
      <c r="Y284" s="723">
        <v>8.75</v>
      </c>
      <c r="Z284" s="382">
        <v>6.7064351986503734E-2</v>
      </c>
      <c r="AA284" s="372">
        <v>5935.1136237000001</v>
      </c>
      <c r="AB284" s="372">
        <v>8612.0465641999999</v>
      </c>
      <c r="AC284" s="372">
        <v>12358.3787109</v>
      </c>
      <c r="AD284" s="372">
        <v>10526.8928846</v>
      </c>
      <c r="AE284" s="372">
        <v>11945.8</v>
      </c>
      <c r="AF284" s="372">
        <v>13069.8</v>
      </c>
      <c r="AG284" s="372">
        <v>13647.8</v>
      </c>
      <c r="AH284" s="372">
        <v>0</v>
      </c>
    </row>
    <row r="285" spans="1:34">
      <c r="A285" s="372" t="s">
        <v>2615</v>
      </c>
      <c r="B285" s="373" t="s">
        <v>2616</v>
      </c>
      <c r="C285" s="372" t="s">
        <v>2617</v>
      </c>
      <c r="D285" s="374">
        <v>1752110017454</v>
      </c>
      <c r="E285" s="372" t="s">
        <v>2618</v>
      </c>
      <c r="F285" s="375" t="s">
        <v>2426</v>
      </c>
      <c r="G285" s="375" t="s">
        <v>2427</v>
      </c>
      <c r="H285" s="375" t="s">
        <v>861</v>
      </c>
      <c r="I285" s="375" t="s">
        <v>862</v>
      </c>
      <c r="J285" s="375">
        <v>874544.92429999996</v>
      </c>
      <c r="K285" s="375">
        <v>132574.06896</v>
      </c>
      <c r="L285" s="375">
        <v>130258.54359</v>
      </c>
      <c r="M285" s="375">
        <v>543963.90500999999</v>
      </c>
      <c r="N285" s="372">
        <v>1.024</v>
      </c>
      <c r="O285" s="704">
        <v>12.901170833333056</v>
      </c>
      <c r="P285" s="375" t="s">
        <v>622</v>
      </c>
      <c r="Q285" s="372" t="s">
        <v>622</v>
      </c>
      <c r="R285" s="696">
        <v>20120706</v>
      </c>
      <c r="S285" s="375" t="s">
        <v>2619</v>
      </c>
      <c r="T285" s="697">
        <v>0.23100000000000001</v>
      </c>
      <c r="U285" s="375" t="s">
        <v>2620</v>
      </c>
      <c r="V285" s="723">
        <v>10.39</v>
      </c>
      <c r="W285" s="723">
        <v>2.67</v>
      </c>
      <c r="X285" s="723">
        <v>1.65</v>
      </c>
      <c r="Y285" s="723">
        <v>14.16</v>
      </c>
      <c r="Z285" s="382">
        <v>0.36184175062764945</v>
      </c>
      <c r="AA285" s="372">
        <v>3900.4998335999999</v>
      </c>
      <c r="AB285" s="372">
        <v>3777.2839718</v>
      </c>
      <c r="AC285" s="372">
        <v>4178.1448925000004</v>
      </c>
      <c r="AD285" s="372">
        <v>5454.1396848000004</v>
      </c>
      <c r="AE285" s="372">
        <v>9593</v>
      </c>
      <c r="AF285" s="372">
        <v>14151</v>
      </c>
      <c r="AG285" s="372">
        <v>18760</v>
      </c>
      <c r="AH285" s="372">
        <v>0</v>
      </c>
    </row>
    <row r="286" spans="1:34">
      <c r="A286" s="372" t="s">
        <v>2621</v>
      </c>
      <c r="B286" s="373" t="s">
        <v>2622</v>
      </c>
      <c r="C286" s="372" t="s">
        <v>2623</v>
      </c>
      <c r="D286" s="374">
        <v>1101110610083</v>
      </c>
      <c r="E286" s="372" t="s">
        <v>2624</v>
      </c>
      <c r="F286" s="375" t="s">
        <v>2625</v>
      </c>
      <c r="G286" s="375" t="s">
        <v>2626</v>
      </c>
      <c r="H286" s="375" t="s">
        <v>1337</v>
      </c>
      <c r="I286" s="375" t="s">
        <v>862</v>
      </c>
      <c r="J286" s="375">
        <v>532001.54501999996</v>
      </c>
      <c r="K286" s="375">
        <v>103261.55048999999</v>
      </c>
      <c r="L286" s="375">
        <v>95676.496100000004</v>
      </c>
      <c r="M286" s="375">
        <v>1491368.24657</v>
      </c>
      <c r="N286" s="372">
        <v>1.43</v>
      </c>
      <c r="O286" s="704">
        <v>22.28218985658134</v>
      </c>
      <c r="P286" s="375" t="s">
        <v>622</v>
      </c>
      <c r="Q286" s="375" t="s">
        <v>622</v>
      </c>
      <c r="R286" s="696">
        <v>20000114</v>
      </c>
      <c r="S286" s="375" t="s">
        <v>2627</v>
      </c>
      <c r="T286" s="697">
        <v>0.23100000000000001</v>
      </c>
      <c r="U286" s="375" t="s">
        <v>1691</v>
      </c>
      <c r="V286" s="723">
        <v>9.59</v>
      </c>
      <c r="W286" s="723">
        <v>0.88</v>
      </c>
      <c r="X286" s="723">
        <v>2.21</v>
      </c>
      <c r="Y286" s="723">
        <v>14.83</v>
      </c>
      <c r="Z286" s="382" t="s">
        <v>927</v>
      </c>
      <c r="AA286" s="372">
        <v>2357.4505466000001</v>
      </c>
      <c r="AB286" s="372">
        <v>4171.9497087</v>
      </c>
      <c r="AC286" s="372">
        <v>5651.0627603000003</v>
      </c>
      <c r="AD286" s="372">
        <v>6615.5509781000001</v>
      </c>
      <c r="AE286" s="372">
        <v>0</v>
      </c>
      <c r="AF286" s="372">
        <v>0</v>
      </c>
      <c r="AG286" s="372">
        <v>0</v>
      </c>
      <c r="AH286" s="372">
        <v>0</v>
      </c>
    </row>
    <row r="287" spans="1:34">
      <c r="A287" s="372" t="s">
        <v>2628</v>
      </c>
      <c r="B287" s="373" t="s">
        <v>2629</v>
      </c>
      <c r="C287" s="372" t="s">
        <v>2630</v>
      </c>
      <c r="D287" s="374">
        <v>1101110003155</v>
      </c>
      <c r="E287" s="372" t="s">
        <v>2631</v>
      </c>
      <c r="F287" s="375" t="s">
        <v>1262</v>
      </c>
      <c r="G287" s="375" t="s">
        <v>1263</v>
      </c>
      <c r="H287" s="375" t="s">
        <v>1264</v>
      </c>
      <c r="I287" s="375" t="s">
        <v>754</v>
      </c>
      <c r="J287" s="375">
        <v>255362.16198999999</v>
      </c>
      <c r="K287" s="375">
        <v>-11486.578820000001</v>
      </c>
      <c r="L287" s="375">
        <v>66930.146869999997</v>
      </c>
      <c r="M287" s="375">
        <v>1655481.1072800001</v>
      </c>
      <c r="N287" s="372">
        <v>1.0189999999999999</v>
      </c>
      <c r="O287" s="704">
        <v>920.75934097114589</v>
      </c>
      <c r="P287" s="375" t="s">
        <v>622</v>
      </c>
      <c r="Q287" s="375" t="s">
        <v>622</v>
      </c>
      <c r="R287" s="696">
        <v>19861125</v>
      </c>
      <c r="S287" s="375" t="s">
        <v>2632</v>
      </c>
      <c r="T287" s="697">
        <v>0.23100000000000001</v>
      </c>
      <c r="U287" s="375" t="s">
        <v>2633</v>
      </c>
      <c r="V287" s="723">
        <v>0</v>
      </c>
      <c r="W287" s="723">
        <v>0.44</v>
      </c>
      <c r="X287" s="723">
        <v>0.36</v>
      </c>
      <c r="Y287" s="723">
        <v>15.37</v>
      </c>
      <c r="Z287" s="382" t="s">
        <v>927</v>
      </c>
      <c r="AA287" s="372">
        <v>3534.0454399</v>
      </c>
      <c r="AB287" s="372">
        <v>5125.1746817000003</v>
      </c>
      <c r="AC287" s="372">
        <v>3072.1372157999999</v>
      </c>
      <c r="AD287" s="372">
        <v>3059.5713990999998</v>
      </c>
      <c r="AE287" s="372">
        <v>0</v>
      </c>
      <c r="AF287" s="372">
        <v>0</v>
      </c>
      <c r="AG287" s="372">
        <v>0</v>
      </c>
      <c r="AH287" s="372">
        <v>0</v>
      </c>
    </row>
    <row r="288" spans="1:34">
      <c r="A288" s="372" t="s">
        <v>2634</v>
      </c>
      <c r="B288" s="373" t="s">
        <v>2635</v>
      </c>
      <c r="C288" s="372" t="s">
        <v>2636</v>
      </c>
      <c r="D288" s="374">
        <v>1601110003931</v>
      </c>
      <c r="E288" s="372" t="s">
        <v>2637</v>
      </c>
      <c r="F288" s="375" t="s">
        <v>893</v>
      </c>
      <c r="G288" s="375" t="s">
        <v>894</v>
      </c>
      <c r="H288" s="375" t="s">
        <v>895</v>
      </c>
      <c r="I288" s="375" t="s">
        <v>862</v>
      </c>
      <c r="J288" s="375">
        <v>11728740.76402</v>
      </c>
      <c r="K288" s="375">
        <v>677859.76858999999</v>
      </c>
      <c r="L288" s="375">
        <v>390852.30219000002</v>
      </c>
      <c r="M288" s="375">
        <v>5524362</v>
      </c>
      <c r="N288" s="372">
        <v>1.06</v>
      </c>
      <c r="O288" s="704">
        <v>1466.4326961160546</v>
      </c>
      <c r="P288" s="375" t="s">
        <v>622</v>
      </c>
      <c r="Q288" s="375" t="s">
        <v>622</v>
      </c>
      <c r="R288" s="696">
        <v>19960701</v>
      </c>
      <c r="S288" s="375" t="s">
        <v>2638</v>
      </c>
      <c r="T288" s="697">
        <v>0.26400000000000001</v>
      </c>
      <c r="U288" s="375" t="s">
        <v>2639</v>
      </c>
      <c r="V288" s="723">
        <v>6.75</v>
      </c>
      <c r="W288" s="723">
        <v>0.22</v>
      </c>
      <c r="X288" s="723">
        <v>0.05</v>
      </c>
      <c r="Y288" s="723">
        <v>5.27</v>
      </c>
      <c r="Z288" s="382">
        <v>-1.2742149665890823E-3</v>
      </c>
      <c r="AA288" s="372">
        <v>77233.114044899994</v>
      </c>
      <c r="AB288" s="372">
        <v>106191.0387569</v>
      </c>
      <c r="AC288" s="372">
        <v>137752.9598136</v>
      </c>
      <c r="AD288" s="372">
        <v>120623.62764019999</v>
      </c>
      <c r="AE288" s="372">
        <v>116080</v>
      </c>
      <c r="AF288" s="372">
        <v>117270</v>
      </c>
      <c r="AG288" s="372">
        <v>120010</v>
      </c>
      <c r="AH288" s="372">
        <v>0</v>
      </c>
    </row>
    <row r="289" spans="1:34">
      <c r="A289" s="372" t="s">
        <v>2640</v>
      </c>
      <c r="B289" s="373" t="s">
        <v>2641</v>
      </c>
      <c r="C289" s="372" t="s">
        <v>2642</v>
      </c>
      <c r="D289" s="374">
        <v>1101111516397</v>
      </c>
      <c r="E289" s="372" t="s">
        <v>2643</v>
      </c>
      <c r="F289" s="375" t="s">
        <v>1075</v>
      </c>
      <c r="G289" s="375" t="s">
        <v>1530</v>
      </c>
      <c r="H289" s="375" t="s">
        <v>1531</v>
      </c>
      <c r="I289" s="375" t="s">
        <v>862</v>
      </c>
      <c r="J289" s="375">
        <v>370267.92376999999</v>
      </c>
      <c r="K289" s="375">
        <v>-18421.41445</v>
      </c>
      <c r="L289" s="375">
        <v>8102.5640899999999</v>
      </c>
      <c r="M289" s="375">
        <v>580087.65700999997</v>
      </c>
      <c r="N289" s="372">
        <v>0.81299999999999994</v>
      </c>
      <c r="O289" s="704">
        <v>2.6900844167363909</v>
      </c>
      <c r="P289" s="375" t="s">
        <v>622</v>
      </c>
      <c r="Q289" s="375" t="s">
        <v>622</v>
      </c>
      <c r="R289" s="696">
        <v>20111123</v>
      </c>
      <c r="S289" s="375" t="s">
        <v>2644</v>
      </c>
      <c r="T289" s="697">
        <v>0.20900000000000002</v>
      </c>
      <c r="U289" s="375" t="s">
        <v>2645</v>
      </c>
      <c r="V289" s="723">
        <v>63.07</v>
      </c>
      <c r="W289" s="723">
        <v>1.49</v>
      </c>
      <c r="X289" s="723">
        <v>1.88</v>
      </c>
      <c r="Y289" s="723">
        <v>278.04000000000002</v>
      </c>
      <c r="Z289" s="382">
        <v>2.0886599737135914E-2</v>
      </c>
      <c r="AA289" s="372">
        <v>2552.6240229999999</v>
      </c>
      <c r="AB289" s="372">
        <v>3216.3618416999998</v>
      </c>
      <c r="AC289" s="372">
        <v>3911.7451295000001</v>
      </c>
      <c r="AD289" s="372">
        <v>5691.9507874000001</v>
      </c>
      <c r="AE289" s="372">
        <v>3695.47</v>
      </c>
      <c r="AF289" s="372">
        <v>5467.47</v>
      </c>
      <c r="AG289" s="372">
        <v>6182.6</v>
      </c>
      <c r="AH289" s="372">
        <v>8570</v>
      </c>
    </row>
    <row r="290" spans="1:34">
      <c r="A290" s="372" t="s">
        <v>2646</v>
      </c>
      <c r="B290" s="373" t="s">
        <v>2647</v>
      </c>
      <c r="C290" s="372" t="s">
        <v>2648</v>
      </c>
      <c r="D290" s="374">
        <v>1101116799203</v>
      </c>
      <c r="E290" s="372" t="s">
        <v>2649</v>
      </c>
      <c r="F290" s="375" t="s">
        <v>2650</v>
      </c>
      <c r="G290" s="375" t="s">
        <v>2650</v>
      </c>
      <c r="H290" s="375" t="s">
        <v>1468</v>
      </c>
      <c r="I290" s="375" t="s">
        <v>754</v>
      </c>
      <c r="J290" s="375">
        <v>1792988.72575</v>
      </c>
      <c r="K290" s="375">
        <v>300541.01014999999</v>
      </c>
      <c r="L290" s="375">
        <v>288372.77127000003</v>
      </c>
      <c r="M290" s="375">
        <v>1831024.12622</v>
      </c>
      <c r="N290" s="372">
        <v>0.71699999999999997</v>
      </c>
      <c r="O290" s="704">
        <v>79.598319676181575</v>
      </c>
      <c r="P290" s="375" t="s">
        <v>622</v>
      </c>
      <c r="Q290" s="372" t="s">
        <v>622</v>
      </c>
      <c r="R290" s="696">
        <v>20180806</v>
      </c>
      <c r="S290" s="372" t="s">
        <v>2651</v>
      </c>
      <c r="T290" s="697">
        <v>0.23100000000000001</v>
      </c>
      <c r="U290" s="372" t="s">
        <v>2652</v>
      </c>
      <c r="V290" s="723">
        <v>4.05</v>
      </c>
      <c r="W290" s="723">
        <v>0.56000000000000005</v>
      </c>
      <c r="X290" s="723">
        <v>0.53</v>
      </c>
      <c r="Y290" s="723">
        <v>4.45</v>
      </c>
      <c r="Z290" s="382">
        <v>-1.7622209463160621E-3</v>
      </c>
      <c r="AA290" s="372">
        <v>9742.8535186999998</v>
      </c>
      <c r="AB290" s="372">
        <v>12718.5362633</v>
      </c>
      <c r="AC290" s="372">
        <v>14875.747125100001</v>
      </c>
      <c r="AD290" s="372">
        <v>17995.009834100001</v>
      </c>
      <c r="AE290" s="372">
        <v>18407</v>
      </c>
      <c r="AF290" s="372">
        <v>17419.75</v>
      </c>
      <c r="AG290" s="372">
        <v>17868.5</v>
      </c>
      <c r="AH290" s="372">
        <v>0</v>
      </c>
    </row>
    <row r="291" spans="1:34">
      <c r="A291" s="372" t="s">
        <v>2653</v>
      </c>
      <c r="B291" s="373" t="s">
        <v>2654</v>
      </c>
      <c r="C291" s="372" t="s">
        <v>2655</v>
      </c>
      <c r="D291" s="374">
        <v>1311110350139</v>
      </c>
      <c r="E291" s="372" t="s">
        <v>2655</v>
      </c>
      <c r="F291" s="372" t="s">
        <v>1006</v>
      </c>
      <c r="G291" s="375" t="s">
        <v>1215</v>
      </c>
      <c r="H291" s="375" t="s">
        <v>817</v>
      </c>
      <c r="I291" s="375" t="s">
        <v>754</v>
      </c>
      <c r="J291" s="375">
        <v>2410477.8701800001</v>
      </c>
      <c r="K291" s="375">
        <v>-65383.31035</v>
      </c>
      <c r="L291" s="375">
        <v>-119948.08912</v>
      </c>
      <c r="M291" s="375">
        <v>1831344.0083300001</v>
      </c>
      <c r="N291" s="372">
        <v>1.032</v>
      </c>
      <c r="O291" s="704">
        <v>64.97307894392776</v>
      </c>
      <c r="P291" s="375" t="s">
        <v>622</v>
      </c>
      <c r="Q291" s="375" t="s">
        <v>622</v>
      </c>
      <c r="R291" s="696">
        <v>20130829</v>
      </c>
      <c r="S291" s="375" t="s">
        <v>2656</v>
      </c>
      <c r="T291" s="697" t="s">
        <v>771</v>
      </c>
      <c r="U291" s="375" t="s">
        <v>2657</v>
      </c>
      <c r="V291" s="723">
        <v>20.36</v>
      </c>
      <c r="W291" s="723">
        <v>0.37</v>
      </c>
      <c r="X291" s="723">
        <v>0.24</v>
      </c>
      <c r="Y291" s="723" t="s">
        <v>773</v>
      </c>
      <c r="Z291" s="382">
        <v>5.9998661041248846E-2</v>
      </c>
      <c r="AA291" s="372">
        <v>16412.4373562</v>
      </c>
      <c r="AB291" s="372">
        <v>19236.774203299999</v>
      </c>
      <c r="AC291" s="372">
        <v>21148.698160799999</v>
      </c>
      <c r="AD291" s="372">
        <v>22696.148669400001</v>
      </c>
      <c r="AE291" s="372">
        <v>24697.599999999999</v>
      </c>
      <c r="AF291" s="372">
        <v>26893.599999999999</v>
      </c>
      <c r="AG291" s="372">
        <v>28653.22</v>
      </c>
      <c r="AH291" s="372">
        <v>0</v>
      </c>
    </row>
    <row r="292" spans="1:34">
      <c r="A292" s="372" t="s">
        <v>2658</v>
      </c>
      <c r="B292" s="373" t="s">
        <v>2659</v>
      </c>
      <c r="C292" s="372" t="s">
        <v>2660</v>
      </c>
      <c r="D292" s="374">
        <v>1101110014219</v>
      </c>
      <c r="E292" s="372" t="s">
        <v>2661</v>
      </c>
      <c r="F292" s="372" t="s">
        <v>16105</v>
      </c>
      <c r="G292" s="375" t="s">
        <v>16105</v>
      </c>
      <c r="H292" s="375" t="s">
        <v>826</v>
      </c>
      <c r="I292" s="375" t="s">
        <v>754</v>
      </c>
      <c r="J292" s="375">
        <v>2828480.3703100001</v>
      </c>
      <c r="K292" s="375">
        <v>220785.86600000001</v>
      </c>
      <c r="L292" s="375">
        <v>148518.08467000001</v>
      </c>
      <c r="M292" s="375">
        <v>1799437.86243</v>
      </c>
      <c r="N292" s="372">
        <v>0.76400000000000001</v>
      </c>
      <c r="O292" s="704">
        <v>284.8534755191223</v>
      </c>
      <c r="P292" s="375" t="s">
        <v>622</v>
      </c>
      <c r="Q292" s="372" t="s">
        <v>622</v>
      </c>
      <c r="R292" s="696">
        <v>19760519</v>
      </c>
      <c r="S292" s="372" t="s">
        <v>2662</v>
      </c>
      <c r="T292" s="697">
        <v>0.23100000000000001</v>
      </c>
      <c r="U292" s="372" t="s">
        <v>2663</v>
      </c>
      <c r="V292" s="723">
        <v>5.24</v>
      </c>
      <c r="W292" s="723">
        <v>0.42</v>
      </c>
      <c r="X292" s="723">
        <v>0.26</v>
      </c>
      <c r="Y292" s="723">
        <v>8.39</v>
      </c>
      <c r="Z292" s="382">
        <v>5.1975047610052671E-2</v>
      </c>
      <c r="AA292" s="372">
        <v>16981.278053999999</v>
      </c>
      <c r="AB292" s="372">
        <v>20794.070295900001</v>
      </c>
      <c r="AC292" s="372">
        <v>25974.2448649</v>
      </c>
      <c r="AD292" s="372">
        <v>27017.201512700001</v>
      </c>
      <c r="AE292" s="372">
        <v>29188.87</v>
      </c>
      <c r="AF292" s="372">
        <v>31524.6</v>
      </c>
      <c r="AG292" s="372">
        <v>33087.360000000001</v>
      </c>
      <c r="AH292" s="372">
        <v>0</v>
      </c>
    </row>
    <row r="293" spans="1:34">
      <c r="A293" s="372" t="s">
        <v>2664</v>
      </c>
      <c r="B293" s="373" t="s">
        <v>2665</v>
      </c>
      <c r="C293" s="372" t="s">
        <v>2666</v>
      </c>
      <c r="D293" s="374">
        <v>1201110484303</v>
      </c>
      <c r="E293" s="372" t="s">
        <v>2667</v>
      </c>
      <c r="F293" s="375" t="s">
        <v>2668</v>
      </c>
      <c r="G293" s="375" t="s">
        <v>2669</v>
      </c>
      <c r="H293" s="375" t="s">
        <v>1539</v>
      </c>
      <c r="I293" s="375" t="s">
        <v>754</v>
      </c>
      <c r="J293" s="375">
        <v>1749370.81176</v>
      </c>
      <c r="K293" s="375">
        <v>153204.89553000001</v>
      </c>
      <c r="L293" s="375">
        <v>127454.84242</v>
      </c>
      <c r="M293" s="375">
        <v>709976.39945000003</v>
      </c>
      <c r="N293" s="372">
        <v>0.56299999999999994</v>
      </c>
      <c r="O293" s="704">
        <v>79.84848428295588</v>
      </c>
      <c r="P293" s="375" t="s">
        <v>622</v>
      </c>
      <c r="Q293" s="375" t="s">
        <v>622</v>
      </c>
      <c r="R293" s="696">
        <v>20090320</v>
      </c>
      <c r="S293" s="375" t="s">
        <v>2670</v>
      </c>
      <c r="T293" s="697">
        <v>0.23100000000000001</v>
      </c>
      <c r="U293" s="375" t="s">
        <v>2671</v>
      </c>
      <c r="V293" s="723">
        <v>5.28</v>
      </c>
      <c r="W293" s="723">
        <v>0.88</v>
      </c>
      <c r="X293" s="723">
        <v>0.37</v>
      </c>
      <c r="Y293" s="723">
        <v>6.75</v>
      </c>
      <c r="Z293" s="382">
        <v>3.1764094406457222E-2</v>
      </c>
      <c r="AA293" s="372">
        <v>16982.622094499999</v>
      </c>
      <c r="AB293" s="372">
        <v>16719.9705177</v>
      </c>
      <c r="AC293" s="372">
        <v>22047.611773100001</v>
      </c>
      <c r="AD293" s="372">
        <v>17087.564276900001</v>
      </c>
      <c r="AE293" s="372">
        <v>17699.18</v>
      </c>
      <c r="AF293" s="372">
        <v>18472.82</v>
      </c>
      <c r="AG293" s="372">
        <v>19364.3</v>
      </c>
      <c r="AH293" s="372">
        <v>0</v>
      </c>
    </row>
    <row r="294" spans="1:34">
      <c r="A294" s="372" t="s">
        <v>2672</v>
      </c>
      <c r="B294" s="373" t="s">
        <v>2673</v>
      </c>
      <c r="C294" s="372" t="s">
        <v>2674</v>
      </c>
      <c r="D294" s="374">
        <v>1101110094477</v>
      </c>
      <c r="E294" s="372" t="s">
        <v>2675</v>
      </c>
      <c r="F294" s="375" t="s">
        <v>1323</v>
      </c>
      <c r="G294" s="375" t="s">
        <v>16106</v>
      </c>
      <c r="H294" s="375" t="s">
        <v>861</v>
      </c>
      <c r="I294" s="375" t="s">
        <v>862</v>
      </c>
      <c r="J294" s="375">
        <v>789113.59875999996</v>
      </c>
      <c r="K294" s="375">
        <v>83229.681710000004</v>
      </c>
      <c r="L294" s="375">
        <v>82767.554319999996</v>
      </c>
      <c r="M294" s="375">
        <v>657587.90793999995</v>
      </c>
      <c r="N294" s="372">
        <v>0.53700000000000003</v>
      </c>
      <c r="O294" s="704">
        <v>9.6074647230854708</v>
      </c>
      <c r="P294" s="375" t="s">
        <v>622</v>
      </c>
      <c r="Q294" s="375" t="s">
        <v>622</v>
      </c>
      <c r="R294" s="696">
        <v>20070529</v>
      </c>
      <c r="S294" s="372" t="s">
        <v>2676</v>
      </c>
      <c r="T294" s="697">
        <v>0.23100000000000001</v>
      </c>
      <c r="U294" s="375" t="s">
        <v>2677</v>
      </c>
      <c r="V294" s="723">
        <v>7.59</v>
      </c>
      <c r="W294" s="723">
        <v>1.32</v>
      </c>
      <c r="X294" s="723">
        <v>0.97</v>
      </c>
      <c r="Y294" s="723">
        <v>12.43</v>
      </c>
      <c r="Z294" s="382">
        <v>7.3790400823677382E-2</v>
      </c>
      <c r="AA294" s="372">
        <v>5591.0345920999998</v>
      </c>
      <c r="AB294" s="372">
        <v>5941.9312228999997</v>
      </c>
      <c r="AC294" s="372">
        <v>6616.4749229999998</v>
      </c>
      <c r="AD294" s="372">
        <v>7309.9359732000003</v>
      </c>
      <c r="AE294" s="372">
        <v>8052.67</v>
      </c>
      <c r="AF294" s="372">
        <v>8872.33</v>
      </c>
      <c r="AG294" s="372">
        <v>9718.33</v>
      </c>
      <c r="AH294" s="372">
        <v>0</v>
      </c>
    </row>
    <row r="295" spans="1:34">
      <c r="A295" s="372" t="s">
        <v>2678</v>
      </c>
      <c r="B295" s="373" t="s">
        <v>2679</v>
      </c>
      <c r="C295" s="372" t="s">
        <v>2680</v>
      </c>
      <c r="D295" s="374">
        <v>2149110058927</v>
      </c>
      <c r="E295" s="372" t="s">
        <v>2681</v>
      </c>
      <c r="F295" s="375" t="s">
        <v>1276</v>
      </c>
      <c r="G295" s="375" t="s">
        <v>1452</v>
      </c>
      <c r="H295" s="375" t="s">
        <v>753</v>
      </c>
      <c r="I295" s="375" t="s">
        <v>754</v>
      </c>
      <c r="J295" s="375">
        <v>509499.48307000002</v>
      </c>
      <c r="K295" s="375">
        <v>-53084.39834</v>
      </c>
      <c r="L295" s="375">
        <v>-111519.65210000001</v>
      </c>
      <c r="M295" s="375">
        <v>1016679.31996</v>
      </c>
      <c r="N295" s="372">
        <v>0.97899999999999998</v>
      </c>
      <c r="O295" s="704">
        <v>77.147850020074685</v>
      </c>
      <c r="P295" s="375" t="s">
        <v>622</v>
      </c>
      <c r="Q295" s="375" t="s">
        <v>622</v>
      </c>
      <c r="R295" s="696">
        <v>20191018</v>
      </c>
      <c r="S295" s="375" t="s">
        <v>2682</v>
      </c>
      <c r="T295" s="697" t="s">
        <v>771</v>
      </c>
      <c r="U295" s="375" t="s">
        <v>2683</v>
      </c>
      <c r="V295" s="723">
        <v>168.73</v>
      </c>
      <c r="W295" s="723">
        <v>1.59</v>
      </c>
      <c r="X295" s="723">
        <v>2.74</v>
      </c>
      <c r="Y295" s="723" t="s">
        <v>773</v>
      </c>
      <c r="Z295" s="382">
        <v>0.2611413754464107</v>
      </c>
      <c r="AA295" s="372">
        <v>2901.6317632</v>
      </c>
      <c r="AB295" s="372">
        <v>3803.3079001999999</v>
      </c>
      <c r="AC295" s="372">
        <v>4182.8569471000001</v>
      </c>
      <c r="AD295" s="372">
        <v>4294.2239294000001</v>
      </c>
      <c r="AE295" s="372">
        <v>5735.33</v>
      </c>
      <c r="AF295" s="372">
        <v>7675.33</v>
      </c>
      <c r="AG295" s="372">
        <v>10862.75</v>
      </c>
      <c r="AH295" s="372">
        <v>0</v>
      </c>
    </row>
    <row r="296" spans="1:34">
      <c r="A296" s="372" t="s">
        <v>2684</v>
      </c>
      <c r="B296" s="373" t="s">
        <v>2685</v>
      </c>
      <c r="C296" s="372" t="s">
        <v>2686</v>
      </c>
      <c r="D296" s="374">
        <v>1101110202765</v>
      </c>
      <c r="E296" s="372" t="s">
        <v>2687</v>
      </c>
      <c r="F296" s="375" t="s">
        <v>16100</v>
      </c>
      <c r="G296" s="375" t="s">
        <v>16103</v>
      </c>
      <c r="H296" s="375" t="s">
        <v>753</v>
      </c>
      <c r="I296" s="375" t="s">
        <v>754</v>
      </c>
      <c r="J296" s="375">
        <v>1992353.9728900001</v>
      </c>
      <c r="K296" s="375">
        <v>188367.15706</v>
      </c>
      <c r="L296" s="375">
        <v>220892.96916000001</v>
      </c>
      <c r="M296" s="375">
        <v>1474662.14964</v>
      </c>
      <c r="N296" s="372">
        <v>1.03</v>
      </c>
      <c r="O296" s="704">
        <v>23.586137517297999</v>
      </c>
      <c r="P296" s="375" t="s">
        <v>622</v>
      </c>
      <c r="Q296" s="375" t="s">
        <v>622</v>
      </c>
      <c r="R296" s="696">
        <v>19871128</v>
      </c>
      <c r="S296" s="375" t="s">
        <v>2688</v>
      </c>
      <c r="T296" s="697">
        <v>0.23100000000000001</v>
      </c>
      <c r="U296" s="375" t="s">
        <v>2689</v>
      </c>
      <c r="V296" s="723">
        <v>5.08</v>
      </c>
      <c r="W296" s="723">
        <v>0.81</v>
      </c>
      <c r="X296" s="723">
        <v>0.6</v>
      </c>
      <c r="Y296" s="723">
        <v>6.79</v>
      </c>
      <c r="Z296" s="382">
        <v>7.0127252230082648E-2</v>
      </c>
      <c r="AA296" s="372">
        <v>12527.910161899999</v>
      </c>
      <c r="AB296" s="372">
        <v>13520.0767244</v>
      </c>
      <c r="AC296" s="372">
        <v>14731.4277793</v>
      </c>
      <c r="AD296" s="372">
        <v>16848.153457500001</v>
      </c>
      <c r="AE296" s="372">
        <v>20782</v>
      </c>
      <c r="AF296" s="372">
        <v>23630</v>
      </c>
      <c r="AG296" s="372">
        <v>22095</v>
      </c>
      <c r="AH296" s="372">
        <v>0</v>
      </c>
    </row>
    <row r="297" spans="1:34">
      <c r="A297" s="372" t="s">
        <v>2690</v>
      </c>
      <c r="B297" s="373" t="s">
        <v>2691</v>
      </c>
      <c r="C297" s="372" t="s">
        <v>2692</v>
      </c>
      <c r="D297" s="374">
        <v>1314110189425</v>
      </c>
      <c r="E297" s="372" t="s">
        <v>2693</v>
      </c>
      <c r="F297" s="372" t="s">
        <v>1598</v>
      </c>
      <c r="G297" s="375" t="s">
        <v>1599</v>
      </c>
      <c r="H297" s="375" t="s">
        <v>826</v>
      </c>
      <c r="I297" s="375" t="s">
        <v>754</v>
      </c>
      <c r="J297" s="375">
        <v>433435.32224000001</v>
      </c>
      <c r="K297" s="375">
        <v>-26046.477640000001</v>
      </c>
      <c r="L297" s="375">
        <v>-69421.373519999994</v>
      </c>
      <c r="M297" s="375">
        <v>412174.58964999998</v>
      </c>
      <c r="N297" s="372">
        <v>1.2290000000000001</v>
      </c>
      <c r="O297" s="704">
        <v>58.404399541853977</v>
      </c>
      <c r="P297" s="375" t="s">
        <v>622</v>
      </c>
      <c r="Q297" s="372" t="s">
        <v>622</v>
      </c>
      <c r="R297" s="696">
        <v>20061222</v>
      </c>
      <c r="S297" s="372" t="s">
        <v>2694</v>
      </c>
      <c r="T297" s="697" t="s">
        <v>771</v>
      </c>
      <c r="U297" s="375" t="s">
        <v>2695</v>
      </c>
      <c r="V297" s="723">
        <v>38.25</v>
      </c>
      <c r="W297" s="723">
        <v>1.76</v>
      </c>
      <c r="X297" s="723">
        <v>1.53</v>
      </c>
      <c r="Y297" s="723" t="s">
        <v>773</v>
      </c>
      <c r="Z297" s="382">
        <v>6.3704589459120164E-2</v>
      </c>
      <c r="AA297" s="372">
        <v>2615.9980633999999</v>
      </c>
      <c r="AB297" s="372">
        <v>3812.5677486999998</v>
      </c>
      <c r="AC297" s="372">
        <v>6105.6432925999998</v>
      </c>
      <c r="AD297" s="372">
        <v>5231.9189919</v>
      </c>
      <c r="AE297" s="372">
        <v>4688</v>
      </c>
      <c r="AF297" s="372">
        <v>5670</v>
      </c>
      <c r="AG297" s="372">
        <v>6698</v>
      </c>
      <c r="AH297" s="372">
        <v>7873</v>
      </c>
    </row>
    <row r="298" spans="1:34">
      <c r="A298" s="372" t="s">
        <v>2696</v>
      </c>
      <c r="B298" s="373" t="s">
        <v>2697</v>
      </c>
      <c r="C298" s="372" t="s">
        <v>2698</v>
      </c>
      <c r="D298" s="374">
        <v>1101113301457</v>
      </c>
      <c r="E298" s="372" t="s">
        <v>2699</v>
      </c>
      <c r="F298" s="375" t="s">
        <v>1444</v>
      </c>
      <c r="G298" s="375" t="s">
        <v>1445</v>
      </c>
      <c r="H298" s="375" t="s">
        <v>817</v>
      </c>
      <c r="I298" s="375" t="s">
        <v>754</v>
      </c>
      <c r="J298" s="375">
        <v>381243.6372</v>
      </c>
      <c r="K298" s="375">
        <v>31912.121790000001</v>
      </c>
      <c r="L298" s="375">
        <v>36738.979809999997</v>
      </c>
      <c r="M298" s="375">
        <v>413837.33785000001</v>
      </c>
      <c r="N298" s="372">
        <v>0.38800000000000001</v>
      </c>
      <c r="O298" s="704">
        <v>8.5752062970145229</v>
      </c>
      <c r="P298" s="375" t="s">
        <v>622</v>
      </c>
      <c r="Q298" s="375" t="s">
        <v>622</v>
      </c>
      <c r="R298" s="696">
        <v>20091119</v>
      </c>
      <c r="S298" s="375" t="s">
        <v>2265</v>
      </c>
      <c r="T298" s="697">
        <v>0.23100000000000001</v>
      </c>
      <c r="U298" s="375" t="s">
        <v>2700</v>
      </c>
      <c r="V298" s="723">
        <v>12.09</v>
      </c>
      <c r="W298" s="723">
        <v>1.86</v>
      </c>
      <c r="X298" s="723">
        <v>2.02</v>
      </c>
      <c r="Y298" s="723">
        <v>26.32</v>
      </c>
      <c r="Z298" s="382">
        <v>5.0676246899104882E-2</v>
      </c>
      <c r="AA298" s="372">
        <v>1844.6233204</v>
      </c>
      <c r="AB298" s="372">
        <v>850.86860669999999</v>
      </c>
      <c r="AC298" s="372">
        <v>2621.1055105999999</v>
      </c>
      <c r="AD298" s="372">
        <v>3966.9364787</v>
      </c>
      <c r="AE298" s="372">
        <v>3959.36</v>
      </c>
      <c r="AF298" s="372">
        <v>4440.18</v>
      </c>
      <c r="AG298" s="372">
        <v>4834.2700000000004</v>
      </c>
      <c r="AH298" s="372">
        <v>5320</v>
      </c>
    </row>
    <row r="299" spans="1:34">
      <c r="A299" s="372" t="s">
        <v>2701</v>
      </c>
      <c r="B299" s="373" t="s">
        <v>2702</v>
      </c>
      <c r="C299" s="372" t="s">
        <v>2703</v>
      </c>
      <c r="D299" s="374">
        <v>1101110208383</v>
      </c>
      <c r="E299" s="372" t="s">
        <v>2704</v>
      </c>
      <c r="F299" s="375" t="s">
        <v>2705</v>
      </c>
      <c r="G299" s="375" t="s">
        <v>2705</v>
      </c>
      <c r="H299" s="375" t="s">
        <v>1468</v>
      </c>
      <c r="I299" s="375" t="s">
        <v>754</v>
      </c>
      <c r="J299" s="375">
        <v>1706289.88711</v>
      </c>
      <c r="K299" s="375">
        <v>246280.11410000001</v>
      </c>
      <c r="L299" s="375">
        <v>25331.529589999998</v>
      </c>
      <c r="M299" s="375">
        <v>1777917.35913</v>
      </c>
      <c r="N299" s="372">
        <v>1.1220000000000001</v>
      </c>
      <c r="O299" s="704">
        <v>248.60947919499066</v>
      </c>
      <c r="P299" s="375" t="s">
        <v>622</v>
      </c>
      <c r="Q299" s="375" t="s">
        <v>622</v>
      </c>
      <c r="R299" s="696">
        <v>19860127</v>
      </c>
      <c r="S299" s="375" t="s">
        <v>2706</v>
      </c>
      <c r="T299" s="697">
        <v>0.23100000000000001</v>
      </c>
      <c r="U299" s="375" t="s">
        <v>2707</v>
      </c>
      <c r="V299" s="723">
        <v>6.38</v>
      </c>
      <c r="W299" s="723">
        <v>0.43</v>
      </c>
      <c r="X299" s="723">
        <v>0.4</v>
      </c>
      <c r="Y299" s="723">
        <v>65.59</v>
      </c>
      <c r="Z299" s="382">
        <v>-6.6758993279765311E-2</v>
      </c>
      <c r="AA299" s="372">
        <v>12004.1271648</v>
      </c>
      <c r="AB299" s="372">
        <v>16084.4092489</v>
      </c>
      <c r="AC299" s="372">
        <v>22784.429023000001</v>
      </c>
      <c r="AD299" s="372">
        <v>20294.4005722</v>
      </c>
      <c r="AE299" s="372">
        <v>15701.8</v>
      </c>
      <c r="AF299" s="372">
        <v>14414</v>
      </c>
      <c r="AG299" s="372">
        <v>15394</v>
      </c>
      <c r="AH299" s="372">
        <v>0</v>
      </c>
    </row>
    <row r="300" spans="1:34">
      <c r="A300" s="372" t="s">
        <v>2708</v>
      </c>
      <c r="B300" s="373" t="s">
        <v>2709</v>
      </c>
      <c r="C300" s="372" t="s">
        <v>2710</v>
      </c>
      <c r="D300" s="374">
        <v>1301110007707</v>
      </c>
      <c r="E300" s="372" t="s">
        <v>2711</v>
      </c>
      <c r="F300" s="372" t="s">
        <v>1357</v>
      </c>
      <c r="G300" s="375" t="s">
        <v>1357</v>
      </c>
      <c r="H300" s="375" t="s">
        <v>826</v>
      </c>
      <c r="I300" s="375" t="s">
        <v>754</v>
      </c>
      <c r="J300" s="375">
        <v>427530.89945000003</v>
      </c>
      <c r="K300" s="375">
        <v>65786.584239999996</v>
      </c>
      <c r="L300" s="375">
        <v>61790.75099</v>
      </c>
      <c r="M300" s="375">
        <v>389757.52531</v>
      </c>
      <c r="N300" s="372">
        <v>0.42899999999999999</v>
      </c>
      <c r="O300" s="704">
        <v>3.112993935113912E-2</v>
      </c>
      <c r="P300" s="375" t="s">
        <v>622</v>
      </c>
      <c r="Q300" s="375" t="s">
        <v>622</v>
      </c>
      <c r="R300" s="696">
        <v>19890925</v>
      </c>
      <c r="S300" s="375" t="s">
        <v>2712</v>
      </c>
      <c r="T300" s="697">
        <v>0.23100000000000001</v>
      </c>
      <c r="U300" s="375" t="s">
        <v>2713</v>
      </c>
      <c r="V300" s="723">
        <v>9.69</v>
      </c>
      <c r="W300" s="723">
        <v>2.31</v>
      </c>
      <c r="X300" s="723">
        <v>2.2200000000000002</v>
      </c>
      <c r="Y300" s="723">
        <v>18</v>
      </c>
      <c r="Z300" s="382" t="s">
        <v>927</v>
      </c>
      <c r="AA300" s="372">
        <v>2949.8386040999999</v>
      </c>
      <c r="AB300" s="372">
        <v>3597.9498278000001</v>
      </c>
      <c r="AC300" s="372">
        <v>4381.8800395999997</v>
      </c>
      <c r="AD300" s="372">
        <v>4213.6735065000003</v>
      </c>
      <c r="AE300" s="372">
        <v>0</v>
      </c>
      <c r="AF300" s="372">
        <v>0</v>
      </c>
      <c r="AG300" s="372">
        <v>0</v>
      </c>
      <c r="AH300" s="372">
        <v>0</v>
      </c>
    </row>
    <row r="301" spans="1:34">
      <c r="A301" s="372" t="s">
        <v>2714</v>
      </c>
      <c r="B301" s="373" t="s">
        <v>2715</v>
      </c>
      <c r="C301" s="372" t="s">
        <v>2716</v>
      </c>
      <c r="D301" s="374">
        <v>1311110082427</v>
      </c>
      <c r="E301" s="372" t="s">
        <v>2717</v>
      </c>
      <c r="F301" s="372" t="s">
        <v>2718</v>
      </c>
      <c r="G301" s="375" t="s">
        <v>2718</v>
      </c>
      <c r="H301" s="375" t="s">
        <v>1337</v>
      </c>
      <c r="I301" s="375" t="s">
        <v>862</v>
      </c>
      <c r="J301" s="375">
        <v>376030.24576000002</v>
      </c>
      <c r="K301" s="375">
        <v>52442.570749999999</v>
      </c>
      <c r="L301" s="375">
        <v>36830.054450000003</v>
      </c>
      <c r="M301" s="375">
        <v>436812.92466000002</v>
      </c>
      <c r="N301" s="372">
        <v>1.3169999999999999</v>
      </c>
      <c r="O301" s="704">
        <v>68.366373491306021</v>
      </c>
      <c r="P301" s="375" t="s">
        <v>622</v>
      </c>
      <c r="Q301" s="375" t="s">
        <v>622</v>
      </c>
      <c r="R301" s="696">
        <v>20131022</v>
      </c>
      <c r="S301" s="375" t="s">
        <v>2719</v>
      </c>
      <c r="T301" s="697">
        <v>0.23100000000000001</v>
      </c>
      <c r="U301" s="375" t="s">
        <v>15844</v>
      </c>
      <c r="V301" s="723">
        <v>3.35</v>
      </c>
      <c r="W301" s="723">
        <v>1.38</v>
      </c>
      <c r="X301" s="723">
        <v>1.57</v>
      </c>
      <c r="Y301" s="723">
        <v>12.39</v>
      </c>
      <c r="Z301" s="382">
        <v>0.10980294557579118</v>
      </c>
      <c r="AA301" s="372">
        <v>1325.1890223</v>
      </c>
      <c r="AB301" s="372">
        <v>2075.8446666</v>
      </c>
      <c r="AC301" s="372">
        <v>2776.5593755</v>
      </c>
      <c r="AD301" s="372">
        <v>3386.5225452</v>
      </c>
      <c r="AE301" s="372">
        <v>3944.6</v>
      </c>
      <c r="AF301" s="372">
        <v>4535.8</v>
      </c>
      <c r="AG301" s="372">
        <v>5137.33</v>
      </c>
      <c r="AH301" s="372">
        <v>0</v>
      </c>
    </row>
    <row r="302" spans="1:34">
      <c r="A302" s="372" t="s">
        <v>2720</v>
      </c>
      <c r="B302" s="373" t="s">
        <v>2721</v>
      </c>
      <c r="C302" s="372" t="s">
        <v>2722</v>
      </c>
      <c r="D302" s="374">
        <v>1101110624688</v>
      </c>
      <c r="E302" s="372" t="s">
        <v>2723</v>
      </c>
      <c r="F302" s="375" t="s">
        <v>932</v>
      </c>
      <c r="G302" s="375" t="s">
        <v>932</v>
      </c>
      <c r="H302" s="375" t="s">
        <v>933</v>
      </c>
      <c r="I302" s="375" t="s">
        <v>754</v>
      </c>
      <c r="J302" s="375">
        <v>1166631.4680999999</v>
      </c>
      <c r="K302" s="375">
        <v>409444.00092000002</v>
      </c>
      <c r="L302" s="375">
        <v>419347.28292999999</v>
      </c>
      <c r="M302" s="375">
        <v>2067182.18619</v>
      </c>
      <c r="N302" s="372">
        <v>0.81799999999999995</v>
      </c>
      <c r="O302" s="704">
        <v>0</v>
      </c>
      <c r="P302" s="375" t="s">
        <v>622</v>
      </c>
      <c r="Q302" s="372" t="s">
        <v>622</v>
      </c>
      <c r="R302" s="696">
        <v>20091008</v>
      </c>
      <c r="S302" s="372" t="s">
        <v>1551</v>
      </c>
      <c r="T302" s="697">
        <v>0.26400000000000001</v>
      </c>
      <c r="U302" s="372" t="s">
        <v>2724</v>
      </c>
      <c r="V302" s="723">
        <v>0</v>
      </c>
      <c r="W302" s="723">
        <v>0.41</v>
      </c>
      <c r="X302" s="723">
        <v>0.28000000000000003</v>
      </c>
      <c r="Y302" s="723">
        <v>2.67</v>
      </c>
      <c r="Z302" s="382" t="s">
        <v>927</v>
      </c>
      <c r="AA302" s="372">
        <v>49108.566537400002</v>
      </c>
      <c r="AB302" s="372">
        <v>43717.895381800001</v>
      </c>
      <c r="AC302" s="372">
        <v>10235.0822778</v>
      </c>
      <c r="AD302" s="372">
        <v>11078.4174095</v>
      </c>
      <c r="AE302" s="372">
        <v>0</v>
      </c>
      <c r="AF302" s="372">
        <v>0</v>
      </c>
      <c r="AG302" s="372">
        <v>0</v>
      </c>
      <c r="AH302" s="372">
        <v>0</v>
      </c>
    </row>
    <row r="303" spans="1:34">
      <c r="A303" s="372" t="s">
        <v>2725</v>
      </c>
      <c r="B303" s="373" t="s">
        <v>2726</v>
      </c>
      <c r="C303" s="372" t="s">
        <v>2727</v>
      </c>
      <c r="D303" s="374">
        <v>1101110042955</v>
      </c>
      <c r="E303" s="372" t="s">
        <v>2728</v>
      </c>
      <c r="F303" s="375" t="s">
        <v>1262</v>
      </c>
      <c r="G303" s="375" t="s">
        <v>1263</v>
      </c>
      <c r="H303" s="375" t="s">
        <v>1264</v>
      </c>
      <c r="I303" s="375" t="s">
        <v>754</v>
      </c>
      <c r="J303" s="375">
        <v>0</v>
      </c>
      <c r="K303" s="375">
        <v>0</v>
      </c>
      <c r="L303" s="375">
        <v>0</v>
      </c>
      <c r="M303" s="375">
        <v>0</v>
      </c>
      <c r="N303" s="372">
        <v>0.74099999999999999</v>
      </c>
      <c r="O303" s="704" t="s">
        <v>16301</v>
      </c>
      <c r="P303" s="375" t="s">
        <v>622</v>
      </c>
      <c r="Q303" s="375" t="s">
        <v>622</v>
      </c>
      <c r="R303" s="696">
        <v>19751001</v>
      </c>
      <c r="S303" s="375" t="s">
        <v>2729</v>
      </c>
      <c r="T303" s="697" t="s">
        <v>771</v>
      </c>
      <c r="U303" s="375" t="s">
        <v>2730</v>
      </c>
      <c r="V303" s="723">
        <v>0</v>
      </c>
      <c r="W303" s="723">
        <v>0</v>
      </c>
      <c r="X303" s="723">
        <v>0</v>
      </c>
      <c r="Y303" s="723">
        <v>0</v>
      </c>
      <c r="Z303" s="382">
        <v>5.1127360012664935E-2</v>
      </c>
      <c r="AA303" s="372">
        <v>6663.0125799999996</v>
      </c>
      <c r="AB303" s="372">
        <v>13606.77678</v>
      </c>
      <c r="AC303" s="372">
        <v>7637.2106000000003</v>
      </c>
      <c r="AD303" s="372">
        <v>6573.9088599999995</v>
      </c>
      <c r="AE303" s="372">
        <v>6845</v>
      </c>
      <c r="AF303" s="372">
        <v>7420</v>
      </c>
      <c r="AG303" s="372">
        <v>8025</v>
      </c>
      <c r="AH303" s="372">
        <v>0</v>
      </c>
    </row>
    <row r="304" spans="1:34">
      <c r="A304" s="372" t="s">
        <v>2731</v>
      </c>
      <c r="B304" s="373" t="s">
        <v>2732</v>
      </c>
      <c r="C304" s="372" t="s">
        <v>2733</v>
      </c>
      <c r="D304" s="374">
        <v>1101110035794</v>
      </c>
      <c r="E304" s="372" t="s">
        <v>2734</v>
      </c>
      <c r="F304" s="375" t="s">
        <v>811</v>
      </c>
      <c r="G304" s="375" t="s">
        <v>811</v>
      </c>
      <c r="H304" s="375" t="s">
        <v>812</v>
      </c>
      <c r="I304" s="375" t="s">
        <v>754</v>
      </c>
      <c r="J304" s="375">
        <v>3694539.7524199998</v>
      </c>
      <c r="K304" s="375">
        <v>110536.49003</v>
      </c>
      <c r="L304" s="375">
        <v>73208.115349999993</v>
      </c>
      <c r="M304" s="375">
        <v>2076256.11579</v>
      </c>
      <c r="N304" s="372">
        <v>1.0780000000000001</v>
      </c>
      <c r="O304" s="704">
        <v>132.73797205337402</v>
      </c>
      <c r="P304" s="375" t="s">
        <v>622</v>
      </c>
      <c r="Q304" s="375" t="s">
        <v>622</v>
      </c>
      <c r="R304" s="696">
        <v>19910312</v>
      </c>
      <c r="S304" s="375" t="s">
        <v>2735</v>
      </c>
      <c r="T304" s="697">
        <v>0.23100000000000001</v>
      </c>
      <c r="U304" s="375" t="s">
        <v>2736</v>
      </c>
      <c r="V304" s="723">
        <v>7</v>
      </c>
      <c r="W304" s="723">
        <v>0.37</v>
      </c>
      <c r="X304" s="723">
        <v>0.2</v>
      </c>
      <c r="Y304" s="723">
        <v>11.46</v>
      </c>
      <c r="Z304" s="382">
        <v>-4.8076419975398021E-3</v>
      </c>
      <c r="AA304" s="372">
        <v>25357.759156</v>
      </c>
      <c r="AB304" s="372">
        <v>36511.029513000001</v>
      </c>
      <c r="AC304" s="372">
        <v>43863.327485399997</v>
      </c>
      <c r="AD304" s="372">
        <v>40834.811759199998</v>
      </c>
      <c r="AE304" s="372">
        <v>37276.080000000002</v>
      </c>
      <c r="AF304" s="372">
        <v>38538.75</v>
      </c>
      <c r="AG304" s="372">
        <v>40055.18</v>
      </c>
      <c r="AH304" s="372">
        <v>42940</v>
      </c>
    </row>
    <row r="305" spans="1:34">
      <c r="A305" s="372" t="s">
        <v>2737</v>
      </c>
      <c r="B305" s="373" t="s">
        <v>2738</v>
      </c>
      <c r="C305" s="372" t="s">
        <v>2739</v>
      </c>
      <c r="D305" s="374">
        <v>1101110515275</v>
      </c>
      <c r="E305" s="372" t="s">
        <v>2740</v>
      </c>
      <c r="F305" s="375" t="s">
        <v>907</v>
      </c>
      <c r="G305" s="375" t="s">
        <v>908</v>
      </c>
      <c r="H305" s="375" t="s">
        <v>909</v>
      </c>
      <c r="I305" s="375" t="s">
        <v>754</v>
      </c>
      <c r="J305" s="375">
        <v>180614.23754999999</v>
      </c>
      <c r="K305" s="375">
        <v>27088.562529999999</v>
      </c>
      <c r="L305" s="375">
        <v>36184.873829999997</v>
      </c>
      <c r="M305" s="375">
        <v>195289.06859000001</v>
      </c>
      <c r="N305" s="372">
        <v>0.21</v>
      </c>
      <c r="O305" s="704">
        <v>28.967012949292364</v>
      </c>
      <c r="P305" s="375" t="s">
        <v>622</v>
      </c>
      <c r="Q305" s="375" t="s">
        <v>622</v>
      </c>
      <c r="R305" s="696">
        <v>19760629</v>
      </c>
      <c r="S305" s="375" t="s">
        <v>2741</v>
      </c>
      <c r="T305" s="697">
        <v>0.23100000000000001</v>
      </c>
      <c r="U305" s="375" t="s">
        <v>2742</v>
      </c>
      <c r="V305" s="723">
        <v>14.01</v>
      </c>
      <c r="W305" s="723">
        <v>2.99</v>
      </c>
      <c r="X305" s="723">
        <v>3.15</v>
      </c>
      <c r="Y305" s="723">
        <v>14.94</v>
      </c>
      <c r="Z305" s="382" t="s">
        <v>927</v>
      </c>
      <c r="AA305" s="372">
        <v>889.38838459999999</v>
      </c>
      <c r="AB305" s="372">
        <v>817.24313859999995</v>
      </c>
      <c r="AC305" s="372">
        <v>1778.6007806</v>
      </c>
      <c r="AD305" s="372">
        <v>1648.1154203999999</v>
      </c>
      <c r="AE305" s="372">
        <v>0</v>
      </c>
      <c r="AF305" s="372">
        <v>0</v>
      </c>
      <c r="AG305" s="372">
        <v>0</v>
      </c>
      <c r="AH305" s="372">
        <v>0</v>
      </c>
    </row>
    <row r="306" spans="1:34">
      <c r="A306" s="372" t="s">
        <v>2743</v>
      </c>
      <c r="B306" s="373" t="s">
        <v>2744</v>
      </c>
      <c r="C306" s="372" t="s">
        <v>2745</v>
      </c>
      <c r="D306" s="374">
        <v>1101110393308</v>
      </c>
      <c r="E306" s="372" t="s">
        <v>2746</v>
      </c>
      <c r="F306" s="375" t="s">
        <v>2747</v>
      </c>
      <c r="G306" s="375" t="s">
        <v>2748</v>
      </c>
      <c r="H306" s="375" t="s">
        <v>812</v>
      </c>
      <c r="I306" s="375" t="s">
        <v>754</v>
      </c>
      <c r="J306" s="375">
        <v>3350209.3160399999</v>
      </c>
      <c r="K306" s="375">
        <v>203208.08791</v>
      </c>
      <c r="L306" s="375">
        <v>203308.31662</v>
      </c>
      <c r="M306" s="375">
        <v>1936778.30534</v>
      </c>
      <c r="N306" s="372">
        <v>1.1000000000000001</v>
      </c>
      <c r="O306" s="704">
        <v>145.31123074867989</v>
      </c>
      <c r="P306" s="375" t="s">
        <v>622</v>
      </c>
      <c r="Q306" s="372" t="s">
        <v>622</v>
      </c>
      <c r="R306" s="696">
        <v>19860203</v>
      </c>
      <c r="S306" s="375" t="s">
        <v>2749</v>
      </c>
      <c r="T306" s="697">
        <v>0.23100000000000001</v>
      </c>
      <c r="U306" s="375" t="s">
        <v>15845</v>
      </c>
      <c r="V306" s="723">
        <v>4.88</v>
      </c>
      <c r="W306" s="723">
        <v>0.35</v>
      </c>
      <c r="X306" s="723">
        <v>0.2</v>
      </c>
      <c r="Y306" s="723">
        <v>4.34</v>
      </c>
      <c r="Z306" s="382">
        <v>1.1284147745107775E-2</v>
      </c>
      <c r="AA306" s="372">
        <v>23424.435909</v>
      </c>
      <c r="AB306" s="372">
        <v>33547.891863299999</v>
      </c>
      <c r="AC306" s="372">
        <v>38196.890278300001</v>
      </c>
      <c r="AD306" s="372">
        <v>34298.482001900004</v>
      </c>
      <c r="AE306" s="372">
        <v>33073.5</v>
      </c>
      <c r="AF306" s="372">
        <v>34385.5</v>
      </c>
      <c r="AG306" s="372">
        <v>35873</v>
      </c>
      <c r="AH306" s="372">
        <v>34730</v>
      </c>
    </row>
    <row r="307" spans="1:34">
      <c r="A307" s="372" t="s">
        <v>2750</v>
      </c>
      <c r="B307" s="373" t="s">
        <v>2751</v>
      </c>
      <c r="C307" s="372" t="s">
        <v>2752</v>
      </c>
      <c r="D307" s="374">
        <v>1760110035615</v>
      </c>
      <c r="E307" s="372" t="s">
        <v>2753</v>
      </c>
      <c r="F307" s="375" t="s">
        <v>2754</v>
      </c>
      <c r="G307" s="375" t="s">
        <v>2755</v>
      </c>
      <c r="H307" s="375" t="s">
        <v>861</v>
      </c>
      <c r="I307" s="375" t="s">
        <v>862</v>
      </c>
      <c r="J307" s="375">
        <v>876670.95857000002</v>
      </c>
      <c r="K307" s="375">
        <v>107277.30147999999</v>
      </c>
      <c r="L307" s="375">
        <v>75876.674559999999</v>
      </c>
      <c r="M307" s="375">
        <v>564619.39373999997</v>
      </c>
      <c r="N307" s="372">
        <v>1.133</v>
      </c>
      <c r="O307" s="704">
        <v>108.55133581452054</v>
      </c>
      <c r="P307" s="375" t="s">
        <v>622</v>
      </c>
      <c r="Q307" s="375" t="s">
        <v>622</v>
      </c>
      <c r="R307" s="696">
        <v>20031210</v>
      </c>
      <c r="S307" s="375" t="s">
        <v>2756</v>
      </c>
      <c r="T307" s="697">
        <v>0.23100000000000001</v>
      </c>
      <c r="U307" s="375" t="s">
        <v>2757</v>
      </c>
      <c r="V307" s="723">
        <v>8.1</v>
      </c>
      <c r="W307" s="723">
        <v>1.49</v>
      </c>
      <c r="X307" s="723">
        <v>0.77</v>
      </c>
      <c r="Y307" s="723">
        <v>13.9</v>
      </c>
      <c r="Z307" s="382">
        <v>8.0760440248064835E-2</v>
      </c>
      <c r="AA307" s="372">
        <v>5256.4040885000004</v>
      </c>
      <c r="AB307" s="372">
        <v>6241.1900765</v>
      </c>
      <c r="AC307" s="372">
        <v>7831.7880587</v>
      </c>
      <c r="AD307" s="372">
        <v>8059.4814294999996</v>
      </c>
      <c r="AE307" s="372">
        <v>9117</v>
      </c>
      <c r="AF307" s="372">
        <v>10102.33</v>
      </c>
      <c r="AG307" s="372">
        <v>10995.75</v>
      </c>
      <c r="AH307" s="372">
        <v>14443</v>
      </c>
    </row>
    <row r="308" spans="1:34">
      <c r="A308" s="372" t="s">
        <v>2758</v>
      </c>
      <c r="B308" s="373" t="s">
        <v>2759</v>
      </c>
      <c r="C308" s="372" t="s">
        <v>2760</v>
      </c>
      <c r="D308" s="374">
        <v>1101110014459</v>
      </c>
      <c r="E308" s="372" t="s">
        <v>2761</v>
      </c>
      <c r="F308" s="375" t="s">
        <v>958</v>
      </c>
      <c r="G308" s="375" t="s">
        <v>959</v>
      </c>
      <c r="H308" s="375" t="s">
        <v>933</v>
      </c>
      <c r="I308" s="375" t="s">
        <v>754</v>
      </c>
      <c r="J308" s="375">
        <v>1926493.93536</v>
      </c>
      <c r="K308" s="375">
        <v>159212.49127</v>
      </c>
      <c r="L308" s="375">
        <v>161679.27187</v>
      </c>
      <c r="M308" s="375">
        <v>878544.95175000001</v>
      </c>
      <c r="N308" s="372">
        <v>0.61199999999999999</v>
      </c>
      <c r="O308" s="704">
        <v>97.897842758108737</v>
      </c>
      <c r="P308" s="375" t="s">
        <v>622</v>
      </c>
      <c r="Q308" s="372" t="s">
        <v>622</v>
      </c>
      <c r="R308" s="696">
        <v>19710416</v>
      </c>
      <c r="S308" s="375" t="s">
        <v>2762</v>
      </c>
      <c r="T308" s="697">
        <v>0.23100000000000001</v>
      </c>
      <c r="U308" s="372" t="s">
        <v>2763</v>
      </c>
      <c r="V308" s="723">
        <v>0</v>
      </c>
      <c r="W308" s="723">
        <v>0</v>
      </c>
      <c r="X308" s="723">
        <v>0</v>
      </c>
      <c r="Y308" s="723">
        <v>0</v>
      </c>
      <c r="Z308" s="382" t="s">
        <v>927</v>
      </c>
      <c r="AA308" s="372">
        <v>22396.265067100001</v>
      </c>
      <c r="AB308" s="372">
        <v>22739.550024200002</v>
      </c>
      <c r="AC308" s="372">
        <v>15077.4548273</v>
      </c>
      <c r="AD308" s="372">
        <v>16725.294117000001</v>
      </c>
      <c r="AE308" s="372">
        <v>0</v>
      </c>
      <c r="AF308" s="372">
        <v>0</v>
      </c>
      <c r="AG308" s="372">
        <v>0</v>
      </c>
      <c r="AH308" s="372">
        <v>0</v>
      </c>
    </row>
    <row r="309" spans="1:34">
      <c r="A309" s="372" t="s">
        <v>2764</v>
      </c>
      <c r="B309" s="373" t="s">
        <v>2765</v>
      </c>
      <c r="C309" s="372" t="s">
        <v>2766</v>
      </c>
      <c r="D309" s="374">
        <v>1311110319656</v>
      </c>
      <c r="E309" s="372" t="s">
        <v>2767</v>
      </c>
      <c r="F309" s="375" t="s">
        <v>1656</v>
      </c>
      <c r="G309" s="375" t="s">
        <v>2367</v>
      </c>
      <c r="H309" s="375" t="s">
        <v>861</v>
      </c>
      <c r="I309" s="375" t="s">
        <v>862</v>
      </c>
      <c r="J309" s="375">
        <v>90999.515650000001</v>
      </c>
      <c r="K309" s="375">
        <v>4055.69481</v>
      </c>
      <c r="L309" s="375">
        <v>5057.5000600000003</v>
      </c>
      <c r="M309" s="375">
        <v>65234.062409999999</v>
      </c>
      <c r="N309" s="372">
        <v>1.26</v>
      </c>
      <c r="O309" s="704">
        <v>1.5647983365119058</v>
      </c>
      <c r="P309" s="375" t="s">
        <v>622</v>
      </c>
      <c r="Q309" s="375" t="s">
        <v>622</v>
      </c>
      <c r="R309" s="696">
        <v>20220520</v>
      </c>
      <c r="S309" s="375" t="s">
        <v>2768</v>
      </c>
      <c r="T309" s="697">
        <v>0.20900000000000002</v>
      </c>
      <c r="U309" s="375" t="s">
        <v>2769</v>
      </c>
      <c r="V309" s="723">
        <v>51.08</v>
      </c>
      <c r="W309" s="723">
        <v>7.58</v>
      </c>
      <c r="X309" s="723">
        <v>5.43</v>
      </c>
      <c r="Y309" s="723">
        <v>78.61</v>
      </c>
      <c r="Z309" s="382">
        <v>0.44333623900637464</v>
      </c>
      <c r="AA309" s="372">
        <v>170.9830595</v>
      </c>
      <c r="AB309" s="372">
        <v>322.35607290000002</v>
      </c>
      <c r="AC309" s="372">
        <v>433.20504879999999</v>
      </c>
      <c r="AD309" s="372">
        <v>635.97349799999995</v>
      </c>
      <c r="AE309" s="372">
        <v>981.5</v>
      </c>
      <c r="AF309" s="372">
        <v>1599.5</v>
      </c>
      <c r="AG309" s="372">
        <v>2760</v>
      </c>
      <c r="AH309" s="372">
        <v>0</v>
      </c>
    </row>
    <row r="310" spans="1:34">
      <c r="A310" s="372" t="s">
        <v>2770</v>
      </c>
      <c r="B310" s="373" t="s">
        <v>2771</v>
      </c>
      <c r="C310" s="372" t="s">
        <v>2772</v>
      </c>
      <c r="D310" s="374">
        <v>1344110044981</v>
      </c>
      <c r="E310" s="372" t="s">
        <v>2773</v>
      </c>
      <c r="F310" s="372" t="s">
        <v>1185</v>
      </c>
      <c r="G310" s="375" t="s">
        <v>1186</v>
      </c>
      <c r="H310" s="375" t="s">
        <v>861</v>
      </c>
      <c r="I310" s="375" t="s">
        <v>862</v>
      </c>
      <c r="J310" s="375">
        <v>102603.7692</v>
      </c>
      <c r="K310" s="375">
        <v>39646.918700000002</v>
      </c>
      <c r="L310" s="375">
        <v>39645.15324</v>
      </c>
      <c r="M310" s="375">
        <v>147910.69424000001</v>
      </c>
      <c r="N310" s="372">
        <v>1.131</v>
      </c>
      <c r="O310" s="704">
        <v>1.5639639196025723</v>
      </c>
      <c r="P310" s="375" t="s">
        <v>622</v>
      </c>
      <c r="Q310" s="375" t="s">
        <v>622</v>
      </c>
      <c r="R310" s="696">
        <v>20201008</v>
      </c>
      <c r="S310" s="375" t="s">
        <v>2774</v>
      </c>
      <c r="T310" s="697">
        <v>0.23100000000000001</v>
      </c>
      <c r="U310" s="375" t="s">
        <v>2775</v>
      </c>
      <c r="V310" s="723">
        <v>12.46</v>
      </c>
      <c r="W310" s="723">
        <v>3.56</v>
      </c>
      <c r="X310" s="723">
        <v>5.27</v>
      </c>
      <c r="Y310" s="723">
        <v>17.97</v>
      </c>
      <c r="Z310" s="382">
        <v>0.20671753493729939</v>
      </c>
      <c r="AA310" s="372">
        <v>494.4511766</v>
      </c>
      <c r="AB310" s="372">
        <v>571.08751849999999</v>
      </c>
      <c r="AC310" s="372">
        <v>1149.4287389000001</v>
      </c>
      <c r="AD310" s="372">
        <v>879.30571020000002</v>
      </c>
      <c r="AE310" s="372">
        <v>1015.4</v>
      </c>
      <c r="AF310" s="372">
        <v>1454</v>
      </c>
      <c r="AG310" s="372">
        <v>1864.5</v>
      </c>
      <c r="AH310" s="372">
        <v>2350</v>
      </c>
    </row>
    <row r="311" spans="1:34">
      <c r="A311" s="372" t="s">
        <v>2776</v>
      </c>
      <c r="B311" s="373" t="s">
        <v>2777</v>
      </c>
      <c r="C311" s="372" t="s">
        <v>2778</v>
      </c>
      <c r="D311" s="374">
        <v>1101111906887</v>
      </c>
      <c r="E311" s="372" t="s">
        <v>2779</v>
      </c>
      <c r="F311" s="375" t="s">
        <v>1370</v>
      </c>
      <c r="G311" s="375" t="s">
        <v>1370</v>
      </c>
      <c r="H311" s="375" t="s">
        <v>861</v>
      </c>
      <c r="I311" s="375" t="s">
        <v>862</v>
      </c>
      <c r="J311" s="375">
        <v>74426.834839999996</v>
      </c>
      <c r="K311" s="375">
        <v>7271.8966499999997</v>
      </c>
      <c r="L311" s="375">
        <v>15337.70348</v>
      </c>
      <c r="M311" s="375">
        <v>79753.773879999993</v>
      </c>
      <c r="N311" s="372">
        <v>0.97699999999999998</v>
      </c>
      <c r="O311" s="704">
        <v>0.2892187590376824</v>
      </c>
      <c r="P311" s="375" t="s">
        <v>622</v>
      </c>
      <c r="Q311" s="375" t="s">
        <v>622</v>
      </c>
      <c r="R311" s="696">
        <v>20160428</v>
      </c>
      <c r="S311" s="375" t="s">
        <v>2780</v>
      </c>
      <c r="T311" s="697">
        <v>0.20900000000000002</v>
      </c>
      <c r="U311" s="372" t="s">
        <v>2781</v>
      </c>
      <c r="V311" s="723">
        <v>60.27</v>
      </c>
      <c r="W311" s="723">
        <v>7.86</v>
      </c>
      <c r="X311" s="723">
        <v>8.15</v>
      </c>
      <c r="Y311" s="723">
        <v>57.82</v>
      </c>
      <c r="Z311" s="382">
        <v>0.20154301820500087</v>
      </c>
      <c r="AA311" s="372">
        <v>448.48706449999997</v>
      </c>
      <c r="AB311" s="372">
        <v>470.14722799999998</v>
      </c>
      <c r="AC311" s="372">
        <v>586.23051380000004</v>
      </c>
      <c r="AD311" s="372">
        <v>631.7367405</v>
      </c>
      <c r="AE311" s="372">
        <v>843.51</v>
      </c>
      <c r="AF311" s="372">
        <v>1096.03</v>
      </c>
      <c r="AG311" s="372">
        <v>1316.72</v>
      </c>
      <c r="AH311" s="372">
        <v>0</v>
      </c>
    </row>
    <row r="312" spans="1:34">
      <c r="A312" s="372" t="s">
        <v>2782</v>
      </c>
      <c r="B312" s="373" t="s">
        <v>2783</v>
      </c>
      <c r="C312" s="372" t="s">
        <v>2784</v>
      </c>
      <c r="D312" s="374">
        <v>1101110019342</v>
      </c>
      <c r="E312" s="372" t="s">
        <v>2785</v>
      </c>
      <c r="F312" s="375" t="s">
        <v>1323</v>
      </c>
      <c r="G312" s="375" t="s">
        <v>16106</v>
      </c>
      <c r="H312" s="375" t="s">
        <v>784</v>
      </c>
      <c r="I312" s="375" t="s">
        <v>754</v>
      </c>
      <c r="J312" s="375">
        <v>736542.61635000003</v>
      </c>
      <c r="K312" s="375">
        <v>97724.087679999997</v>
      </c>
      <c r="L312" s="375">
        <v>89194.993669999996</v>
      </c>
      <c r="M312" s="375">
        <v>303766.50378999999</v>
      </c>
      <c r="N312" s="372">
        <v>1.1040000000000001</v>
      </c>
      <c r="O312" s="704">
        <v>21.750376493058603</v>
      </c>
      <c r="P312" s="375" t="s">
        <v>622</v>
      </c>
      <c r="Q312" s="372" t="s">
        <v>622</v>
      </c>
      <c r="R312" s="696">
        <v>19760614</v>
      </c>
      <c r="S312" s="372" t="s">
        <v>15985</v>
      </c>
      <c r="T312" s="697">
        <v>0.23100000000000001</v>
      </c>
      <c r="U312" s="375" t="s">
        <v>2786</v>
      </c>
      <c r="V312" s="723">
        <v>5.99</v>
      </c>
      <c r="W312" s="723">
        <v>2.17</v>
      </c>
      <c r="X312" s="723">
        <v>0.93</v>
      </c>
      <c r="Y312" s="723">
        <v>9.3699999999999992</v>
      </c>
      <c r="Z312" s="382">
        <v>5.3655395170325804E-2</v>
      </c>
      <c r="AA312" s="372">
        <v>5473.357078</v>
      </c>
      <c r="AB312" s="372">
        <v>6065.8494477000004</v>
      </c>
      <c r="AC312" s="372">
        <v>6843.5109923999999</v>
      </c>
      <c r="AD312" s="372">
        <v>7485.2670780999997</v>
      </c>
      <c r="AE312" s="372">
        <v>7728.75</v>
      </c>
      <c r="AF312" s="372">
        <v>8489.75</v>
      </c>
      <c r="AG312" s="372">
        <v>9225.75</v>
      </c>
      <c r="AH312" s="372">
        <v>0</v>
      </c>
    </row>
    <row r="313" spans="1:34">
      <c r="A313" s="372" t="s">
        <v>2787</v>
      </c>
      <c r="B313" s="373" t="s">
        <v>2788</v>
      </c>
      <c r="C313" s="372" t="s">
        <v>2789</v>
      </c>
      <c r="D313" s="374">
        <v>1101116450615</v>
      </c>
      <c r="E313" s="372" t="s">
        <v>2790</v>
      </c>
      <c r="F313" s="375" t="s">
        <v>1796</v>
      </c>
      <c r="G313" s="375" t="s">
        <v>1797</v>
      </c>
      <c r="H313" s="375" t="s">
        <v>861</v>
      </c>
      <c r="I313" s="375" t="s">
        <v>862</v>
      </c>
      <c r="J313" s="375">
        <v>0</v>
      </c>
      <c r="K313" s="375">
        <v>0</v>
      </c>
      <c r="L313" s="375">
        <v>0</v>
      </c>
      <c r="M313" s="375">
        <v>189193.06763000001</v>
      </c>
      <c r="N313" s="372">
        <v>0.95399999999999996</v>
      </c>
      <c r="O313" s="704">
        <v>0.50767446796400884</v>
      </c>
      <c r="P313" s="375" t="s">
        <v>622</v>
      </c>
      <c r="Q313" s="375" t="s">
        <v>622</v>
      </c>
      <c r="R313" s="696">
        <v>20211110</v>
      </c>
      <c r="S313" s="375" t="s">
        <v>2791</v>
      </c>
      <c r="T313" s="697" t="s">
        <v>771</v>
      </c>
      <c r="U313" s="375" t="s">
        <v>2792</v>
      </c>
      <c r="V313" s="723">
        <v>0</v>
      </c>
      <c r="W313" s="723">
        <v>2.5099999999999998</v>
      </c>
      <c r="X313" s="723">
        <v>0</v>
      </c>
      <c r="Y313" s="723">
        <v>0</v>
      </c>
      <c r="Z313" s="382">
        <v>0.10691381383385323</v>
      </c>
      <c r="AA313" s="372">
        <v>130.4773332</v>
      </c>
      <c r="AB313" s="372">
        <v>400.00767150000001</v>
      </c>
      <c r="AC313" s="372">
        <v>491.93860960000001</v>
      </c>
      <c r="AD313" s="372">
        <v>756.91871490000005</v>
      </c>
      <c r="AE313" s="372">
        <v>773.75</v>
      </c>
      <c r="AF313" s="372">
        <v>998.25</v>
      </c>
      <c r="AG313" s="372">
        <v>1136.33</v>
      </c>
      <c r="AH313" s="372">
        <v>0</v>
      </c>
    </row>
    <row r="314" spans="1:34">
      <c r="A314" s="372" t="s">
        <v>2793</v>
      </c>
      <c r="B314" s="373" t="s">
        <v>2794</v>
      </c>
      <c r="C314" s="372" t="s">
        <v>2795</v>
      </c>
      <c r="D314" s="374">
        <v>1101111138985</v>
      </c>
      <c r="E314" s="372" t="s">
        <v>2796</v>
      </c>
      <c r="F314" s="372" t="s">
        <v>1796</v>
      </c>
      <c r="G314" s="375" t="s">
        <v>2797</v>
      </c>
      <c r="H314" s="375" t="s">
        <v>861</v>
      </c>
      <c r="I314" s="375" t="s">
        <v>862</v>
      </c>
      <c r="J314" s="375">
        <v>246603.87031</v>
      </c>
      <c r="K314" s="375">
        <v>23707.066159999998</v>
      </c>
      <c r="L314" s="375">
        <v>39746.348749999997</v>
      </c>
      <c r="M314" s="375">
        <v>363339.36521000002</v>
      </c>
      <c r="N314" s="372">
        <v>0.753</v>
      </c>
      <c r="O314" s="704">
        <v>0.14620904723619552</v>
      </c>
      <c r="P314" s="375" t="s">
        <v>622</v>
      </c>
      <c r="Q314" s="372" t="s">
        <v>622</v>
      </c>
      <c r="R314" s="696">
        <v>20010911</v>
      </c>
      <c r="S314" s="372" t="s">
        <v>2798</v>
      </c>
      <c r="T314" s="697">
        <v>0.23100000000000001</v>
      </c>
      <c r="U314" s="375" t="s">
        <v>2799</v>
      </c>
      <c r="V314" s="723">
        <v>16.8</v>
      </c>
      <c r="W314" s="723">
        <v>1.57</v>
      </c>
      <c r="X314" s="723">
        <v>2.19</v>
      </c>
      <c r="Y314" s="723">
        <v>16.05</v>
      </c>
      <c r="Z314" s="382" t="s">
        <v>927</v>
      </c>
      <c r="AA314" s="372">
        <v>1781.8732725</v>
      </c>
      <c r="AB314" s="372">
        <v>2072.7216023999999</v>
      </c>
      <c r="AC314" s="372">
        <v>2279.7528050000001</v>
      </c>
      <c r="AD314" s="372">
        <v>2392.0105706999998</v>
      </c>
      <c r="AE314" s="372">
        <v>2766</v>
      </c>
      <c r="AF314" s="372">
        <v>3056</v>
      </c>
      <c r="AG314" s="372">
        <v>0</v>
      </c>
      <c r="AH314" s="372">
        <v>0</v>
      </c>
    </row>
    <row r="315" spans="1:34">
      <c r="A315" s="372" t="s">
        <v>2800</v>
      </c>
      <c r="B315" s="373" t="s">
        <v>2801</v>
      </c>
      <c r="C315" s="372" t="s">
        <v>2802</v>
      </c>
      <c r="D315" s="374">
        <v>1615110028691</v>
      </c>
      <c r="E315" s="372" t="s">
        <v>2803</v>
      </c>
      <c r="F315" s="375" t="s">
        <v>1323</v>
      </c>
      <c r="G315" s="375" t="s">
        <v>16106</v>
      </c>
      <c r="H315" s="375" t="s">
        <v>861</v>
      </c>
      <c r="I315" s="375" t="s">
        <v>862</v>
      </c>
      <c r="J315" s="375">
        <v>31977.36665</v>
      </c>
      <c r="K315" s="375">
        <v>-5865.9182099999998</v>
      </c>
      <c r="L315" s="375">
        <v>-10059.89589</v>
      </c>
      <c r="M315" s="375">
        <v>138037.61892000001</v>
      </c>
      <c r="N315" s="372">
        <v>1.1379999999999999</v>
      </c>
      <c r="O315" s="704">
        <v>1.1517333534445859</v>
      </c>
      <c r="P315" s="375" t="s">
        <v>622</v>
      </c>
      <c r="Q315" s="375" t="s">
        <v>622</v>
      </c>
      <c r="R315" s="696">
        <v>20070117</v>
      </c>
      <c r="S315" s="375" t="s">
        <v>2804</v>
      </c>
      <c r="T315" s="697" t="s">
        <v>771</v>
      </c>
      <c r="U315" s="375" t="s">
        <v>2805</v>
      </c>
      <c r="V315" s="723" t="s">
        <v>773</v>
      </c>
      <c r="W315" s="723">
        <v>10.050000000000001</v>
      </c>
      <c r="X315" s="723">
        <v>41.44</v>
      </c>
      <c r="Y315" s="723" t="s">
        <v>773</v>
      </c>
      <c r="Z315" s="382">
        <v>1.1628106339348254</v>
      </c>
      <c r="AA315" s="372">
        <v>434.70793379999998</v>
      </c>
      <c r="AB315" s="372">
        <v>39.027347499999998</v>
      </c>
      <c r="AC315" s="372">
        <v>50.623764899999998</v>
      </c>
      <c r="AD315" s="372">
        <v>49.509299900000002</v>
      </c>
      <c r="AE315" s="372">
        <v>333.33</v>
      </c>
      <c r="AF315" s="372">
        <v>760</v>
      </c>
      <c r="AG315" s="372">
        <v>1083.33</v>
      </c>
      <c r="AH315" s="372">
        <v>0</v>
      </c>
    </row>
    <row r="316" spans="1:34">
      <c r="A316" s="372" t="s">
        <v>2806</v>
      </c>
      <c r="B316" s="373" t="s">
        <v>2807</v>
      </c>
      <c r="C316" s="372" t="s">
        <v>2808</v>
      </c>
      <c r="D316" s="374">
        <v>1301110005727</v>
      </c>
      <c r="E316" s="372" t="s">
        <v>2809</v>
      </c>
      <c r="F316" s="372" t="s">
        <v>893</v>
      </c>
      <c r="G316" s="375" t="s">
        <v>894</v>
      </c>
      <c r="H316" s="375" t="s">
        <v>855</v>
      </c>
      <c r="I316" s="375" t="s">
        <v>754</v>
      </c>
      <c r="J316" s="375">
        <v>8587803.7970800009</v>
      </c>
      <c r="K316" s="375">
        <v>49346.397920000003</v>
      </c>
      <c r="L316" s="375">
        <v>65258.640780000002</v>
      </c>
      <c r="M316" s="375">
        <v>6103243.0626499997</v>
      </c>
      <c r="N316" s="372">
        <v>0.83899999999999997</v>
      </c>
      <c r="O316" s="704">
        <v>961.76076802952332</v>
      </c>
      <c r="P316" s="375" t="s">
        <v>622</v>
      </c>
      <c r="Q316" s="375" t="s">
        <v>622</v>
      </c>
      <c r="R316" s="696">
        <v>19760629</v>
      </c>
      <c r="S316" s="375" t="s">
        <v>2810</v>
      </c>
      <c r="T316" s="697">
        <v>0.23100000000000001</v>
      </c>
      <c r="U316" s="375" t="s">
        <v>2811</v>
      </c>
      <c r="V316" s="723">
        <v>16.66</v>
      </c>
      <c r="W316" s="723">
        <v>0.23</v>
      </c>
      <c r="X316" s="723">
        <v>0.08</v>
      </c>
      <c r="Y316" s="723">
        <v>24.61</v>
      </c>
      <c r="Z316" s="382" t="s">
        <v>927</v>
      </c>
      <c r="AA316" s="372">
        <v>45194.640557999999</v>
      </c>
      <c r="AB316" s="372">
        <v>66143.281606999997</v>
      </c>
      <c r="AC316" s="372">
        <v>87171.1514876</v>
      </c>
      <c r="AD316" s="372">
        <v>89392.1685077</v>
      </c>
      <c r="AE316" s="372">
        <v>0</v>
      </c>
      <c r="AF316" s="372">
        <v>0</v>
      </c>
      <c r="AG316" s="372">
        <v>0</v>
      </c>
      <c r="AH316" s="372">
        <v>0</v>
      </c>
    </row>
    <row r="317" spans="1:34">
      <c r="A317" s="372" t="s">
        <v>2812</v>
      </c>
      <c r="B317" s="373" t="s">
        <v>2813</v>
      </c>
      <c r="C317" s="372" t="s">
        <v>2814</v>
      </c>
      <c r="D317" s="374">
        <v>1201110002957</v>
      </c>
      <c r="E317" s="372" t="s">
        <v>2815</v>
      </c>
      <c r="F317" s="375" t="s">
        <v>1756</v>
      </c>
      <c r="G317" s="375" t="s">
        <v>1757</v>
      </c>
      <c r="H317" s="375" t="s">
        <v>753</v>
      </c>
      <c r="I317" s="375" t="s">
        <v>754</v>
      </c>
      <c r="J317" s="375">
        <v>1451065.8501200001</v>
      </c>
      <c r="K317" s="375">
        <v>164998.16094999999</v>
      </c>
      <c r="L317" s="375">
        <v>165152.57251999999</v>
      </c>
      <c r="M317" s="375">
        <v>1041889.96785</v>
      </c>
      <c r="N317" s="372">
        <v>0.85499999999999998</v>
      </c>
      <c r="O317" s="704">
        <v>18.110208929849961</v>
      </c>
      <c r="P317" s="375" t="s">
        <v>622</v>
      </c>
      <c r="Q317" s="375" t="s">
        <v>622</v>
      </c>
      <c r="R317" s="696">
        <v>19961016</v>
      </c>
      <c r="S317" s="375" t="s">
        <v>2816</v>
      </c>
      <c r="T317" s="697">
        <v>0.23100000000000001</v>
      </c>
      <c r="U317" s="375" t="s">
        <v>2817</v>
      </c>
      <c r="V317" s="723">
        <v>3.06</v>
      </c>
      <c r="W317" s="723">
        <v>0.7</v>
      </c>
      <c r="X317" s="723">
        <v>0.5</v>
      </c>
      <c r="Y317" s="723">
        <v>5.83</v>
      </c>
      <c r="Z317" s="382">
        <v>7.0232218136281332E-2</v>
      </c>
      <c r="AA317" s="372">
        <v>8024.9722835000002</v>
      </c>
      <c r="AB317" s="372">
        <v>9622.2839648000008</v>
      </c>
      <c r="AC317" s="372">
        <v>11681.3497728</v>
      </c>
      <c r="AD317" s="372">
        <v>12969.3995643</v>
      </c>
      <c r="AE317" s="372">
        <v>14896</v>
      </c>
      <c r="AF317" s="372">
        <v>16146</v>
      </c>
      <c r="AG317" s="372">
        <v>17015</v>
      </c>
      <c r="AH317" s="372">
        <v>0</v>
      </c>
    </row>
    <row r="318" spans="1:34">
      <c r="A318" s="372" t="s">
        <v>2818</v>
      </c>
      <c r="B318" s="373" t="s">
        <v>2819</v>
      </c>
      <c r="C318" s="372" t="s">
        <v>2820</v>
      </c>
      <c r="D318" s="374">
        <v>1746110004644</v>
      </c>
      <c r="E318" s="372" t="s">
        <v>2821</v>
      </c>
      <c r="F318" s="372" t="s">
        <v>1276</v>
      </c>
      <c r="G318" s="375" t="s">
        <v>1452</v>
      </c>
      <c r="H318" s="375" t="s">
        <v>861</v>
      </c>
      <c r="I318" s="375" t="s">
        <v>862</v>
      </c>
      <c r="J318" s="375">
        <v>251168.3064</v>
      </c>
      <c r="K318" s="375">
        <v>22052.374589999999</v>
      </c>
      <c r="L318" s="375">
        <v>22257.86721</v>
      </c>
      <c r="M318" s="375">
        <v>150306.62883</v>
      </c>
      <c r="N318" s="372">
        <v>0.97799999999999998</v>
      </c>
      <c r="O318" s="704">
        <v>5.7439382613197489</v>
      </c>
      <c r="P318" s="375" t="s">
        <v>622</v>
      </c>
      <c r="Q318" s="375" t="s">
        <v>622</v>
      </c>
      <c r="R318" s="696">
        <v>19950413</v>
      </c>
      <c r="S318" s="375" t="s">
        <v>2822</v>
      </c>
      <c r="T318" s="697">
        <v>0.23100000000000001</v>
      </c>
      <c r="U318" s="372" t="s">
        <v>2823</v>
      </c>
      <c r="V318" s="723">
        <v>15.85</v>
      </c>
      <c r="W318" s="723">
        <v>4.08</v>
      </c>
      <c r="X318" s="723">
        <v>2.48</v>
      </c>
      <c r="Y318" s="723">
        <v>32.33</v>
      </c>
      <c r="Z318" s="382">
        <v>8.624121091759851E-2</v>
      </c>
      <c r="AA318" s="372">
        <v>2154.8624785000002</v>
      </c>
      <c r="AB318" s="372">
        <v>2315.1036003999998</v>
      </c>
      <c r="AC318" s="372">
        <v>2447.6921434999999</v>
      </c>
      <c r="AD318" s="372">
        <v>2621.7287861</v>
      </c>
      <c r="AE318" s="372">
        <v>2684</v>
      </c>
      <c r="AF318" s="372">
        <v>3000</v>
      </c>
      <c r="AG318" s="372">
        <v>3650</v>
      </c>
      <c r="AH318" s="372">
        <v>0</v>
      </c>
    </row>
    <row r="319" spans="1:34">
      <c r="A319" s="372" t="s">
        <v>2824</v>
      </c>
      <c r="B319" s="373" t="s">
        <v>2825</v>
      </c>
      <c r="C319" s="372" t="s">
        <v>2826</v>
      </c>
      <c r="D319" s="374">
        <v>1101111960924</v>
      </c>
      <c r="E319" s="372" t="s">
        <v>2827</v>
      </c>
      <c r="F319" s="372" t="s">
        <v>2054</v>
      </c>
      <c r="G319" s="375" t="s">
        <v>2055</v>
      </c>
      <c r="H319" s="375" t="s">
        <v>861</v>
      </c>
      <c r="I319" s="375" t="s">
        <v>862</v>
      </c>
      <c r="J319" s="375">
        <v>284766.96838999999</v>
      </c>
      <c r="K319" s="375">
        <v>9640.1943699999993</v>
      </c>
      <c r="L319" s="375">
        <v>-898.31973000000005</v>
      </c>
      <c r="M319" s="375">
        <v>312244.49234</v>
      </c>
      <c r="N319" s="372">
        <v>0.76200000000000001</v>
      </c>
      <c r="O319" s="704">
        <v>32.718371138700292</v>
      </c>
      <c r="P319" s="375" t="s">
        <v>622</v>
      </c>
      <c r="Q319" s="375" t="s">
        <v>622</v>
      </c>
      <c r="R319" s="696">
        <v>20130130</v>
      </c>
      <c r="S319" s="375" t="s">
        <v>2828</v>
      </c>
      <c r="T319" s="697" t="s">
        <v>771</v>
      </c>
      <c r="U319" s="372" t="s">
        <v>2829</v>
      </c>
      <c r="V319" s="723">
        <v>22.21</v>
      </c>
      <c r="W319" s="723">
        <v>1.63</v>
      </c>
      <c r="X319" s="723">
        <v>1.69</v>
      </c>
      <c r="Y319" s="723" t="s">
        <v>773</v>
      </c>
      <c r="Z319" s="382">
        <v>7.9892799946016613E-2</v>
      </c>
      <c r="AA319" s="372">
        <v>2037.0764079999999</v>
      </c>
      <c r="AB319" s="372">
        <v>2329.3479102000001</v>
      </c>
      <c r="AC319" s="372">
        <v>2648.3713109999999</v>
      </c>
      <c r="AD319" s="372">
        <v>2651.2026037000001</v>
      </c>
      <c r="AE319" s="372">
        <v>2872</v>
      </c>
      <c r="AF319" s="372">
        <v>3206</v>
      </c>
      <c r="AG319" s="372">
        <v>3605.5</v>
      </c>
      <c r="AH319" s="372">
        <v>4263</v>
      </c>
    </row>
    <row r="320" spans="1:34">
      <c r="A320" s="372" t="s">
        <v>2830</v>
      </c>
      <c r="B320" s="373" t="s">
        <v>2831</v>
      </c>
      <c r="C320" s="372" t="s">
        <v>2832</v>
      </c>
      <c r="D320" s="374">
        <v>1201110447781</v>
      </c>
      <c r="E320" s="372" t="s">
        <v>2833</v>
      </c>
      <c r="F320" s="372" t="s">
        <v>5687</v>
      </c>
      <c r="G320" s="375" t="s">
        <v>5687</v>
      </c>
      <c r="H320" s="375" t="s">
        <v>861</v>
      </c>
      <c r="I320" s="375" t="s">
        <v>862</v>
      </c>
      <c r="J320" s="375">
        <v>1207670.65234</v>
      </c>
      <c r="K320" s="375">
        <v>142872.16946</v>
      </c>
      <c r="L320" s="375">
        <v>105717.78320999999</v>
      </c>
      <c r="M320" s="375">
        <v>812481.93050999998</v>
      </c>
      <c r="N320" s="372">
        <v>0.49099999999999999</v>
      </c>
      <c r="O320" s="704">
        <v>39.339999055656008</v>
      </c>
      <c r="P320" s="375" t="s">
        <v>622</v>
      </c>
      <c r="Q320" s="375" t="s">
        <v>622</v>
      </c>
      <c r="R320" s="696">
        <v>20170327</v>
      </c>
      <c r="S320" s="375" t="s">
        <v>2836</v>
      </c>
      <c r="T320" s="697">
        <v>0.23100000000000001</v>
      </c>
      <c r="U320" s="375" t="s">
        <v>2837</v>
      </c>
      <c r="V320" s="723">
        <v>9.1</v>
      </c>
      <c r="W320" s="723">
        <v>1.85</v>
      </c>
      <c r="X320" s="723">
        <v>1.25</v>
      </c>
      <c r="Y320" s="723">
        <v>16.350000000000001</v>
      </c>
      <c r="Z320" s="382">
        <v>0.35247184789164665</v>
      </c>
      <c r="AA320" s="372">
        <v>3218.9631758999999</v>
      </c>
      <c r="AB320" s="372">
        <v>6061.4677736000003</v>
      </c>
      <c r="AC320" s="372">
        <v>7359.8852883</v>
      </c>
      <c r="AD320" s="372">
        <v>7786.9426099000002</v>
      </c>
      <c r="AE320" s="372">
        <v>13371.2</v>
      </c>
      <c r="AF320" s="372">
        <v>19317.75</v>
      </c>
      <c r="AG320" s="372">
        <v>26054.33</v>
      </c>
      <c r="AH320" s="372">
        <v>0</v>
      </c>
    </row>
    <row r="321" spans="1:34">
      <c r="A321" s="372" t="s">
        <v>2838</v>
      </c>
      <c r="B321" s="373" t="s">
        <v>2839</v>
      </c>
      <c r="C321" s="372" t="s">
        <v>2840</v>
      </c>
      <c r="D321" s="374">
        <v>1101110145147</v>
      </c>
      <c r="E321" s="372" t="s">
        <v>2841</v>
      </c>
      <c r="F321" s="375" t="s">
        <v>2842</v>
      </c>
      <c r="G321" s="375" t="s">
        <v>2843</v>
      </c>
      <c r="H321" s="375" t="s">
        <v>826</v>
      </c>
      <c r="I321" s="375" t="s">
        <v>754</v>
      </c>
      <c r="J321" s="375">
        <v>443980.36914999998</v>
      </c>
      <c r="K321" s="375">
        <v>-14238.731760000001</v>
      </c>
      <c r="L321" s="375">
        <v>-26640.544320000001</v>
      </c>
      <c r="M321" s="375">
        <v>317085.19893999997</v>
      </c>
      <c r="N321" s="372">
        <v>1.349</v>
      </c>
      <c r="O321" s="704">
        <v>34.621699252557043</v>
      </c>
      <c r="P321" s="375" t="s">
        <v>622</v>
      </c>
      <c r="Q321" s="375" t="s">
        <v>622</v>
      </c>
      <c r="R321" s="696">
        <v>19880830</v>
      </c>
      <c r="S321" s="375" t="s">
        <v>2844</v>
      </c>
      <c r="T321" s="697" t="s">
        <v>771</v>
      </c>
      <c r="U321" s="375" t="s">
        <v>2845</v>
      </c>
      <c r="V321" s="723">
        <v>57.5</v>
      </c>
      <c r="W321" s="723">
        <v>1.78</v>
      </c>
      <c r="X321" s="723">
        <v>1.27</v>
      </c>
      <c r="Y321" s="723">
        <v>93.99</v>
      </c>
      <c r="Z321" s="382" t="s">
        <v>927</v>
      </c>
      <c r="AA321" s="372">
        <v>5206.5456971000003</v>
      </c>
      <c r="AB321" s="372">
        <v>5387.3419769000002</v>
      </c>
      <c r="AC321" s="372">
        <v>4578.9359280999997</v>
      </c>
      <c r="AD321" s="372">
        <v>4144.9061037000001</v>
      </c>
      <c r="AE321" s="372">
        <v>0</v>
      </c>
      <c r="AF321" s="372">
        <v>0</v>
      </c>
      <c r="AG321" s="372">
        <v>0</v>
      </c>
      <c r="AH321" s="372">
        <v>0</v>
      </c>
    </row>
    <row r="322" spans="1:34">
      <c r="A322" s="372" t="s">
        <v>2846</v>
      </c>
      <c r="B322" s="373" t="s">
        <v>2847</v>
      </c>
      <c r="C322" s="372" t="s">
        <v>2848</v>
      </c>
      <c r="D322" s="374">
        <v>1101117232799</v>
      </c>
      <c r="E322" s="372" t="s">
        <v>2849</v>
      </c>
      <c r="F322" s="375" t="s">
        <v>1750</v>
      </c>
      <c r="G322" s="375" t="s">
        <v>1750</v>
      </c>
      <c r="H322" s="375" t="s">
        <v>861</v>
      </c>
      <c r="I322" s="375" t="s">
        <v>862</v>
      </c>
      <c r="J322" s="375">
        <v>108656.45858000001</v>
      </c>
      <c r="K322" s="375">
        <v>31493.504420000001</v>
      </c>
      <c r="L322" s="375">
        <v>33816.928290000003</v>
      </c>
      <c r="M322" s="375">
        <v>113445.92008</v>
      </c>
      <c r="N322" s="372">
        <v>0.22500000000000001</v>
      </c>
      <c r="O322" s="704">
        <v>3.779598075934802</v>
      </c>
      <c r="P322" s="375" t="s">
        <v>622</v>
      </c>
      <c r="Q322" s="372" t="s">
        <v>622</v>
      </c>
      <c r="R322" s="696">
        <v>20191219</v>
      </c>
      <c r="S322" s="372" t="s">
        <v>2850</v>
      </c>
      <c r="T322" s="697">
        <v>0.23100000000000001</v>
      </c>
      <c r="U322" s="372" t="s">
        <v>2851</v>
      </c>
      <c r="V322" s="723">
        <v>18.54</v>
      </c>
      <c r="W322" s="723">
        <v>5.51</v>
      </c>
      <c r="X322" s="723">
        <v>5.72</v>
      </c>
      <c r="Y322" s="723">
        <v>25.41</v>
      </c>
      <c r="Z322" s="382">
        <v>0.13133168507842496</v>
      </c>
      <c r="AA322" s="372">
        <v>300.13646610000001</v>
      </c>
      <c r="AB322" s="372">
        <v>510.625654</v>
      </c>
      <c r="AC322" s="372">
        <v>815.08860189999996</v>
      </c>
      <c r="AD322" s="372">
        <v>1156.2880309</v>
      </c>
      <c r="AE322" s="372">
        <v>1179.17</v>
      </c>
      <c r="AF322" s="372">
        <v>1523</v>
      </c>
      <c r="AG322" s="372">
        <v>1894.2</v>
      </c>
      <c r="AH322" s="372">
        <v>2610</v>
      </c>
    </row>
    <row r="323" spans="1:34">
      <c r="A323" s="372" t="s">
        <v>2852</v>
      </c>
      <c r="B323" s="373" t="s">
        <v>2853</v>
      </c>
      <c r="C323" s="372" t="s">
        <v>2854</v>
      </c>
      <c r="D323" s="374">
        <v>1101115685966</v>
      </c>
      <c r="E323" s="372" t="s">
        <v>2855</v>
      </c>
      <c r="F323" s="375" t="s">
        <v>2856</v>
      </c>
      <c r="G323" s="375" t="s">
        <v>2857</v>
      </c>
      <c r="H323" s="375" t="s">
        <v>1337</v>
      </c>
      <c r="I323" s="375" t="s">
        <v>862</v>
      </c>
      <c r="J323" s="375">
        <v>929053.60548000003</v>
      </c>
      <c r="K323" s="375">
        <v>108212.7298</v>
      </c>
      <c r="L323" s="375">
        <v>109453.99016</v>
      </c>
      <c r="M323" s="375">
        <v>502385.01814</v>
      </c>
      <c r="N323" s="372">
        <v>0.19900000000000001</v>
      </c>
      <c r="O323" s="704">
        <v>16.064913692653139</v>
      </c>
      <c r="P323" s="375" t="s">
        <v>622</v>
      </c>
      <c r="Q323" s="372" t="s">
        <v>622</v>
      </c>
      <c r="R323" s="696">
        <v>20150504</v>
      </c>
      <c r="S323" s="375" t="s">
        <v>2858</v>
      </c>
      <c r="T323" s="697">
        <v>0.23100000000000001</v>
      </c>
      <c r="U323" s="375" t="s">
        <v>2859</v>
      </c>
      <c r="V323" s="723">
        <v>2.92</v>
      </c>
      <c r="W323" s="723">
        <v>0.97</v>
      </c>
      <c r="X323" s="723">
        <v>0.56000000000000005</v>
      </c>
      <c r="Y323" s="723">
        <v>6.43</v>
      </c>
      <c r="Z323" s="382">
        <v>1.3493276033011314E-2</v>
      </c>
      <c r="AA323" s="372">
        <v>4747.1671389000003</v>
      </c>
      <c r="AB323" s="372">
        <v>7038.6913148000003</v>
      </c>
      <c r="AC323" s="372">
        <v>8359.5285263000005</v>
      </c>
      <c r="AD323" s="372">
        <v>9352.2512544000001</v>
      </c>
      <c r="AE323" s="372">
        <v>9291.83</v>
      </c>
      <c r="AF323" s="372">
        <v>9560.25</v>
      </c>
      <c r="AG323" s="372">
        <v>9867.33</v>
      </c>
      <c r="AH323" s="372">
        <v>0</v>
      </c>
    </row>
    <row r="324" spans="1:34">
      <c r="A324" s="372" t="s">
        <v>2860</v>
      </c>
      <c r="B324" s="373" t="s">
        <v>2861</v>
      </c>
      <c r="C324" s="372" t="s">
        <v>2862</v>
      </c>
      <c r="D324" s="374">
        <v>1543110022729</v>
      </c>
      <c r="E324" s="372" t="s">
        <v>2863</v>
      </c>
      <c r="F324" s="375" t="s">
        <v>2864</v>
      </c>
      <c r="G324" s="375" t="s">
        <v>2865</v>
      </c>
      <c r="H324" s="375" t="s">
        <v>826</v>
      </c>
      <c r="I324" s="375" t="s">
        <v>754</v>
      </c>
      <c r="J324" s="375">
        <v>249569.15388</v>
      </c>
      <c r="K324" s="375">
        <v>33338.05156</v>
      </c>
      <c r="L324" s="375">
        <v>27467.022400000002</v>
      </c>
      <c r="M324" s="375">
        <v>336329.09334999998</v>
      </c>
      <c r="N324" s="372">
        <v>1.19</v>
      </c>
      <c r="O324" s="704">
        <v>23.383614150367158</v>
      </c>
      <c r="P324" s="375" t="s">
        <v>622</v>
      </c>
      <c r="Q324" s="375" t="s">
        <v>622</v>
      </c>
      <c r="R324" s="696">
        <v>20141208</v>
      </c>
      <c r="S324" s="375" t="s">
        <v>2866</v>
      </c>
      <c r="T324" s="697">
        <v>0.23100000000000001</v>
      </c>
      <c r="U324" s="375" t="s">
        <v>2867</v>
      </c>
      <c r="V324" s="723">
        <v>0</v>
      </c>
      <c r="W324" s="723">
        <v>0</v>
      </c>
      <c r="X324" s="723">
        <v>0</v>
      </c>
      <c r="Y324" s="723">
        <v>0</v>
      </c>
      <c r="Z324" s="382" t="s">
        <v>927</v>
      </c>
      <c r="AA324" s="372">
        <v>2617.8877926</v>
      </c>
      <c r="AB324" s="372">
        <v>3018.6871947999998</v>
      </c>
      <c r="AC324" s="372">
        <v>2764.4043049000002</v>
      </c>
      <c r="AD324" s="372">
        <v>2176.3938371999998</v>
      </c>
      <c r="AE324" s="372">
        <v>3210</v>
      </c>
      <c r="AF324" s="372">
        <v>4010</v>
      </c>
      <c r="AG324" s="372">
        <v>0</v>
      </c>
      <c r="AH324" s="372">
        <v>0</v>
      </c>
    </row>
    <row r="325" spans="1:34">
      <c r="A325" s="372" t="s">
        <v>2868</v>
      </c>
      <c r="B325" s="373" t="s">
        <v>2869</v>
      </c>
      <c r="C325" s="372" t="s">
        <v>15846</v>
      </c>
      <c r="D325" s="374">
        <v>1101116557114</v>
      </c>
      <c r="E325" s="372" t="s">
        <v>15847</v>
      </c>
      <c r="F325" s="375" t="s">
        <v>975</v>
      </c>
      <c r="G325" s="375" t="s">
        <v>976</v>
      </c>
      <c r="H325" s="375" t="s">
        <v>817</v>
      </c>
      <c r="I325" s="375" t="s">
        <v>754</v>
      </c>
      <c r="J325" s="375">
        <v>1197484.3199799999</v>
      </c>
      <c r="K325" s="375">
        <v>41127.280010000002</v>
      </c>
      <c r="L325" s="375">
        <v>34291.538890000003</v>
      </c>
      <c r="M325" s="375">
        <v>444680.67450000002</v>
      </c>
      <c r="N325" s="372">
        <v>0.504</v>
      </c>
      <c r="O325" s="704">
        <v>55.366265372874757</v>
      </c>
      <c r="P325" s="375" t="s">
        <v>622</v>
      </c>
      <c r="Q325" s="372" t="s">
        <v>622</v>
      </c>
      <c r="R325" s="696">
        <v>20180727</v>
      </c>
      <c r="S325" s="375" t="s">
        <v>2870</v>
      </c>
      <c r="T325" s="697">
        <v>0.23100000000000001</v>
      </c>
      <c r="U325" s="372" t="s">
        <v>2871</v>
      </c>
      <c r="V325" s="723">
        <v>4.9000000000000004</v>
      </c>
      <c r="W325" s="723">
        <v>0.89</v>
      </c>
      <c r="X325" s="723">
        <v>0.31</v>
      </c>
      <c r="Y325" s="723">
        <v>12.97</v>
      </c>
      <c r="Z325" s="382">
        <v>6.5531190647327708E-2</v>
      </c>
      <c r="AA325" s="372">
        <v>8495.4589305999998</v>
      </c>
      <c r="AB325" s="372">
        <v>9299.9871113999998</v>
      </c>
      <c r="AC325" s="372">
        <v>10477.048778300001</v>
      </c>
      <c r="AD325" s="372">
        <v>11967.224679000001</v>
      </c>
      <c r="AE325" s="372">
        <v>12474.43</v>
      </c>
      <c r="AF325" s="372">
        <v>13906.29</v>
      </c>
      <c r="AG325" s="372">
        <v>15426.17</v>
      </c>
      <c r="AH325" s="372">
        <v>0</v>
      </c>
    </row>
    <row r="326" spans="1:34">
      <c r="A326" s="372" t="s">
        <v>2872</v>
      </c>
      <c r="B326" s="373" t="s">
        <v>2873</v>
      </c>
      <c r="C326" s="372" t="s">
        <v>2874</v>
      </c>
      <c r="D326" s="374">
        <v>1345110000014</v>
      </c>
      <c r="E326" s="372" t="s">
        <v>2875</v>
      </c>
      <c r="F326" s="375" t="s">
        <v>2625</v>
      </c>
      <c r="G326" s="375" t="s">
        <v>2626</v>
      </c>
      <c r="H326" s="375" t="s">
        <v>817</v>
      </c>
      <c r="I326" s="375" t="s">
        <v>754</v>
      </c>
      <c r="J326" s="375">
        <v>2181324.6416699998</v>
      </c>
      <c r="K326" s="375">
        <v>-3418.2175000000002</v>
      </c>
      <c r="L326" s="375">
        <v>-109964.0413</v>
      </c>
      <c r="M326" s="375">
        <v>1790847.9830700001</v>
      </c>
      <c r="N326" s="372">
        <v>0.94199999999999995</v>
      </c>
      <c r="O326" s="704">
        <v>208.04065582291139</v>
      </c>
      <c r="P326" s="375" t="s">
        <v>622</v>
      </c>
      <c r="Q326" s="375" t="s">
        <v>622</v>
      </c>
      <c r="R326" s="696">
        <v>19780828</v>
      </c>
      <c r="S326" s="375" t="s">
        <v>2876</v>
      </c>
      <c r="T326" s="697" t="s">
        <v>771</v>
      </c>
      <c r="U326" s="375" t="s">
        <v>2151</v>
      </c>
      <c r="V326" s="723">
        <v>30</v>
      </c>
      <c r="W326" s="723">
        <v>0.82</v>
      </c>
      <c r="X326" s="723">
        <v>0.35</v>
      </c>
      <c r="Y326" s="723" t="s">
        <v>773</v>
      </c>
      <c r="Z326" s="382" t="s">
        <v>927</v>
      </c>
      <c r="AA326" s="372">
        <v>17193.2565</v>
      </c>
      <c r="AB326" s="372">
        <v>18405.586029999999</v>
      </c>
      <c r="AC326" s="372">
        <v>20795.599707400001</v>
      </c>
      <c r="AD326" s="372">
        <v>20579.357046100002</v>
      </c>
      <c r="AE326" s="372">
        <v>0</v>
      </c>
      <c r="AF326" s="372">
        <v>0</v>
      </c>
      <c r="AG326" s="372">
        <v>0</v>
      </c>
      <c r="AH326" s="372">
        <v>0</v>
      </c>
    </row>
    <row r="327" spans="1:34">
      <c r="A327" s="372" t="s">
        <v>2877</v>
      </c>
      <c r="B327" s="373" t="s">
        <v>2878</v>
      </c>
      <c r="C327" s="372" t="s">
        <v>2879</v>
      </c>
      <c r="D327" s="374">
        <v>1347110001159</v>
      </c>
      <c r="E327" s="372" t="s">
        <v>2880</v>
      </c>
      <c r="F327" s="375" t="s">
        <v>2881</v>
      </c>
      <c r="G327" s="375" t="s">
        <v>2881</v>
      </c>
      <c r="H327" s="375" t="s">
        <v>753</v>
      </c>
      <c r="I327" s="375" t="s">
        <v>754</v>
      </c>
      <c r="J327" s="375">
        <v>1328848.6605400001</v>
      </c>
      <c r="K327" s="375">
        <v>133701.30189</v>
      </c>
      <c r="L327" s="375">
        <v>125836.13351</v>
      </c>
      <c r="M327" s="375">
        <v>651035.01407000003</v>
      </c>
      <c r="N327" s="372">
        <v>0.79600000000000004</v>
      </c>
      <c r="O327" s="704">
        <v>20.301368022351824</v>
      </c>
      <c r="P327" s="375" t="s">
        <v>622</v>
      </c>
      <c r="Q327" s="375" t="s">
        <v>622</v>
      </c>
      <c r="R327" s="696">
        <v>19930831</v>
      </c>
      <c r="S327" s="375" t="s">
        <v>2882</v>
      </c>
      <c r="T327" s="697">
        <v>0.23100000000000001</v>
      </c>
      <c r="U327" s="372" t="s">
        <v>2883</v>
      </c>
      <c r="V327" s="723">
        <v>6.65</v>
      </c>
      <c r="W327" s="723">
        <v>1.59</v>
      </c>
      <c r="X327" s="723">
        <v>0.78</v>
      </c>
      <c r="Y327" s="723">
        <v>10.57</v>
      </c>
      <c r="Z327" s="382">
        <v>0.11307125805117968</v>
      </c>
      <c r="AA327" s="372">
        <v>8734.0901881000009</v>
      </c>
      <c r="AB327" s="372">
        <v>11029.4701</v>
      </c>
      <c r="AC327" s="372">
        <v>11608.607886</v>
      </c>
      <c r="AD327" s="372">
        <v>12043.1287175</v>
      </c>
      <c r="AE327" s="372">
        <v>13960.5</v>
      </c>
      <c r="AF327" s="372">
        <v>16083</v>
      </c>
      <c r="AG327" s="372">
        <v>18485.5</v>
      </c>
      <c r="AH327" s="372">
        <v>0</v>
      </c>
    </row>
    <row r="328" spans="1:34">
      <c r="A328" s="372" t="s">
        <v>2884</v>
      </c>
      <c r="B328" s="373" t="s">
        <v>2885</v>
      </c>
      <c r="C328" s="372" t="s">
        <v>2886</v>
      </c>
      <c r="D328" s="374">
        <v>1358110238402</v>
      </c>
      <c r="E328" s="372" t="s">
        <v>2887</v>
      </c>
      <c r="F328" s="375" t="s">
        <v>1096</v>
      </c>
      <c r="G328" s="375" t="s">
        <v>1097</v>
      </c>
      <c r="H328" s="375" t="s">
        <v>861</v>
      </c>
      <c r="I328" s="375" t="s">
        <v>862</v>
      </c>
      <c r="J328" s="375">
        <v>289760.71941999998</v>
      </c>
      <c r="K328" s="375">
        <v>37997.763010000002</v>
      </c>
      <c r="L328" s="375">
        <v>45787.085379999997</v>
      </c>
      <c r="M328" s="375">
        <v>202197.09323999999</v>
      </c>
      <c r="N328" s="372">
        <v>1.2999999999999999E-2</v>
      </c>
      <c r="O328" s="704">
        <v>8.6972034877419908</v>
      </c>
      <c r="P328" s="375" t="s">
        <v>622</v>
      </c>
      <c r="Q328" s="375" t="s">
        <v>622</v>
      </c>
      <c r="R328" s="696">
        <v>20210517</v>
      </c>
      <c r="S328" s="375" t="s">
        <v>2888</v>
      </c>
      <c r="T328" s="697">
        <v>0.23100000000000001</v>
      </c>
      <c r="U328" s="375" t="s">
        <v>2889</v>
      </c>
      <c r="V328" s="723">
        <v>19.98</v>
      </c>
      <c r="W328" s="723">
        <v>4.6500000000000004</v>
      </c>
      <c r="X328" s="723">
        <v>3.25</v>
      </c>
      <c r="Y328" s="723">
        <v>24.74</v>
      </c>
      <c r="Z328" s="382">
        <v>0.18420606251169747</v>
      </c>
      <c r="AA328" s="372">
        <v>896.11803729999997</v>
      </c>
      <c r="AB328" s="372">
        <v>912.93592200000001</v>
      </c>
      <c r="AC328" s="372">
        <v>1306.0572841000001</v>
      </c>
      <c r="AD328" s="372">
        <v>2203.2741707999999</v>
      </c>
      <c r="AE328" s="372">
        <v>3099.3</v>
      </c>
      <c r="AF328" s="372">
        <v>3784.1</v>
      </c>
      <c r="AG328" s="372">
        <v>4332.8900000000003</v>
      </c>
      <c r="AH328" s="372">
        <v>5410</v>
      </c>
    </row>
    <row r="329" spans="1:34">
      <c r="A329" s="372" t="s">
        <v>2890</v>
      </c>
      <c r="B329" s="373" t="s">
        <v>2891</v>
      </c>
      <c r="C329" s="372" t="s">
        <v>2892</v>
      </c>
      <c r="D329" s="374">
        <v>1101118626793</v>
      </c>
      <c r="E329" s="372" t="s">
        <v>2892</v>
      </c>
      <c r="F329" s="375" t="s">
        <v>1303</v>
      </c>
      <c r="G329" s="375" t="s">
        <v>1303</v>
      </c>
      <c r="H329" s="375" t="s">
        <v>826</v>
      </c>
      <c r="I329" s="375" t="s">
        <v>754</v>
      </c>
      <c r="J329" s="375">
        <v>2190051.9240000001</v>
      </c>
      <c r="K329" s="375">
        <v>110322.42600000001</v>
      </c>
      <c r="L329" s="375">
        <v>118666.961</v>
      </c>
      <c r="M329" s="375">
        <v>1227687.4750000001</v>
      </c>
      <c r="N329" s="372" t="s">
        <v>1026</v>
      </c>
      <c r="O329" s="704">
        <v>104.67468136526196</v>
      </c>
      <c r="P329" s="375" t="s">
        <v>622</v>
      </c>
      <c r="Q329" s="372" t="s">
        <v>622</v>
      </c>
      <c r="R329" s="696">
        <v>20230530</v>
      </c>
      <c r="S329" s="375" t="s">
        <v>2893</v>
      </c>
      <c r="T329" s="697">
        <v>0.23100000000000001</v>
      </c>
      <c r="U329" s="375" t="s">
        <v>1732</v>
      </c>
      <c r="V329" s="723">
        <v>5.85</v>
      </c>
      <c r="W329" s="723">
        <v>0.61</v>
      </c>
      <c r="X329" s="723">
        <v>0.32</v>
      </c>
      <c r="Y329" s="723">
        <v>7.3</v>
      </c>
      <c r="Z329" s="382" t="s">
        <v>927</v>
      </c>
      <c r="AA329" s="372">
        <v>0</v>
      </c>
      <c r="AB329" s="372">
        <v>0</v>
      </c>
      <c r="AC329" s="372">
        <v>0</v>
      </c>
      <c r="AD329" s="372">
        <v>12888.25675</v>
      </c>
      <c r="AE329" s="372">
        <v>0</v>
      </c>
      <c r="AF329" s="372">
        <v>0</v>
      </c>
      <c r="AG329" s="372">
        <v>0</v>
      </c>
      <c r="AH329" s="372">
        <v>0</v>
      </c>
    </row>
    <row r="330" spans="1:34">
      <c r="A330" s="372" t="s">
        <v>2894</v>
      </c>
      <c r="B330" s="373" t="s">
        <v>2895</v>
      </c>
      <c r="C330" s="372" t="s">
        <v>2896</v>
      </c>
      <c r="D330" s="374">
        <v>1101110019219</v>
      </c>
      <c r="E330" s="372" t="s">
        <v>2897</v>
      </c>
      <c r="F330" s="375" t="s">
        <v>1069</v>
      </c>
      <c r="G330" s="375" t="s">
        <v>2898</v>
      </c>
      <c r="H330" s="375" t="s">
        <v>846</v>
      </c>
      <c r="I330" s="375" t="s">
        <v>754</v>
      </c>
      <c r="J330" s="375">
        <v>655281.39671</v>
      </c>
      <c r="K330" s="375">
        <v>7787.1257699999996</v>
      </c>
      <c r="L330" s="375">
        <v>7111.2591000000002</v>
      </c>
      <c r="M330" s="375">
        <v>602999.43183000002</v>
      </c>
      <c r="N330" s="372">
        <v>0.83</v>
      </c>
      <c r="O330" s="704">
        <v>35.180445800088087</v>
      </c>
      <c r="P330" s="375" t="s">
        <v>622</v>
      </c>
      <c r="Q330" s="372" t="s">
        <v>622</v>
      </c>
      <c r="R330" s="696">
        <v>19640104</v>
      </c>
      <c r="S330" s="372" t="s">
        <v>2899</v>
      </c>
      <c r="T330" s="697">
        <v>0.20900000000000002</v>
      </c>
      <c r="U330" s="372" t="s">
        <v>2900</v>
      </c>
      <c r="V330" s="723">
        <v>39.81</v>
      </c>
      <c r="W330" s="723">
        <v>1.49</v>
      </c>
      <c r="X330" s="723">
        <v>1.42</v>
      </c>
      <c r="Y330" s="723">
        <v>144.53</v>
      </c>
      <c r="Z330" s="382">
        <v>5.42950455872937E-2</v>
      </c>
      <c r="AA330" s="372">
        <v>6796.6808553000001</v>
      </c>
      <c r="AB330" s="372">
        <v>8130.8525804999999</v>
      </c>
      <c r="AC330" s="372">
        <v>8299.2871713000004</v>
      </c>
      <c r="AD330" s="372">
        <v>6828.7212719999998</v>
      </c>
      <c r="AE330" s="372">
        <v>6711.67</v>
      </c>
      <c r="AF330" s="372">
        <v>7403</v>
      </c>
      <c r="AG330" s="372">
        <v>8437</v>
      </c>
      <c r="AH330" s="372">
        <v>9780</v>
      </c>
    </row>
    <row r="331" spans="1:34">
      <c r="A331" s="372" t="s">
        <v>2901</v>
      </c>
      <c r="B331" s="373" t="s">
        <v>2902</v>
      </c>
      <c r="C331" s="372" t="s">
        <v>2903</v>
      </c>
      <c r="D331" s="374">
        <v>1101110115504</v>
      </c>
      <c r="E331" s="372" t="s">
        <v>2904</v>
      </c>
      <c r="F331" s="375" t="s">
        <v>2441</v>
      </c>
      <c r="G331" s="375" t="s">
        <v>2441</v>
      </c>
      <c r="H331" s="375" t="s">
        <v>817</v>
      </c>
      <c r="I331" s="375" t="s">
        <v>754</v>
      </c>
      <c r="J331" s="375">
        <v>454183.27535000001</v>
      </c>
      <c r="K331" s="375">
        <v>27547.262500000001</v>
      </c>
      <c r="L331" s="375">
        <v>-121552.62523999999</v>
      </c>
      <c r="M331" s="375">
        <v>362790.69416999997</v>
      </c>
      <c r="N331" s="372">
        <v>0.4</v>
      </c>
      <c r="O331" s="704">
        <v>178.73205764687691</v>
      </c>
      <c r="P331" s="375" t="s">
        <v>622</v>
      </c>
      <c r="Q331" s="375" t="s">
        <v>622</v>
      </c>
      <c r="R331" s="696">
        <v>20060608</v>
      </c>
      <c r="S331" s="375" t="s">
        <v>2905</v>
      </c>
      <c r="T331" s="697" t="s">
        <v>771</v>
      </c>
      <c r="U331" s="375" t="s">
        <v>2906</v>
      </c>
      <c r="V331" s="723">
        <v>18</v>
      </c>
      <c r="W331" s="723">
        <v>2.12</v>
      </c>
      <c r="X331" s="723">
        <v>1.71</v>
      </c>
      <c r="Y331" s="723" t="s">
        <v>773</v>
      </c>
      <c r="Z331" s="382">
        <v>0.17839510994748675</v>
      </c>
      <c r="AA331" s="372">
        <v>167.6942865</v>
      </c>
      <c r="AB331" s="372">
        <v>1070.7175877</v>
      </c>
      <c r="AC331" s="372">
        <v>1836.7090605000001</v>
      </c>
      <c r="AD331" s="372">
        <v>3135.4827538</v>
      </c>
      <c r="AE331" s="372">
        <v>4845.13</v>
      </c>
      <c r="AF331" s="372">
        <v>5578</v>
      </c>
      <c r="AG331" s="372">
        <v>6046</v>
      </c>
      <c r="AH331" s="372">
        <v>5570</v>
      </c>
    </row>
    <row r="332" spans="1:34">
      <c r="A332" s="372" t="s">
        <v>2907</v>
      </c>
      <c r="B332" s="373" t="s">
        <v>2908</v>
      </c>
      <c r="C332" s="372" t="s">
        <v>2909</v>
      </c>
      <c r="D332" s="374">
        <v>1201110454976</v>
      </c>
      <c r="E332" s="372" t="s">
        <v>2910</v>
      </c>
      <c r="F332" s="375" t="s">
        <v>1089</v>
      </c>
      <c r="G332" s="375" t="s">
        <v>1089</v>
      </c>
      <c r="H332" s="375" t="s">
        <v>909</v>
      </c>
      <c r="I332" s="375" t="s">
        <v>754</v>
      </c>
      <c r="J332" s="375">
        <v>1446236.4679099999</v>
      </c>
      <c r="K332" s="375">
        <v>186370.99612</v>
      </c>
      <c r="L332" s="375">
        <v>190549.78924000001</v>
      </c>
      <c r="M332" s="375">
        <v>243727.61192</v>
      </c>
      <c r="N332" s="372">
        <v>0.54700000000000004</v>
      </c>
      <c r="O332" s="704">
        <v>57.902398486965225</v>
      </c>
      <c r="P332" s="375" t="s">
        <v>622</v>
      </c>
      <c r="Q332" s="375" t="s">
        <v>622</v>
      </c>
      <c r="R332" s="696">
        <v>20171208</v>
      </c>
      <c r="S332" s="375" t="s">
        <v>2911</v>
      </c>
      <c r="T332" s="697">
        <v>0.23100000000000001</v>
      </c>
      <c r="U332" s="375" t="s">
        <v>2912</v>
      </c>
      <c r="V332" s="723">
        <v>0</v>
      </c>
      <c r="W332" s="723">
        <v>0</v>
      </c>
      <c r="X332" s="723">
        <v>0</v>
      </c>
      <c r="Y332" s="723">
        <v>0</v>
      </c>
      <c r="Z332" s="382" t="s">
        <v>927</v>
      </c>
      <c r="AA332" s="372">
        <v>2717.6907762999999</v>
      </c>
      <c r="AB332" s="372">
        <v>2471.9115361999998</v>
      </c>
      <c r="AC332" s="372">
        <v>5934.2849828999997</v>
      </c>
      <c r="AD332" s="372">
        <v>12772.218219599999</v>
      </c>
      <c r="AE332" s="372">
        <v>0</v>
      </c>
      <c r="AF332" s="372">
        <v>0</v>
      </c>
      <c r="AG332" s="372">
        <v>0</v>
      </c>
      <c r="AH332" s="372">
        <v>0</v>
      </c>
    </row>
    <row r="333" spans="1:34">
      <c r="A333" s="372" t="s">
        <v>2913</v>
      </c>
      <c r="B333" s="373" t="s">
        <v>2914</v>
      </c>
      <c r="C333" s="372" t="s">
        <v>2915</v>
      </c>
      <c r="D333" s="374">
        <v>1101115731032</v>
      </c>
      <c r="E333" s="372" t="s">
        <v>2916</v>
      </c>
      <c r="F333" s="375" t="s">
        <v>1962</v>
      </c>
      <c r="G333" s="375" t="s">
        <v>1962</v>
      </c>
      <c r="H333" s="375" t="s">
        <v>861</v>
      </c>
      <c r="I333" s="375" t="s">
        <v>862</v>
      </c>
      <c r="J333" s="375">
        <v>599357.73858</v>
      </c>
      <c r="K333" s="375">
        <v>65528.746299999999</v>
      </c>
      <c r="L333" s="375">
        <v>63220.048419999999</v>
      </c>
      <c r="M333" s="375">
        <v>304560.22911999997</v>
      </c>
      <c r="N333" s="372">
        <v>1.353</v>
      </c>
      <c r="O333" s="704">
        <v>1.7132825173700319</v>
      </c>
      <c r="P333" s="375" t="s">
        <v>622</v>
      </c>
      <c r="Q333" s="372" t="s">
        <v>622</v>
      </c>
      <c r="R333" s="696">
        <v>20150902</v>
      </c>
      <c r="S333" s="372" t="s">
        <v>2917</v>
      </c>
      <c r="T333" s="697">
        <v>0.23100000000000001</v>
      </c>
      <c r="U333" s="372" t="s">
        <v>2918</v>
      </c>
      <c r="V333" s="723">
        <v>10.119999999999999</v>
      </c>
      <c r="W333" s="723">
        <v>2.3199999999999998</v>
      </c>
      <c r="X333" s="723">
        <v>1.17</v>
      </c>
      <c r="Y333" s="723">
        <v>13.82</v>
      </c>
      <c r="Z333" s="382" t="s">
        <v>927</v>
      </c>
      <c r="AA333" s="372">
        <v>1180.5734806999999</v>
      </c>
      <c r="AB333" s="372">
        <v>1327.3795130999999</v>
      </c>
      <c r="AC333" s="372">
        <v>1593.6240264999999</v>
      </c>
      <c r="AD333" s="372">
        <v>3101.6352523999999</v>
      </c>
      <c r="AE333" s="372">
        <v>4490</v>
      </c>
      <c r="AF333" s="372">
        <v>5910</v>
      </c>
      <c r="AG333" s="372">
        <v>0</v>
      </c>
      <c r="AH333" s="372">
        <v>0</v>
      </c>
    </row>
    <row r="334" spans="1:34">
      <c r="A334" s="372" t="s">
        <v>2919</v>
      </c>
      <c r="B334" s="373" t="s">
        <v>2920</v>
      </c>
      <c r="C334" s="372" t="s">
        <v>2921</v>
      </c>
      <c r="D334" s="374">
        <v>1101110017990</v>
      </c>
      <c r="E334" s="372" t="s">
        <v>2922</v>
      </c>
      <c r="F334" s="375" t="s">
        <v>893</v>
      </c>
      <c r="G334" s="375" t="s">
        <v>894</v>
      </c>
      <c r="H334" s="375" t="s">
        <v>855</v>
      </c>
      <c r="I334" s="375" t="s">
        <v>754</v>
      </c>
      <c r="J334" s="375">
        <v>1288650.2388800001</v>
      </c>
      <c r="K334" s="375">
        <v>76412.407359999997</v>
      </c>
      <c r="L334" s="375">
        <v>66837.368069999997</v>
      </c>
      <c r="M334" s="375">
        <v>1068823.07917</v>
      </c>
      <c r="N334" s="372">
        <v>0.75600000000000001</v>
      </c>
      <c r="O334" s="704">
        <v>94.106575467105586</v>
      </c>
      <c r="P334" s="375" t="s">
        <v>622</v>
      </c>
      <c r="Q334" s="375" t="s">
        <v>622</v>
      </c>
      <c r="R334" s="696">
        <v>19700210</v>
      </c>
      <c r="S334" s="375" t="s">
        <v>2923</v>
      </c>
      <c r="T334" s="697">
        <v>0.23100000000000001</v>
      </c>
      <c r="U334" s="375" t="s">
        <v>2924</v>
      </c>
      <c r="V334" s="723">
        <v>9.0299999999999994</v>
      </c>
      <c r="W334" s="723">
        <v>0.7</v>
      </c>
      <c r="X334" s="723">
        <v>0.57999999999999996</v>
      </c>
      <c r="Y334" s="723">
        <v>13.52</v>
      </c>
      <c r="Z334" s="382">
        <v>7.90120737825315E-2</v>
      </c>
      <c r="AA334" s="372">
        <v>7833.1566247000001</v>
      </c>
      <c r="AB334" s="372">
        <v>8819.4408402999998</v>
      </c>
      <c r="AC334" s="372">
        <v>10148.608979500001</v>
      </c>
      <c r="AD334" s="372">
        <v>11320.028603999999</v>
      </c>
      <c r="AE334" s="372">
        <v>12887.5</v>
      </c>
      <c r="AF334" s="372">
        <v>13980.25</v>
      </c>
      <c r="AG334" s="372">
        <v>15344.5</v>
      </c>
      <c r="AH334" s="372">
        <v>0</v>
      </c>
    </row>
    <row r="335" spans="1:34">
      <c r="A335" s="372" t="s">
        <v>2925</v>
      </c>
      <c r="B335" s="373" t="s">
        <v>2926</v>
      </c>
      <c r="C335" s="372" t="s">
        <v>2927</v>
      </c>
      <c r="D335" s="374">
        <v>1101111673220</v>
      </c>
      <c r="E335" s="372" t="s">
        <v>2927</v>
      </c>
      <c r="F335" s="375" t="s">
        <v>2928</v>
      </c>
      <c r="G335" s="375" t="s">
        <v>2929</v>
      </c>
      <c r="H335" s="375" t="s">
        <v>817</v>
      </c>
      <c r="I335" s="375" t="s">
        <v>754</v>
      </c>
      <c r="J335" s="375">
        <v>1718294.5938500001</v>
      </c>
      <c r="K335" s="375">
        <v>73055.464240000001</v>
      </c>
      <c r="L335" s="375">
        <v>-91515.876409999997</v>
      </c>
      <c r="M335" s="375">
        <v>826905.06238000002</v>
      </c>
      <c r="N335" s="372">
        <v>0.94899999999999995</v>
      </c>
      <c r="O335" s="704">
        <v>267.63551101178678</v>
      </c>
      <c r="P335" s="375" t="s">
        <v>622</v>
      </c>
      <c r="Q335" s="375" t="s">
        <v>622</v>
      </c>
      <c r="R335" s="696">
        <v>20041224</v>
      </c>
      <c r="S335" s="375" t="s">
        <v>2930</v>
      </c>
      <c r="T335" s="697" t="s">
        <v>771</v>
      </c>
      <c r="U335" s="375" t="s">
        <v>2931</v>
      </c>
      <c r="V335" s="723">
        <v>8.23</v>
      </c>
      <c r="W335" s="723">
        <v>0.97</v>
      </c>
      <c r="X335" s="723">
        <v>0.46</v>
      </c>
      <c r="Y335" s="723" t="s">
        <v>773</v>
      </c>
      <c r="Z335" s="382">
        <v>0.12531840444422415</v>
      </c>
      <c r="AA335" s="372">
        <v>5834.4379247999996</v>
      </c>
      <c r="AB335" s="372">
        <v>7363.1536665000003</v>
      </c>
      <c r="AC335" s="372">
        <v>12731.918524500001</v>
      </c>
      <c r="AD335" s="372">
        <v>15458.3924314</v>
      </c>
      <c r="AE335" s="372">
        <v>19596</v>
      </c>
      <c r="AF335" s="372">
        <v>23562.6</v>
      </c>
      <c r="AG335" s="372">
        <v>24789.4</v>
      </c>
      <c r="AH335" s="372">
        <v>0</v>
      </c>
    </row>
    <row r="336" spans="1:34">
      <c r="A336" s="372" t="s">
        <v>2932</v>
      </c>
      <c r="B336" s="373" t="s">
        <v>2933</v>
      </c>
      <c r="C336" s="372" t="s">
        <v>2934</v>
      </c>
      <c r="D336" s="374">
        <v>1243110031213</v>
      </c>
      <c r="E336" s="372" t="s">
        <v>2935</v>
      </c>
      <c r="F336" s="375" t="s">
        <v>2075</v>
      </c>
      <c r="G336" s="375" t="s">
        <v>2076</v>
      </c>
      <c r="H336" s="375" t="s">
        <v>861</v>
      </c>
      <c r="I336" s="375" t="s">
        <v>862</v>
      </c>
      <c r="J336" s="375">
        <v>387339.73674000002</v>
      </c>
      <c r="K336" s="375">
        <v>12495.74525</v>
      </c>
      <c r="L336" s="375">
        <v>12591.73604</v>
      </c>
      <c r="M336" s="375">
        <v>241628.66613999999</v>
      </c>
      <c r="N336" s="372">
        <v>0.81799999999999995</v>
      </c>
      <c r="O336" s="704">
        <v>14.574210396510537</v>
      </c>
      <c r="P336" s="375" t="s">
        <v>622</v>
      </c>
      <c r="Q336" s="372" t="s">
        <v>622</v>
      </c>
      <c r="R336" s="696">
        <v>20020719</v>
      </c>
      <c r="S336" s="372" t="s">
        <v>2936</v>
      </c>
      <c r="T336" s="697">
        <v>0.20900000000000002</v>
      </c>
      <c r="U336" s="372" t="s">
        <v>2937</v>
      </c>
      <c r="V336" s="723">
        <v>29.65</v>
      </c>
      <c r="W336" s="723">
        <v>2.21</v>
      </c>
      <c r="X336" s="723">
        <v>1.38</v>
      </c>
      <c r="Y336" s="723">
        <v>47.86</v>
      </c>
      <c r="Z336" s="382">
        <v>7.7348852217602238E-2</v>
      </c>
      <c r="AA336" s="372">
        <v>3548.3250576</v>
      </c>
      <c r="AB336" s="372">
        <v>4163.3420644999997</v>
      </c>
      <c r="AC336" s="372">
        <v>4404.7641665000001</v>
      </c>
      <c r="AD336" s="372">
        <v>3937.8573078999998</v>
      </c>
      <c r="AE336" s="372">
        <v>4358</v>
      </c>
      <c r="AF336" s="372">
        <v>4820</v>
      </c>
      <c r="AG336" s="372">
        <v>5305</v>
      </c>
      <c r="AH336" s="372">
        <v>0</v>
      </c>
    </row>
    <row r="337" spans="1:34">
      <c r="A337" s="372" t="s">
        <v>2938</v>
      </c>
      <c r="B337" s="373" t="s">
        <v>2939</v>
      </c>
      <c r="C337" s="372" t="s">
        <v>2940</v>
      </c>
      <c r="D337" s="374">
        <v>2101110123944</v>
      </c>
      <c r="E337" s="372" t="s">
        <v>2941</v>
      </c>
      <c r="F337" s="375" t="s">
        <v>1303</v>
      </c>
      <c r="G337" s="375" t="s">
        <v>1303</v>
      </c>
      <c r="H337" s="375" t="s">
        <v>826</v>
      </c>
      <c r="I337" s="375" t="s">
        <v>754</v>
      </c>
      <c r="J337" s="375">
        <v>484329.80151000002</v>
      </c>
      <c r="K337" s="375">
        <v>51800.487860000001</v>
      </c>
      <c r="L337" s="375">
        <v>56836.990489999996</v>
      </c>
      <c r="M337" s="375">
        <v>397615.88522</v>
      </c>
      <c r="N337" s="372">
        <v>0.24199999999999999</v>
      </c>
      <c r="O337" s="704">
        <v>4.5753105846345505</v>
      </c>
      <c r="P337" s="375" t="s">
        <v>622</v>
      </c>
      <c r="Q337" s="372" t="s">
        <v>622</v>
      </c>
      <c r="R337" s="696">
        <v>20170522</v>
      </c>
      <c r="S337" s="372" t="s">
        <v>2942</v>
      </c>
      <c r="T337" s="697">
        <v>0.23100000000000001</v>
      </c>
      <c r="U337" s="372" t="s">
        <v>2943</v>
      </c>
      <c r="V337" s="723">
        <v>8.57</v>
      </c>
      <c r="W337" s="723">
        <v>1.63</v>
      </c>
      <c r="X337" s="723">
        <v>1.39</v>
      </c>
      <c r="Y337" s="723">
        <v>15.1</v>
      </c>
      <c r="Z337" s="382" t="s">
        <v>927</v>
      </c>
      <c r="AA337" s="372">
        <v>3719.8956145000002</v>
      </c>
      <c r="AB337" s="372">
        <v>5313.4305273999998</v>
      </c>
      <c r="AC337" s="372">
        <v>6116.4982417000001</v>
      </c>
      <c r="AD337" s="372">
        <v>4376.7291832000001</v>
      </c>
      <c r="AE337" s="372">
        <v>0</v>
      </c>
      <c r="AF337" s="372">
        <v>0</v>
      </c>
      <c r="AG337" s="372">
        <v>0</v>
      </c>
      <c r="AH337" s="372">
        <v>0</v>
      </c>
    </row>
    <row r="338" spans="1:34">
      <c r="A338" s="372" t="s">
        <v>2944</v>
      </c>
      <c r="B338" s="373" t="s">
        <v>2945</v>
      </c>
      <c r="C338" s="372" t="s">
        <v>16272</v>
      </c>
      <c r="D338" s="374">
        <v>1101112551996</v>
      </c>
      <c r="E338" s="372" t="s">
        <v>2946</v>
      </c>
      <c r="F338" s="372" t="s">
        <v>1796</v>
      </c>
      <c r="G338" s="375" t="s">
        <v>2797</v>
      </c>
      <c r="H338" s="375" t="s">
        <v>861</v>
      </c>
      <c r="I338" s="375" t="s">
        <v>4413</v>
      </c>
      <c r="J338" s="375">
        <v>420461.70136000001</v>
      </c>
      <c r="K338" s="375">
        <v>28146.04941</v>
      </c>
      <c r="L338" s="375">
        <v>-2357.4592400000001</v>
      </c>
      <c r="M338" s="375">
        <v>589638.35704000003</v>
      </c>
      <c r="N338" s="372">
        <v>0.84599999999999997</v>
      </c>
      <c r="O338" s="704" t="e">
        <v>#DIV/0!</v>
      </c>
      <c r="P338" s="375" t="s">
        <v>622</v>
      </c>
      <c r="Q338" s="372" t="s">
        <v>622</v>
      </c>
      <c r="R338" s="696">
        <v>20110124</v>
      </c>
      <c r="S338" s="372" t="e">
        <v>#N/A</v>
      </c>
      <c r="T338" s="697" t="s">
        <v>771</v>
      </c>
      <c r="U338" s="372" t="s">
        <v>2947</v>
      </c>
      <c r="V338" s="723">
        <v>14.8</v>
      </c>
      <c r="W338" s="723">
        <v>1.24</v>
      </c>
      <c r="X338" s="723">
        <v>1.96</v>
      </c>
      <c r="Y338" s="723" t="s">
        <v>773</v>
      </c>
      <c r="Z338" s="382" t="s">
        <v>927</v>
      </c>
      <c r="AA338" s="372">
        <v>2319.5634789999999</v>
      </c>
      <c r="AB338" s="372">
        <v>3394.5084256999999</v>
      </c>
      <c r="AC338" s="372">
        <v>4526.1536886000004</v>
      </c>
      <c r="AD338" s="372">
        <v>4602.6846175999999</v>
      </c>
      <c r="AE338" s="372">
        <v>4570</v>
      </c>
      <c r="AF338" s="372">
        <v>4700</v>
      </c>
      <c r="AG338" s="372">
        <v>0</v>
      </c>
      <c r="AH338" s="372">
        <v>0</v>
      </c>
    </row>
    <row r="339" spans="1:34">
      <c r="A339" s="372" t="s">
        <v>2948</v>
      </c>
      <c r="B339" s="373" t="s">
        <v>2949</v>
      </c>
      <c r="C339" s="372" t="s">
        <v>2950</v>
      </c>
      <c r="D339" s="374">
        <v>1346110062393</v>
      </c>
      <c r="E339" s="372" t="s">
        <v>2951</v>
      </c>
      <c r="F339" s="375" t="s">
        <v>1185</v>
      </c>
      <c r="G339" s="375" t="s">
        <v>1186</v>
      </c>
      <c r="H339" s="375" t="s">
        <v>861</v>
      </c>
      <c r="I339" s="375" t="s">
        <v>862</v>
      </c>
      <c r="J339" s="375">
        <v>469300.27784</v>
      </c>
      <c r="K339" s="375">
        <v>101804.72741000001</v>
      </c>
      <c r="L339" s="375">
        <v>110747.41971</v>
      </c>
      <c r="M339" s="375">
        <v>338976.03382999997</v>
      </c>
      <c r="N339" s="372">
        <v>1.2849999999999999</v>
      </c>
      <c r="O339" s="704">
        <v>49.889936598018494</v>
      </c>
      <c r="P339" s="375" t="s">
        <v>622</v>
      </c>
      <c r="Q339" s="372" t="s">
        <v>622</v>
      </c>
      <c r="R339" s="696">
        <v>20170323</v>
      </c>
      <c r="S339" s="375" t="s">
        <v>2952</v>
      </c>
      <c r="T339" s="697">
        <v>0.23100000000000001</v>
      </c>
      <c r="U339" s="375" t="s">
        <v>2953</v>
      </c>
      <c r="V339" s="723">
        <v>5.27</v>
      </c>
      <c r="W339" s="723">
        <v>2.46</v>
      </c>
      <c r="X339" s="723">
        <v>1.28</v>
      </c>
      <c r="Y339" s="723">
        <v>12.83</v>
      </c>
      <c r="Z339" s="382">
        <v>0.21061775846423436</v>
      </c>
      <c r="AA339" s="372">
        <v>2008.2835006</v>
      </c>
      <c r="AB339" s="372">
        <v>2570.4193005000002</v>
      </c>
      <c r="AC339" s="372">
        <v>2883.7600397000001</v>
      </c>
      <c r="AD339" s="372">
        <v>3072.6689692</v>
      </c>
      <c r="AE339" s="372">
        <v>5200</v>
      </c>
      <c r="AF339" s="372">
        <v>6122.25</v>
      </c>
      <c r="AG339" s="372">
        <v>6600</v>
      </c>
      <c r="AH339" s="372">
        <v>0</v>
      </c>
    </row>
    <row r="340" spans="1:34">
      <c r="A340" s="372" t="s">
        <v>2954</v>
      </c>
      <c r="B340" s="373" t="s">
        <v>2955</v>
      </c>
      <c r="C340" s="372" t="s">
        <v>2956</v>
      </c>
      <c r="D340" s="374">
        <v>1601110032542</v>
      </c>
      <c r="E340" s="372" t="s">
        <v>2957</v>
      </c>
      <c r="F340" s="375" t="s">
        <v>1055</v>
      </c>
      <c r="G340" s="375" t="s">
        <v>16104</v>
      </c>
      <c r="H340" s="375" t="s">
        <v>861</v>
      </c>
      <c r="I340" s="375" t="s">
        <v>862</v>
      </c>
      <c r="J340" s="375">
        <v>287658.38410000002</v>
      </c>
      <c r="K340" s="375">
        <v>-14254.953579999999</v>
      </c>
      <c r="L340" s="375">
        <v>-16889.894199999999</v>
      </c>
      <c r="M340" s="375">
        <v>223922.36934</v>
      </c>
      <c r="N340" s="372">
        <v>0.88800000000000001</v>
      </c>
      <c r="O340" s="704">
        <v>11.64366248745193</v>
      </c>
      <c r="P340" s="375" t="s">
        <v>622</v>
      </c>
      <c r="Q340" s="372" t="s">
        <v>622</v>
      </c>
      <c r="R340" s="696">
        <v>20051229</v>
      </c>
      <c r="S340" s="372" t="s">
        <v>2958</v>
      </c>
      <c r="T340" s="697" t="s">
        <v>771</v>
      </c>
      <c r="U340" s="372" t="s">
        <v>2959</v>
      </c>
      <c r="V340" s="723" t="s">
        <v>773</v>
      </c>
      <c r="W340" s="723">
        <v>3.36</v>
      </c>
      <c r="X340" s="723">
        <v>2.4500000000000002</v>
      </c>
      <c r="Y340" s="723" t="s">
        <v>773</v>
      </c>
      <c r="Z340" s="382">
        <v>0.18336262436418771</v>
      </c>
      <c r="AA340" s="372">
        <v>2069.8746464000001</v>
      </c>
      <c r="AB340" s="372">
        <v>2237.4369406000001</v>
      </c>
      <c r="AC340" s="372">
        <v>2183.9445323999998</v>
      </c>
      <c r="AD340" s="372">
        <v>2632.3680263000001</v>
      </c>
      <c r="AE340" s="372">
        <v>3219</v>
      </c>
      <c r="AF340" s="372">
        <v>4432</v>
      </c>
      <c r="AG340" s="372">
        <v>5162</v>
      </c>
      <c r="AH340" s="372">
        <v>0</v>
      </c>
    </row>
    <row r="341" spans="1:34">
      <c r="A341" s="372" t="s">
        <v>2960</v>
      </c>
      <c r="B341" s="373" t="s">
        <v>2961</v>
      </c>
      <c r="C341" s="372" t="s">
        <v>16302</v>
      </c>
      <c r="D341" s="374">
        <v>1101116585826</v>
      </c>
      <c r="E341" s="372" t="s">
        <v>2962</v>
      </c>
      <c r="F341" s="372" t="s">
        <v>1750</v>
      </c>
      <c r="G341" s="375" t="s">
        <v>1750</v>
      </c>
      <c r="H341" s="375" t="s">
        <v>861</v>
      </c>
      <c r="I341" s="375" t="s">
        <v>862</v>
      </c>
      <c r="J341" s="375">
        <v>0</v>
      </c>
      <c r="K341" s="375">
        <v>0</v>
      </c>
      <c r="L341" s="375">
        <v>0</v>
      </c>
      <c r="M341" s="375">
        <v>0</v>
      </c>
      <c r="N341" s="372">
        <v>0.26400000000000001</v>
      </c>
      <c r="O341" s="704" t="s">
        <v>16301</v>
      </c>
      <c r="P341" s="375" t="s">
        <v>16115</v>
      </c>
      <c r="Q341" s="372" t="s">
        <v>16116</v>
      </c>
      <c r="R341" s="696">
        <v>20180508</v>
      </c>
      <c r="S341" s="372" t="e">
        <v>#N/A</v>
      </c>
      <c r="T341" s="697" t="s">
        <v>771</v>
      </c>
      <c r="U341" s="372" t="s">
        <v>2963</v>
      </c>
      <c r="V341" s="723">
        <v>0</v>
      </c>
      <c r="W341" s="723">
        <v>0</v>
      </c>
      <c r="X341" s="723">
        <v>0</v>
      </c>
      <c r="Y341" s="723">
        <v>0</v>
      </c>
      <c r="Z341" s="382">
        <v>0.17532389839587381</v>
      </c>
      <c r="AA341" s="372">
        <v>478.28639029999999</v>
      </c>
      <c r="AB341" s="372">
        <v>812.95998520000001</v>
      </c>
      <c r="AC341" s="372">
        <v>1165.4955969</v>
      </c>
      <c r="AD341" s="372">
        <v>1430.295529</v>
      </c>
      <c r="AE341" s="372">
        <v>1951.25</v>
      </c>
      <c r="AF341" s="372">
        <v>2339</v>
      </c>
      <c r="AG341" s="372">
        <v>2729.33</v>
      </c>
      <c r="AH341" s="372">
        <v>2720</v>
      </c>
    </row>
    <row r="342" spans="1:34">
      <c r="A342" s="372" t="s">
        <v>2964</v>
      </c>
      <c r="B342" s="373" t="s">
        <v>2965</v>
      </c>
      <c r="C342" s="372" t="s">
        <v>2966</v>
      </c>
      <c r="D342" s="374">
        <v>1801110348945</v>
      </c>
      <c r="E342" s="372" t="s">
        <v>2967</v>
      </c>
      <c r="F342" s="372" t="s">
        <v>1275</v>
      </c>
      <c r="G342" s="375" t="s">
        <v>1275</v>
      </c>
      <c r="H342" s="375" t="s">
        <v>861</v>
      </c>
      <c r="I342" s="375" t="s">
        <v>862</v>
      </c>
      <c r="J342" s="375">
        <v>203576.02161</v>
      </c>
      <c r="K342" s="375">
        <v>-20509.790659999999</v>
      </c>
      <c r="L342" s="375">
        <v>-25266.53874</v>
      </c>
      <c r="M342" s="375">
        <v>226263.65398999999</v>
      </c>
      <c r="N342" s="372">
        <v>0.58899999999999997</v>
      </c>
      <c r="O342" s="704">
        <v>30.295350565517282</v>
      </c>
      <c r="P342" s="375" t="s">
        <v>622</v>
      </c>
      <c r="Q342" s="375" t="s">
        <v>622</v>
      </c>
      <c r="R342" s="696">
        <v>20070502</v>
      </c>
      <c r="S342" s="375" t="s">
        <v>2968</v>
      </c>
      <c r="T342" s="697" t="s">
        <v>771</v>
      </c>
      <c r="U342" s="375" t="s">
        <v>2969</v>
      </c>
      <c r="V342" s="723">
        <v>147.86000000000001</v>
      </c>
      <c r="W342" s="723">
        <v>2.06</v>
      </c>
      <c r="X342" s="723">
        <v>2.36</v>
      </c>
      <c r="Y342" s="723" t="s">
        <v>773</v>
      </c>
      <c r="Z342" s="382" t="s">
        <v>927</v>
      </c>
      <c r="AA342" s="372">
        <v>2829.3399853000001</v>
      </c>
      <c r="AB342" s="372">
        <v>4002.2688908999999</v>
      </c>
      <c r="AC342" s="372">
        <v>4158.2723187000001</v>
      </c>
      <c r="AD342" s="372">
        <v>2634.5079440999998</v>
      </c>
      <c r="AE342" s="372">
        <v>5592</v>
      </c>
      <c r="AF342" s="372">
        <v>0</v>
      </c>
      <c r="AG342" s="372">
        <v>0</v>
      </c>
      <c r="AH342" s="372">
        <v>0</v>
      </c>
    </row>
    <row r="343" spans="1:34">
      <c r="A343" s="372" t="s">
        <v>2970</v>
      </c>
      <c r="B343" s="373" t="s">
        <v>2971</v>
      </c>
      <c r="C343" s="372" t="s">
        <v>2972</v>
      </c>
      <c r="D343" s="374">
        <v>1101110008212</v>
      </c>
      <c r="E343" s="372" t="s">
        <v>2973</v>
      </c>
      <c r="F343" s="372" t="s">
        <v>907</v>
      </c>
      <c r="G343" s="375" t="s">
        <v>908</v>
      </c>
      <c r="H343" s="375" t="s">
        <v>909</v>
      </c>
      <c r="I343" s="375" t="s">
        <v>754</v>
      </c>
      <c r="J343" s="375">
        <v>1705327.13271</v>
      </c>
      <c r="K343" s="375">
        <v>316965.30021999998</v>
      </c>
      <c r="L343" s="375">
        <v>168046.03302999999</v>
      </c>
      <c r="M343" s="375">
        <v>2082651.21621</v>
      </c>
      <c r="N343" s="372">
        <v>0.56599999999999995</v>
      </c>
      <c r="O343" s="704">
        <v>373.66862552335436</v>
      </c>
      <c r="P343" s="375" t="s">
        <v>622</v>
      </c>
      <c r="Q343" s="375" t="s">
        <v>622</v>
      </c>
      <c r="R343" s="696">
        <v>19920423</v>
      </c>
      <c r="S343" s="375" t="s">
        <v>2974</v>
      </c>
      <c r="T343" s="697">
        <v>0.23100000000000001</v>
      </c>
      <c r="U343" s="375" t="s">
        <v>2975</v>
      </c>
      <c r="V343" s="723">
        <v>5.93</v>
      </c>
      <c r="W343" s="723">
        <v>0.36</v>
      </c>
      <c r="X343" s="723">
        <v>0.39</v>
      </c>
      <c r="Y343" s="723">
        <v>4.42</v>
      </c>
      <c r="Z343" s="382">
        <v>2.7684142363611386E-2</v>
      </c>
      <c r="AA343" s="372">
        <v>8840.7826934000004</v>
      </c>
      <c r="AB343" s="372">
        <v>11538.430594400001</v>
      </c>
      <c r="AC343" s="372">
        <v>16120.1446418</v>
      </c>
      <c r="AD343" s="372">
        <v>13973.6539187</v>
      </c>
      <c r="AE343" s="372">
        <v>17572.75</v>
      </c>
      <c r="AF343" s="372">
        <v>15741.25</v>
      </c>
      <c r="AG343" s="372">
        <v>15586.5</v>
      </c>
      <c r="AH343" s="372">
        <v>0</v>
      </c>
    </row>
    <row r="344" spans="1:34">
      <c r="A344" s="372" t="s">
        <v>2976</v>
      </c>
      <c r="B344" s="373" t="s">
        <v>2977</v>
      </c>
      <c r="C344" s="372" t="s">
        <v>2978</v>
      </c>
      <c r="D344" s="374">
        <v>1501110005955</v>
      </c>
      <c r="E344" s="372" t="s">
        <v>2979</v>
      </c>
      <c r="F344" s="375" t="s">
        <v>1276</v>
      </c>
      <c r="G344" s="375" t="s">
        <v>16109</v>
      </c>
      <c r="H344" s="375" t="s">
        <v>753</v>
      </c>
      <c r="I344" s="375" t="s">
        <v>754</v>
      </c>
      <c r="J344" s="375">
        <v>709988.32973999996</v>
      </c>
      <c r="K344" s="375">
        <v>66174.29797</v>
      </c>
      <c r="L344" s="375">
        <v>37638.984270000001</v>
      </c>
      <c r="M344" s="375">
        <v>398791.80745000002</v>
      </c>
      <c r="N344" s="372">
        <v>1.018</v>
      </c>
      <c r="O344" s="704">
        <v>58.708699483915986</v>
      </c>
      <c r="P344" s="375" t="s">
        <v>622</v>
      </c>
      <c r="Q344" s="375" t="s">
        <v>622</v>
      </c>
      <c r="R344" s="696">
        <v>19990106</v>
      </c>
      <c r="S344" s="375" t="s">
        <v>2980</v>
      </c>
      <c r="T344" s="697">
        <v>0.23100000000000001</v>
      </c>
      <c r="U344" s="375" t="s">
        <v>2981</v>
      </c>
      <c r="V344" s="723">
        <v>4.3600000000000003</v>
      </c>
      <c r="W344" s="723">
        <v>0.96</v>
      </c>
      <c r="X344" s="723">
        <v>0.55000000000000004</v>
      </c>
      <c r="Y344" s="723">
        <v>16.079999999999998</v>
      </c>
      <c r="Z344" s="382">
        <v>0.12873565036698165</v>
      </c>
      <c r="AA344" s="372">
        <v>3006.8681410999998</v>
      </c>
      <c r="AB344" s="372">
        <v>3478.5451087000001</v>
      </c>
      <c r="AC344" s="372">
        <v>2923.3349122</v>
      </c>
      <c r="AD344" s="372">
        <v>5033.3031457999996</v>
      </c>
      <c r="AE344" s="372">
        <v>7057</v>
      </c>
      <c r="AF344" s="372">
        <v>7761</v>
      </c>
      <c r="AG344" s="372">
        <v>8170</v>
      </c>
      <c r="AH344" s="372">
        <v>0</v>
      </c>
    </row>
    <row r="345" spans="1:34">
      <c r="A345" s="372" t="s">
        <v>2982</v>
      </c>
      <c r="B345" s="373" t="s">
        <v>2983</v>
      </c>
      <c r="C345" s="372" t="s">
        <v>2984</v>
      </c>
      <c r="D345" s="374">
        <v>1101111334583</v>
      </c>
      <c r="E345" s="372" t="s">
        <v>2985</v>
      </c>
      <c r="F345" s="372" t="s">
        <v>1275</v>
      </c>
      <c r="G345" s="375" t="s">
        <v>1275</v>
      </c>
      <c r="H345" s="375" t="s">
        <v>861</v>
      </c>
      <c r="I345" s="375" t="s">
        <v>862</v>
      </c>
      <c r="J345" s="375">
        <v>337882.95951999997</v>
      </c>
      <c r="K345" s="375">
        <v>-9101.8851500000001</v>
      </c>
      <c r="L345" s="375">
        <v>-11030.895759999999</v>
      </c>
      <c r="M345" s="375">
        <v>342002.82679000002</v>
      </c>
      <c r="N345" s="372">
        <v>0.64700000000000002</v>
      </c>
      <c r="O345" s="704">
        <v>16.361501335471836</v>
      </c>
      <c r="P345" s="375" t="s">
        <v>622</v>
      </c>
      <c r="Q345" s="375" t="s">
        <v>622</v>
      </c>
      <c r="R345" s="696">
        <v>20200304</v>
      </c>
      <c r="S345" s="375" t="s">
        <v>2986</v>
      </c>
      <c r="T345" s="697" t="s">
        <v>771</v>
      </c>
      <c r="U345" s="375" t="s">
        <v>2987</v>
      </c>
      <c r="V345" s="723">
        <v>27.18</v>
      </c>
      <c r="W345" s="723">
        <v>3.43</v>
      </c>
      <c r="X345" s="723">
        <v>3.58</v>
      </c>
      <c r="Y345" s="723" t="s">
        <v>773</v>
      </c>
      <c r="Z345" s="382">
        <v>0.14310606424854111</v>
      </c>
      <c r="AA345" s="372">
        <v>3477.7292040000002</v>
      </c>
      <c r="AB345" s="372">
        <v>2025.9505053</v>
      </c>
      <c r="AC345" s="372">
        <v>1613.2517210000001</v>
      </c>
      <c r="AD345" s="372">
        <v>3234.3693266</v>
      </c>
      <c r="AE345" s="372">
        <v>3301.5</v>
      </c>
      <c r="AF345" s="372">
        <v>4793</v>
      </c>
      <c r="AG345" s="372">
        <v>5522.5</v>
      </c>
      <c r="AH345" s="372">
        <v>0</v>
      </c>
    </row>
    <row r="346" spans="1:34">
      <c r="A346" s="372" t="s">
        <v>2988</v>
      </c>
      <c r="B346" s="373" t="s">
        <v>2989</v>
      </c>
      <c r="C346" s="372" t="s">
        <v>2990</v>
      </c>
      <c r="D346" s="374">
        <v>1801110042612</v>
      </c>
      <c r="E346" s="372" t="s">
        <v>2991</v>
      </c>
      <c r="F346" s="372" t="s">
        <v>2992</v>
      </c>
      <c r="G346" s="375" t="s">
        <v>2992</v>
      </c>
      <c r="H346" s="375" t="s">
        <v>861</v>
      </c>
      <c r="I346" s="375" t="s">
        <v>862</v>
      </c>
      <c r="J346" s="375">
        <v>4385157.1310700001</v>
      </c>
      <c r="K346" s="375">
        <v>234710.70322</v>
      </c>
      <c r="L346" s="375">
        <v>192455.45826000001</v>
      </c>
      <c r="M346" s="375">
        <v>1719072.7305300001</v>
      </c>
      <c r="N346" s="372">
        <v>1.2609999999999999</v>
      </c>
      <c r="O346" s="704">
        <v>337.53527172993142</v>
      </c>
      <c r="P346" s="375" t="s">
        <v>622</v>
      </c>
      <c r="Q346" s="372" t="s">
        <v>622</v>
      </c>
      <c r="R346" s="696">
        <v>19951028</v>
      </c>
      <c r="S346" s="372" t="s">
        <v>2993</v>
      </c>
      <c r="T346" s="697">
        <v>0.23100000000000001</v>
      </c>
      <c r="U346" s="372" t="s">
        <v>2994</v>
      </c>
      <c r="V346" s="723">
        <v>4.6500000000000004</v>
      </c>
      <c r="W346" s="723">
        <v>0.38</v>
      </c>
      <c r="X346" s="723">
        <v>0.12</v>
      </c>
      <c r="Y346" s="723">
        <v>3.92</v>
      </c>
      <c r="Z346" s="382" t="s">
        <v>927</v>
      </c>
      <c r="AA346" s="372">
        <v>29703.323479800001</v>
      </c>
      <c r="AB346" s="372">
        <v>33485.899180499997</v>
      </c>
      <c r="AC346" s="372">
        <v>39767.845410399997</v>
      </c>
      <c r="AD346" s="372">
        <v>43219.873086300002</v>
      </c>
      <c r="AE346" s="372">
        <v>50070</v>
      </c>
      <c r="AF346" s="372">
        <v>61010</v>
      </c>
      <c r="AG346" s="372">
        <v>0</v>
      </c>
      <c r="AH346" s="372">
        <v>0</v>
      </c>
    </row>
    <row r="347" spans="1:34">
      <c r="A347" s="372" t="s">
        <v>2995</v>
      </c>
      <c r="B347" s="373" t="s">
        <v>2996</v>
      </c>
      <c r="C347" s="372" t="s">
        <v>2997</v>
      </c>
      <c r="D347" s="374">
        <v>1101110725064</v>
      </c>
      <c r="E347" s="372" t="s">
        <v>2998</v>
      </c>
      <c r="F347" s="375" t="s">
        <v>1370</v>
      </c>
      <c r="G347" s="375" t="s">
        <v>1370</v>
      </c>
      <c r="H347" s="375" t="s">
        <v>861</v>
      </c>
      <c r="I347" s="375" t="s">
        <v>862</v>
      </c>
      <c r="J347" s="375">
        <v>310172.73810000002</v>
      </c>
      <c r="K347" s="375">
        <v>44921.817940000001</v>
      </c>
      <c r="L347" s="375">
        <v>-16557.024799999999</v>
      </c>
      <c r="M347" s="375">
        <v>505629.40860999998</v>
      </c>
      <c r="N347" s="372">
        <v>0.6</v>
      </c>
      <c r="O347" s="704">
        <v>7.1647481097977774</v>
      </c>
      <c r="P347" s="375" t="s">
        <v>622</v>
      </c>
      <c r="Q347" s="375" t="s">
        <v>622</v>
      </c>
      <c r="R347" s="696">
        <v>19960924</v>
      </c>
      <c r="S347" s="375" t="s">
        <v>2999</v>
      </c>
      <c r="T347" s="697" t="s">
        <v>771</v>
      </c>
      <c r="U347" s="375" t="s">
        <v>3000</v>
      </c>
      <c r="V347" s="723">
        <v>8.93</v>
      </c>
      <c r="W347" s="723">
        <v>1.24</v>
      </c>
      <c r="X347" s="723">
        <v>1.46</v>
      </c>
      <c r="Y347" s="723">
        <v>23.36</v>
      </c>
      <c r="Z347" s="382">
        <v>9.3049530031881655E-2</v>
      </c>
      <c r="AA347" s="372">
        <v>4013.6851388999999</v>
      </c>
      <c r="AB347" s="372">
        <v>2417.2978632999998</v>
      </c>
      <c r="AC347" s="372">
        <v>2420.0840269</v>
      </c>
      <c r="AD347" s="372">
        <v>2710.9977233999998</v>
      </c>
      <c r="AE347" s="372">
        <v>3070.4</v>
      </c>
      <c r="AF347" s="372">
        <v>3455.6</v>
      </c>
      <c r="AG347" s="372">
        <v>3869.8</v>
      </c>
      <c r="AH347" s="372">
        <v>0</v>
      </c>
    </row>
    <row r="348" spans="1:34">
      <c r="A348" s="372" t="s">
        <v>3001</v>
      </c>
      <c r="B348" s="373" t="s">
        <v>3002</v>
      </c>
      <c r="C348" s="372" t="s">
        <v>3003</v>
      </c>
      <c r="D348" s="374">
        <v>1347110004377</v>
      </c>
      <c r="E348" s="372" t="s">
        <v>3004</v>
      </c>
      <c r="F348" s="375" t="s">
        <v>1185</v>
      </c>
      <c r="G348" s="375" t="s">
        <v>1186</v>
      </c>
      <c r="H348" s="375" t="s">
        <v>861</v>
      </c>
      <c r="I348" s="375" t="s">
        <v>862</v>
      </c>
      <c r="J348" s="375">
        <v>157177.52314999999</v>
      </c>
      <c r="K348" s="375">
        <v>59271.706850000002</v>
      </c>
      <c r="L348" s="375">
        <v>91026.064209999997</v>
      </c>
      <c r="M348" s="375">
        <v>383662.17654000001</v>
      </c>
      <c r="N348" s="372">
        <v>1.333</v>
      </c>
      <c r="O348" s="704">
        <v>1.5438038659361597</v>
      </c>
      <c r="P348" s="375" t="s">
        <v>622</v>
      </c>
      <c r="Q348" s="375" t="s">
        <v>622</v>
      </c>
      <c r="R348" s="696">
        <v>19970107</v>
      </c>
      <c r="S348" s="375" t="s">
        <v>3005</v>
      </c>
      <c r="T348" s="697">
        <v>0.23100000000000001</v>
      </c>
      <c r="U348" s="372" t="s">
        <v>3006</v>
      </c>
      <c r="V348" s="723">
        <v>14.91</v>
      </c>
      <c r="W348" s="723">
        <v>2.4900000000000002</v>
      </c>
      <c r="X348" s="723">
        <v>6.08</v>
      </c>
      <c r="Y348" s="723">
        <v>12.82</v>
      </c>
      <c r="Z348" s="382">
        <v>0.29889292356995156</v>
      </c>
      <c r="AA348" s="372">
        <v>397.7430956</v>
      </c>
      <c r="AB348" s="372">
        <v>816.23934750000001</v>
      </c>
      <c r="AC348" s="372">
        <v>727.90993360000004</v>
      </c>
      <c r="AD348" s="372">
        <v>947.16683939999996</v>
      </c>
      <c r="AE348" s="372">
        <v>1875.75</v>
      </c>
      <c r="AF348" s="372">
        <v>2357</v>
      </c>
      <c r="AG348" s="372">
        <v>2696</v>
      </c>
      <c r="AH348" s="372">
        <v>0</v>
      </c>
    </row>
    <row r="349" spans="1:34">
      <c r="A349" s="372" t="s">
        <v>3007</v>
      </c>
      <c r="B349" s="373" t="s">
        <v>3008</v>
      </c>
      <c r="C349" s="372" t="s">
        <v>3009</v>
      </c>
      <c r="D349" s="374">
        <v>1244110019788</v>
      </c>
      <c r="E349" s="372" t="s">
        <v>3010</v>
      </c>
      <c r="F349" s="375" t="s">
        <v>3011</v>
      </c>
      <c r="G349" s="375" t="s">
        <v>3011</v>
      </c>
      <c r="H349" s="375" t="s">
        <v>1337</v>
      </c>
      <c r="I349" s="375" t="s">
        <v>862</v>
      </c>
      <c r="J349" s="375">
        <v>99632.604340000005</v>
      </c>
      <c r="K349" s="375">
        <v>2925.16057</v>
      </c>
      <c r="L349" s="375">
        <v>3141.7441199999998</v>
      </c>
      <c r="M349" s="375">
        <v>187728.67621999999</v>
      </c>
      <c r="N349" s="372" t="s">
        <v>1026</v>
      </c>
      <c r="O349" s="704">
        <v>5.0538631835866248</v>
      </c>
      <c r="P349" s="375" t="s">
        <v>622</v>
      </c>
      <c r="Q349" s="375" t="s">
        <v>622</v>
      </c>
      <c r="R349" s="696">
        <v>20230216</v>
      </c>
      <c r="S349" s="375" t="s">
        <v>3012</v>
      </c>
      <c r="T349" s="697">
        <v>0.20900000000000002</v>
      </c>
      <c r="U349" s="375" t="s">
        <v>3013</v>
      </c>
      <c r="V349" s="723">
        <v>0</v>
      </c>
      <c r="W349" s="723">
        <v>0</v>
      </c>
      <c r="X349" s="723">
        <v>0</v>
      </c>
      <c r="Y349" s="723">
        <v>0</v>
      </c>
      <c r="Z349" s="382" t="s">
        <v>927</v>
      </c>
      <c r="AA349" s="372">
        <v>471.41310390000001</v>
      </c>
      <c r="AB349" s="372">
        <v>787.02796769999998</v>
      </c>
      <c r="AC349" s="372">
        <v>676.55302329999995</v>
      </c>
      <c r="AD349" s="372">
        <v>1144.9396296</v>
      </c>
      <c r="AE349" s="372">
        <v>0</v>
      </c>
      <c r="AF349" s="372">
        <v>0</v>
      </c>
      <c r="AG349" s="372">
        <v>0</v>
      </c>
      <c r="AH349" s="372">
        <v>0</v>
      </c>
    </row>
    <row r="350" spans="1:34">
      <c r="A350" s="372" t="s">
        <v>3014</v>
      </c>
      <c r="B350" s="373" t="s">
        <v>3015</v>
      </c>
      <c r="C350" s="372" t="s">
        <v>3016</v>
      </c>
      <c r="D350" s="374">
        <v>1350110087483</v>
      </c>
      <c r="E350" s="372" t="s">
        <v>3017</v>
      </c>
      <c r="F350" s="375" t="s">
        <v>998</v>
      </c>
      <c r="G350" s="375" t="s">
        <v>999</v>
      </c>
      <c r="H350" s="375" t="s">
        <v>753</v>
      </c>
      <c r="I350" s="375" t="s">
        <v>754</v>
      </c>
      <c r="J350" s="375">
        <v>1783278.21582</v>
      </c>
      <c r="K350" s="375">
        <v>107704.04369999999</v>
      </c>
      <c r="L350" s="375">
        <v>113740.36401</v>
      </c>
      <c r="M350" s="375">
        <v>724949.83062999998</v>
      </c>
      <c r="N350" s="372">
        <v>0.82199999999999995</v>
      </c>
      <c r="O350" s="704">
        <v>46.724307391887585</v>
      </c>
      <c r="P350" s="375" t="s">
        <v>622</v>
      </c>
      <c r="Q350" s="375" t="s">
        <v>622</v>
      </c>
      <c r="R350" s="696">
        <v>20070126</v>
      </c>
      <c r="S350" s="375" t="s">
        <v>3018</v>
      </c>
      <c r="T350" s="697">
        <v>0.23100000000000001</v>
      </c>
      <c r="U350" s="375" t="s">
        <v>3019</v>
      </c>
      <c r="V350" s="723">
        <v>4.38</v>
      </c>
      <c r="W350" s="723">
        <v>0.83</v>
      </c>
      <c r="X350" s="723">
        <v>0.35</v>
      </c>
      <c r="Y350" s="723">
        <v>7.45</v>
      </c>
      <c r="Z350" s="382">
        <v>6.228304790266681E-2</v>
      </c>
      <c r="AA350" s="372">
        <v>7213.5819718000002</v>
      </c>
      <c r="AB350" s="372">
        <v>10369.626569100001</v>
      </c>
      <c r="AC350" s="372">
        <v>16810.539197599999</v>
      </c>
      <c r="AD350" s="372">
        <v>15919.922506999999</v>
      </c>
      <c r="AE350" s="372">
        <v>18071.2</v>
      </c>
      <c r="AF350" s="372">
        <v>19309.599999999999</v>
      </c>
      <c r="AG350" s="372">
        <v>20272.25</v>
      </c>
      <c r="AH350" s="372">
        <v>0</v>
      </c>
    </row>
    <row r="351" spans="1:34">
      <c r="A351" s="372" t="s">
        <v>3020</v>
      </c>
      <c r="B351" s="373" t="s">
        <v>3021</v>
      </c>
      <c r="C351" s="372" t="s">
        <v>3022</v>
      </c>
      <c r="D351" s="374">
        <v>1345110172532</v>
      </c>
      <c r="E351" s="372" t="s">
        <v>3023</v>
      </c>
      <c r="F351" s="375" t="s">
        <v>2718</v>
      </c>
      <c r="G351" s="375" t="s">
        <v>3024</v>
      </c>
      <c r="H351" s="375" t="s">
        <v>1337</v>
      </c>
      <c r="I351" s="375" t="s">
        <v>862</v>
      </c>
      <c r="J351" s="375">
        <v>184355.68841</v>
      </c>
      <c r="K351" s="375">
        <v>-6974.3604299999997</v>
      </c>
      <c r="L351" s="375">
        <v>-6296.5159299999996</v>
      </c>
      <c r="M351" s="375">
        <v>533910.11043999996</v>
      </c>
      <c r="N351" s="372">
        <v>1.123</v>
      </c>
      <c r="O351" s="704">
        <v>19.498109450273571</v>
      </c>
      <c r="P351" s="375" t="s">
        <v>622</v>
      </c>
      <c r="Q351" s="372" t="s">
        <v>622</v>
      </c>
      <c r="R351" s="696">
        <v>20160623</v>
      </c>
      <c r="S351" s="372" t="s">
        <v>3025</v>
      </c>
      <c r="T351" s="697" t="s">
        <v>771</v>
      </c>
      <c r="U351" s="372" t="s">
        <v>3026</v>
      </c>
      <c r="V351" s="723">
        <v>65.84</v>
      </c>
      <c r="W351" s="723">
        <v>0.83</v>
      </c>
      <c r="X351" s="723">
        <v>2.73</v>
      </c>
      <c r="Y351" s="723" t="s">
        <v>773</v>
      </c>
      <c r="Z351" s="382" t="s">
        <v>927</v>
      </c>
      <c r="AA351" s="372">
        <v>855.62367519999998</v>
      </c>
      <c r="AB351" s="372">
        <v>1683.0999661999999</v>
      </c>
      <c r="AC351" s="372">
        <v>2361.2007285999998</v>
      </c>
      <c r="AD351" s="372">
        <v>1875.4418943999999</v>
      </c>
      <c r="AE351" s="372">
        <v>1933</v>
      </c>
      <c r="AF351" s="372">
        <v>0</v>
      </c>
      <c r="AG351" s="372">
        <v>0</v>
      </c>
      <c r="AH351" s="372">
        <v>0</v>
      </c>
    </row>
    <row r="352" spans="1:34">
      <c r="A352" s="372" t="s">
        <v>3027</v>
      </c>
      <c r="B352" s="373" t="s">
        <v>3028</v>
      </c>
      <c r="C352" s="372" t="s">
        <v>3029</v>
      </c>
      <c r="D352" s="374">
        <v>1101110327125</v>
      </c>
      <c r="E352" s="372" t="s">
        <v>3030</v>
      </c>
      <c r="F352" s="372" t="s">
        <v>2222</v>
      </c>
      <c r="G352" s="375" t="s">
        <v>2222</v>
      </c>
      <c r="H352" s="375" t="s">
        <v>1316</v>
      </c>
      <c r="I352" s="375" t="s">
        <v>754</v>
      </c>
      <c r="J352" s="375">
        <v>4200997.6803099997</v>
      </c>
      <c r="K352" s="375">
        <v>157151.92262999999</v>
      </c>
      <c r="L352" s="375">
        <v>109615.61799</v>
      </c>
      <c r="M352" s="375">
        <v>1409017.2483600001</v>
      </c>
      <c r="N352" s="372">
        <v>0.57899999999999996</v>
      </c>
      <c r="O352" s="704">
        <v>200.20670659417726</v>
      </c>
      <c r="P352" s="375" t="s">
        <v>622</v>
      </c>
      <c r="Q352" s="375" t="s">
        <v>622</v>
      </c>
      <c r="R352" s="696">
        <v>19700401</v>
      </c>
      <c r="S352" s="375" t="s">
        <v>3031</v>
      </c>
      <c r="T352" s="697">
        <v>0.23100000000000001</v>
      </c>
      <c r="U352" s="375" t="s">
        <v>3032</v>
      </c>
      <c r="V352" s="723">
        <v>4.9400000000000004</v>
      </c>
      <c r="W352" s="723">
        <v>0.56000000000000005</v>
      </c>
      <c r="X352" s="723">
        <v>0.18</v>
      </c>
      <c r="Y352" s="723">
        <v>9.4</v>
      </c>
      <c r="Z352" s="382">
        <v>3.0086567253119867E-2</v>
      </c>
      <c r="AA352" s="372">
        <v>31132.036681199999</v>
      </c>
      <c r="AB352" s="372">
        <v>34699.925228200002</v>
      </c>
      <c r="AC352" s="372">
        <v>40840.9027757</v>
      </c>
      <c r="AD352" s="372">
        <v>41074.939438000001</v>
      </c>
      <c r="AE352" s="372">
        <v>42851.75</v>
      </c>
      <c r="AF352" s="372">
        <v>44188</v>
      </c>
      <c r="AG352" s="372">
        <v>46245.75</v>
      </c>
      <c r="AH352" s="372">
        <v>0</v>
      </c>
    </row>
    <row r="353" spans="1:34">
      <c r="A353" s="372" t="s">
        <v>3033</v>
      </c>
      <c r="B353" s="373" t="s">
        <v>3034</v>
      </c>
      <c r="C353" s="372" t="s">
        <v>3035</v>
      </c>
      <c r="D353" s="374">
        <v>1348110020579</v>
      </c>
      <c r="E353" s="372" t="s">
        <v>3036</v>
      </c>
      <c r="F353" s="375" t="s">
        <v>2834</v>
      </c>
      <c r="G353" s="375" t="s">
        <v>2834</v>
      </c>
      <c r="H353" s="375" t="s">
        <v>861</v>
      </c>
      <c r="I353" s="375" t="s">
        <v>862</v>
      </c>
      <c r="J353" s="375">
        <v>84808.740170000005</v>
      </c>
      <c r="K353" s="375">
        <v>-53318.570590000003</v>
      </c>
      <c r="L353" s="375">
        <v>-44984.701609999996</v>
      </c>
      <c r="M353" s="375">
        <v>140661.75977999999</v>
      </c>
      <c r="N353" s="372">
        <v>1.1439999999999999</v>
      </c>
      <c r="O353" s="704">
        <v>22.862441111311863</v>
      </c>
      <c r="P353" s="375" t="s">
        <v>622</v>
      </c>
      <c r="Q353" s="372" t="s">
        <v>622</v>
      </c>
      <c r="R353" s="696">
        <v>20000317</v>
      </c>
      <c r="S353" s="375" t="s">
        <v>3037</v>
      </c>
      <c r="T353" s="697" t="s">
        <v>771</v>
      </c>
      <c r="U353" s="372" t="s">
        <v>3038</v>
      </c>
      <c r="V353" s="723" t="s">
        <v>773</v>
      </c>
      <c r="W353" s="723">
        <v>2.11</v>
      </c>
      <c r="X353" s="723">
        <v>3.51</v>
      </c>
      <c r="Y353" s="723" t="s">
        <v>773</v>
      </c>
      <c r="Z353" s="382">
        <v>0.36268787251389023</v>
      </c>
      <c r="AA353" s="372">
        <v>3384.9609476999999</v>
      </c>
      <c r="AB353" s="372">
        <v>2051.5902105</v>
      </c>
      <c r="AC353" s="372">
        <v>1794.6237971999999</v>
      </c>
      <c r="AD353" s="372">
        <v>1000.6828766</v>
      </c>
      <c r="AE353" s="372">
        <v>780.5</v>
      </c>
      <c r="AF353" s="372">
        <v>1097.5</v>
      </c>
      <c r="AG353" s="372">
        <v>3450.5</v>
      </c>
      <c r="AH353" s="372">
        <v>0</v>
      </c>
    </row>
    <row r="354" spans="1:34">
      <c r="A354" s="372" t="s">
        <v>3039</v>
      </c>
      <c r="B354" s="373" t="s">
        <v>3040</v>
      </c>
      <c r="C354" s="372" t="s">
        <v>3041</v>
      </c>
      <c r="D354" s="374">
        <v>1101110095201</v>
      </c>
      <c r="E354" s="372" t="s">
        <v>3042</v>
      </c>
      <c r="F354" s="375" t="s">
        <v>893</v>
      </c>
      <c r="G354" s="375" t="s">
        <v>894</v>
      </c>
      <c r="H354" s="375" t="s">
        <v>855</v>
      </c>
      <c r="I354" s="375" t="s">
        <v>754</v>
      </c>
      <c r="J354" s="375">
        <v>6358626.4390000002</v>
      </c>
      <c r="K354" s="375">
        <v>156206.71100000001</v>
      </c>
      <c r="L354" s="375">
        <v>429521.17099999997</v>
      </c>
      <c r="M354" s="375">
        <v>6756049.6030000001</v>
      </c>
      <c r="N354" s="372">
        <v>0.72299999999999998</v>
      </c>
      <c r="O354" s="704">
        <v>139.33702862554156</v>
      </c>
      <c r="P354" s="375" t="s">
        <v>622</v>
      </c>
      <c r="Q354" s="372" t="s">
        <v>622</v>
      </c>
      <c r="R354" s="696">
        <v>19890822</v>
      </c>
      <c r="S354" s="372" t="s">
        <v>3043</v>
      </c>
      <c r="T354" s="697">
        <v>0.26400000000000001</v>
      </c>
      <c r="U354" s="372" t="s">
        <v>15848</v>
      </c>
      <c r="V354" s="723">
        <v>12.78</v>
      </c>
      <c r="W354" s="723">
        <v>0.22</v>
      </c>
      <c r="X354" s="723">
        <v>0.11</v>
      </c>
      <c r="Y354" s="723">
        <v>1.04</v>
      </c>
      <c r="Z354" s="382">
        <v>0.36645924719865874</v>
      </c>
      <c r="AA354" s="372">
        <v>32384.890820000001</v>
      </c>
      <c r="AB354" s="372">
        <v>34860.804210000002</v>
      </c>
      <c r="AC354" s="372">
        <v>19569.98071</v>
      </c>
      <c r="AD354" s="372">
        <v>26294.934539999998</v>
      </c>
      <c r="AE354" s="372">
        <v>74253</v>
      </c>
      <c r="AF354" s="372">
        <v>88494.33</v>
      </c>
      <c r="AG354" s="372">
        <v>91676.67</v>
      </c>
      <c r="AH354" s="372">
        <v>0</v>
      </c>
    </row>
    <row r="355" spans="1:34">
      <c r="A355" s="372" t="s">
        <v>3045</v>
      </c>
      <c r="B355" s="373" t="s">
        <v>3046</v>
      </c>
      <c r="C355" s="372" t="s">
        <v>3047</v>
      </c>
      <c r="D355" s="374">
        <v>1101112101816</v>
      </c>
      <c r="E355" s="372" t="s">
        <v>3048</v>
      </c>
      <c r="F355" s="372" t="s">
        <v>2222</v>
      </c>
      <c r="G355" s="375" t="s">
        <v>2222</v>
      </c>
      <c r="H355" s="375" t="s">
        <v>1316</v>
      </c>
      <c r="I355" s="375" t="s">
        <v>754</v>
      </c>
      <c r="J355" s="375">
        <v>4421463.4116500001</v>
      </c>
      <c r="K355" s="375">
        <v>178521.43234999999</v>
      </c>
      <c r="L355" s="375">
        <v>174076.68567000001</v>
      </c>
      <c r="M355" s="375">
        <v>1064403.9440200001</v>
      </c>
      <c r="N355" s="372">
        <v>0.60599999999999998</v>
      </c>
      <c r="O355" s="704">
        <v>87.157505742630391</v>
      </c>
      <c r="P355" s="375" t="s">
        <v>622</v>
      </c>
      <c r="Q355" s="372" t="s">
        <v>622</v>
      </c>
      <c r="R355" s="696">
        <v>20001123</v>
      </c>
      <c r="S355" s="375" t="s">
        <v>3049</v>
      </c>
      <c r="T355" s="697">
        <v>0.23100000000000001</v>
      </c>
      <c r="U355" s="375" t="s">
        <v>3050</v>
      </c>
      <c r="V355" s="723">
        <v>4.1500000000000004</v>
      </c>
      <c r="W355" s="723">
        <v>0.59</v>
      </c>
      <c r="X355" s="723">
        <v>0.14000000000000001</v>
      </c>
      <c r="Y355" s="723">
        <v>5.08</v>
      </c>
      <c r="Z355" s="382">
        <v>2.775542759686811E-2</v>
      </c>
      <c r="AA355" s="372">
        <v>31702.592665200002</v>
      </c>
      <c r="AB355" s="372">
        <v>34906.232567899999</v>
      </c>
      <c r="AC355" s="372">
        <v>40235.775939699997</v>
      </c>
      <c r="AD355" s="372">
        <v>43608.444167100002</v>
      </c>
      <c r="AE355" s="372">
        <v>45014.400000000001</v>
      </c>
      <c r="AF355" s="372">
        <v>47116.4</v>
      </c>
      <c r="AG355" s="372">
        <v>48655.25</v>
      </c>
      <c r="AH355" s="372">
        <v>0</v>
      </c>
    </row>
    <row r="356" spans="1:34">
      <c r="A356" s="372" t="s">
        <v>3051</v>
      </c>
      <c r="B356" s="373" t="s">
        <v>3052</v>
      </c>
      <c r="C356" s="372" t="s">
        <v>3053</v>
      </c>
      <c r="D356" s="374">
        <v>1101117342473</v>
      </c>
      <c r="E356" s="372" t="s">
        <v>3054</v>
      </c>
      <c r="F356" s="375" t="s">
        <v>3055</v>
      </c>
      <c r="G356" s="375" t="s">
        <v>3055</v>
      </c>
      <c r="H356" s="375" t="s">
        <v>1468</v>
      </c>
      <c r="I356" s="375" t="s">
        <v>754</v>
      </c>
      <c r="J356" s="375">
        <v>1829679.8413199999</v>
      </c>
      <c r="K356" s="375">
        <v>75111.731310000003</v>
      </c>
      <c r="L356" s="375">
        <v>89946.868579999995</v>
      </c>
      <c r="M356" s="375">
        <v>1499505.67141</v>
      </c>
      <c r="N356" s="372">
        <v>0.71399999999999997</v>
      </c>
      <c r="O356" s="704">
        <v>83.222076938789073</v>
      </c>
      <c r="P356" s="375" t="s">
        <v>622</v>
      </c>
      <c r="Q356" s="375" t="s">
        <v>622</v>
      </c>
      <c r="R356" s="696">
        <v>20200121</v>
      </c>
      <c r="S356" s="375" t="s">
        <v>3056</v>
      </c>
      <c r="T356" s="697">
        <v>0.23100000000000001</v>
      </c>
      <c r="U356" s="375" t="s">
        <v>3057</v>
      </c>
      <c r="V356" s="723">
        <v>4.5599999999999996</v>
      </c>
      <c r="W356" s="723">
        <v>0.43</v>
      </c>
      <c r="X356" s="723">
        <v>0.35</v>
      </c>
      <c r="Y356" s="723">
        <v>8.93</v>
      </c>
      <c r="Z356" s="382">
        <v>4.5768805067418539E-2</v>
      </c>
      <c r="AA356" s="372">
        <v>7086.5739641999999</v>
      </c>
      <c r="AB356" s="372">
        <v>11756.5996517</v>
      </c>
      <c r="AC356" s="372">
        <v>14436.806918300001</v>
      </c>
      <c r="AD356" s="372">
        <v>16800.556465900001</v>
      </c>
      <c r="AE356" s="372">
        <v>18328</v>
      </c>
      <c r="AF356" s="372">
        <v>19063</v>
      </c>
      <c r="AG356" s="372">
        <v>20094</v>
      </c>
      <c r="AH356" s="372">
        <v>0</v>
      </c>
    </row>
    <row r="357" spans="1:34">
      <c r="A357" s="372" t="s">
        <v>3058</v>
      </c>
      <c r="B357" s="373" t="s">
        <v>3059</v>
      </c>
      <c r="C357" s="372" t="s">
        <v>3060</v>
      </c>
      <c r="D357" s="374">
        <v>1801110396069</v>
      </c>
      <c r="E357" s="372" t="s">
        <v>3061</v>
      </c>
      <c r="F357" s="375" t="s">
        <v>2007</v>
      </c>
      <c r="G357" s="375" t="s">
        <v>2007</v>
      </c>
      <c r="H357" s="375" t="s">
        <v>792</v>
      </c>
      <c r="I357" s="375" t="s">
        <v>754</v>
      </c>
      <c r="J357" s="375">
        <v>967870.08105000004</v>
      </c>
      <c r="K357" s="375">
        <v>101474.50143</v>
      </c>
      <c r="L357" s="375">
        <v>88608.854890000002</v>
      </c>
      <c r="M357" s="375">
        <v>949407.85929000005</v>
      </c>
      <c r="N357" s="372">
        <v>0.71899999999999997</v>
      </c>
      <c r="O357" s="704">
        <v>1.8926233331407825E-2</v>
      </c>
      <c r="P357" s="375" t="s">
        <v>622</v>
      </c>
      <c r="Q357" s="375" t="s">
        <v>622</v>
      </c>
      <c r="R357" s="696">
        <v>20020311</v>
      </c>
      <c r="S357" s="375" t="s">
        <v>3062</v>
      </c>
      <c r="T357" s="697">
        <v>0.23100000000000001</v>
      </c>
      <c r="U357" s="375" t="s">
        <v>3063</v>
      </c>
      <c r="V357" s="723">
        <v>5.23</v>
      </c>
      <c r="W357" s="723">
        <v>0.65</v>
      </c>
      <c r="X357" s="723">
        <v>0.71</v>
      </c>
      <c r="Y357" s="723">
        <v>9.76</v>
      </c>
      <c r="Z357" s="382">
        <v>-1.7976892623198681E-2</v>
      </c>
      <c r="AA357" s="372">
        <v>9407.4552337000005</v>
      </c>
      <c r="AB357" s="372">
        <v>9417.4468388999994</v>
      </c>
      <c r="AC357" s="372">
        <v>10448.606112400001</v>
      </c>
      <c r="AD357" s="372">
        <v>11362.801722</v>
      </c>
      <c r="AE357" s="372">
        <v>9624.6299999999992</v>
      </c>
      <c r="AF357" s="372">
        <v>10100.25</v>
      </c>
      <c r="AG357" s="372">
        <v>10567.5</v>
      </c>
      <c r="AH357" s="372">
        <v>0</v>
      </c>
    </row>
    <row r="358" spans="1:34">
      <c r="A358" s="372" t="s">
        <v>3064</v>
      </c>
      <c r="B358" s="373" t="s">
        <v>3065</v>
      </c>
      <c r="C358" s="372" t="s">
        <v>3066</v>
      </c>
      <c r="D358" s="374">
        <v>1348110326191</v>
      </c>
      <c r="E358" s="372" t="s">
        <v>3067</v>
      </c>
      <c r="F358" s="375" t="s">
        <v>16101</v>
      </c>
      <c r="G358" s="375" t="s">
        <v>16101</v>
      </c>
      <c r="H358" s="375" t="s">
        <v>861</v>
      </c>
      <c r="I358" s="375" t="s">
        <v>862</v>
      </c>
      <c r="J358" s="375">
        <v>0</v>
      </c>
      <c r="K358" s="375">
        <v>-35093.360399999998</v>
      </c>
      <c r="L358" s="375">
        <v>-37428.466509999998</v>
      </c>
      <c r="M358" s="375">
        <v>74528.462249999997</v>
      </c>
      <c r="N358" s="372">
        <v>0.88200000000000001</v>
      </c>
      <c r="O358" s="704">
        <v>5.8813861661838711E-2</v>
      </c>
      <c r="P358" s="375" t="s">
        <v>622</v>
      </c>
      <c r="Q358" s="375" t="s">
        <v>622</v>
      </c>
      <c r="R358" s="696">
        <v>20220624</v>
      </c>
      <c r="S358" s="375" t="s">
        <v>3068</v>
      </c>
      <c r="T358" s="697" t="s">
        <v>771</v>
      </c>
      <c r="U358" s="372" t="s">
        <v>3069</v>
      </c>
      <c r="V358" s="723" t="s">
        <v>773</v>
      </c>
      <c r="W358" s="723">
        <v>23.84</v>
      </c>
      <c r="X358" s="723">
        <v>0</v>
      </c>
      <c r="Y358" s="723" t="s">
        <v>773</v>
      </c>
      <c r="Z358" s="382" t="s">
        <v>773</v>
      </c>
      <c r="AA358" s="372">
        <v>61.8001</v>
      </c>
      <c r="AB358" s="372">
        <v>147.83913200000001</v>
      </c>
      <c r="AC358" s="372">
        <v>97.678268500000001</v>
      </c>
      <c r="AD358" s="372">
        <v>0</v>
      </c>
      <c r="AE358" s="372">
        <v>0</v>
      </c>
      <c r="AF358" s="372">
        <v>120</v>
      </c>
      <c r="AG358" s="372">
        <v>230</v>
      </c>
      <c r="AH358" s="372">
        <v>0</v>
      </c>
    </row>
    <row r="359" spans="1:34">
      <c r="A359" s="372" t="s">
        <v>3070</v>
      </c>
      <c r="B359" s="373" t="s">
        <v>3071</v>
      </c>
      <c r="C359" s="372" t="s">
        <v>3072</v>
      </c>
      <c r="D359" s="374">
        <v>1101112782046</v>
      </c>
      <c r="E359" s="372" t="s">
        <v>3073</v>
      </c>
      <c r="F359" s="375" t="s">
        <v>1089</v>
      </c>
      <c r="G359" s="375" t="s">
        <v>1089</v>
      </c>
      <c r="H359" s="375" t="s">
        <v>909</v>
      </c>
      <c r="I359" s="375" t="s">
        <v>754</v>
      </c>
      <c r="J359" s="375">
        <v>1502615.2145400001</v>
      </c>
      <c r="K359" s="375">
        <v>50920.561430000002</v>
      </c>
      <c r="L359" s="375">
        <v>47512.749900000003</v>
      </c>
      <c r="M359" s="375">
        <v>169816.54603999999</v>
      </c>
      <c r="N359" s="372">
        <v>0.53700000000000003</v>
      </c>
      <c r="O359" s="704">
        <v>54.803478527683616</v>
      </c>
      <c r="P359" s="375" t="s">
        <v>622</v>
      </c>
      <c r="Q359" s="372" t="s">
        <v>622</v>
      </c>
      <c r="R359" s="696">
        <v>20180801</v>
      </c>
      <c r="S359" s="372" t="s">
        <v>3074</v>
      </c>
      <c r="T359" s="697">
        <v>0.23100000000000001</v>
      </c>
      <c r="U359" s="372" t="s">
        <v>3075</v>
      </c>
      <c r="V359" s="723">
        <v>4.88</v>
      </c>
      <c r="W359" s="723">
        <v>3.87</v>
      </c>
      <c r="X359" s="723">
        <v>0.44</v>
      </c>
      <c r="Y359" s="723">
        <v>13.47</v>
      </c>
      <c r="Z359" s="382">
        <v>8.5248065511237536E-2</v>
      </c>
      <c r="AA359" s="372">
        <v>2692.1760693000001</v>
      </c>
      <c r="AB359" s="372">
        <v>2143.9523930999999</v>
      </c>
      <c r="AC359" s="372">
        <v>5258.2118606000004</v>
      </c>
      <c r="AD359" s="372">
        <v>13487.5942813</v>
      </c>
      <c r="AE359" s="372">
        <v>15750.57</v>
      </c>
      <c r="AF359" s="372">
        <v>17780.57</v>
      </c>
      <c r="AG359" s="372">
        <v>18709</v>
      </c>
      <c r="AH359" s="372">
        <v>0</v>
      </c>
    </row>
    <row r="360" spans="1:34">
      <c r="A360" s="372" t="s">
        <v>3076</v>
      </c>
      <c r="B360" s="373" t="s">
        <v>3077</v>
      </c>
      <c r="C360" s="372" t="s">
        <v>3078</v>
      </c>
      <c r="D360" s="374">
        <v>1101114951243</v>
      </c>
      <c r="E360" s="372" t="s">
        <v>3079</v>
      </c>
      <c r="F360" s="375" t="s">
        <v>1303</v>
      </c>
      <c r="G360" s="375" t="s">
        <v>1303</v>
      </c>
      <c r="H360" s="375" t="s">
        <v>826</v>
      </c>
      <c r="I360" s="375" t="s">
        <v>754</v>
      </c>
      <c r="J360" s="375">
        <v>1705111.8655000001</v>
      </c>
      <c r="K360" s="375">
        <v>26019.989229999999</v>
      </c>
      <c r="L360" s="375">
        <v>7262.2729600000002</v>
      </c>
      <c r="M360" s="375">
        <v>724768.61210999999</v>
      </c>
      <c r="N360" s="372">
        <v>1.2809999999999999</v>
      </c>
      <c r="O360" s="704">
        <v>76.789931493588199</v>
      </c>
      <c r="P360" s="375" t="s">
        <v>622</v>
      </c>
      <c r="Q360" s="372" t="s">
        <v>622</v>
      </c>
      <c r="R360" s="696">
        <v>20120917</v>
      </c>
      <c r="S360" s="372" t="s">
        <v>15849</v>
      </c>
      <c r="T360" s="697">
        <v>0.20900000000000002</v>
      </c>
      <c r="U360" s="372" t="s">
        <v>3080</v>
      </c>
      <c r="V360" s="723">
        <v>13.22</v>
      </c>
      <c r="W360" s="723">
        <v>0.77</v>
      </c>
      <c r="X360" s="723">
        <v>0.33</v>
      </c>
      <c r="Y360" s="723">
        <v>241.08</v>
      </c>
      <c r="Z360" s="382">
        <v>3.5959930200682333E-2</v>
      </c>
      <c r="AA360" s="372">
        <v>9088.5188522999997</v>
      </c>
      <c r="AB360" s="372">
        <v>15700.897882200001</v>
      </c>
      <c r="AC360" s="372">
        <v>21764.368827900002</v>
      </c>
      <c r="AD360" s="372">
        <v>17937.358428200001</v>
      </c>
      <c r="AE360" s="372">
        <v>18670</v>
      </c>
      <c r="AF360" s="372">
        <v>20450</v>
      </c>
      <c r="AG360" s="372">
        <v>20660</v>
      </c>
      <c r="AH360" s="372">
        <v>0</v>
      </c>
    </row>
    <row r="361" spans="1:34">
      <c r="A361" s="372" t="s">
        <v>3081</v>
      </c>
      <c r="B361" s="373" t="s">
        <v>3082</v>
      </c>
      <c r="C361" s="372" t="s">
        <v>3083</v>
      </c>
      <c r="D361" s="374">
        <v>1301110011815</v>
      </c>
      <c r="E361" s="372" t="s">
        <v>3084</v>
      </c>
      <c r="F361" s="375" t="s">
        <v>1323</v>
      </c>
      <c r="G361" s="375" t="s">
        <v>16106</v>
      </c>
      <c r="H361" s="375" t="s">
        <v>784</v>
      </c>
      <c r="I361" s="375" t="s">
        <v>754</v>
      </c>
      <c r="J361" s="375">
        <v>215439.95764000001</v>
      </c>
      <c r="K361" s="375">
        <v>-23541.562129999998</v>
      </c>
      <c r="L361" s="375">
        <v>-28405.854200000002</v>
      </c>
      <c r="M361" s="375">
        <v>268170.99910000002</v>
      </c>
      <c r="N361" s="372">
        <v>1.361</v>
      </c>
      <c r="O361" s="704">
        <v>7.0905645637093953</v>
      </c>
      <c r="P361" s="375" t="s">
        <v>622</v>
      </c>
      <c r="Q361" s="375" t="s">
        <v>622</v>
      </c>
      <c r="R361" s="696">
        <v>19900120</v>
      </c>
      <c r="S361" s="375" t="s">
        <v>3085</v>
      </c>
      <c r="T361" s="697" t="s">
        <v>771</v>
      </c>
      <c r="U361" s="375" t="s">
        <v>3086</v>
      </c>
      <c r="V361" s="723" t="s">
        <v>773</v>
      </c>
      <c r="W361" s="723">
        <v>2.4900000000000002</v>
      </c>
      <c r="X361" s="723">
        <v>3.19</v>
      </c>
      <c r="Y361" s="723" t="s">
        <v>773</v>
      </c>
      <c r="Z361" s="382" t="s">
        <v>927</v>
      </c>
      <c r="AA361" s="372">
        <v>1977.50767</v>
      </c>
      <c r="AB361" s="372">
        <v>1892.3723491999999</v>
      </c>
      <c r="AC361" s="372">
        <v>2092.8762775999999</v>
      </c>
      <c r="AD361" s="372">
        <v>2002.2858249999999</v>
      </c>
      <c r="AE361" s="372">
        <v>0</v>
      </c>
      <c r="AF361" s="372">
        <v>0</v>
      </c>
      <c r="AG361" s="372">
        <v>0</v>
      </c>
      <c r="AH361" s="372">
        <v>0</v>
      </c>
    </row>
    <row r="362" spans="1:34">
      <c r="A362" s="372" t="s">
        <v>3087</v>
      </c>
      <c r="B362" s="373" t="s">
        <v>3088</v>
      </c>
      <c r="C362" s="372" t="s">
        <v>3089</v>
      </c>
      <c r="D362" s="374">
        <v>1355110102249</v>
      </c>
      <c r="E362" s="372" t="s">
        <v>3090</v>
      </c>
      <c r="F362" s="375" t="s">
        <v>1962</v>
      </c>
      <c r="G362" s="375" t="s">
        <v>1962</v>
      </c>
      <c r="H362" s="375" t="s">
        <v>861</v>
      </c>
      <c r="I362" s="375" t="s">
        <v>862</v>
      </c>
      <c r="J362" s="375">
        <v>357203.40278</v>
      </c>
      <c r="K362" s="375">
        <v>40302.202310000001</v>
      </c>
      <c r="L362" s="375">
        <v>43869.091890000003</v>
      </c>
      <c r="M362" s="375">
        <v>179111.73421</v>
      </c>
      <c r="N362" s="372">
        <v>1.397</v>
      </c>
      <c r="O362" s="704">
        <v>5.4579783220370093</v>
      </c>
      <c r="P362" s="375" t="s">
        <v>622</v>
      </c>
      <c r="Q362" s="372" t="s">
        <v>622</v>
      </c>
      <c r="R362" s="696">
        <v>20221114</v>
      </c>
      <c r="S362" s="375" t="s">
        <v>3091</v>
      </c>
      <c r="T362" s="697">
        <v>0.23100000000000001</v>
      </c>
      <c r="U362" s="375" t="s">
        <v>3092</v>
      </c>
      <c r="V362" s="723">
        <v>10.44</v>
      </c>
      <c r="W362" s="723">
        <v>2.61</v>
      </c>
      <c r="X362" s="723">
        <v>1.31</v>
      </c>
      <c r="Y362" s="723">
        <v>13.46</v>
      </c>
      <c r="Z362" s="382" t="s">
        <v>927</v>
      </c>
      <c r="AA362" s="372">
        <v>1288.8168303</v>
      </c>
      <c r="AB362" s="372">
        <v>758.93659649999995</v>
      </c>
      <c r="AC362" s="372">
        <v>2102.7558638999999</v>
      </c>
      <c r="AD362" s="372">
        <v>3128.8143475000002</v>
      </c>
      <c r="AE362" s="372">
        <v>3485</v>
      </c>
      <c r="AF362" s="372">
        <v>0</v>
      </c>
      <c r="AG362" s="372">
        <v>0</v>
      </c>
      <c r="AH362" s="372">
        <v>0</v>
      </c>
    </row>
    <row r="363" spans="1:34">
      <c r="A363" s="372" t="s">
        <v>3093</v>
      </c>
      <c r="B363" s="373" t="s">
        <v>3094</v>
      </c>
      <c r="C363" s="372" t="s">
        <v>3095</v>
      </c>
      <c r="D363" s="374">
        <v>1101110839071</v>
      </c>
      <c r="E363" s="372" t="s">
        <v>3096</v>
      </c>
      <c r="F363" s="375" t="s">
        <v>3097</v>
      </c>
      <c r="G363" s="375" t="s">
        <v>3098</v>
      </c>
      <c r="H363" s="375" t="s">
        <v>3099</v>
      </c>
      <c r="I363" s="375" t="s">
        <v>862</v>
      </c>
      <c r="J363" s="375">
        <v>57833.107989999997</v>
      </c>
      <c r="K363" s="375">
        <v>-5125.5905899999998</v>
      </c>
      <c r="L363" s="375">
        <v>-12070.632799999999</v>
      </c>
      <c r="M363" s="375">
        <v>98759.444770000002</v>
      </c>
      <c r="N363" s="372">
        <v>0.81200000000000006</v>
      </c>
      <c r="O363" s="704">
        <v>0.21548333818391519</v>
      </c>
      <c r="P363" s="375" t="s">
        <v>622</v>
      </c>
      <c r="Q363" s="375" t="s">
        <v>622</v>
      </c>
      <c r="R363" s="696">
        <v>20020628</v>
      </c>
      <c r="S363" s="375" t="s">
        <v>3100</v>
      </c>
      <c r="T363" s="697" t="s">
        <v>771</v>
      </c>
      <c r="U363" s="375" t="s">
        <v>3101</v>
      </c>
      <c r="V363" s="723">
        <v>0</v>
      </c>
      <c r="W363" s="723">
        <v>0</v>
      </c>
      <c r="X363" s="723">
        <v>0</v>
      </c>
      <c r="Y363" s="723">
        <v>0</v>
      </c>
      <c r="Z363" s="382" t="s">
        <v>927</v>
      </c>
      <c r="AA363" s="372">
        <v>392.81591880000002</v>
      </c>
      <c r="AB363" s="372">
        <v>427.94971249999998</v>
      </c>
      <c r="AC363" s="372">
        <v>649.90650970000002</v>
      </c>
      <c r="AD363" s="372">
        <v>728.82216210000001</v>
      </c>
      <c r="AE363" s="372">
        <v>0</v>
      </c>
      <c r="AF363" s="372">
        <v>0</v>
      </c>
      <c r="AG363" s="372">
        <v>0</v>
      </c>
      <c r="AH363" s="372">
        <v>0</v>
      </c>
    </row>
    <row r="364" spans="1:34">
      <c r="A364" s="372" t="s">
        <v>3102</v>
      </c>
      <c r="B364" s="373" t="s">
        <v>3103</v>
      </c>
      <c r="C364" s="372" t="s">
        <v>3104</v>
      </c>
      <c r="D364" s="374">
        <v>1101110522436</v>
      </c>
      <c r="E364" s="372" t="s">
        <v>3105</v>
      </c>
      <c r="F364" s="372" t="s">
        <v>769</v>
      </c>
      <c r="G364" s="375" t="s">
        <v>769</v>
      </c>
      <c r="H364" s="375" t="s">
        <v>861</v>
      </c>
      <c r="I364" s="375" t="s">
        <v>862</v>
      </c>
      <c r="J364" s="375">
        <v>1095477.6394499999</v>
      </c>
      <c r="K364" s="375">
        <v>-15002.084999999999</v>
      </c>
      <c r="L364" s="375">
        <v>-38956.456380000003</v>
      </c>
      <c r="M364" s="375">
        <v>677724.41945000004</v>
      </c>
      <c r="N364" s="372">
        <v>0.69499999999999995</v>
      </c>
      <c r="O364" s="704">
        <v>47.444927814468024</v>
      </c>
      <c r="P364" s="375" t="s">
        <v>622</v>
      </c>
      <c r="Q364" s="375" t="s">
        <v>622</v>
      </c>
      <c r="R364" s="696">
        <v>20020115</v>
      </c>
      <c r="S364" s="375" t="s">
        <v>3106</v>
      </c>
      <c r="T364" s="697" t="s">
        <v>771</v>
      </c>
      <c r="U364" s="375" t="s">
        <v>3107</v>
      </c>
      <c r="V364" s="723">
        <v>8.5</v>
      </c>
      <c r="W364" s="723">
        <v>0.73</v>
      </c>
      <c r="X364" s="723">
        <v>0.46</v>
      </c>
      <c r="Y364" s="723" t="s">
        <v>773</v>
      </c>
      <c r="Z364" s="382">
        <v>3.681231800282081E-2</v>
      </c>
      <c r="AA364" s="372">
        <v>11530.5136559</v>
      </c>
      <c r="AB364" s="372">
        <v>13010.408163599999</v>
      </c>
      <c r="AC364" s="372">
        <v>11094.274636</v>
      </c>
      <c r="AD364" s="372">
        <v>10323.8063743</v>
      </c>
      <c r="AE364" s="372">
        <v>10886.67</v>
      </c>
      <c r="AF364" s="372">
        <v>11470.33</v>
      </c>
      <c r="AG364" s="372">
        <v>11930</v>
      </c>
      <c r="AH364" s="372">
        <v>0</v>
      </c>
    </row>
    <row r="365" spans="1:34">
      <c r="A365" s="372" t="s">
        <v>3108</v>
      </c>
      <c r="B365" s="373" t="s">
        <v>3109</v>
      </c>
      <c r="C365" s="372" t="s">
        <v>15986</v>
      </c>
      <c r="D365" s="374">
        <v>1101110509872</v>
      </c>
      <c r="E365" s="372" t="s">
        <v>3110</v>
      </c>
      <c r="F365" s="375" t="s">
        <v>1357</v>
      </c>
      <c r="G365" s="375" t="s">
        <v>1357</v>
      </c>
      <c r="H365" s="375" t="s">
        <v>861</v>
      </c>
      <c r="I365" s="375" t="s">
        <v>862</v>
      </c>
      <c r="J365" s="375">
        <v>408107.56683999998</v>
      </c>
      <c r="K365" s="375">
        <v>100656.13153</v>
      </c>
      <c r="L365" s="375">
        <v>108098.83448</v>
      </c>
      <c r="M365" s="375">
        <v>219452.20939</v>
      </c>
      <c r="N365" s="372">
        <v>0.30199999999999999</v>
      </c>
      <c r="O365" s="704">
        <v>4.7665488767785495</v>
      </c>
      <c r="P365" s="375" t="s">
        <v>622</v>
      </c>
      <c r="Q365" s="375" t="s">
        <v>622</v>
      </c>
      <c r="R365" s="696">
        <v>19940831</v>
      </c>
      <c r="S365" s="375" t="s">
        <v>3111</v>
      </c>
      <c r="T365" s="697">
        <v>0.23100000000000001</v>
      </c>
      <c r="U365" s="372" t="s">
        <v>15850</v>
      </c>
      <c r="V365" s="723">
        <v>11.35</v>
      </c>
      <c r="W365" s="723">
        <v>5.63</v>
      </c>
      <c r="X365" s="723">
        <v>2.96</v>
      </c>
      <c r="Y365" s="723">
        <v>15.94</v>
      </c>
      <c r="Z365" s="382">
        <v>0.17355655771921796</v>
      </c>
      <c r="AA365" s="372">
        <v>1073.9537267999999</v>
      </c>
      <c r="AB365" s="372">
        <v>2267.6960134000001</v>
      </c>
      <c r="AC365" s="372">
        <v>2402.4130556</v>
      </c>
      <c r="AD365" s="372">
        <v>2955.0138354999999</v>
      </c>
      <c r="AE365" s="372">
        <v>4435</v>
      </c>
      <c r="AF365" s="372">
        <v>5090.5</v>
      </c>
      <c r="AG365" s="372">
        <v>5605</v>
      </c>
      <c r="AH365" s="372">
        <v>0</v>
      </c>
    </row>
    <row r="366" spans="1:34">
      <c r="A366" s="372" t="s">
        <v>3112</v>
      </c>
      <c r="B366" s="373" t="s">
        <v>3113</v>
      </c>
      <c r="C366" s="372" t="s">
        <v>16110</v>
      </c>
      <c r="D366" s="374">
        <v>1301110064822</v>
      </c>
      <c r="E366" s="372" t="s">
        <v>3114</v>
      </c>
      <c r="F366" s="375" t="s">
        <v>1185</v>
      </c>
      <c r="G366" s="375" t="s">
        <v>3115</v>
      </c>
      <c r="H366" s="375" t="s">
        <v>861</v>
      </c>
      <c r="I366" s="375" t="s">
        <v>4413</v>
      </c>
      <c r="J366" s="375">
        <v>2852.43255</v>
      </c>
      <c r="K366" s="375">
        <v>-5066.2149499999996</v>
      </c>
      <c r="L366" s="375">
        <v>25053.346710000002</v>
      </c>
      <c r="M366" s="375">
        <v>9541.7646199999999</v>
      </c>
      <c r="N366" s="372" t="s">
        <v>1026</v>
      </c>
      <c r="O366" s="704" t="e">
        <v>#DIV/0!</v>
      </c>
      <c r="P366" s="375" t="s">
        <v>622</v>
      </c>
      <c r="Q366" s="375" t="s">
        <v>622</v>
      </c>
      <c r="R366" s="696">
        <v>20111118</v>
      </c>
      <c r="S366" s="375" t="e">
        <v>#N/A</v>
      </c>
      <c r="T366" s="697">
        <v>0.23100000000000001</v>
      </c>
      <c r="U366" s="375" t="s">
        <v>3116</v>
      </c>
      <c r="V366" s="723" t="s">
        <v>773</v>
      </c>
      <c r="W366" s="723">
        <v>0.38</v>
      </c>
      <c r="X366" s="723">
        <v>0</v>
      </c>
      <c r="Y366" s="723">
        <v>0</v>
      </c>
      <c r="Z366" s="382" t="s">
        <v>927</v>
      </c>
      <c r="AA366" s="372">
        <v>135.166</v>
      </c>
      <c r="AB366" s="372">
        <v>80.092541100000005</v>
      </c>
      <c r="AC366" s="372">
        <v>117.00288689999999</v>
      </c>
      <c r="AD366" s="372">
        <v>26.805481100000002</v>
      </c>
      <c r="AE366" s="372">
        <v>0</v>
      </c>
      <c r="AF366" s="372">
        <v>0</v>
      </c>
      <c r="AG366" s="372">
        <v>0</v>
      </c>
      <c r="AH366" s="372">
        <v>0</v>
      </c>
    </row>
    <row r="367" spans="1:34">
      <c r="A367" s="372" t="s">
        <v>3117</v>
      </c>
      <c r="B367" s="373" t="s">
        <v>3118</v>
      </c>
      <c r="C367" s="372" t="s">
        <v>3119</v>
      </c>
      <c r="D367" s="374">
        <v>1346110087565</v>
      </c>
      <c r="E367" s="372" t="s">
        <v>3120</v>
      </c>
      <c r="F367" s="375" t="s">
        <v>3121</v>
      </c>
      <c r="G367" s="375" t="s">
        <v>3121</v>
      </c>
      <c r="H367" s="375" t="s">
        <v>2056</v>
      </c>
      <c r="I367" s="375" t="s">
        <v>754</v>
      </c>
      <c r="J367" s="375">
        <v>311858.25339999999</v>
      </c>
      <c r="K367" s="375">
        <v>35232.573020000003</v>
      </c>
      <c r="L367" s="375">
        <v>43966.322209999998</v>
      </c>
      <c r="M367" s="375">
        <v>465349.47962</v>
      </c>
      <c r="N367" s="372">
        <v>1.1020000000000001</v>
      </c>
      <c r="O367" s="704">
        <v>0.46138615712428172</v>
      </c>
      <c r="P367" s="375" t="s">
        <v>622</v>
      </c>
      <c r="Q367" s="375" t="s">
        <v>622</v>
      </c>
      <c r="R367" s="696">
        <v>20171205</v>
      </c>
      <c r="S367" s="375" t="s">
        <v>3122</v>
      </c>
      <c r="T367" s="697">
        <v>0.23100000000000001</v>
      </c>
      <c r="U367" s="375" t="s">
        <v>3123</v>
      </c>
      <c r="V367" s="723">
        <v>0</v>
      </c>
      <c r="W367" s="723">
        <v>0</v>
      </c>
      <c r="X367" s="723">
        <v>0</v>
      </c>
      <c r="Y367" s="723">
        <v>0</v>
      </c>
      <c r="Z367" s="382" t="s">
        <v>927</v>
      </c>
      <c r="AA367" s="372">
        <v>3198.9470514</v>
      </c>
      <c r="AB367" s="372">
        <v>3445.4623968000001</v>
      </c>
      <c r="AC367" s="372">
        <v>3781.9295016999999</v>
      </c>
      <c r="AD367" s="372">
        <v>2869.0970342000001</v>
      </c>
      <c r="AE367" s="372">
        <v>0</v>
      </c>
      <c r="AF367" s="372">
        <v>0</v>
      </c>
      <c r="AG367" s="372">
        <v>0</v>
      </c>
      <c r="AH367" s="372">
        <v>0</v>
      </c>
    </row>
    <row r="368" spans="1:34">
      <c r="A368" s="372" t="s">
        <v>3124</v>
      </c>
      <c r="B368" s="373" t="s">
        <v>3125</v>
      </c>
      <c r="C368" s="372" t="s">
        <v>3126</v>
      </c>
      <c r="D368" s="374">
        <v>2301110143443</v>
      </c>
      <c r="E368" s="372" t="s">
        <v>3127</v>
      </c>
      <c r="F368" s="375" t="s">
        <v>1136</v>
      </c>
      <c r="G368" s="375" t="s">
        <v>3128</v>
      </c>
      <c r="H368" s="375" t="s">
        <v>861</v>
      </c>
      <c r="I368" s="375" t="s">
        <v>862</v>
      </c>
      <c r="J368" s="375">
        <v>221644.94962999999</v>
      </c>
      <c r="K368" s="375">
        <v>20299.066149999999</v>
      </c>
      <c r="L368" s="375">
        <v>18454.675159999999</v>
      </c>
      <c r="M368" s="375">
        <v>230601.0888</v>
      </c>
      <c r="N368" s="372" t="s">
        <v>1026</v>
      </c>
      <c r="O368" s="704">
        <v>19.446946230279387</v>
      </c>
      <c r="P368" s="375" t="s">
        <v>622</v>
      </c>
      <c r="Q368" s="372" t="s">
        <v>622</v>
      </c>
      <c r="R368" s="696">
        <v>20240126</v>
      </c>
      <c r="S368" s="375" t="s">
        <v>3129</v>
      </c>
      <c r="T368" s="697">
        <v>0.20900000000000002</v>
      </c>
      <c r="U368" s="375" t="s">
        <v>3130</v>
      </c>
      <c r="V368" s="723">
        <v>13.13</v>
      </c>
      <c r="W368" s="723">
        <v>1.71</v>
      </c>
      <c r="X368" s="723">
        <v>1.68</v>
      </c>
      <c r="Y368" s="723">
        <v>23.15</v>
      </c>
      <c r="Z368" s="382" t="s">
        <v>927</v>
      </c>
      <c r="AA368" s="372">
        <v>1155.3042086999999</v>
      </c>
      <c r="AB368" s="372">
        <v>1209.71135</v>
      </c>
      <c r="AC368" s="372">
        <v>1447.5254445999999</v>
      </c>
      <c r="AD368" s="372">
        <v>1891.8802155999999</v>
      </c>
      <c r="AE368" s="372">
        <v>2024</v>
      </c>
      <c r="AF368" s="372">
        <v>0</v>
      </c>
      <c r="AG368" s="372">
        <v>0</v>
      </c>
      <c r="AH368" s="372">
        <v>0</v>
      </c>
    </row>
    <row r="369" spans="1:34">
      <c r="A369" s="372" t="s">
        <v>3131</v>
      </c>
      <c r="B369" s="373" t="s">
        <v>3132</v>
      </c>
      <c r="C369" s="372" t="s">
        <v>3133</v>
      </c>
      <c r="D369" s="374">
        <v>1348110072942</v>
      </c>
      <c r="E369" s="372" t="s">
        <v>3134</v>
      </c>
      <c r="F369" s="372" t="s">
        <v>1185</v>
      </c>
      <c r="G369" s="375" t="s">
        <v>1186</v>
      </c>
      <c r="H369" s="375" t="s">
        <v>861</v>
      </c>
      <c r="I369" s="375" t="s">
        <v>862</v>
      </c>
      <c r="J369" s="375">
        <v>178991.23087999999</v>
      </c>
      <c r="K369" s="375">
        <v>21953.254219999999</v>
      </c>
      <c r="L369" s="375">
        <v>13503.53746</v>
      </c>
      <c r="M369" s="375">
        <v>214885.18958000001</v>
      </c>
      <c r="N369" s="372">
        <v>1.0429999999999999</v>
      </c>
      <c r="O369" s="704">
        <v>14.607386053620864</v>
      </c>
      <c r="P369" s="375" t="s">
        <v>622</v>
      </c>
      <c r="Q369" s="375" t="s">
        <v>622</v>
      </c>
      <c r="R369" s="696">
        <v>20111110</v>
      </c>
      <c r="S369" s="375" t="s">
        <v>3135</v>
      </c>
      <c r="T369" s="697">
        <v>0.20900000000000002</v>
      </c>
      <c r="U369" s="375" t="s">
        <v>3136</v>
      </c>
      <c r="V369" s="723">
        <v>48.26</v>
      </c>
      <c r="W369" s="723">
        <v>6.02</v>
      </c>
      <c r="X369" s="723">
        <v>7.77</v>
      </c>
      <c r="Y369" s="723">
        <v>100.67</v>
      </c>
      <c r="Z369" s="382">
        <v>0.59467930768543864</v>
      </c>
      <c r="AA369" s="372">
        <v>2281.5332397000002</v>
      </c>
      <c r="AB369" s="372">
        <v>2559.1521671</v>
      </c>
      <c r="AC369" s="372">
        <v>2674.9109131999999</v>
      </c>
      <c r="AD369" s="372">
        <v>1336.0426026</v>
      </c>
      <c r="AE369" s="372">
        <v>1940</v>
      </c>
      <c r="AF369" s="372">
        <v>7750</v>
      </c>
      <c r="AG369" s="372">
        <v>8640</v>
      </c>
      <c r="AH369" s="372">
        <v>0</v>
      </c>
    </row>
    <row r="370" spans="1:34">
      <c r="A370" s="372" t="s">
        <v>3137</v>
      </c>
      <c r="B370" s="373" t="s">
        <v>3138</v>
      </c>
      <c r="C370" s="372" t="s">
        <v>3139</v>
      </c>
      <c r="D370" s="374">
        <v>1101115079713</v>
      </c>
      <c r="E370" s="372" t="s">
        <v>3140</v>
      </c>
      <c r="F370" s="375" t="s">
        <v>1323</v>
      </c>
      <c r="G370" s="375" t="s">
        <v>16106</v>
      </c>
      <c r="H370" s="375" t="s">
        <v>784</v>
      </c>
      <c r="I370" s="375" t="s">
        <v>754</v>
      </c>
      <c r="J370" s="375">
        <v>700308.39586000005</v>
      </c>
      <c r="K370" s="375">
        <v>-21910.768100000001</v>
      </c>
      <c r="L370" s="375">
        <v>-46514.970090000003</v>
      </c>
      <c r="M370" s="375">
        <v>679314.91154999996</v>
      </c>
      <c r="N370" s="372">
        <v>0.78600000000000003</v>
      </c>
      <c r="O370" s="704">
        <v>78.603877750877487</v>
      </c>
      <c r="P370" s="375" t="s">
        <v>622</v>
      </c>
      <c r="Q370" s="375" t="s">
        <v>622</v>
      </c>
      <c r="R370" s="696">
        <v>20130408</v>
      </c>
      <c r="S370" s="375" t="s">
        <v>3141</v>
      </c>
      <c r="T370" s="697" t="s">
        <v>771</v>
      </c>
      <c r="U370" s="375" t="s">
        <v>3142</v>
      </c>
      <c r="V370" s="723">
        <v>119.64</v>
      </c>
      <c r="W370" s="723">
        <v>0.98</v>
      </c>
      <c r="X370" s="723">
        <v>0.93</v>
      </c>
      <c r="Y370" s="723" t="s">
        <v>773</v>
      </c>
      <c r="Z370" s="382">
        <v>4.7413738950276008E-2</v>
      </c>
      <c r="AA370" s="372">
        <v>5867.2812696999999</v>
      </c>
      <c r="AB370" s="372">
        <v>5932.2791574000003</v>
      </c>
      <c r="AC370" s="372">
        <v>6353.9268272999998</v>
      </c>
      <c r="AD370" s="372">
        <v>6639.8036810000003</v>
      </c>
      <c r="AE370" s="372">
        <v>7104.5</v>
      </c>
      <c r="AF370" s="372">
        <v>7610.5</v>
      </c>
      <c r="AG370" s="372">
        <v>7991.5</v>
      </c>
      <c r="AH370" s="372">
        <v>0</v>
      </c>
    </row>
    <row r="371" spans="1:34">
      <c r="A371" s="372" t="s">
        <v>3143</v>
      </c>
      <c r="B371" s="373" t="s">
        <v>3144</v>
      </c>
      <c r="C371" s="372" t="s">
        <v>3145</v>
      </c>
      <c r="D371" s="374">
        <v>1341110411706</v>
      </c>
      <c r="E371" s="372" t="s">
        <v>3146</v>
      </c>
      <c r="F371" s="375" t="s">
        <v>893</v>
      </c>
      <c r="G371" s="375" t="s">
        <v>894</v>
      </c>
      <c r="H371" s="375" t="s">
        <v>855</v>
      </c>
      <c r="I371" s="375" t="s">
        <v>754</v>
      </c>
      <c r="J371" s="375">
        <v>835706.3602</v>
      </c>
      <c r="K371" s="375">
        <v>44194.516629999998</v>
      </c>
      <c r="L371" s="375">
        <v>39782.164259999998</v>
      </c>
      <c r="M371" s="375">
        <v>178032.40192999999</v>
      </c>
      <c r="N371" s="372">
        <v>0.66900000000000004</v>
      </c>
      <c r="O371" s="704">
        <v>19.569680862601977</v>
      </c>
      <c r="P371" s="375" t="s">
        <v>622</v>
      </c>
      <c r="Q371" s="375" t="s">
        <v>622</v>
      </c>
      <c r="R371" s="696">
        <v>20160922</v>
      </c>
      <c r="S371" s="375">
        <v>0</v>
      </c>
      <c r="T371" s="697">
        <v>0.23100000000000001</v>
      </c>
      <c r="U371" s="372" t="s">
        <v>3147</v>
      </c>
      <c r="V371" s="723">
        <v>18.559999999999999</v>
      </c>
      <c r="W371" s="723">
        <v>4.8099999999999996</v>
      </c>
      <c r="X371" s="723">
        <v>0.97</v>
      </c>
      <c r="Y371" s="723">
        <v>28.96</v>
      </c>
      <c r="Z371" s="382">
        <v>7.4245361328891146E-2</v>
      </c>
      <c r="AA371" s="372">
        <v>5796.1230148000004</v>
      </c>
      <c r="AB371" s="372">
        <v>7506.1689554000004</v>
      </c>
      <c r="AC371" s="372">
        <v>8184.9472819000002</v>
      </c>
      <c r="AD371" s="372">
        <v>7310.6786696999998</v>
      </c>
      <c r="AE371" s="372">
        <v>8562.86</v>
      </c>
      <c r="AF371" s="372">
        <v>9205.43</v>
      </c>
      <c r="AG371" s="372">
        <v>9735.7999999999993</v>
      </c>
      <c r="AH371" s="372">
        <v>12793</v>
      </c>
    </row>
    <row r="372" spans="1:34">
      <c r="A372" s="372" t="s">
        <v>3148</v>
      </c>
      <c r="B372" s="373" t="s">
        <v>3149</v>
      </c>
      <c r="C372" s="372" t="s">
        <v>3150</v>
      </c>
      <c r="D372" s="374">
        <v>1101112948086</v>
      </c>
      <c r="E372" s="372" t="s">
        <v>3151</v>
      </c>
      <c r="F372" s="375" t="s">
        <v>2834</v>
      </c>
      <c r="G372" s="375" t="s">
        <v>2835</v>
      </c>
      <c r="H372" s="375" t="s">
        <v>861</v>
      </c>
      <c r="I372" s="375" t="s">
        <v>862</v>
      </c>
      <c r="J372" s="375">
        <v>267037.84613999998</v>
      </c>
      <c r="K372" s="375">
        <v>-10415.278990000001</v>
      </c>
      <c r="L372" s="375">
        <v>-14356.05366</v>
      </c>
      <c r="M372" s="375">
        <v>254069.81409</v>
      </c>
      <c r="N372" s="372">
        <v>0.79400000000000004</v>
      </c>
      <c r="O372" s="704">
        <v>24.218619204718397</v>
      </c>
      <c r="P372" s="375" t="s">
        <v>622</v>
      </c>
      <c r="Q372" s="375" t="s">
        <v>622</v>
      </c>
      <c r="R372" s="696">
        <v>20161018</v>
      </c>
      <c r="S372" s="375" t="s">
        <v>3152</v>
      </c>
      <c r="T372" s="697" t="s">
        <v>771</v>
      </c>
      <c r="U372" s="375" t="s">
        <v>3153</v>
      </c>
      <c r="V372" s="723">
        <v>58.2</v>
      </c>
      <c r="W372" s="723">
        <v>2.25</v>
      </c>
      <c r="X372" s="723">
        <v>2.21</v>
      </c>
      <c r="Y372" s="723" t="s">
        <v>773</v>
      </c>
      <c r="Z372" s="382">
        <v>0.1470535425250421</v>
      </c>
      <c r="AA372" s="372">
        <v>1101.0451528000001</v>
      </c>
      <c r="AB372" s="372">
        <v>1379.9964717</v>
      </c>
      <c r="AC372" s="372">
        <v>2394.6534959000001</v>
      </c>
      <c r="AD372" s="372">
        <v>3050.4284705</v>
      </c>
      <c r="AE372" s="372">
        <v>2902.14</v>
      </c>
      <c r="AF372" s="372">
        <v>4140</v>
      </c>
      <c r="AG372" s="372">
        <v>5280.75</v>
      </c>
      <c r="AH372" s="372">
        <v>0</v>
      </c>
    </row>
    <row r="373" spans="1:34">
      <c r="A373" s="372" t="s">
        <v>3154</v>
      </c>
      <c r="B373" s="373" t="s">
        <v>3155</v>
      </c>
      <c r="C373" s="372" t="s">
        <v>3156</v>
      </c>
      <c r="D373" s="374">
        <v>1311110046639</v>
      </c>
      <c r="E373" s="372" t="s">
        <v>3157</v>
      </c>
      <c r="F373" s="375" t="s">
        <v>1276</v>
      </c>
      <c r="G373" s="375" t="s">
        <v>1276</v>
      </c>
      <c r="H373" s="375" t="s">
        <v>861</v>
      </c>
      <c r="I373" s="375" t="s">
        <v>862</v>
      </c>
      <c r="J373" s="375">
        <v>633709.45085000002</v>
      </c>
      <c r="K373" s="375">
        <v>484.34435999999999</v>
      </c>
      <c r="L373" s="375">
        <v>-22776.58367</v>
      </c>
      <c r="M373" s="375">
        <v>172640.22086999999</v>
      </c>
      <c r="N373" s="372">
        <v>0.754</v>
      </c>
      <c r="O373" s="704">
        <v>83.553012207935424</v>
      </c>
      <c r="P373" s="375" t="s">
        <v>622</v>
      </c>
      <c r="Q373" s="375" t="s">
        <v>622</v>
      </c>
      <c r="R373" s="696">
        <v>20191107</v>
      </c>
      <c r="S373" s="375" t="s">
        <v>3158</v>
      </c>
      <c r="T373" s="697" t="s">
        <v>771</v>
      </c>
      <c r="U373" s="372" t="s">
        <v>3159</v>
      </c>
      <c r="V373" s="723">
        <v>13.09</v>
      </c>
      <c r="W373" s="723">
        <v>1.96</v>
      </c>
      <c r="X373" s="723">
        <v>0.73</v>
      </c>
      <c r="Y373" s="723" t="s">
        <v>773</v>
      </c>
      <c r="Z373" s="382">
        <v>0.10451414145667104</v>
      </c>
      <c r="AA373" s="372">
        <v>3910.525846</v>
      </c>
      <c r="AB373" s="372">
        <v>5125.0743333999999</v>
      </c>
      <c r="AC373" s="372">
        <v>6334.7743284999997</v>
      </c>
      <c r="AD373" s="372">
        <v>5805.3528299999998</v>
      </c>
      <c r="AE373" s="372">
        <v>6574.67</v>
      </c>
      <c r="AF373" s="372">
        <v>7607</v>
      </c>
      <c r="AG373" s="372">
        <v>8640</v>
      </c>
      <c r="AH373" s="372">
        <v>0</v>
      </c>
    </row>
    <row r="374" spans="1:34">
      <c r="A374" s="372" t="s">
        <v>3160</v>
      </c>
      <c r="B374" s="373" t="s">
        <v>3161</v>
      </c>
      <c r="C374" s="372" t="s">
        <v>3162</v>
      </c>
      <c r="D374" s="374">
        <v>1101111571250</v>
      </c>
      <c r="E374" s="372" t="s">
        <v>3163</v>
      </c>
      <c r="F374" s="375" t="s">
        <v>1006</v>
      </c>
      <c r="G374" s="375" t="s">
        <v>1215</v>
      </c>
      <c r="H374" s="375" t="s">
        <v>861</v>
      </c>
      <c r="I374" s="375" t="s">
        <v>862</v>
      </c>
      <c r="J374" s="375">
        <v>664000.90859999997</v>
      </c>
      <c r="K374" s="375">
        <v>-10564.236720000001</v>
      </c>
      <c r="L374" s="375">
        <v>-56492.736440000001</v>
      </c>
      <c r="M374" s="375">
        <v>1219591.2261000001</v>
      </c>
      <c r="N374" s="372">
        <v>0.871</v>
      </c>
      <c r="O374" s="704">
        <v>71.921205934168583</v>
      </c>
      <c r="P374" s="375" t="s">
        <v>622</v>
      </c>
      <c r="Q374" s="372" t="s">
        <v>622</v>
      </c>
      <c r="R374" s="696">
        <v>20070706</v>
      </c>
      <c r="S374" s="372" t="s">
        <v>2505</v>
      </c>
      <c r="T374" s="697" t="s">
        <v>771</v>
      </c>
      <c r="U374" s="372" t="s">
        <v>3164</v>
      </c>
      <c r="V374" s="723">
        <v>53.75</v>
      </c>
      <c r="W374" s="723">
        <v>0.44</v>
      </c>
      <c r="X374" s="723">
        <v>0.8</v>
      </c>
      <c r="Y374" s="723" t="s">
        <v>773</v>
      </c>
      <c r="Z374" s="382">
        <v>3.36889194858494E-2</v>
      </c>
      <c r="AA374" s="372">
        <v>5089.8865118000003</v>
      </c>
      <c r="AB374" s="372">
        <v>5586.8067010000004</v>
      </c>
      <c r="AC374" s="372">
        <v>6773.1228125999996</v>
      </c>
      <c r="AD374" s="372">
        <v>7396.3872148999999</v>
      </c>
      <c r="AE374" s="372">
        <v>6866.3</v>
      </c>
      <c r="AF374" s="372">
        <v>7892.3</v>
      </c>
      <c r="AG374" s="372">
        <v>8444.6</v>
      </c>
      <c r="AH374" s="372">
        <v>0</v>
      </c>
    </row>
    <row r="375" spans="1:34">
      <c r="A375" s="372" t="s">
        <v>3165</v>
      </c>
      <c r="B375" s="373" t="s">
        <v>3166</v>
      </c>
      <c r="C375" s="372" t="s">
        <v>15851</v>
      </c>
      <c r="D375" s="374">
        <v>1942110038423</v>
      </c>
      <c r="E375" s="372" t="s">
        <v>15852</v>
      </c>
      <c r="F375" s="375" t="s">
        <v>1041</v>
      </c>
      <c r="G375" s="375" t="s">
        <v>3167</v>
      </c>
      <c r="H375" s="375" t="s">
        <v>1043</v>
      </c>
      <c r="I375" s="375" t="s">
        <v>754</v>
      </c>
      <c r="J375" s="375">
        <v>1154291.31272</v>
      </c>
      <c r="K375" s="375">
        <v>53433.458440000002</v>
      </c>
      <c r="L375" s="375">
        <v>45247.392749999999</v>
      </c>
      <c r="M375" s="375">
        <v>352554.77370000002</v>
      </c>
      <c r="N375" s="372">
        <v>0.58699999999999997</v>
      </c>
      <c r="O375" s="704">
        <v>7.3754997257322072</v>
      </c>
      <c r="P375" s="375" t="s">
        <v>622</v>
      </c>
      <c r="Q375" s="375" t="s">
        <v>622</v>
      </c>
      <c r="R375" s="696">
        <v>20110104</v>
      </c>
      <c r="S375" s="375" t="s">
        <v>3168</v>
      </c>
      <c r="T375" s="697">
        <v>0.23100000000000001</v>
      </c>
      <c r="U375" s="375" t="s">
        <v>3169</v>
      </c>
      <c r="V375" s="723">
        <v>0</v>
      </c>
      <c r="W375" s="723">
        <v>0</v>
      </c>
      <c r="X375" s="723">
        <v>0</v>
      </c>
      <c r="Y375" s="723">
        <v>0</v>
      </c>
      <c r="Z375" s="382">
        <v>0.11929319956439954</v>
      </c>
      <c r="AA375" s="372">
        <v>8299.9472329</v>
      </c>
      <c r="AB375" s="372">
        <v>5989.9909288999997</v>
      </c>
      <c r="AC375" s="372">
        <v>7642.4284699999998</v>
      </c>
      <c r="AD375" s="372">
        <v>8543.8441414000008</v>
      </c>
      <c r="AE375" s="372">
        <v>11730</v>
      </c>
      <c r="AF375" s="372">
        <v>12270</v>
      </c>
      <c r="AG375" s="372">
        <v>13410</v>
      </c>
      <c r="AH375" s="372">
        <v>0</v>
      </c>
    </row>
    <row r="376" spans="1:34">
      <c r="A376" s="372" t="s">
        <v>3170</v>
      </c>
      <c r="B376" s="373" t="s">
        <v>3171</v>
      </c>
      <c r="C376" s="372" t="s">
        <v>3172</v>
      </c>
      <c r="D376" s="374">
        <v>1348110493354</v>
      </c>
      <c r="E376" s="372" t="s">
        <v>3173</v>
      </c>
      <c r="F376" s="372" t="s">
        <v>1185</v>
      </c>
      <c r="G376" s="375" t="s">
        <v>1186</v>
      </c>
      <c r="H376" s="375" t="s">
        <v>861</v>
      </c>
      <c r="I376" s="375" t="s">
        <v>862</v>
      </c>
      <c r="J376" s="375">
        <v>401544.12306000001</v>
      </c>
      <c r="K376" s="375">
        <v>89182.715639999995</v>
      </c>
      <c r="L376" s="375">
        <v>99242.927830000001</v>
      </c>
      <c r="M376" s="375">
        <v>452152.39789999998</v>
      </c>
      <c r="N376" s="372">
        <v>1.167</v>
      </c>
      <c r="O376" s="704">
        <v>3.1679607971756827</v>
      </c>
      <c r="P376" s="375" t="s">
        <v>622</v>
      </c>
      <c r="Q376" s="372" t="s">
        <v>622</v>
      </c>
      <c r="R376" s="696">
        <v>20190510</v>
      </c>
      <c r="S376" s="372" t="s">
        <v>3174</v>
      </c>
      <c r="T376" s="697">
        <v>0.23100000000000001</v>
      </c>
      <c r="U376" s="372" t="s">
        <v>3175</v>
      </c>
      <c r="V376" s="723">
        <v>6.84</v>
      </c>
      <c r="W376" s="723">
        <v>1.46</v>
      </c>
      <c r="X376" s="723">
        <v>1.65</v>
      </c>
      <c r="Y376" s="723">
        <v>8</v>
      </c>
      <c r="Z376" s="382">
        <v>8.2928401653021622E-2</v>
      </c>
      <c r="AA376" s="372">
        <v>2657.2968446</v>
      </c>
      <c r="AB376" s="372">
        <v>4458.0372605000002</v>
      </c>
      <c r="AC376" s="372">
        <v>4609.0920100000003</v>
      </c>
      <c r="AD376" s="372">
        <v>3518.6380564999999</v>
      </c>
      <c r="AE376" s="372">
        <v>4023.33</v>
      </c>
      <c r="AF376" s="372">
        <v>4443.33</v>
      </c>
      <c r="AG376" s="372">
        <v>4839.2</v>
      </c>
      <c r="AH376" s="372">
        <v>0</v>
      </c>
    </row>
    <row r="377" spans="1:34">
      <c r="A377" s="372" t="s">
        <v>3176</v>
      </c>
      <c r="B377" s="373" t="s">
        <v>3177</v>
      </c>
      <c r="C377" s="372" t="s">
        <v>3178</v>
      </c>
      <c r="D377" s="374">
        <v>1101110393283</v>
      </c>
      <c r="E377" s="372" t="s">
        <v>3179</v>
      </c>
      <c r="F377" s="375" t="s">
        <v>3180</v>
      </c>
      <c r="G377" s="375" t="s">
        <v>3181</v>
      </c>
      <c r="H377" s="375" t="s">
        <v>817</v>
      </c>
      <c r="I377" s="375" t="s">
        <v>754</v>
      </c>
      <c r="J377" s="375">
        <v>510044.19283999997</v>
      </c>
      <c r="K377" s="375">
        <v>80150.470610000004</v>
      </c>
      <c r="L377" s="375">
        <v>85413.638709999999</v>
      </c>
      <c r="M377" s="375">
        <v>397186.87622999999</v>
      </c>
      <c r="N377" s="372">
        <v>0.69299999999999995</v>
      </c>
      <c r="O377" s="704">
        <v>7.3854458682663546</v>
      </c>
      <c r="P377" s="375" t="s">
        <v>622</v>
      </c>
      <c r="Q377" s="375" t="s">
        <v>622</v>
      </c>
      <c r="R377" s="696">
        <v>20000512</v>
      </c>
      <c r="S377" s="375" t="s">
        <v>3182</v>
      </c>
      <c r="T377" s="697">
        <v>0.23100000000000001</v>
      </c>
      <c r="U377" s="375" t="s">
        <v>3183</v>
      </c>
      <c r="V377" s="723">
        <v>6.07</v>
      </c>
      <c r="W377" s="723">
        <v>1.57</v>
      </c>
      <c r="X377" s="723">
        <v>1.25</v>
      </c>
      <c r="Y377" s="723">
        <v>9.4600000000000009</v>
      </c>
      <c r="Z377" s="382">
        <v>5.8916964318664888E-2</v>
      </c>
      <c r="AA377" s="372">
        <v>4460.0579601999998</v>
      </c>
      <c r="AB377" s="372">
        <v>4847.9730560999997</v>
      </c>
      <c r="AC377" s="372">
        <v>4798.6859138</v>
      </c>
      <c r="AD377" s="372">
        <v>4857.1363610999997</v>
      </c>
      <c r="AE377" s="372">
        <v>5225</v>
      </c>
      <c r="AF377" s="372">
        <v>5703</v>
      </c>
      <c r="AG377" s="372">
        <v>6107</v>
      </c>
      <c r="AH377" s="372">
        <v>0</v>
      </c>
    </row>
    <row r="378" spans="1:34">
      <c r="A378" s="372" t="s">
        <v>3184</v>
      </c>
      <c r="B378" s="373" t="s">
        <v>3185</v>
      </c>
      <c r="C378" s="372" t="s">
        <v>3186</v>
      </c>
      <c r="D378" s="374">
        <v>1101110126783</v>
      </c>
      <c r="E378" s="372" t="s">
        <v>3187</v>
      </c>
      <c r="F378" s="372" t="s">
        <v>893</v>
      </c>
      <c r="G378" s="375" t="s">
        <v>894</v>
      </c>
      <c r="H378" s="375" t="s">
        <v>855</v>
      </c>
      <c r="I378" s="375" t="s">
        <v>754</v>
      </c>
      <c r="J378" s="375">
        <v>1935316.7157999999</v>
      </c>
      <c r="K378" s="375">
        <v>437319.98826000001</v>
      </c>
      <c r="L378" s="375">
        <v>440430.16534000001</v>
      </c>
      <c r="M378" s="375">
        <v>3286316.31494</v>
      </c>
      <c r="N378" s="372">
        <v>1.625</v>
      </c>
      <c r="O378" s="704">
        <v>38.54556508059764</v>
      </c>
      <c r="P378" s="375" t="s">
        <v>622</v>
      </c>
      <c r="Q378" s="372" t="s">
        <v>622</v>
      </c>
      <c r="R378" s="696">
        <v>19841004</v>
      </c>
      <c r="S378" s="375" t="s">
        <v>854</v>
      </c>
      <c r="T378" s="697">
        <v>0.26400000000000001</v>
      </c>
      <c r="U378" s="375" t="s">
        <v>15853</v>
      </c>
      <c r="V378" s="723">
        <v>2.92</v>
      </c>
      <c r="W378" s="723">
        <v>0.25</v>
      </c>
      <c r="X378" s="723">
        <v>0.28000000000000003</v>
      </c>
      <c r="Y378" s="723">
        <v>5.23</v>
      </c>
      <c r="Z378" s="382" t="s">
        <v>927</v>
      </c>
      <c r="AA378" s="372">
        <v>206.50573259999999</v>
      </c>
      <c r="AB378" s="372">
        <v>7271.2634535999996</v>
      </c>
      <c r="AC378" s="372">
        <v>18168.149374699999</v>
      </c>
      <c r="AD378" s="372">
        <v>19862.9650387</v>
      </c>
      <c r="AE378" s="372">
        <v>14340</v>
      </c>
      <c r="AF378" s="372">
        <v>0</v>
      </c>
      <c r="AG378" s="372">
        <v>0</v>
      </c>
      <c r="AH378" s="372">
        <v>0</v>
      </c>
    </row>
    <row r="379" spans="1:34">
      <c r="A379" s="372" t="s">
        <v>3188</v>
      </c>
      <c r="B379" s="373" t="s">
        <v>3189</v>
      </c>
      <c r="C379" s="372" t="s">
        <v>3190</v>
      </c>
      <c r="D379" s="374">
        <v>1101111955694</v>
      </c>
      <c r="E379" s="372" t="s">
        <v>3191</v>
      </c>
      <c r="F379" s="375" t="s">
        <v>1006</v>
      </c>
      <c r="G379" s="375" t="s">
        <v>1215</v>
      </c>
      <c r="H379" s="375" t="s">
        <v>861</v>
      </c>
      <c r="I379" s="375" t="s">
        <v>862</v>
      </c>
      <c r="J379" s="375">
        <v>229327.36389000001</v>
      </c>
      <c r="K379" s="375">
        <v>57684.943610000002</v>
      </c>
      <c r="L379" s="375">
        <v>79667.531789999994</v>
      </c>
      <c r="M379" s="375">
        <v>660706.52431000001</v>
      </c>
      <c r="N379" s="372">
        <v>0.81100000000000005</v>
      </c>
      <c r="O379" s="704">
        <v>0.59190894439136688</v>
      </c>
      <c r="P379" s="375" t="s">
        <v>622</v>
      </c>
      <c r="Q379" s="372" t="s">
        <v>622</v>
      </c>
      <c r="R379" s="696">
        <v>20030521</v>
      </c>
      <c r="S379" s="375" t="s">
        <v>3192</v>
      </c>
      <c r="T379" s="697">
        <v>0.23100000000000001</v>
      </c>
      <c r="U379" s="375" t="s">
        <v>3193</v>
      </c>
      <c r="V379" s="723">
        <v>9.3000000000000007</v>
      </c>
      <c r="W379" s="723">
        <v>0.81</v>
      </c>
      <c r="X379" s="723">
        <v>2.61</v>
      </c>
      <c r="Y379" s="723">
        <v>9.17</v>
      </c>
      <c r="Z379" s="382">
        <v>0.1182127735930143</v>
      </c>
      <c r="AA379" s="372">
        <v>2940.9176481999998</v>
      </c>
      <c r="AB379" s="372">
        <v>2847.8254173999999</v>
      </c>
      <c r="AC379" s="372">
        <v>2421.4023993999999</v>
      </c>
      <c r="AD379" s="372">
        <v>1962.9041466000001</v>
      </c>
      <c r="AE379" s="372">
        <v>2224.14</v>
      </c>
      <c r="AF379" s="372">
        <v>2634.17</v>
      </c>
      <c r="AG379" s="372">
        <v>3069</v>
      </c>
      <c r="AH379" s="372">
        <v>0</v>
      </c>
    </row>
    <row r="380" spans="1:34">
      <c r="A380" s="372" t="s">
        <v>3194</v>
      </c>
      <c r="B380" s="373" t="s">
        <v>3195</v>
      </c>
      <c r="C380" s="372" t="s">
        <v>3196</v>
      </c>
      <c r="D380" s="374">
        <v>1101110282402</v>
      </c>
      <c r="E380" s="372" t="s">
        <v>3197</v>
      </c>
      <c r="F380" s="375" t="s">
        <v>3198</v>
      </c>
      <c r="G380" s="375" t="s">
        <v>3199</v>
      </c>
      <c r="H380" s="375" t="s">
        <v>846</v>
      </c>
      <c r="I380" s="375" t="s">
        <v>754</v>
      </c>
      <c r="J380" s="375">
        <v>1318879.24287</v>
      </c>
      <c r="K380" s="375">
        <v>40585.00275</v>
      </c>
      <c r="L380" s="375">
        <v>54391.404179999998</v>
      </c>
      <c r="M380" s="375">
        <v>852602.03101000004</v>
      </c>
      <c r="N380" s="372">
        <v>0.86199999999999999</v>
      </c>
      <c r="O380" s="704">
        <v>65.897884566591259</v>
      </c>
      <c r="P380" s="375" t="s">
        <v>622</v>
      </c>
      <c r="Q380" s="375" t="s">
        <v>622</v>
      </c>
      <c r="R380" s="696">
        <v>20110714</v>
      </c>
      <c r="S380" s="375" t="s">
        <v>3200</v>
      </c>
      <c r="T380" s="697">
        <v>0.23100000000000001</v>
      </c>
      <c r="U380" s="375" t="s">
        <v>3201</v>
      </c>
      <c r="V380" s="723">
        <v>7.5</v>
      </c>
      <c r="W380" s="723">
        <v>0.56000000000000005</v>
      </c>
      <c r="X380" s="723">
        <v>0.37</v>
      </c>
      <c r="Y380" s="723">
        <v>11.8</v>
      </c>
      <c r="Z380" s="382">
        <v>2.680658080795717E-2</v>
      </c>
      <c r="AA380" s="372">
        <v>13254.996839900001</v>
      </c>
      <c r="AB380" s="372">
        <v>14507.7857282</v>
      </c>
      <c r="AC380" s="372">
        <v>15538.773165099999</v>
      </c>
      <c r="AD380" s="372">
        <v>13543.271661799999</v>
      </c>
      <c r="AE380" s="372">
        <v>13356.92</v>
      </c>
      <c r="AF380" s="372">
        <v>14291.08</v>
      </c>
      <c r="AG380" s="372">
        <v>15054.91</v>
      </c>
      <c r="AH380" s="372">
        <v>0</v>
      </c>
    </row>
    <row r="381" spans="1:34">
      <c r="A381" s="372" t="s">
        <v>3202</v>
      </c>
      <c r="B381" s="373" t="s">
        <v>3203</v>
      </c>
      <c r="C381" s="372" t="s">
        <v>3204</v>
      </c>
      <c r="D381" s="374">
        <v>1101110006612</v>
      </c>
      <c r="E381" s="372" t="s">
        <v>3205</v>
      </c>
      <c r="F381" s="375" t="s">
        <v>1262</v>
      </c>
      <c r="G381" s="375" t="s">
        <v>1263</v>
      </c>
      <c r="H381" s="375" t="s">
        <v>1264</v>
      </c>
      <c r="I381" s="375" t="s">
        <v>754</v>
      </c>
      <c r="J381" s="375">
        <v>0</v>
      </c>
      <c r="K381" s="375">
        <v>0</v>
      </c>
      <c r="L381" s="375">
        <v>0</v>
      </c>
      <c r="M381" s="375">
        <v>0</v>
      </c>
      <c r="N381" s="372">
        <v>0.38300000000000001</v>
      </c>
      <c r="O381" s="704" t="s">
        <v>16301</v>
      </c>
      <c r="P381" s="375" t="s">
        <v>622</v>
      </c>
      <c r="Q381" s="375" t="s">
        <v>622</v>
      </c>
      <c r="R381" s="696">
        <v>19870824</v>
      </c>
      <c r="S381" s="375" t="s">
        <v>3206</v>
      </c>
      <c r="T381" s="697" t="s">
        <v>771</v>
      </c>
      <c r="U381" s="375" t="s">
        <v>3207</v>
      </c>
      <c r="V381" s="723">
        <v>0</v>
      </c>
      <c r="W381" s="723">
        <v>0</v>
      </c>
      <c r="X381" s="723">
        <v>0</v>
      </c>
      <c r="Y381" s="723">
        <v>0</v>
      </c>
      <c r="Z381" s="382" t="s">
        <v>927</v>
      </c>
      <c r="AA381" s="372">
        <v>4449.5880396000002</v>
      </c>
      <c r="AB381" s="372">
        <v>3003.0692435000001</v>
      </c>
      <c r="AC381" s="372">
        <v>2880.0922369</v>
      </c>
      <c r="AD381" s="372">
        <v>3582.4895287999998</v>
      </c>
      <c r="AE381" s="372">
        <v>0</v>
      </c>
      <c r="AF381" s="372">
        <v>0</v>
      </c>
      <c r="AG381" s="372">
        <v>0</v>
      </c>
      <c r="AH381" s="372">
        <v>0</v>
      </c>
    </row>
    <row r="382" spans="1:34">
      <c r="A382" s="372" t="s">
        <v>3208</v>
      </c>
      <c r="B382" s="373" t="s">
        <v>3209</v>
      </c>
      <c r="C382" s="372" t="s">
        <v>3210</v>
      </c>
      <c r="D382" s="374">
        <v>1341110189717</v>
      </c>
      <c r="E382" s="372" t="s">
        <v>3211</v>
      </c>
      <c r="F382" s="375" t="s">
        <v>1276</v>
      </c>
      <c r="G382" s="375" t="s">
        <v>1276</v>
      </c>
      <c r="H382" s="375" t="s">
        <v>861</v>
      </c>
      <c r="I382" s="375" t="s">
        <v>862</v>
      </c>
      <c r="J382" s="375">
        <v>20556.388719999999</v>
      </c>
      <c r="K382" s="375">
        <v>-25226.159479999998</v>
      </c>
      <c r="L382" s="375">
        <v>-48765.191619999998</v>
      </c>
      <c r="M382" s="375">
        <v>5821.1101900000003</v>
      </c>
      <c r="N382" s="372">
        <v>0.88</v>
      </c>
      <c r="O382" s="704">
        <v>30.873015081625965</v>
      </c>
      <c r="P382" s="375" t="s">
        <v>622</v>
      </c>
      <c r="Q382" s="375" t="s">
        <v>622</v>
      </c>
      <c r="R382" s="696">
        <v>20170927</v>
      </c>
      <c r="S382" s="375" t="s">
        <v>3212</v>
      </c>
      <c r="T382" s="697" t="s">
        <v>771</v>
      </c>
      <c r="U382" s="375" t="s">
        <v>3213</v>
      </c>
      <c r="V382" s="723" t="s">
        <v>773</v>
      </c>
      <c r="W382" s="723">
        <v>40.94</v>
      </c>
      <c r="X382" s="723">
        <v>20.25</v>
      </c>
      <c r="Y382" s="723" t="s">
        <v>773</v>
      </c>
      <c r="Z382" s="382">
        <v>1.1425559851267471</v>
      </c>
      <c r="AA382" s="372">
        <v>596.05293940000001</v>
      </c>
      <c r="AB382" s="372">
        <v>451.99738780000001</v>
      </c>
      <c r="AC382" s="372">
        <v>364.43362530000002</v>
      </c>
      <c r="AD382" s="372">
        <v>193.6116328</v>
      </c>
      <c r="AE382" s="372">
        <v>200</v>
      </c>
      <c r="AF382" s="372">
        <v>740</v>
      </c>
      <c r="AG382" s="372">
        <v>4080</v>
      </c>
      <c r="AH382" s="372">
        <v>0</v>
      </c>
    </row>
    <row r="383" spans="1:34">
      <c r="A383" s="372" t="s">
        <v>3214</v>
      </c>
      <c r="B383" s="373" t="s">
        <v>3215</v>
      </c>
      <c r="C383" s="372" t="s">
        <v>3216</v>
      </c>
      <c r="D383" s="374">
        <v>1101118651633</v>
      </c>
      <c r="E383" s="372" t="s">
        <v>3217</v>
      </c>
      <c r="F383" s="375" t="s">
        <v>3218</v>
      </c>
      <c r="G383" s="375" t="s">
        <v>3218</v>
      </c>
      <c r="H383" s="375" t="s">
        <v>812</v>
      </c>
      <c r="I383" s="375" t="s">
        <v>754</v>
      </c>
      <c r="J383" s="375">
        <v>3828606.4388100002</v>
      </c>
      <c r="K383" s="375">
        <v>193062.41475</v>
      </c>
      <c r="L383" s="375">
        <v>139876.26159000001</v>
      </c>
      <c r="M383" s="375">
        <v>1733603.9184999999</v>
      </c>
      <c r="N383" s="372" t="s">
        <v>1026</v>
      </c>
      <c r="O383" s="704">
        <v>239.70146481000461</v>
      </c>
      <c r="P383" s="375" t="s">
        <v>622</v>
      </c>
      <c r="Q383" s="372" t="s">
        <v>622</v>
      </c>
      <c r="R383" s="696">
        <v>20230616</v>
      </c>
      <c r="S383" s="372" t="s">
        <v>3219</v>
      </c>
      <c r="T383" s="697">
        <v>0.23100000000000001</v>
      </c>
      <c r="U383" s="372">
        <v>0</v>
      </c>
      <c r="V383" s="723">
        <v>0</v>
      </c>
      <c r="W383" s="723">
        <v>0</v>
      </c>
      <c r="X383" s="723">
        <v>0</v>
      </c>
      <c r="Y383" s="723">
        <v>0</v>
      </c>
      <c r="Z383" s="382" t="s">
        <v>927</v>
      </c>
      <c r="AA383" s="372">
        <v>0</v>
      </c>
      <c r="AB383" s="372">
        <v>0</v>
      </c>
      <c r="AC383" s="372">
        <v>0</v>
      </c>
      <c r="AD383" s="372">
        <v>26321.041292999998</v>
      </c>
      <c r="AE383" s="372">
        <v>0</v>
      </c>
      <c r="AF383" s="372">
        <v>0</v>
      </c>
      <c r="AG383" s="372">
        <v>0</v>
      </c>
      <c r="AH383" s="372">
        <v>0</v>
      </c>
    </row>
    <row r="384" spans="1:34">
      <c r="A384" s="372" t="s">
        <v>3220</v>
      </c>
      <c r="B384" s="373" t="s">
        <v>3221</v>
      </c>
      <c r="C384" s="372" t="s">
        <v>3222</v>
      </c>
      <c r="D384" s="374">
        <v>1101110600430</v>
      </c>
      <c r="E384" s="372" t="s">
        <v>3223</v>
      </c>
      <c r="F384" s="375" t="s">
        <v>1185</v>
      </c>
      <c r="G384" s="375" t="s">
        <v>1186</v>
      </c>
      <c r="H384" s="375" t="s">
        <v>861</v>
      </c>
      <c r="I384" s="375" t="s">
        <v>862</v>
      </c>
      <c r="J384" s="375">
        <v>453427.71117000002</v>
      </c>
      <c r="K384" s="375">
        <v>36482.176740000003</v>
      </c>
      <c r="L384" s="375">
        <v>37045.598080000003</v>
      </c>
      <c r="M384" s="375">
        <v>364266.26243</v>
      </c>
      <c r="N384" s="372">
        <v>1.29</v>
      </c>
      <c r="O384" s="704">
        <v>28.16233052114131</v>
      </c>
      <c r="P384" s="375" t="s">
        <v>622</v>
      </c>
      <c r="Q384" s="375" t="s">
        <v>622</v>
      </c>
      <c r="R384" s="696">
        <v>20060201</v>
      </c>
      <c r="S384" s="375" t="s">
        <v>3224</v>
      </c>
      <c r="T384" s="697">
        <v>0.23100000000000001</v>
      </c>
      <c r="U384" s="375" t="s">
        <v>3225</v>
      </c>
      <c r="V384" s="723">
        <v>9.43</v>
      </c>
      <c r="W384" s="723">
        <v>1.27</v>
      </c>
      <c r="X384" s="723">
        <v>0.92</v>
      </c>
      <c r="Y384" s="723">
        <v>13.67</v>
      </c>
      <c r="Z384" s="382">
        <v>0.13939902878061416</v>
      </c>
      <c r="AA384" s="372">
        <v>3600.2480292999999</v>
      </c>
      <c r="AB384" s="372">
        <v>4007.6224953000001</v>
      </c>
      <c r="AC384" s="372">
        <v>5090.1589314000003</v>
      </c>
      <c r="AD384" s="372">
        <v>4028.7135994</v>
      </c>
      <c r="AE384" s="372">
        <v>5263.5</v>
      </c>
      <c r="AF384" s="372">
        <v>6078.5</v>
      </c>
      <c r="AG384" s="372">
        <v>6790</v>
      </c>
      <c r="AH384" s="372">
        <v>0</v>
      </c>
    </row>
    <row r="385" spans="1:34">
      <c r="A385" s="372" t="s">
        <v>3226</v>
      </c>
      <c r="B385" s="373" t="s">
        <v>3227</v>
      </c>
      <c r="C385" s="372" t="s">
        <v>3228</v>
      </c>
      <c r="D385" s="374">
        <v>1101113667552</v>
      </c>
      <c r="E385" s="372" t="s">
        <v>3229</v>
      </c>
      <c r="F385" s="375" t="s">
        <v>1006</v>
      </c>
      <c r="G385" s="375" t="s">
        <v>1215</v>
      </c>
      <c r="H385" s="375" t="s">
        <v>861</v>
      </c>
      <c r="I385" s="375" t="s">
        <v>862</v>
      </c>
      <c r="J385" s="375">
        <v>386647.45214000001</v>
      </c>
      <c r="K385" s="375">
        <v>41038.719929999999</v>
      </c>
      <c r="L385" s="375">
        <v>30162.322410000001</v>
      </c>
      <c r="M385" s="375">
        <v>539910.63592999999</v>
      </c>
      <c r="N385" s="372">
        <v>0.65600000000000003</v>
      </c>
      <c r="O385" s="704">
        <v>0.92440368999495237</v>
      </c>
      <c r="P385" s="375" t="s">
        <v>622</v>
      </c>
      <c r="Q385" s="375" t="s">
        <v>622</v>
      </c>
      <c r="R385" s="696">
        <v>20070702</v>
      </c>
      <c r="S385" s="375" t="s">
        <v>3230</v>
      </c>
      <c r="T385" s="697">
        <v>0.23100000000000001</v>
      </c>
      <c r="U385" s="375" t="s">
        <v>3231</v>
      </c>
      <c r="V385" s="723">
        <v>8.52</v>
      </c>
      <c r="W385" s="723">
        <v>0.84</v>
      </c>
      <c r="X385" s="723">
        <v>1.22</v>
      </c>
      <c r="Y385" s="723">
        <v>15.27</v>
      </c>
      <c r="Z385" s="382">
        <v>2.7775650787962514E-2</v>
      </c>
      <c r="AA385" s="372">
        <v>2896.0637624999999</v>
      </c>
      <c r="AB385" s="372">
        <v>2611.9990594999999</v>
      </c>
      <c r="AC385" s="372">
        <v>2945.6707557999998</v>
      </c>
      <c r="AD385" s="372">
        <v>3655.9372674000001</v>
      </c>
      <c r="AE385" s="372">
        <v>3665.91</v>
      </c>
      <c r="AF385" s="372">
        <v>3859.45</v>
      </c>
      <c r="AG385" s="372">
        <v>4079.36</v>
      </c>
      <c r="AH385" s="372">
        <v>0</v>
      </c>
    </row>
    <row r="386" spans="1:34">
      <c r="A386" s="372" t="s">
        <v>3232</v>
      </c>
      <c r="B386" s="373" t="s">
        <v>3233</v>
      </c>
      <c r="C386" s="372" t="s">
        <v>3234</v>
      </c>
      <c r="D386" s="374">
        <v>1101112732413</v>
      </c>
      <c r="E386" s="372" t="s">
        <v>3235</v>
      </c>
      <c r="F386" s="375" t="s">
        <v>3236</v>
      </c>
      <c r="G386" s="375" t="s">
        <v>3236</v>
      </c>
      <c r="H386" s="375" t="s">
        <v>861</v>
      </c>
      <c r="I386" s="375" t="s">
        <v>862</v>
      </c>
      <c r="J386" s="375">
        <v>25383.889759999998</v>
      </c>
      <c r="K386" s="375">
        <v>4680.4970400000002</v>
      </c>
      <c r="L386" s="375">
        <v>-18577.106240000001</v>
      </c>
      <c r="M386" s="375">
        <v>66325.461200000005</v>
      </c>
      <c r="N386" s="372">
        <v>0.9</v>
      </c>
      <c r="O386" s="704">
        <v>0.31830529301572064</v>
      </c>
      <c r="P386" s="375" t="s">
        <v>622</v>
      </c>
      <c r="Q386" s="375" t="s">
        <v>622</v>
      </c>
      <c r="R386" s="696">
        <v>20131029</v>
      </c>
      <c r="S386" s="375" t="s">
        <v>3237</v>
      </c>
      <c r="T386" s="697" t="s">
        <v>771</v>
      </c>
      <c r="U386" s="375" t="s">
        <v>3238</v>
      </c>
      <c r="V386" s="723">
        <v>49.94</v>
      </c>
      <c r="W386" s="723">
        <v>4.17</v>
      </c>
      <c r="X386" s="723">
        <v>12.35</v>
      </c>
      <c r="Y386" s="723" t="s">
        <v>773</v>
      </c>
      <c r="Z386" s="382">
        <v>6.2679735106333512E-2</v>
      </c>
      <c r="AA386" s="372">
        <v>154.00622759999999</v>
      </c>
      <c r="AB386" s="372">
        <v>199.7956709</v>
      </c>
      <c r="AC386" s="372">
        <v>240.927424</v>
      </c>
      <c r="AD386" s="372">
        <v>276.27400820000003</v>
      </c>
      <c r="AE386" s="372">
        <v>285.75</v>
      </c>
      <c r="AF386" s="372">
        <v>326.25</v>
      </c>
      <c r="AG386" s="372">
        <v>352.33</v>
      </c>
      <c r="AH386" s="372">
        <v>0</v>
      </c>
    </row>
    <row r="387" spans="1:34">
      <c r="A387" s="372" t="s">
        <v>3239</v>
      </c>
      <c r="B387" s="373" t="s">
        <v>3240</v>
      </c>
      <c r="C387" s="372" t="s">
        <v>3241</v>
      </c>
      <c r="D387" s="374">
        <v>1101113001685</v>
      </c>
      <c r="E387" s="372" t="s">
        <v>3242</v>
      </c>
      <c r="F387" s="375" t="s">
        <v>3243</v>
      </c>
      <c r="G387" s="375" t="s">
        <v>3244</v>
      </c>
      <c r="H387" s="375" t="s">
        <v>817</v>
      </c>
      <c r="I387" s="375" t="s">
        <v>754</v>
      </c>
      <c r="J387" s="375">
        <v>319449.26585999998</v>
      </c>
      <c r="K387" s="375">
        <v>-2000.1446000000001</v>
      </c>
      <c r="L387" s="375">
        <v>-46420.292159999997</v>
      </c>
      <c r="M387" s="375">
        <v>537327.46780999994</v>
      </c>
      <c r="N387" s="372">
        <v>0.61799999999999999</v>
      </c>
      <c r="O387" s="704">
        <v>854.22616977956307</v>
      </c>
      <c r="P387" s="375" t="s">
        <v>622</v>
      </c>
      <c r="Q387" s="375" t="s">
        <v>622</v>
      </c>
      <c r="R387" s="696">
        <v>20150623</v>
      </c>
      <c r="S387" s="375" t="s">
        <v>3245</v>
      </c>
      <c r="T387" s="697" t="s">
        <v>771</v>
      </c>
      <c r="U387" s="375" t="s">
        <v>3246</v>
      </c>
      <c r="V387" s="723">
        <v>61.79</v>
      </c>
      <c r="W387" s="723">
        <v>0.3</v>
      </c>
      <c r="X387" s="723">
        <v>0.56999999999999995</v>
      </c>
      <c r="Y387" s="723" t="s">
        <v>773</v>
      </c>
      <c r="Z387" s="382">
        <v>-6.8269976090314599E-2</v>
      </c>
      <c r="AA387" s="372">
        <v>6997.5302547000001</v>
      </c>
      <c r="AB387" s="372">
        <v>8818.3663713999995</v>
      </c>
      <c r="AC387" s="372">
        <v>5634.3656616999997</v>
      </c>
      <c r="AD387" s="372">
        <v>4796.7594546999999</v>
      </c>
      <c r="AE387" s="372">
        <v>3250</v>
      </c>
      <c r="AF387" s="372">
        <v>3562</v>
      </c>
      <c r="AG387" s="372">
        <v>3615</v>
      </c>
      <c r="AH387" s="372">
        <v>3533</v>
      </c>
    </row>
    <row r="388" spans="1:34">
      <c r="A388" s="372" t="s">
        <v>3247</v>
      </c>
      <c r="B388" s="373" t="s">
        <v>3248</v>
      </c>
      <c r="C388" s="372" t="s">
        <v>3249</v>
      </c>
      <c r="D388" s="374">
        <v>1648110105010</v>
      </c>
      <c r="E388" s="372" t="s">
        <v>3250</v>
      </c>
      <c r="F388" s="375" t="s">
        <v>1276</v>
      </c>
      <c r="G388" s="375" t="s">
        <v>1276</v>
      </c>
      <c r="H388" s="375" t="s">
        <v>861</v>
      </c>
      <c r="I388" s="375" t="s">
        <v>862</v>
      </c>
      <c r="J388" s="375">
        <v>402247.94709999999</v>
      </c>
      <c r="K388" s="375">
        <v>63864.987580000001</v>
      </c>
      <c r="L388" s="375">
        <v>54536.901590000001</v>
      </c>
      <c r="M388" s="375">
        <v>449156.40220000001</v>
      </c>
      <c r="N388" s="372">
        <v>1.0189999999999999</v>
      </c>
      <c r="O388" s="704">
        <v>69.850082800350606</v>
      </c>
      <c r="P388" s="375" t="s">
        <v>622</v>
      </c>
      <c r="Q388" s="375" t="s">
        <v>622</v>
      </c>
      <c r="R388" s="696">
        <v>20170710</v>
      </c>
      <c r="S388" s="375" t="s">
        <v>3251</v>
      </c>
      <c r="T388" s="697">
        <v>0.23100000000000001</v>
      </c>
      <c r="U388" s="375" t="s">
        <v>3252</v>
      </c>
      <c r="V388" s="723">
        <v>7.11</v>
      </c>
      <c r="W388" s="723">
        <v>1.17</v>
      </c>
      <c r="X388" s="723">
        <v>1.37</v>
      </c>
      <c r="Y388" s="723">
        <v>14.3</v>
      </c>
      <c r="Z388" s="382">
        <v>0.19246925656864478</v>
      </c>
      <c r="AA388" s="372">
        <v>3362.5763345999999</v>
      </c>
      <c r="AB388" s="372">
        <v>4872.9246399000003</v>
      </c>
      <c r="AC388" s="372">
        <v>4893.5293941999998</v>
      </c>
      <c r="AD388" s="372">
        <v>3870.0261220000002</v>
      </c>
      <c r="AE388" s="372">
        <v>4225.8500000000004</v>
      </c>
      <c r="AF388" s="372">
        <v>4702.75</v>
      </c>
      <c r="AG388" s="372">
        <v>7825.33</v>
      </c>
      <c r="AH388" s="372">
        <v>0</v>
      </c>
    </row>
    <row r="389" spans="1:34">
      <c r="A389" s="372" t="s">
        <v>3253</v>
      </c>
      <c r="B389" s="373" t="s">
        <v>3254</v>
      </c>
      <c r="C389" s="372" t="s">
        <v>3255</v>
      </c>
      <c r="D389" s="374">
        <v>1101110018089</v>
      </c>
      <c r="E389" s="372" t="s">
        <v>3256</v>
      </c>
      <c r="F389" s="372" t="s">
        <v>1262</v>
      </c>
      <c r="G389" s="375" t="s">
        <v>1263</v>
      </c>
      <c r="H389" s="375" t="s">
        <v>1264</v>
      </c>
      <c r="I389" s="375" t="s">
        <v>754</v>
      </c>
      <c r="J389" s="375">
        <v>0</v>
      </c>
      <c r="K389" s="375">
        <v>0</v>
      </c>
      <c r="L389" s="375">
        <v>0</v>
      </c>
      <c r="M389" s="375">
        <v>0</v>
      </c>
      <c r="N389" s="372">
        <v>0.78100000000000003</v>
      </c>
      <c r="O389" s="704" t="s">
        <v>16301</v>
      </c>
      <c r="P389" s="375" t="s">
        <v>622</v>
      </c>
      <c r="Q389" s="375" t="s">
        <v>622</v>
      </c>
      <c r="R389" s="696">
        <v>19991116</v>
      </c>
      <c r="S389" s="375" t="s">
        <v>3257</v>
      </c>
      <c r="T389" s="697" t="s">
        <v>771</v>
      </c>
      <c r="U389" s="375" t="s">
        <v>3258</v>
      </c>
      <c r="V389" s="723">
        <v>0</v>
      </c>
      <c r="W389" s="723">
        <v>0</v>
      </c>
      <c r="X389" s="723">
        <v>0</v>
      </c>
      <c r="Y389" s="723">
        <v>0</v>
      </c>
      <c r="Z389" s="382">
        <v>0.16337338163840753</v>
      </c>
      <c r="AA389" s="372">
        <v>3493.7499078000001</v>
      </c>
      <c r="AB389" s="372">
        <v>4312.4553128999996</v>
      </c>
      <c r="AC389" s="372">
        <v>2746.7053117</v>
      </c>
      <c r="AD389" s="372">
        <v>2838.7480737000001</v>
      </c>
      <c r="AE389" s="372">
        <v>4000</v>
      </c>
      <c r="AF389" s="372">
        <v>4650</v>
      </c>
      <c r="AG389" s="372">
        <v>5200</v>
      </c>
      <c r="AH389" s="372">
        <v>0</v>
      </c>
    </row>
    <row r="390" spans="1:34">
      <c r="A390" s="372" t="s">
        <v>3259</v>
      </c>
      <c r="B390" s="373" t="s">
        <v>3260</v>
      </c>
      <c r="C390" s="372" t="s">
        <v>3261</v>
      </c>
      <c r="D390" s="374">
        <v>1101110026181</v>
      </c>
      <c r="E390" s="372" t="s">
        <v>3262</v>
      </c>
      <c r="F390" s="375" t="s">
        <v>893</v>
      </c>
      <c r="G390" s="375" t="s">
        <v>894</v>
      </c>
      <c r="H390" s="375" t="s">
        <v>855</v>
      </c>
      <c r="I390" s="375" t="s">
        <v>754</v>
      </c>
      <c r="J390" s="375">
        <v>3462218.7319999998</v>
      </c>
      <c r="K390" s="375">
        <v>144032.67723</v>
      </c>
      <c r="L390" s="375">
        <v>138599.66797000001</v>
      </c>
      <c r="M390" s="375">
        <v>2948278.4677900001</v>
      </c>
      <c r="N390" s="372">
        <v>0.78200000000000003</v>
      </c>
      <c r="O390" s="704">
        <v>288.86724888752536</v>
      </c>
      <c r="P390" s="375" t="s">
        <v>622</v>
      </c>
      <c r="Q390" s="375" t="s">
        <v>622</v>
      </c>
      <c r="R390" s="696">
        <v>19681227</v>
      </c>
      <c r="S390" s="375" t="s">
        <v>3263</v>
      </c>
      <c r="T390" s="697">
        <v>0.23100000000000001</v>
      </c>
      <c r="U390" s="375" t="s">
        <v>3264</v>
      </c>
      <c r="V390" s="723">
        <v>8.5</v>
      </c>
      <c r="W390" s="723">
        <v>0.33</v>
      </c>
      <c r="X390" s="723">
        <v>0.2</v>
      </c>
      <c r="Y390" s="723">
        <v>14.3</v>
      </c>
      <c r="Z390" s="382" t="s">
        <v>927</v>
      </c>
      <c r="AA390" s="372">
        <v>24712.261092000001</v>
      </c>
      <c r="AB390" s="372">
        <v>31073.133567600002</v>
      </c>
      <c r="AC390" s="372">
        <v>33167.778261400003</v>
      </c>
      <c r="AD390" s="372">
        <v>32108.5349179</v>
      </c>
      <c r="AE390" s="372">
        <v>0</v>
      </c>
      <c r="AF390" s="372">
        <v>0</v>
      </c>
      <c r="AG390" s="372">
        <v>0</v>
      </c>
      <c r="AH390" s="372">
        <v>0</v>
      </c>
    </row>
    <row r="391" spans="1:34">
      <c r="A391" s="372" t="s">
        <v>3265</v>
      </c>
      <c r="B391" s="373" t="s">
        <v>3266</v>
      </c>
      <c r="C391" s="372" t="s">
        <v>3267</v>
      </c>
      <c r="D391" s="374">
        <v>1845110000634</v>
      </c>
      <c r="E391" s="372" t="s">
        <v>3268</v>
      </c>
      <c r="F391" s="375" t="s">
        <v>2103</v>
      </c>
      <c r="G391" s="375" t="s">
        <v>2103</v>
      </c>
      <c r="H391" s="375" t="s">
        <v>855</v>
      </c>
      <c r="I391" s="375" t="s">
        <v>754</v>
      </c>
      <c r="J391" s="375">
        <v>810254.50697999995</v>
      </c>
      <c r="K391" s="375">
        <v>90513.13278</v>
      </c>
      <c r="L391" s="375">
        <v>154699.91462</v>
      </c>
      <c r="M391" s="375">
        <v>1143579.40757</v>
      </c>
      <c r="N391" s="372">
        <v>0.56999999999999995</v>
      </c>
      <c r="O391" s="704">
        <v>1.2759907782831839</v>
      </c>
      <c r="P391" s="375" t="s">
        <v>622</v>
      </c>
      <c r="Q391" s="375" t="s">
        <v>622</v>
      </c>
      <c r="R391" s="696">
        <v>20140806</v>
      </c>
      <c r="S391" s="375" t="s">
        <v>3269</v>
      </c>
      <c r="T391" s="697">
        <v>0.23100000000000001</v>
      </c>
      <c r="U391" s="375" t="s">
        <v>3270</v>
      </c>
      <c r="V391" s="723">
        <v>8.16</v>
      </c>
      <c r="W391" s="723">
        <v>0.68</v>
      </c>
      <c r="X391" s="723">
        <v>1</v>
      </c>
      <c r="Y391" s="723">
        <v>6.42</v>
      </c>
      <c r="Z391" s="382">
        <v>6.0824559454623506E-2</v>
      </c>
      <c r="AA391" s="372">
        <v>5877.9462266</v>
      </c>
      <c r="AB391" s="372">
        <v>6851.0927386000003</v>
      </c>
      <c r="AC391" s="372">
        <v>7556.4843774000001</v>
      </c>
      <c r="AD391" s="372">
        <v>7722.6186974000002</v>
      </c>
      <c r="AE391" s="372">
        <v>8280</v>
      </c>
      <c r="AF391" s="372">
        <v>8990</v>
      </c>
      <c r="AG391" s="372">
        <v>9780</v>
      </c>
      <c r="AH391" s="372">
        <v>0</v>
      </c>
    </row>
    <row r="392" spans="1:34">
      <c r="A392" s="372" t="s">
        <v>3271</v>
      </c>
      <c r="B392" s="373" t="s">
        <v>3272</v>
      </c>
      <c r="C392" s="372" t="s">
        <v>3273</v>
      </c>
      <c r="D392" s="374">
        <v>1452110021112</v>
      </c>
      <c r="E392" s="372" t="s">
        <v>3274</v>
      </c>
      <c r="F392" s="375" t="s">
        <v>1116</v>
      </c>
      <c r="G392" s="375" t="s">
        <v>1336</v>
      </c>
      <c r="H392" s="375" t="s">
        <v>1337</v>
      </c>
      <c r="I392" s="375" t="s">
        <v>862</v>
      </c>
      <c r="J392" s="375">
        <v>4755.2314500000002</v>
      </c>
      <c r="K392" s="375">
        <v>-44824.805590000004</v>
      </c>
      <c r="L392" s="375">
        <v>-49941.63409</v>
      </c>
      <c r="M392" s="375">
        <v>47572.830959999999</v>
      </c>
      <c r="N392" s="372" t="s">
        <v>1026</v>
      </c>
      <c r="O392" s="704">
        <v>1.8808182355772074</v>
      </c>
      <c r="P392" s="375" t="s">
        <v>622</v>
      </c>
      <c r="Q392" s="375" t="s">
        <v>622</v>
      </c>
      <c r="R392" s="696">
        <v>20230330</v>
      </c>
      <c r="S392" s="375" t="s">
        <v>3275</v>
      </c>
      <c r="T392" s="697" t="s">
        <v>771</v>
      </c>
      <c r="U392" s="372" t="s">
        <v>3276</v>
      </c>
      <c r="V392" s="723">
        <v>0</v>
      </c>
      <c r="W392" s="723">
        <v>0</v>
      </c>
      <c r="X392" s="723">
        <v>0</v>
      </c>
      <c r="Y392" s="723">
        <v>0</v>
      </c>
      <c r="Z392" s="382" t="s">
        <v>927</v>
      </c>
      <c r="AA392" s="372">
        <v>110.16789</v>
      </c>
      <c r="AB392" s="372">
        <v>56</v>
      </c>
      <c r="AC392" s="372">
        <v>35</v>
      </c>
      <c r="AD392" s="372">
        <v>53.188494499999997</v>
      </c>
      <c r="AE392" s="372">
        <v>0</v>
      </c>
      <c r="AF392" s="372">
        <v>0</v>
      </c>
      <c r="AG392" s="372">
        <v>0</v>
      </c>
      <c r="AH392" s="372">
        <v>0</v>
      </c>
    </row>
    <row r="393" spans="1:34">
      <c r="A393" s="372" t="s">
        <v>3277</v>
      </c>
      <c r="B393" s="373" t="s">
        <v>3278</v>
      </c>
      <c r="C393" s="372" t="s">
        <v>3279</v>
      </c>
      <c r="D393" s="374">
        <v>1801110054691</v>
      </c>
      <c r="E393" s="372" t="s">
        <v>3280</v>
      </c>
      <c r="F393" s="375" t="s">
        <v>3281</v>
      </c>
      <c r="G393" s="375" t="s">
        <v>3282</v>
      </c>
      <c r="H393" s="375" t="s">
        <v>1043</v>
      </c>
      <c r="I393" s="375" t="s">
        <v>754</v>
      </c>
      <c r="J393" s="375">
        <v>749542.55472000001</v>
      </c>
      <c r="K393" s="375">
        <v>28290.555649999998</v>
      </c>
      <c r="L393" s="375">
        <v>13364.524890000001</v>
      </c>
      <c r="M393" s="375">
        <v>470224.38404999999</v>
      </c>
      <c r="N393" s="372">
        <v>0.63800000000000001</v>
      </c>
      <c r="O393" s="704">
        <v>19.595193708972182</v>
      </c>
      <c r="P393" s="375" t="s">
        <v>622</v>
      </c>
      <c r="Q393" s="375" t="s">
        <v>622</v>
      </c>
      <c r="R393" s="696">
        <v>19950708</v>
      </c>
      <c r="S393" s="375" t="s">
        <v>3283</v>
      </c>
      <c r="T393" s="697">
        <v>0.20900000000000002</v>
      </c>
      <c r="U393" s="375" t="s">
        <v>3284</v>
      </c>
      <c r="V393" s="723">
        <v>10.48</v>
      </c>
      <c r="W393" s="723">
        <v>1.1299999999999999</v>
      </c>
      <c r="X393" s="723">
        <v>0.75</v>
      </c>
      <c r="Y393" s="723">
        <v>156.58000000000001</v>
      </c>
      <c r="Z393" s="382">
        <v>9.5913205075130792E-2</v>
      </c>
      <c r="AA393" s="372">
        <v>4116.6526414999998</v>
      </c>
      <c r="AB393" s="372">
        <v>3678.2713426999999</v>
      </c>
      <c r="AC393" s="372">
        <v>3692.7086601999999</v>
      </c>
      <c r="AD393" s="372">
        <v>5944.1738437000004</v>
      </c>
      <c r="AE393" s="372">
        <v>7626.75</v>
      </c>
      <c r="AF393" s="372">
        <v>8156.5</v>
      </c>
      <c r="AG393" s="372">
        <v>8574.25</v>
      </c>
      <c r="AH393" s="372">
        <v>0</v>
      </c>
    </row>
    <row r="394" spans="1:34">
      <c r="A394" s="372" t="s">
        <v>3285</v>
      </c>
      <c r="B394" s="373" t="s">
        <v>3286</v>
      </c>
      <c r="C394" s="372" t="s">
        <v>3287</v>
      </c>
      <c r="D394" s="374">
        <v>1301110026814</v>
      </c>
      <c r="E394" s="372" t="s">
        <v>3288</v>
      </c>
      <c r="F394" s="375" t="s">
        <v>3289</v>
      </c>
      <c r="G394" s="375" t="s">
        <v>3289</v>
      </c>
      <c r="H394" s="375">
        <v>0</v>
      </c>
      <c r="I394" s="375" t="s">
        <v>862</v>
      </c>
      <c r="J394" s="375">
        <v>306076.42381000001</v>
      </c>
      <c r="K394" s="375">
        <v>3556.0351000000001</v>
      </c>
      <c r="L394" s="375">
        <v>-33461.263859999999</v>
      </c>
      <c r="M394" s="375">
        <v>636231.38174999994</v>
      </c>
      <c r="N394" s="372">
        <v>0.67400000000000004</v>
      </c>
      <c r="O394" s="704">
        <v>145.81289180257627</v>
      </c>
      <c r="P394" s="375" t="s">
        <v>622</v>
      </c>
      <c r="Q394" s="372" t="s">
        <v>622</v>
      </c>
      <c r="R394" s="696">
        <v>19950831</v>
      </c>
      <c r="S394" s="372" t="s">
        <v>3290</v>
      </c>
      <c r="T394" s="697" t="s">
        <v>771</v>
      </c>
      <c r="U394" s="372" t="s">
        <v>3291</v>
      </c>
      <c r="V394" s="723">
        <v>24.27</v>
      </c>
      <c r="W394" s="723">
        <v>0.74</v>
      </c>
      <c r="X394" s="723">
        <v>1.5</v>
      </c>
      <c r="Y394" s="723" t="s">
        <v>773</v>
      </c>
      <c r="Z394" s="382" t="s">
        <v>927</v>
      </c>
      <c r="AA394" s="372">
        <v>1140.5944603999999</v>
      </c>
      <c r="AB394" s="372">
        <v>2198.2029498000002</v>
      </c>
      <c r="AC394" s="372">
        <v>3253.4643845000001</v>
      </c>
      <c r="AD394" s="372">
        <v>8972.9664157000007</v>
      </c>
      <c r="AE394" s="372">
        <v>4240</v>
      </c>
      <c r="AF394" s="372">
        <v>6470</v>
      </c>
      <c r="AG394" s="372">
        <v>0</v>
      </c>
      <c r="AH394" s="372">
        <v>0</v>
      </c>
    </row>
    <row r="395" spans="1:34">
      <c r="A395" s="372" t="s">
        <v>3292</v>
      </c>
      <c r="B395" s="373" t="s">
        <v>3293</v>
      </c>
      <c r="C395" s="372" t="s">
        <v>3294</v>
      </c>
      <c r="D395" s="374">
        <v>1101110863484</v>
      </c>
      <c r="E395" s="372" t="s">
        <v>3295</v>
      </c>
      <c r="F395" s="375" t="s">
        <v>3296</v>
      </c>
      <c r="G395" s="375" t="s">
        <v>3296</v>
      </c>
      <c r="H395" s="375" t="s">
        <v>3099</v>
      </c>
      <c r="I395" s="375" t="s">
        <v>862</v>
      </c>
      <c r="J395" s="375">
        <v>10618785.577369999</v>
      </c>
      <c r="K395" s="375">
        <v>750603.03830000001</v>
      </c>
      <c r="L395" s="375">
        <v>713178.42041000002</v>
      </c>
      <c r="M395" s="375">
        <v>6339988.0796299996</v>
      </c>
      <c r="N395" s="372">
        <v>1.379</v>
      </c>
      <c r="O395" s="704">
        <v>168.47676899746057</v>
      </c>
      <c r="P395" s="375" t="s">
        <v>622</v>
      </c>
      <c r="Q395" s="372" t="s">
        <v>622</v>
      </c>
      <c r="R395" s="696">
        <v>19991218</v>
      </c>
      <c r="S395" s="372" t="s">
        <v>3297</v>
      </c>
      <c r="T395" s="697">
        <v>0.26400000000000001</v>
      </c>
      <c r="U395" s="372" t="s">
        <v>3298</v>
      </c>
      <c r="V395" s="723">
        <v>6.75</v>
      </c>
      <c r="W395" s="723">
        <v>0.34</v>
      </c>
      <c r="X395" s="723">
        <v>0.04</v>
      </c>
      <c r="Y395" s="723">
        <v>6.06</v>
      </c>
      <c r="Z395" s="382" t="s">
        <v>927</v>
      </c>
      <c r="AA395" s="372">
        <v>50939.062918800002</v>
      </c>
      <c r="AB395" s="372">
        <v>65800.540629199997</v>
      </c>
      <c r="AC395" s="372">
        <v>97472.109309199994</v>
      </c>
      <c r="AD395" s="372">
        <v>103340.25110540001</v>
      </c>
      <c r="AE395" s="372">
        <v>0</v>
      </c>
      <c r="AF395" s="372">
        <v>0</v>
      </c>
      <c r="AG395" s="372">
        <v>0</v>
      </c>
      <c r="AH395" s="372">
        <v>0</v>
      </c>
    </row>
    <row r="396" spans="1:34">
      <c r="A396" s="372" t="s">
        <v>3299</v>
      </c>
      <c r="B396" s="373" t="s">
        <v>3300</v>
      </c>
      <c r="C396" s="372" t="s">
        <v>3301</v>
      </c>
      <c r="D396" s="374">
        <v>1101111538391</v>
      </c>
      <c r="E396" s="372" t="s">
        <v>3302</v>
      </c>
      <c r="F396" s="375" t="s">
        <v>1116</v>
      </c>
      <c r="G396" s="375" t="s">
        <v>3303</v>
      </c>
      <c r="H396" s="375" t="s">
        <v>1337</v>
      </c>
      <c r="I396" s="375" t="s">
        <v>862</v>
      </c>
      <c r="J396" s="375">
        <v>137706.04936</v>
      </c>
      <c r="K396" s="375">
        <v>-1333.59854</v>
      </c>
      <c r="L396" s="375">
        <v>4808.1535000000003</v>
      </c>
      <c r="M396" s="375">
        <v>119480.83715000001</v>
      </c>
      <c r="N396" s="372">
        <v>1.337</v>
      </c>
      <c r="O396" s="704">
        <v>2.6205804526199765</v>
      </c>
      <c r="P396" s="375" t="s">
        <v>622</v>
      </c>
      <c r="Q396" s="375" t="s">
        <v>622</v>
      </c>
      <c r="R396" s="696">
        <v>20151221</v>
      </c>
      <c r="S396" s="375" t="s">
        <v>3304</v>
      </c>
      <c r="T396" s="697">
        <v>0.20900000000000002</v>
      </c>
      <c r="U396" s="372" t="s">
        <v>3305</v>
      </c>
      <c r="V396" s="723">
        <v>0</v>
      </c>
      <c r="W396" s="723">
        <v>0</v>
      </c>
      <c r="X396" s="723">
        <v>0</v>
      </c>
      <c r="Y396" s="723">
        <v>0</v>
      </c>
      <c r="Z396" s="382" t="s">
        <v>927</v>
      </c>
      <c r="AA396" s="372">
        <v>405.71187379999998</v>
      </c>
      <c r="AB396" s="372">
        <v>628.52783780000004</v>
      </c>
      <c r="AC396" s="372">
        <v>1074.8187152</v>
      </c>
      <c r="AD396" s="372">
        <v>1359.5275415999999</v>
      </c>
      <c r="AE396" s="372">
        <v>0</v>
      </c>
      <c r="AF396" s="372">
        <v>0</v>
      </c>
      <c r="AG396" s="372">
        <v>0</v>
      </c>
      <c r="AH396" s="372">
        <v>0</v>
      </c>
    </row>
    <row r="397" spans="1:34">
      <c r="A397" s="372" t="s">
        <v>3306</v>
      </c>
      <c r="B397" s="373" t="s">
        <v>3307</v>
      </c>
      <c r="C397" s="372" t="s">
        <v>3308</v>
      </c>
      <c r="D397" s="374">
        <v>1311110288992</v>
      </c>
      <c r="E397" s="372" t="s">
        <v>3309</v>
      </c>
      <c r="F397" s="375" t="s">
        <v>1249</v>
      </c>
      <c r="G397" s="375" t="s">
        <v>1249</v>
      </c>
      <c r="H397" s="375" t="s">
        <v>861</v>
      </c>
      <c r="I397" s="375" t="s">
        <v>862</v>
      </c>
      <c r="J397" s="375">
        <v>70030.988329999993</v>
      </c>
      <c r="K397" s="375">
        <v>2425.1089099999999</v>
      </c>
      <c r="L397" s="375">
        <v>-5783.3906500000003</v>
      </c>
      <c r="M397" s="375">
        <v>153734.73514999999</v>
      </c>
      <c r="N397" s="372">
        <v>0.92300000000000004</v>
      </c>
      <c r="O397" s="704">
        <v>20.411763633645386</v>
      </c>
      <c r="P397" s="375" t="s">
        <v>622</v>
      </c>
      <c r="Q397" s="372" t="s">
        <v>622</v>
      </c>
      <c r="R397" s="696">
        <v>20181101</v>
      </c>
      <c r="S397" s="372" t="s">
        <v>3310</v>
      </c>
      <c r="T397" s="697" t="s">
        <v>771</v>
      </c>
      <c r="U397" s="372" t="s">
        <v>3311</v>
      </c>
      <c r="V397" s="723">
        <v>57.72</v>
      </c>
      <c r="W397" s="723">
        <v>3.16</v>
      </c>
      <c r="X397" s="723">
        <v>6.66</v>
      </c>
      <c r="Y397" s="723" t="s">
        <v>773</v>
      </c>
      <c r="Z397" s="382" t="s">
        <v>927</v>
      </c>
      <c r="AA397" s="372">
        <v>329.7277133</v>
      </c>
      <c r="AB397" s="372">
        <v>456.77013790000001</v>
      </c>
      <c r="AC397" s="372">
        <v>525.72492150000005</v>
      </c>
      <c r="AD397" s="372">
        <v>688.69546319999995</v>
      </c>
      <c r="AE397" s="372">
        <v>887</v>
      </c>
      <c r="AF397" s="372">
        <v>1094</v>
      </c>
      <c r="AG397" s="372">
        <v>0</v>
      </c>
      <c r="AH397" s="372">
        <v>0</v>
      </c>
    </row>
    <row r="398" spans="1:34">
      <c r="A398" s="372" t="s">
        <v>3312</v>
      </c>
      <c r="B398" s="373" t="s">
        <v>3313</v>
      </c>
      <c r="C398" s="372" t="s">
        <v>3314</v>
      </c>
      <c r="D398" s="374">
        <v>1101116033833</v>
      </c>
      <c r="E398" s="372" t="s">
        <v>3315</v>
      </c>
      <c r="F398" s="375" t="s">
        <v>3316</v>
      </c>
      <c r="G398" s="375" t="s">
        <v>3316</v>
      </c>
      <c r="H398" s="375" t="s">
        <v>1531</v>
      </c>
      <c r="I398" s="375" t="s">
        <v>862</v>
      </c>
      <c r="J398" s="375">
        <v>72937.746069999994</v>
      </c>
      <c r="K398" s="375">
        <v>-17088.977770000001</v>
      </c>
      <c r="L398" s="375">
        <v>24440.250329999999</v>
      </c>
      <c r="M398" s="375">
        <v>219289.81753999999</v>
      </c>
      <c r="N398" s="372">
        <v>1.1819999999999999</v>
      </c>
      <c r="O398" s="704">
        <v>15.917512706938986</v>
      </c>
      <c r="P398" s="375" t="s">
        <v>622</v>
      </c>
      <c r="Q398" s="375" t="s">
        <v>622</v>
      </c>
      <c r="R398" s="696">
        <v>20181220</v>
      </c>
      <c r="S398" s="375" t="s">
        <v>3317</v>
      </c>
      <c r="T398" s="697">
        <v>0.23100000000000001</v>
      </c>
      <c r="U398" s="375" t="s">
        <v>3318</v>
      </c>
      <c r="V398" s="723" t="s">
        <v>773</v>
      </c>
      <c r="W398" s="723">
        <v>1.1299999999999999</v>
      </c>
      <c r="X398" s="723">
        <v>3.35</v>
      </c>
      <c r="Y398" s="723" t="s">
        <v>773</v>
      </c>
      <c r="Z398" s="382">
        <v>0.29393038147348483</v>
      </c>
      <c r="AA398" s="372">
        <v>1101.9438888</v>
      </c>
      <c r="AB398" s="372">
        <v>1202.8376498</v>
      </c>
      <c r="AC398" s="372">
        <v>1465.2012838999999</v>
      </c>
      <c r="AD398" s="372">
        <v>1473.3516397999999</v>
      </c>
      <c r="AE398" s="372">
        <v>3162</v>
      </c>
      <c r="AF398" s="372">
        <v>3631</v>
      </c>
      <c r="AG398" s="372">
        <v>4130</v>
      </c>
      <c r="AH398" s="372">
        <v>4734</v>
      </c>
    </row>
    <row r="399" spans="1:34">
      <c r="A399" s="372" t="s">
        <v>3319</v>
      </c>
      <c r="B399" s="373" t="s">
        <v>3320</v>
      </c>
      <c r="C399" s="372" t="s">
        <v>3321</v>
      </c>
      <c r="D399" s="374">
        <v>2201110087049</v>
      </c>
      <c r="E399" s="372" t="s">
        <v>3322</v>
      </c>
      <c r="F399" s="372" t="s">
        <v>3323</v>
      </c>
      <c r="G399" s="375" t="s">
        <v>3323</v>
      </c>
      <c r="H399" s="375" t="s">
        <v>817</v>
      </c>
      <c r="I399" s="375" t="s">
        <v>754</v>
      </c>
      <c r="J399" s="375">
        <v>405515.64130000002</v>
      </c>
      <c r="K399" s="375">
        <v>-15510.86879</v>
      </c>
      <c r="L399" s="375">
        <v>-42663.479429999999</v>
      </c>
      <c r="M399" s="375">
        <v>187696.31518999999</v>
      </c>
      <c r="N399" s="372">
        <v>0.55800000000000005</v>
      </c>
      <c r="O399" s="704">
        <v>66.969656270135005</v>
      </c>
      <c r="P399" s="375" t="s">
        <v>622</v>
      </c>
      <c r="Q399" s="375" t="s">
        <v>622</v>
      </c>
      <c r="R399" s="696">
        <v>20220822</v>
      </c>
      <c r="S399" s="375" t="s">
        <v>3324</v>
      </c>
      <c r="T399" s="697" t="s">
        <v>771</v>
      </c>
      <c r="U399" s="375" t="s">
        <v>3325</v>
      </c>
      <c r="V399" s="723">
        <v>11.96</v>
      </c>
      <c r="W399" s="723">
        <v>3.13</v>
      </c>
      <c r="X399" s="723">
        <v>1.45</v>
      </c>
      <c r="Y399" s="723" t="s">
        <v>773</v>
      </c>
      <c r="Z399" s="382">
        <v>0.10025799395162149</v>
      </c>
      <c r="AA399" s="372">
        <v>2205.5152541000002</v>
      </c>
      <c r="AB399" s="372">
        <v>2890.0054885999998</v>
      </c>
      <c r="AC399" s="372">
        <v>3975.6023587</v>
      </c>
      <c r="AD399" s="372">
        <v>3984.7174553999998</v>
      </c>
      <c r="AE399" s="372">
        <v>4235.2</v>
      </c>
      <c r="AF399" s="372">
        <v>5234.3999999999996</v>
      </c>
      <c r="AG399" s="372">
        <v>5839.5</v>
      </c>
      <c r="AH399" s="372">
        <v>0</v>
      </c>
    </row>
    <row r="400" spans="1:34">
      <c r="A400" s="372" t="s">
        <v>3326</v>
      </c>
      <c r="B400" s="373" t="s">
        <v>3327</v>
      </c>
      <c r="C400" s="372" t="s">
        <v>3328</v>
      </c>
      <c r="D400" s="374">
        <v>1601110067234</v>
      </c>
      <c r="E400" s="372" t="s">
        <v>3329</v>
      </c>
      <c r="F400" s="375" t="s">
        <v>16101</v>
      </c>
      <c r="G400" s="375" t="s">
        <v>16101</v>
      </c>
      <c r="H400" s="375" t="s">
        <v>861</v>
      </c>
      <c r="I400" s="375" t="s">
        <v>862</v>
      </c>
      <c r="J400" s="375">
        <v>2407.1931500000001</v>
      </c>
      <c r="K400" s="375">
        <v>-16074.137940000001</v>
      </c>
      <c r="L400" s="375">
        <v>-19953.84533</v>
      </c>
      <c r="M400" s="375">
        <v>20712.37456</v>
      </c>
      <c r="N400" s="372">
        <v>1.22</v>
      </c>
      <c r="O400" s="704">
        <v>0.70463849735602546</v>
      </c>
      <c r="P400" s="375" t="s">
        <v>622</v>
      </c>
      <c r="Q400" s="372" t="s">
        <v>622</v>
      </c>
      <c r="R400" s="696">
        <v>20150722</v>
      </c>
      <c r="S400" s="372" t="s">
        <v>3330</v>
      </c>
      <c r="T400" s="697" t="s">
        <v>771</v>
      </c>
      <c r="U400" s="372" t="s">
        <v>3331</v>
      </c>
      <c r="V400" s="723">
        <v>0</v>
      </c>
      <c r="W400" s="723">
        <v>0</v>
      </c>
      <c r="X400" s="723">
        <v>0</v>
      </c>
      <c r="Y400" s="723">
        <v>0</v>
      </c>
      <c r="Z400" s="382" t="s">
        <v>927</v>
      </c>
      <c r="AA400" s="372">
        <v>31.206976900000001</v>
      </c>
      <c r="AB400" s="372">
        <v>66.245119599999995</v>
      </c>
      <c r="AC400" s="372">
        <v>58.139955299999997</v>
      </c>
      <c r="AD400" s="372">
        <v>33.418935699999999</v>
      </c>
      <c r="AE400" s="372">
        <v>0</v>
      </c>
      <c r="AF400" s="372">
        <v>0</v>
      </c>
      <c r="AG400" s="372">
        <v>0</v>
      </c>
      <c r="AH400" s="372">
        <v>0</v>
      </c>
    </row>
    <row r="401" spans="1:34">
      <c r="A401" s="372" t="s">
        <v>3332</v>
      </c>
      <c r="B401" s="373" t="s">
        <v>3333</v>
      </c>
      <c r="C401" s="372" t="s">
        <v>3334</v>
      </c>
      <c r="D401" s="374">
        <v>0</v>
      </c>
      <c r="E401" s="372" t="s">
        <v>3335</v>
      </c>
      <c r="F401" s="372" t="s">
        <v>3336</v>
      </c>
      <c r="G401" s="375" t="s">
        <v>3336</v>
      </c>
      <c r="H401" s="375">
        <v>0</v>
      </c>
      <c r="I401" s="375" t="s">
        <v>754</v>
      </c>
      <c r="J401" s="375">
        <v>251511.00200000001</v>
      </c>
      <c r="K401" s="375">
        <v>1324.877</v>
      </c>
      <c r="L401" s="375">
        <v>-17414.579000000002</v>
      </c>
      <c r="M401" s="375">
        <v>420302.77</v>
      </c>
      <c r="N401" s="372">
        <v>0.497</v>
      </c>
      <c r="O401" s="704">
        <v>53.446176565803249</v>
      </c>
      <c r="P401" s="375" t="s">
        <v>622</v>
      </c>
      <c r="Q401" s="375" t="s">
        <v>622</v>
      </c>
      <c r="R401" s="696">
        <v>20101130</v>
      </c>
      <c r="S401" s="375" t="s">
        <v>854</v>
      </c>
      <c r="T401" s="697" t="s">
        <v>771</v>
      </c>
      <c r="U401" s="372" t="s">
        <v>3337</v>
      </c>
      <c r="V401" s="723">
        <v>27.34</v>
      </c>
      <c r="W401" s="723">
        <v>0.98</v>
      </c>
      <c r="X401" s="723">
        <v>1.62</v>
      </c>
      <c r="Y401" s="723" t="s">
        <v>773</v>
      </c>
      <c r="Z401" s="382" t="s">
        <v>927</v>
      </c>
      <c r="AA401" s="372">
        <v>2742.0719899999999</v>
      </c>
      <c r="AB401" s="372">
        <v>2048.6085800000001</v>
      </c>
      <c r="AC401" s="372">
        <v>2492.7855</v>
      </c>
      <c r="AD401" s="372">
        <v>2604.6617700000002</v>
      </c>
      <c r="AE401" s="372">
        <v>0</v>
      </c>
      <c r="AF401" s="372">
        <v>0</v>
      </c>
      <c r="AG401" s="372">
        <v>0</v>
      </c>
      <c r="AH401" s="372">
        <v>0</v>
      </c>
    </row>
    <row r="402" spans="1:34">
      <c r="A402" s="372" t="s">
        <v>3338</v>
      </c>
      <c r="B402" s="373" t="s">
        <v>3339</v>
      </c>
      <c r="C402" s="372" t="s">
        <v>3340</v>
      </c>
      <c r="D402" s="374">
        <v>1348110159279</v>
      </c>
      <c r="E402" s="372" t="s">
        <v>3341</v>
      </c>
      <c r="F402" s="375" t="s">
        <v>1820</v>
      </c>
      <c r="G402" s="375" t="s">
        <v>1820</v>
      </c>
      <c r="H402" s="375" t="s">
        <v>753</v>
      </c>
      <c r="I402" s="375" t="s">
        <v>754</v>
      </c>
      <c r="J402" s="375">
        <v>1462923.53003</v>
      </c>
      <c r="K402" s="375">
        <v>72267.176980000004</v>
      </c>
      <c r="L402" s="375">
        <v>56102.493799999997</v>
      </c>
      <c r="M402" s="375">
        <v>493463.55307000002</v>
      </c>
      <c r="N402" s="372">
        <v>0.94699999999999995</v>
      </c>
      <c r="O402" s="704">
        <v>12.747477247566492</v>
      </c>
      <c r="P402" s="375" t="s">
        <v>622</v>
      </c>
      <c r="Q402" s="375" t="s">
        <v>622</v>
      </c>
      <c r="R402" s="696">
        <v>20080801</v>
      </c>
      <c r="S402" s="375">
        <v>0</v>
      </c>
      <c r="T402" s="697">
        <v>0.23100000000000001</v>
      </c>
      <c r="U402" s="375" t="s">
        <v>3342</v>
      </c>
      <c r="V402" s="723">
        <v>13.39</v>
      </c>
      <c r="W402" s="723">
        <v>2.15</v>
      </c>
      <c r="X402" s="723">
        <v>0.68</v>
      </c>
      <c r="Y402" s="723">
        <v>24.93</v>
      </c>
      <c r="Z402" s="382">
        <v>0.12386837302717613</v>
      </c>
      <c r="AA402" s="372">
        <v>7079.3078971000004</v>
      </c>
      <c r="AB402" s="372">
        <v>9323.6252057999991</v>
      </c>
      <c r="AC402" s="372">
        <v>11647.0609021</v>
      </c>
      <c r="AD402" s="372">
        <v>12467.316471800001</v>
      </c>
      <c r="AE402" s="372">
        <v>15175</v>
      </c>
      <c r="AF402" s="372">
        <v>17512.25</v>
      </c>
      <c r="AG402" s="372">
        <v>19890</v>
      </c>
      <c r="AH402" s="372">
        <v>0</v>
      </c>
    </row>
    <row r="403" spans="1:34">
      <c r="A403" s="372" t="s">
        <v>3343</v>
      </c>
      <c r="B403" s="373" t="s">
        <v>3344</v>
      </c>
      <c r="C403" s="372" t="s">
        <v>3345</v>
      </c>
      <c r="D403" s="374">
        <v>1101116583490</v>
      </c>
      <c r="E403" s="372" t="s">
        <v>3346</v>
      </c>
      <c r="F403" s="375" t="s">
        <v>3347</v>
      </c>
      <c r="G403" s="375" t="s">
        <v>3347</v>
      </c>
      <c r="H403" s="375" t="s">
        <v>846</v>
      </c>
      <c r="I403" s="375" t="s">
        <v>754</v>
      </c>
      <c r="J403" s="375">
        <v>2268745.06978</v>
      </c>
      <c r="K403" s="375">
        <v>64751.404900000001</v>
      </c>
      <c r="L403" s="375">
        <v>53816.371700000003</v>
      </c>
      <c r="M403" s="375">
        <v>229760.44555999999</v>
      </c>
      <c r="N403" s="372">
        <v>0.98699999999999999</v>
      </c>
      <c r="O403" s="704">
        <v>36.14744088236754</v>
      </c>
      <c r="P403" s="375" t="s">
        <v>622</v>
      </c>
      <c r="Q403" s="375" t="s">
        <v>622</v>
      </c>
      <c r="R403" s="696">
        <v>20211013</v>
      </c>
      <c r="S403" s="375" t="s">
        <v>3348</v>
      </c>
      <c r="T403" s="697">
        <v>0.23100000000000001</v>
      </c>
      <c r="U403" s="375" t="s">
        <v>3349</v>
      </c>
      <c r="V403" s="723">
        <v>0</v>
      </c>
      <c r="W403" s="723">
        <v>0</v>
      </c>
      <c r="X403" s="723">
        <v>0</v>
      </c>
      <c r="Y403" s="723">
        <v>0</v>
      </c>
      <c r="Z403" s="382" t="s">
        <v>927</v>
      </c>
      <c r="AA403" s="372">
        <v>13231.137710000001</v>
      </c>
      <c r="AB403" s="372">
        <v>19023.942244499998</v>
      </c>
      <c r="AC403" s="372">
        <v>21772.6197359</v>
      </c>
      <c r="AD403" s="372">
        <v>20475.662322</v>
      </c>
      <c r="AE403" s="372">
        <v>0</v>
      </c>
      <c r="AF403" s="372">
        <v>0</v>
      </c>
      <c r="AG403" s="372">
        <v>0</v>
      </c>
      <c r="AH403" s="372">
        <v>0</v>
      </c>
    </row>
    <row r="404" spans="1:34">
      <c r="A404" s="372" t="s">
        <v>3350</v>
      </c>
      <c r="B404" s="373" t="s">
        <v>3351</v>
      </c>
      <c r="C404" s="372" t="s">
        <v>3352</v>
      </c>
      <c r="D404" s="374">
        <v>1101111999593</v>
      </c>
      <c r="E404" s="372" t="s">
        <v>3353</v>
      </c>
      <c r="F404" s="372" t="s">
        <v>16273</v>
      </c>
      <c r="G404" s="375" t="s">
        <v>16274</v>
      </c>
      <c r="H404" s="375" t="s">
        <v>1337</v>
      </c>
      <c r="I404" s="375" t="s">
        <v>862</v>
      </c>
      <c r="J404" s="375">
        <v>128235.36530999999</v>
      </c>
      <c r="K404" s="375">
        <v>23301.968290000001</v>
      </c>
      <c r="L404" s="375">
        <v>22294.114269999998</v>
      </c>
      <c r="M404" s="375">
        <v>222172.61543000001</v>
      </c>
      <c r="N404" s="372">
        <v>0.38200000000000001</v>
      </c>
      <c r="O404" s="704">
        <v>18.878925881153783</v>
      </c>
      <c r="P404" s="375" t="s">
        <v>622</v>
      </c>
      <c r="Q404" s="375" t="s">
        <v>622</v>
      </c>
      <c r="R404" s="696">
        <v>20110208</v>
      </c>
      <c r="S404" s="375" t="s">
        <v>3354</v>
      </c>
      <c r="T404" s="697">
        <v>0.23100000000000001</v>
      </c>
      <c r="U404" s="372" t="s">
        <v>3355</v>
      </c>
      <c r="V404" s="723">
        <v>10.53</v>
      </c>
      <c r="W404" s="723">
        <v>1.99</v>
      </c>
      <c r="X404" s="723">
        <v>2.87</v>
      </c>
      <c r="Y404" s="723">
        <v>20.39</v>
      </c>
      <c r="Z404" s="382">
        <v>0.11825664864415786</v>
      </c>
      <c r="AA404" s="372">
        <v>704.40395779999994</v>
      </c>
      <c r="AB404" s="372">
        <v>844.60348320000003</v>
      </c>
      <c r="AC404" s="372">
        <v>1109.2847555000001</v>
      </c>
      <c r="AD404" s="372">
        <v>1226.8623743999999</v>
      </c>
      <c r="AE404" s="372">
        <v>1327.5</v>
      </c>
      <c r="AF404" s="372">
        <v>1600.5</v>
      </c>
      <c r="AG404" s="372">
        <v>1918.5</v>
      </c>
      <c r="AH404" s="372">
        <v>0</v>
      </c>
    </row>
    <row r="405" spans="1:34">
      <c r="A405" s="372" t="s">
        <v>3356</v>
      </c>
      <c r="B405" s="373" t="s">
        <v>3357</v>
      </c>
      <c r="C405" s="372" t="s">
        <v>3358</v>
      </c>
      <c r="D405" s="374">
        <v>1801110550194</v>
      </c>
      <c r="E405" s="372" t="s">
        <v>3359</v>
      </c>
      <c r="F405" s="372" t="s">
        <v>1116</v>
      </c>
      <c r="G405" s="375" t="s">
        <v>1336</v>
      </c>
      <c r="H405" s="375" t="s">
        <v>1337</v>
      </c>
      <c r="I405" s="375" t="s">
        <v>862</v>
      </c>
      <c r="J405" s="375">
        <v>1229.70892</v>
      </c>
      <c r="K405" s="375">
        <v>-25451.98935</v>
      </c>
      <c r="L405" s="375">
        <v>-25769.344249999998</v>
      </c>
      <c r="M405" s="375">
        <v>138763.06289999999</v>
      </c>
      <c r="N405" s="372">
        <v>0.86699999999999999</v>
      </c>
      <c r="O405" s="704">
        <v>2.8881781599081591</v>
      </c>
      <c r="P405" s="375" t="s">
        <v>622</v>
      </c>
      <c r="Q405" s="372" t="s">
        <v>622</v>
      </c>
      <c r="R405" s="696">
        <v>20161206</v>
      </c>
      <c r="S405" s="375" t="s">
        <v>3360</v>
      </c>
      <c r="T405" s="697" t="s">
        <v>771</v>
      </c>
      <c r="U405" s="375" t="s">
        <v>3361</v>
      </c>
      <c r="V405" s="723" t="s">
        <v>773</v>
      </c>
      <c r="W405" s="723">
        <v>2.78</v>
      </c>
      <c r="X405" s="723">
        <v>264.58999999999997</v>
      </c>
      <c r="Y405" s="723" t="s">
        <v>773</v>
      </c>
      <c r="Z405" s="382" t="s">
        <v>927</v>
      </c>
      <c r="AA405" s="372">
        <v>16.697163199999999</v>
      </c>
      <c r="AB405" s="372">
        <v>2.5436280999999998</v>
      </c>
      <c r="AC405" s="372">
        <v>50.133629900000003</v>
      </c>
      <c r="AD405" s="372">
        <v>39.395586899999998</v>
      </c>
      <c r="AE405" s="372">
        <v>0</v>
      </c>
      <c r="AF405" s="372">
        <v>0</v>
      </c>
      <c r="AG405" s="372">
        <v>0</v>
      </c>
      <c r="AH405" s="372">
        <v>0</v>
      </c>
    </row>
    <row r="406" spans="1:34">
      <c r="A406" s="372" t="s">
        <v>3362</v>
      </c>
      <c r="B406" s="373" t="s">
        <v>3363</v>
      </c>
      <c r="C406" s="372" t="s">
        <v>3364</v>
      </c>
      <c r="D406" s="374">
        <v>1101112248882</v>
      </c>
      <c r="E406" s="372" t="s">
        <v>3365</v>
      </c>
      <c r="F406" s="375" t="s">
        <v>3366</v>
      </c>
      <c r="G406" s="375" t="s">
        <v>3367</v>
      </c>
      <c r="H406" s="375" t="s">
        <v>846</v>
      </c>
      <c r="I406" s="375" t="s">
        <v>754</v>
      </c>
      <c r="J406" s="375">
        <v>3390757.2549299998</v>
      </c>
      <c r="K406" s="375">
        <v>118421.89661</v>
      </c>
      <c r="L406" s="375">
        <v>205055.24689000001</v>
      </c>
      <c r="M406" s="375">
        <v>3856097.9247099999</v>
      </c>
      <c r="N406" s="372">
        <v>0.67900000000000005</v>
      </c>
      <c r="O406" s="704">
        <v>88.950814473947275</v>
      </c>
      <c r="P406" s="375" t="s">
        <v>622</v>
      </c>
      <c r="Q406" s="375" t="s">
        <v>622</v>
      </c>
      <c r="R406" s="696">
        <v>20100913</v>
      </c>
      <c r="S406" s="375" t="s">
        <v>3368</v>
      </c>
      <c r="T406" s="697">
        <v>0.23100000000000001</v>
      </c>
      <c r="U406" s="375" t="s">
        <v>3369</v>
      </c>
      <c r="V406" s="723">
        <v>8.8699999999999992</v>
      </c>
      <c r="W406" s="723">
        <v>0.25</v>
      </c>
      <c r="X406" s="723">
        <v>0.16</v>
      </c>
      <c r="Y406" s="723">
        <v>3.71</v>
      </c>
      <c r="Z406" s="382">
        <v>0.18426220598462106</v>
      </c>
      <c r="AA406" s="372">
        <v>21263.671238200001</v>
      </c>
      <c r="AB406" s="372">
        <v>20953.838488199999</v>
      </c>
      <c r="AC406" s="372">
        <v>21016.675690600001</v>
      </c>
      <c r="AD406" s="372">
        <v>20644.572667100001</v>
      </c>
      <c r="AE406" s="372">
        <v>38608.65</v>
      </c>
      <c r="AF406" s="372">
        <v>39268.480000000003</v>
      </c>
      <c r="AG406" s="372">
        <v>40606.67</v>
      </c>
      <c r="AH406" s="372">
        <v>0</v>
      </c>
    </row>
    <row r="407" spans="1:34">
      <c r="A407" s="372" t="s">
        <v>3370</v>
      </c>
      <c r="B407" s="373" t="s">
        <v>3371</v>
      </c>
      <c r="C407" s="372" t="s">
        <v>3372</v>
      </c>
      <c r="D407" s="374">
        <v>1101117875359</v>
      </c>
      <c r="E407" s="372" t="s">
        <v>3373</v>
      </c>
      <c r="F407" s="375" t="s">
        <v>893</v>
      </c>
      <c r="G407" s="375" t="s">
        <v>894</v>
      </c>
      <c r="H407" s="375" t="s">
        <v>855</v>
      </c>
      <c r="I407" s="375" t="s">
        <v>754</v>
      </c>
      <c r="J407" s="375">
        <v>190264</v>
      </c>
      <c r="K407" s="375">
        <v>153039</v>
      </c>
      <c r="L407" s="375">
        <v>163273</v>
      </c>
      <c r="M407" s="375">
        <v>1826080</v>
      </c>
      <c r="N407" s="372">
        <v>0.70599999999999996</v>
      </c>
      <c r="O407" s="704">
        <v>0.13503692191118458</v>
      </c>
      <c r="P407" s="375" t="s">
        <v>622</v>
      </c>
      <c r="Q407" s="375" t="s">
        <v>622</v>
      </c>
      <c r="R407" s="696">
        <v>20210527</v>
      </c>
      <c r="S407" s="375" t="s">
        <v>854</v>
      </c>
      <c r="T407" s="697">
        <v>0.23100000000000001</v>
      </c>
      <c r="U407" s="372" t="s">
        <v>3374</v>
      </c>
      <c r="V407" s="723">
        <v>3.56</v>
      </c>
      <c r="W407" s="723">
        <v>0.3</v>
      </c>
      <c r="X407" s="723">
        <v>2.92</v>
      </c>
      <c r="Y407" s="723">
        <v>3.51</v>
      </c>
      <c r="Z407" s="382">
        <v>0.20253314502494879</v>
      </c>
      <c r="AA407" s="372">
        <v>0</v>
      </c>
      <c r="AB407" s="372">
        <v>1858.12</v>
      </c>
      <c r="AC407" s="372">
        <v>2369.1799999999998</v>
      </c>
      <c r="AD407" s="372">
        <v>1181.1600000000001</v>
      </c>
      <c r="AE407" s="372">
        <v>2200</v>
      </c>
      <c r="AF407" s="372">
        <v>2313.33</v>
      </c>
      <c r="AG407" s="372">
        <v>2470</v>
      </c>
      <c r="AH407" s="372">
        <v>0</v>
      </c>
    </row>
    <row r="408" spans="1:34">
      <c r="A408" s="372" t="s">
        <v>3375</v>
      </c>
      <c r="B408" s="373" t="s">
        <v>3376</v>
      </c>
      <c r="C408" s="372" t="s">
        <v>3377</v>
      </c>
      <c r="D408" s="374">
        <v>1101111698145</v>
      </c>
      <c r="E408" s="372" t="s">
        <v>3378</v>
      </c>
      <c r="F408" s="375" t="s">
        <v>2518</v>
      </c>
      <c r="G408" s="375" t="s">
        <v>2518</v>
      </c>
      <c r="H408" s="375" t="s">
        <v>1337</v>
      </c>
      <c r="I408" s="375" t="s">
        <v>862</v>
      </c>
      <c r="J408" s="375">
        <v>293653.86930999998</v>
      </c>
      <c r="K408" s="375">
        <v>19755.9421</v>
      </c>
      <c r="L408" s="375">
        <v>7181.7205400000003</v>
      </c>
      <c r="M408" s="375">
        <v>200112.47211999999</v>
      </c>
      <c r="N408" s="372">
        <v>1.095</v>
      </c>
      <c r="O408" s="704">
        <v>6.1748897349326803</v>
      </c>
      <c r="P408" s="375" t="s">
        <v>622</v>
      </c>
      <c r="Q408" s="375" t="s">
        <v>622</v>
      </c>
      <c r="R408" s="696">
        <v>20180208</v>
      </c>
      <c r="S408" s="375" t="s">
        <v>3379</v>
      </c>
      <c r="T408" s="697">
        <v>0.20900000000000002</v>
      </c>
      <c r="U408" s="375" t="s">
        <v>3380</v>
      </c>
      <c r="V408" s="723">
        <v>14.48</v>
      </c>
      <c r="W408" s="723">
        <v>3.68</v>
      </c>
      <c r="X408" s="723">
        <v>2.4500000000000002</v>
      </c>
      <c r="Y408" s="723">
        <v>77.150000000000006</v>
      </c>
      <c r="Z408" s="382">
        <v>7.6058674914215807E-2</v>
      </c>
      <c r="AA408" s="372">
        <v>2473.3610444999999</v>
      </c>
      <c r="AB408" s="372">
        <v>2762.7352722999999</v>
      </c>
      <c r="AC408" s="372">
        <v>2660.6621584999998</v>
      </c>
      <c r="AD408" s="372">
        <v>2781.1182457</v>
      </c>
      <c r="AE408" s="372">
        <v>2970</v>
      </c>
      <c r="AF408" s="372">
        <v>3280.5</v>
      </c>
      <c r="AG408" s="372">
        <v>3728.75</v>
      </c>
      <c r="AH408" s="372">
        <v>4150</v>
      </c>
    </row>
    <row r="409" spans="1:34">
      <c r="A409" s="372" t="s">
        <v>3381</v>
      </c>
      <c r="B409" s="373" t="s">
        <v>3382</v>
      </c>
      <c r="C409" s="372" t="s">
        <v>3383</v>
      </c>
      <c r="D409" s="374">
        <v>1601110058887</v>
      </c>
      <c r="E409" s="372" t="s">
        <v>3384</v>
      </c>
      <c r="F409" s="375" t="s">
        <v>1393</v>
      </c>
      <c r="G409" s="375" t="s">
        <v>1393</v>
      </c>
      <c r="H409" s="375" t="s">
        <v>895</v>
      </c>
      <c r="I409" s="375" t="s">
        <v>862</v>
      </c>
      <c r="J409" s="375">
        <v>0</v>
      </c>
      <c r="K409" s="375">
        <v>0</v>
      </c>
      <c r="L409" s="375">
        <v>0</v>
      </c>
      <c r="M409" s="375">
        <v>0</v>
      </c>
      <c r="N409" s="372">
        <v>0.97899999999999998</v>
      </c>
      <c r="O409" s="704" t="s">
        <v>16301</v>
      </c>
      <c r="P409" s="375" t="s">
        <v>622</v>
      </c>
      <c r="Q409" s="372" t="s">
        <v>622</v>
      </c>
      <c r="R409" s="696">
        <v>20000607</v>
      </c>
      <c r="S409" s="375" t="s">
        <v>3385</v>
      </c>
      <c r="T409" s="697" t="s">
        <v>771</v>
      </c>
      <c r="U409" s="372" t="s">
        <v>3386</v>
      </c>
      <c r="V409" s="723">
        <v>0</v>
      </c>
      <c r="W409" s="723">
        <v>0</v>
      </c>
      <c r="X409" s="723">
        <v>0</v>
      </c>
      <c r="Y409" s="723">
        <v>0</v>
      </c>
      <c r="Z409" s="382" t="s">
        <v>927</v>
      </c>
      <c r="AA409" s="372">
        <v>409.33495299999998</v>
      </c>
      <c r="AB409" s="372">
        <v>8070.2149836999997</v>
      </c>
      <c r="AC409" s="372">
        <v>-4198.8154268999997</v>
      </c>
      <c r="AD409" s="372">
        <v>1623.0897786</v>
      </c>
      <c r="AE409" s="372">
        <v>0</v>
      </c>
      <c r="AF409" s="372">
        <v>0</v>
      </c>
      <c r="AG409" s="372">
        <v>0</v>
      </c>
      <c r="AH409" s="372">
        <v>0</v>
      </c>
    </row>
    <row r="410" spans="1:34">
      <c r="A410" s="372" t="s">
        <v>3387</v>
      </c>
      <c r="B410" s="373" t="s">
        <v>3388</v>
      </c>
      <c r="C410" s="372" t="s">
        <v>3389</v>
      </c>
      <c r="D410" s="374">
        <v>1101111421273</v>
      </c>
      <c r="E410" s="372" t="s">
        <v>3390</v>
      </c>
      <c r="F410" s="375" t="s">
        <v>1096</v>
      </c>
      <c r="G410" s="375" t="s">
        <v>1097</v>
      </c>
      <c r="H410" s="375" t="s">
        <v>861</v>
      </c>
      <c r="I410" s="375" t="s">
        <v>862</v>
      </c>
      <c r="J410" s="375">
        <v>362811.00047999999</v>
      </c>
      <c r="K410" s="375">
        <v>36080.579669999999</v>
      </c>
      <c r="L410" s="375">
        <v>38216.733249999997</v>
      </c>
      <c r="M410" s="375">
        <v>232214.51469000001</v>
      </c>
      <c r="N410" s="372">
        <v>0.36499999999999999</v>
      </c>
      <c r="O410" s="704">
        <v>0.73928009235405012</v>
      </c>
      <c r="P410" s="375" t="s">
        <v>622</v>
      </c>
      <c r="Q410" s="375" t="s">
        <v>622</v>
      </c>
      <c r="R410" s="696">
        <v>20161109</v>
      </c>
      <c r="S410" s="375" t="s">
        <v>3391</v>
      </c>
      <c r="T410" s="697">
        <v>0.23100000000000001</v>
      </c>
      <c r="U410" s="375" t="s">
        <v>3392</v>
      </c>
      <c r="V410" s="723">
        <v>14.49</v>
      </c>
      <c r="W410" s="723">
        <v>2.2999999999999998</v>
      </c>
      <c r="X410" s="723">
        <v>1.55</v>
      </c>
      <c r="Y410" s="723">
        <v>17.43</v>
      </c>
      <c r="Z410" s="382">
        <v>8.9755827395960441E-2</v>
      </c>
      <c r="AA410" s="372">
        <v>2182.1595339</v>
      </c>
      <c r="AB410" s="372">
        <v>2327.4401489000002</v>
      </c>
      <c r="AC410" s="372">
        <v>2724.55447</v>
      </c>
      <c r="AD410" s="372">
        <v>3305.8449721000002</v>
      </c>
      <c r="AE410" s="372">
        <v>3761.29</v>
      </c>
      <c r="AF410" s="372">
        <v>4220.71</v>
      </c>
      <c r="AG410" s="372">
        <v>4662.29</v>
      </c>
      <c r="AH410" s="372">
        <v>0</v>
      </c>
    </row>
    <row r="411" spans="1:34">
      <c r="A411" s="372" t="s">
        <v>3393</v>
      </c>
      <c r="B411" s="373" t="s">
        <v>3394</v>
      </c>
      <c r="C411" s="372" t="s">
        <v>3395</v>
      </c>
      <c r="D411" s="374">
        <v>1601110069636</v>
      </c>
      <c r="E411" s="372" t="s">
        <v>3396</v>
      </c>
      <c r="F411" s="375" t="s">
        <v>1185</v>
      </c>
      <c r="G411" s="375" t="s">
        <v>1186</v>
      </c>
      <c r="H411" s="375" t="s">
        <v>861</v>
      </c>
      <c r="I411" s="375" t="s">
        <v>862</v>
      </c>
      <c r="J411" s="375">
        <v>62731.442150000003</v>
      </c>
      <c r="K411" s="375">
        <v>-38951.449180000003</v>
      </c>
      <c r="L411" s="375">
        <v>-53487.546490000001</v>
      </c>
      <c r="M411" s="375">
        <v>74961.708159999995</v>
      </c>
      <c r="N411" s="372">
        <v>0.86099999999999999</v>
      </c>
      <c r="O411" s="704">
        <v>8.3392046572127558</v>
      </c>
      <c r="P411" s="375" t="s">
        <v>622</v>
      </c>
      <c r="Q411" s="375" t="s">
        <v>622</v>
      </c>
      <c r="R411" s="696">
        <v>20050624</v>
      </c>
      <c r="S411" s="375" t="s">
        <v>3397</v>
      </c>
      <c r="T411" s="697" t="s">
        <v>771</v>
      </c>
      <c r="U411" s="375" t="s">
        <v>3398</v>
      </c>
      <c r="V411" s="723" t="s">
        <v>773</v>
      </c>
      <c r="W411" s="723">
        <v>9.9499999999999993</v>
      </c>
      <c r="X411" s="723">
        <v>12.6</v>
      </c>
      <c r="Y411" s="723" t="s">
        <v>773</v>
      </c>
      <c r="Z411" s="382" t="s">
        <v>927</v>
      </c>
      <c r="AA411" s="372">
        <v>656.63215049999997</v>
      </c>
      <c r="AB411" s="372">
        <v>603.70607819999998</v>
      </c>
      <c r="AC411" s="372">
        <v>758.04115609999997</v>
      </c>
      <c r="AD411" s="372">
        <v>722.08573279999996</v>
      </c>
      <c r="AE411" s="372">
        <v>0</v>
      </c>
      <c r="AF411" s="372">
        <v>0</v>
      </c>
      <c r="AG411" s="372">
        <v>0</v>
      </c>
      <c r="AH411" s="372">
        <v>0</v>
      </c>
    </row>
    <row r="412" spans="1:34">
      <c r="A412" s="372" t="s">
        <v>3399</v>
      </c>
      <c r="B412" s="373" t="s">
        <v>3400</v>
      </c>
      <c r="C412" s="372" t="s">
        <v>3401</v>
      </c>
      <c r="D412" s="374">
        <v>1350110049607</v>
      </c>
      <c r="E412" s="372" t="s">
        <v>3402</v>
      </c>
      <c r="F412" s="375" t="s">
        <v>2075</v>
      </c>
      <c r="G412" s="375" t="s">
        <v>3403</v>
      </c>
      <c r="H412" s="375" t="s">
        <v>861</v>
      </c>
      <c r="I412" s="375" t="s">
        <v>862</v>
      </c>
      <c r="J412" s="375">
        <v>304522.78565999999</v>
      </c>
      <c r="K412" s="375">
        <v>25621.4755</v>
      </c>
      <c r="L412" s="375">
        <v>36304.036139999997</v>
      </c>
      <c r="M412" s="375">
        <v>272476.22506999999</v>
      </c>
      <c r="N412" s="372">
        <v>0.65200000000000002</v>
      </c>
      <c r="O412" s="704">
        <v>65.471857189442915</v>
      </c>
      <c r="P412" s="375" t="s">
        <v>622</v>
      </c>
      <c r="Q412" s="375" t="s">
        <v>622</v>
      </c>
      <c r="R412" s="696">
        <v>20100914</v>
      </c>
      <c r="S412" s="375" t="s">
        <v>3404</v>
      </c>
      <c r="T412" s="697">
        <v>0.23100000000000001</v>
      </c>
      <c r="U412" s="375" t="s">
        <v>3405</v>
      </c>
      <c r="V412" s="723">
        <v>13.94</v>
      </c>
      <c r="W412" s="723">
        <v>1.52</v>
      </c>
      <c r="X412" s="723">
        <v>1.29</v>
      </c>
      <c r="Y412" s="723">
        <v>14.38</v>
      </c>
      <c r="Z412" s="382" t="s">
        <v>927</v>
      </c>
      <c r="AA412" s="372">
        <v>2479.4966801</v>
      </c>
      <c r="AB412" s="372">
        <v>2954.5415658000002</v>
      </c>
      <c r="AC412" s="372">
        <v>2091.8857951999998</v>
      </c>
      <c r="AD412" s="372">
        <v>3578.4360989000002</v>
      </c>
      <c r="AE412" s="372">
        <v>0</v>
      </c>
      <c r="AF412" s="372">
        <v>0</v>
      </c>
      <c r="AG412" s="372">
        <v>0</v>
      </c>
      <c r="AH412" s="372">
        <v>0</v>
      </c>
    </row>
    <row r="413" spans="1:34">
      <c r="A413" s="372" t="s">
        <v>3406</v>
      </c>
      <c r="B413" s="373" t="s">
        <v>3407</v>
      </c>
      <c r="C413" s="372" t="s">
        <v>3408</v>
      </c>
      <c r="D413" s="374">
        <v>1801110001220</v>
      </c>
      <c r="E413" s="372" t="s">
        <v>3409</v>
      </c>
      <c r="F413" s="375" t="s">
        <v>811</v>
      </c>
      <c r="G413" s="375" t="s">
        <v>811</v>
      </c>
      <c r="H413" s="375" t="s">
        <v>812</v>
      </c>
      <c r="I413" s="375" t="s">
        <v>754</v>
      </c>
      <c r="J413" s="375">
        <v>1753202.4600500001</v>
      </c>
      <c r="K413" s="375">
        <v>39995.957240000003</v>
      </c>
      <c r="L413" s="375">
        <v>34800.575440000001</v>
      </c>
      <c r="M413" s="375">
        <v>1859888.42955</v>
      </c>
      <c r="N413" s="372">
        <v>0.73699999999999999</v>
      </c>
      <c r="O413" s="704">
        <v>48.116503190030699</v>
      </c>
      <c r="P413" s="375" t="s">
        <v>622</v>
      </c>
      <c r="Q413" s="372" t="s">
        <v>622</v>
      </c>
      <c r="R413" s="696">
        <v>19760525</v>
      </c>
      <c r="S413" s="372" t="s">
        <v>3410</v>
      </c>
      <c r="T413" s="697">
        <v>0.23100000000000001</v>
      </c>
      <c r="U413" s="375" t="s">
        <v>3411</v>
      </c>
      <c r="V413" s="723">
        <v>5.0999999999999996</v>
      </c>
      <c r="W413" s="723">
        <v>0.28000000000000003</v>
      </c>
      <c r="X413" s="723">
        <v>0.28000000000000003</v>
      </c>
      <c r="Y413" s="723">
        <v>14.43</v>
      </c>
      <c r="Z413" s="382" t="s">
        <v>927</v>
      </c>
      <c r="AA413" s="372">
        <v>13973.720099</v>
      </c>
      <c r="AB413" s="372">
        <v>16913.548770900001</v>
      </c>
      <c r="AC413" s="372">
        <v>20725.502231300001</v>
      </c>
      <c r="AD413" s="372">
        <v>17888.776884300001</v>
      </c>
      <c r="AE413" s="372">
        <v>0</v>
      </c>
      <c r="AF413" s="372">
        <v>0</v>
      </c>
      <c r="AG413" s="372">
        <v>0</v>
      </c>
      <c r="AH413" s="372">
        <v>0</v>
      </c>
    </row>
    <row r="414" spans="1:34">
      <c r="A414" s="372" t="s">
        <v>3412</v>
      </c>
      <c r="B414" s="373" t="s">
        <v>3413</v>
      </c>
      <c r="C414" s="372" t="s">
        <v>3414</v>
      </c>
      <c r="D414" s="374">
        <v>1358110290105</v>
      </c>
      <c r="E414" s="372" t="s">
        <v>3415</v>
      </c>
      <c r="F414" s="375" t="s">
        <v>1656</v>
      </c>
      <c r="G414" s="375" t="s">
        <v>2367</v>
      </c>
      <c r="H414" s="375" t="s">
        <v>861</v>
      </c>
      <c r="I414" s="375" t="s">
        <v>862</v>
      </c>
      <c r="J414" s="375">
        <v>71767.188510000007</v>
      </c>
      <c r="K414" s="375">
        <v>-5773.8452699999998</v>
      </c>
      <c r="L414" s="375">
        <v>-6204.5630899999996</v>
      </c>
      <c r="M414" s="375">
        <v>92396.231580000007</v>
      </c>
      <c r="N414" s="372" t="s">
        <v>1026</v>
      </c>
      <c r="O414" s="704">
        <v>5.6217816847573845</v>
      </c>
      <c r="P414" s="375" t="s">
        <v>622</v>
      </c>
      <c r="Q414" s="372" t="s">
        <v>622</v>
      </c>
      <c r="R414" s="696">
        <v>20231113</v>
      </c>
      <c r="S414" s="372" t="s">
        <v>3416</v>
      </c>
      <c r="T414" s="697" t="s">
        <v>771</v>
      </c>
      <c r="U414" s="372" t="s">
        <v>3417</v>
      </c>
      <c r="V414" s="723" t="s">
        <v>773</v>
      </c>
      <c r="W414" s="723">
        <v>3.24</v>
      </c>
      <c r="X414" s="723">
        <v>4.0199999999999996</v>
      </c>
      <c r="Y414" s="723" t="s">
        <v>773</v>
      </c>
      <c r="Z414" s="382">
        <v>0.22410709834602849</v>
      </c>
      <c r="AA414" s="372">
        <v>235.8501</v>
      </c>
      <c r="AB414" s="372">
        <v>451.95788010000001</v>
      </c>
      <c r="AC414" s="372">
        <v>696.29209119999996</v>
      </c>
      <c r="AD414" s="372">
        <v>741.54339770000001</v>
      </c>
      <c r="AE414" s="372">
        <v>910.5</v>
      </c>
      <c r="AF414" s="372">
        <v>1322.5</v>
      </c>
      <c r="AG414" s="372">
        <v>1665</v>
      </c>
      <c r="AH414" s="372">
        <v>0</v>
      </c>
    </row>
    <row r="415" spans="1:34">
      <c r="A415" s="372" t="s">
        <v>3418</v>
      </c>
      <c r="B415" s="373" t="s">
        <v>3419</v>
      </c>
      <c r="C415" s="372" t="s">
        <v>3420</v>
      </c>
      <c r="D415" s="374">
        <v>1152110000287</v>
      </c>
      <c r="E415" s="372" t="s">
        <v>3421</v>
      </c>
      <c r="F415" s="375" t="s">
        <v>16111</v>
      </c>
      <c r="G415" s="375" t="s">
        <v>16111</v>
      </c>
      <c r="H415" s="375" t="s">
        <v>1316</v>
      </c>
      <c r="I415" s="375" t="s">
        <v>754</v>
      </c>
      <c r="J415" s="375">
        <v>1449959.1657700001</v>
      </c>
      <c r="K415" s="375">
        <v>118474.27737</v>
      </c>
      <c r="L415" s="375">
        <v>118080.10576000001</v>
      </c>
      <c r="M415" s="375">
        <v>724015.49496000004</v>
      </c>
      <c r="N415" s="372">
        <v>0.433</v>
      </c>
      <c r="O415" s="704">
        <v>17.754408009867056</v>
      </c>
      <c r="P415" s="375" t="s">
        <v>622</v>
      </c>
      <c r="Q415" s="375" t="s">
        <v>622</v>
      </c>
      <c r="R415" s="696">
        <v>19780831</v>
      </c>
      <c r="S415" s="375" t="s">
        <v>3422</v>
      </c>
      <c r="T415" s="697">
        <v>0.23100000000000001</v>
      </c>
      <c r="U415" s="375" t="s">
        <v>3423</v>
      </c>
      <c r="V415" s="723">
        <v>3.5</v>
      </c>
      <c r="W415" s="723">
        <v>0.85</v>
      </c>
      <c r="X415" s="723">
        <v>0.44</v>
      </c>
      <c r="Y415" s="723">
        <v>6.97</v>
      </c>
      <c r="Z415" s="382">
        <v>3.4010467259889543E-2</v>
      </c>
      <c r="AA415" s="372">
        <v>9591.2948959999994</v>
      </c>
      <c r="AB415" s="372">
        <v>11474.3511862</v>
      </c>
      <c r="AC415" s="372">
        <v>12676.8582267</v>
      </c>
      <c r="AD415" s="372">
        <v>13943.163823999999</v>
      </c>
      <c r="AE415" s="372">
        <v>14578.4</v>
      </c>
      <c r="AF415" s="372">
        <v>15271.4</v>
      </c>
      <c r="AG415" s="372">
        <v>15939</v>
      </c>
      <c r="AH415" s="372">
        <v>0</v>
      </c>
    </row>
    <row r="416" spans="1:34">
      <c r="A416" s="372" t="s">
        <v>3424</v>
      </c>
      <c r="B416" s="373" t="s">
        <v>3425</v>
      </c>
      <c r="C416" s="372" t="s">
        <v>3426</v>
      </c>
      <c r="D416" s="374">
        <v>1101110275069</v>
      </c>
      <c r="E416" s="372" t="s">
        <v>3427</v>
      </c>
      <c r="F416" s="375" t="s">
        <v>1598</v>
      </c>
      <c r="G416" s="375" t="s">
        <v>1599</v>
      </c>
      <c r="H416" s="375" t="s">
        <v>826</v>
      </c>
      <c r="I416" s="375" t="s">
        <v>754</v>
      </c>
      <c r="J416" s="375">
        <v>1083449.90594</v>
      </c>
      <c r="K416" s="375">
        <v>104398.64505000001</v>
      </c>
      <c r="L416" s="375">
        <v>98338.122600000002</v>
      </c>
      <c r="M416" s="375">
        <v>979090.75477999996</v>
      </c>
      <c r="N416" s="372">
        <v>0.99299999999999999</v>
      </c>
      <c r="O416" s="704">
        <v>48.605655608185685</v>
      </c>
      <c r="P416" s="375" t="s">
        <v>622</v>
      </c>
      <c r="Q416" s="372" t="s">
        <v>622</v>
      </c>
      <c r="R416" s="696">
        <v>20041203</v>
      </c>
      <c r="S416" s="372" t="s">
        <v>3428</v>
      </c>
      <c r="T416" s="697">
        <v>0.23100000000000001</v>
      </c>
      <c r="U416" s="372" t="s">
        <v>3429</v>
      </c>
      <c r="V416" s="723">
        <v>4.0199999999999996</v>
      </c>
      <c r="W416" s="723">
        <v>0.54</v>
      </c>
      <c r="X416" s="723">
        <v>0.49</v>
      </c>
      <c r="Y416" s="723">
        <v>6.41</v>
      </c>
      <c r="Z416" s="382">
        <v>3.8759775082244596E-2</v>
      </c>
      <c r="AA416" s="372">
        <v>8904.6035854000002</v>
      </c>
      <c r="AB416" s="372">
        <v>8771.1034491999999</v>
      </c>
      <c r="AC416" s="372">
        <v>14049.0246161</v>
      </c>
      <c r="AD416" s="372">
        <v>11337.150061300001</v>
      </c>
      <c r="AE416" s="372">
        <v>10947.78</v>
      </c>
      <c r="AF416" s="372">
        <v>12349.22</v>
      </c>
      <c r="AG416" s="372">
        <v>13199.71</v>
      </c>
      <c r="AH416" s="372">
        <v>0</v>
      </c>
    </row>
    <row r="417" spans="1:34">
      <c r="A417" s="372" t="s">
        <v>3430</v>
      </c>
      <c r="B417" s="373" t="s">
        <v>3431</v>
      </c>
      <c r="C417" s="372" t="s">
        <v>3432</v>
      </c>
      <c r="D417" s="374">
        <v>1101110090516</v>
      </c>
      <c r="E417" s="372" t="s">
        <v>3433</v>
      </c>
      <c r="F417" s="372" t="s">
        <v>2222</v>
      </c>
      <c r="G417" s="375" t="s">
        <v>2222</v>
      </c>
      <c r="H417" s="375" t="s">
        <v>1316</v>
      </c>
      <c r="I417" s="375" t="s">
        <v>754</v>
      </c>
      <c r="J417" s="375">
        <v>3402370.2775400002</v>
      </c>
      <c r="K417" s="375">
        <v>93753.185400000002</v>
      </c>
      <c r="L417" s="375">
        <v>95164.455319999994</v>
      </c>
      <c r="M417" s="375">
        <v>473377.78354999999</v>
      </c>
      <c r="N417" s="372">
        <v>0.56799999999999995</v>
      </c>
      <c r="O417" s="704">
        <v>94.382613264908798</v>
      </c>
      <c r="P417" s="375" t="s">
        <v>622</v>
      </c>
      <c r="Q417" s="375" t="s">
        <v>622</v>
      </c>
      <c r="R417" s="696">
        <v>19750502</v>
      </c>
      <c r="S417" s="375" t="s">
        <v>3434</v>
      </c>
      <c r="T417" s="697">
        <v>0.23100000000000001</v>
      </c>
      <c r="U417" s="375" t="s">
        <v>3435</v>
      </c>
      <c r="V417" s="723">
        <v>4.21</v>
      </c>
      <c r="W417" s="723">
        <v>0.85</v>
      </c>
      <c r="X417" s="723">
        <v>0.13</v>
      </c>
      <c r="Y417" s="723">
        <v>5.45</v>
      </c>
      <c r="Z417" s="382">
        <v>2.3850042622235001E-2</v>
      </c>
      <c r="AA417" s="372">
        <v>25427.0943018</v>
      </c>
      <c r="AB417" s="372">
        <v>29466.537866499999</v>
      </c>
      <c r="AC417" s="372">
        <v>33145.472804999998</v>
      </c>
      <c r="AD417" s="372">
        <v>34333.222964499997</v>
      </c>
      <c r="AE417" s="372">
        <v>34788.67</v>
      </c>
      <c r="AF417" s="372">
        <v>36152.33</v>
      </c>
      <c r="AG417" s="372">
        <v>37727.67</v>
      </c>
      <c r="AH417" s="372">
        <v>0</v>
      </c>
    </row>
    <row r="418" spans="1:34">
      <c r="A418" s="372" t="s">
        <v>3436</v>
      </c>
      <c r="B418" s="373" t="s">
        <v>3437</v>
      </c>
      <c r="C418" s="372" t="s">
        <v>3438</v>
      </c>
      <c r="D418" s="374">
        <v>1601110099451</v>
      </c>
      <c r="E418" s="372" t="s">
        <v>3439</v>
      </c>
      <c r="F418" s="375" t="s">
        <v>845</v>
      </c>
      <c r="G418" s="375" t="s">
        <v>845</v>
      </c>
      <c r="H418" s="375" t="s">
        <v>3099</v>
      </c>
      <c r="I418" s="375" t="s">
        <v>862</v>
      </c>
      <c r="J418" s="375">
        <v>51664.066830000003</v>
      </c>
      <c r="K418" s="375">
        <v>-10217.38024</v>
      </c>
      <c r="L418" s="375">
        <v>-28100.046750000001</v>
      </c>
      <c r="M418" s="375">
        <v>168624.40966999999</v>
      </c>
      <c r="N418" s="372">
        <v>1.2030000000000001</v>
      </c>
      <c r="O418" s="704">
        <v>2.6400504953559052</v>
      </c>
      <c r="P418" s="375" t="s">
        <v>622</v>
      </c>
      <c r="Q418" s="372" t="s">
        <v>622</v>
      </c>
      <c r="R418" s="696">
        <v>20100326</v>
      </c>
      <c r="S418" s="375" t="s">
        <v>3440</v>
      </c>
      <c r="T418" s="697" t="s">
        <v>771</v>
      </c>
      <c r="U418" s="372" t="s">
        <v>15854</v>
      </c>
      <c r="V418" s="723" t="s">
        <v>773</v>
      </c>
      <c r="W418" s="723">
        <v>5.18</v>
      </c>
      <c r="X418" s="723">
        <v>14.68</v>
      </c>
      <c r="Y418" s="723" t="s">
        <v>773</v>
      </c>
      <c r="Z418" s="382" t="s">
        <v>927</v>
      </c>
      <c r="AA418" s="372">
        <v>429.29780549999998</v>
      </c>
      <c r="AB418" s="372">
        <v>435.86410990000002</v>
      </c>
      <c r="AC418" s="372">
        <v>424.02741730000002</v>
      </c>
      <c r="AD418" s="372">
        <v>537.49062570000001</v>
      </c>
      <c r="AE418" s="372">
        <v>0</v>
      </c>
      <c r="AF418" s="372">
        <v>0</v>
      </c>
      <c r="AG418" s="372">
        <v>0</v>
      </c>
      <c r="AH418" s="372">
        <v>0</v>
      </c>
    </row>
    <row r="419" spans="1:34">
      <c r="A419" s="372" t="s">
        <v>3441</v>
      </c>
      <c r="B419" s="373" t="s">
        <v>3442</v>
      </c>
      <c r="C419" s="372" t="s">
        <v>3443</v>
      </c>
      <c r="D419" s="374">
        <v>1341110013552</v>
      </c>
      <c r="E419" s="372" t="s">
        <v>3444</v>
      </c>
      <c r="F419" s="375" t="s">
        <v>2834</v>
      </c>
      <c r="G419" s="375" t="s">
        <v>2834</v>
      </c>
      <c r="H419" s="375" t="s">
        <v>861</v>
      </c>
      <c r="I419" s="375" t="s">
        <v>862</v>
      </c>
      <c r="J419" s="375">
        <v>613452.98659999995</v>
      </c>
      <c r="K419" s="375">
        <v>10878.3943</v>
      </c>
      <c r="L419" s="375">
        <v>28687.225890000002</v>
      </c>
      <c r="M419" s="375">
        <v>748029.95430999994</v>
      </c>
      <c r="N419" s="372">
        <v>1.0940000000000001</v>
      </c>
      <c r="O419" s="704">
        <v>11.402349038881914</v>
      </c>
      <c r="P419" s="375" t="s">
        <v>622</v>
      </c>
      <c r="Q419" s="375" t="s">
        <v>622</v>
      </c>
      <c r="R419" s="696">
        <v>20020219</v>
      </c>
      <c r="S419" s="375" t="s">
        <v>3445</v>
      </c>
      <c r="T419" s="697">
        <v>0.23100000000000001</v>
      </c>
      <c r="U419" s="375" t="s">
        <v>3446</v>
      </c>
      <c r="V419" s="723">
        <v>17.38</v>
      </c>
      <c r="W419" s="723">
        <v>0.6</v>
      </c>
      <c r="X419" s="723">
        <v>0.66</v>
      </c>
      <c r="Y419" s="723">
        <v>21.25</v>
      </c>
      <c r="Z419" s="382">
        <v>6.7545123650173844E-2</v>
      </c>
      <c r="AA419" s="372">
        <v>7778.4006516999998</v>
      </c>
      <c r="AB419" s="372">
        <v>10520.381156199999</v>
      </c>
      <c r="AC419" s="372">
        <v>10979.6327669</v>
      </c>
      <c r="AD419" s="372">
        <v>5773.7555026999999</v>
      </c>
      <c r="AE419" s="372">
        <v>6626</v>
      </c>
      <c r="AF419" s="372">
        <v>7165</v>
      </c>
      <c r="AG419" s="372">
        <v>7499</v>
      </c>
      <c r="AH419" s="372">
        <v>0</v>
      </c>
    </row>
    <row r="420" spans="1:34">
      <c r="A420" s="372" t="s">
        <v>3447</v>
      </c>
      <c r="B420" s="373" t="s">
        <v>3448</v>
      </c>
      <c r="C420" s="372" t="s">
        <v>3449</v>
      </c>
      <c r="D420" s="374">
        <v>1101110166127</v>
      </c>
      <c r="E420" s="372" t="s">
        <v>3450</v>
      </c>
      <c r="F420" s="375" t="s">
        <v>3451</v>
      </c>
      <c r="G420" s="375" t="s">
        <v>3451</v>
      </c>
      <c r="H420" s="375" t="s">
        <v>3099</v>
      </c>
      <c r="I420" s="375" t="s">
        <v>862</v>
      </c>
      <c r="J420" s="375">
        <v>799999.93559999997</v>
      </c>
      <c r="K420" s="375">
        <v>33793.521370000002</v>
      </c>
      <c r="L420" s="375">
        <v>22902.069049999998</v>
      </c>
      <c r="M420" s="375">
        <v>352775.75114000001</v>
      </c>
      <c r="N420" s="372">
        <v>0.56000000000000005</v>
      </c>
      <c r="O420" s="704">
        <v>329.33881858776004</v>
      </c>
      <c r="P420" s="375" t="s">
        <v>622</v>
      </c>
      <c r="Q420" s="375" t="s">
        <v>622</v>
      </c>
      <c r="R420" s="696">
        <v>19971013</v>
      </c>
      <c r="S420" s="375" t="s">
        <v>3452</v>
      </c>
      <c r="T420" s="697">
        <v>0.23100000000000001</v>
      </c>
      <c r="U420" s="372" t="s">
        <v>3453</v>
      </c>
      <c r="V420" s="723">
        <v>7.49</v>
      </c>
      <c r="W420" s="723">
        <v>0.37</v>
      </c>
      <c r="X420" s="723">
        <v>0.19</v>
      </c>
      <c r="Y420" s="723">
        <v>5.95</v>
      </c>
      <c r="Z420" s="382" t="s">
        <v>927</v>
      </c>
      <c r="AA420" s="372">
        <v>4264.2143126000001</v>
      </c>
      <c r="AB420" s="372">
        <v>6739.7962725999996</v>
      </c>
      <c r="AC420" s="372">
        <v>8220.1840659999998</v>
      </c>
      <c r="AD420" s="372">
        <v>8080.4256243999998</v>
      </c>
      <c r="AE420" s="372">
        <v>13428</v>
      </c>
      <c r="AF420" s="372">
        <v>13776</v>
      </c>
      <c r="AG420" s="372">
        <v>0</v>
      </c>
      <c r="AH420" s="372">
        <v>0</v>
      </c>
    </row>
    <row r="421" spans="1:34">
      <c r="A421" s="372" t="s">
        <v>3454</v>
      </c>
      <c r="B421" s="373" t="s">
        <v>3455</v>
      </c>
      <c r="C421" s="372" t="s">
        <v>3456</v>
      </c>
      <c r="D421" s="374">
        <v>1101110974851</v>
      </c>
      <c r="E421" s="372" t="s">
        <v>3457</v>
      </c>
      <c r="F421" s="375" t="s">
        <v>1796</v>
      </c>
      <c r="G421" s="375" t="s">
        <v>2797</v>
      </c>
      <c r="H421" s="375" t="s">
        <v>861</v>
      </c>
      <c r="I421" s="375" t="s">
        <v>862</v>
      </c>
      <c r="J421" s="375">
        <v>105060.81230999999</v>
      </c>
      <c r="K421" s="375">
        <v>-9763.1715100000001</v>
      </c>
      <c r="L421" s="375">
        <v>-17025.478169999998</v>
      </c>
      <c r="M421" s="375">
        <v>87786.554359999995</v>
      </c>
      <c r="N421" s="372">
        <v>0.41399999999999998</v>
      </c>
      <c r="O421" s="704">
        <v>45.284830357830963</v>
      </c>
      <c r="P421" s="375" t="s">
        <v>622</v>
      </c>
      <c r="Q421" s="372" t="s">
        <v>622</v>
      </c>
      <c r="R421" s="696">
        <v>20080701</v>
      </c>
      <c r="S421" s="375" t="s">
        <v>3458</v>
      </c>
      <c r="T421" s="697" t="s">
        <v>771</v>
      </c>
      <c r="U421" s="375" t="s">
        <v>3459</v>
      </c>
      <c r="V421" s="723" t="s">
        <v>773</v>
      </c>
      <c r="W421" s="723">
        <v>1.98</v>
      </c>
      <c r="X421" s="723">
        <v>1.57</v>
      </c>
      <c r="Y421" s="723" t="s">
        <v>773</v>
      </c>
      <c r="Z421" s="382">
        <v>0.12795402903652864</v>
      </c>
      <c r="AA421" s="372">
        <v>836.56677609999997</v>
      </c>
      <c r="AB421" s="372">
        <v>895.82769299999995</v>
      </c>
      <c r="AC421" s="372">
        <v>887.67503739999995</v>
      </c>
      <c r="AD421" s="372">
        <v>924.81784430000005</v>
      </c>
      <c r="AE421" s="372">
        <v>1050</v>
      </c>
      <c r="AF421" s="372">
        <v>1296</v>
      </c>
      <c r="AG421" s="372">
        <v>1497</v>
      </c>
      <c r="AH421" s="372">
        <v>0</v>
      </c>
    </row>
    <row r="422" spans="1:34">
      <c r="A422" s="372" t="s">
        <v>3460</v>
      </c>
      <c r="B422" s="373" t="s">
        <v>3461</v>
      </c>
      <c r="C422" s="372" t="s">
        <v>3462</v>
      </c>
      <c r="D422" s="374">
        <v>1601110393069</v>
      </c>
      <c r="E422" s="372" t="s">
        <v>3463</v>
      </c>
      <c r="F422" s="375" t="s">
        <v>1006</v>
      </c>
      <c r="G422" s="375" t="s">
        <v>3464</v>
      </c>
      <c r="H422" s="375" t="s">
        <v>861</v>
      </c>
      <c r="I422" s="375" t="s">
        <v>862</v>
      </c>
      <c r="J422" s="375">
        <v>655453.42987999995</v>
      </c>
      <c r="K422" s="375">
        <v>99447.693289999996</v>
      </c>
      <c r="L422" s="375">
        <v>88200.742010000002</v>
      </c>
      <c r="M422" s="375">
        <v>447228.34386999998</v>
      </c>
      <c r="N422" s="372">
        <v>0.66100000000000003</v>
      </c>
      <c r="O422" s="704">
        <v>20.754120004188394</v>
      </c>
      <c r="P422" s="375" t="s">
        <v>622</v>
      </c>
      <c r="Q422" s="375" t="s">
        <v>622</v>
      </c>
      <c r="R422" s="696">
        <v>20150403</v>
      </c>
      <c r="S422" s="375" t="s">
        <v>3465</v>
      </c>
      <c r="T422" s="697">
        <v>0.23100000000000001</v>
      </c>
      <c r="U422" s="375" t="s">
        <v>3466</v>
      </c>
      <c r="V422" s="723">
        <v>2.94</v>
      </c>
      <c r="W422" s="723">
        <v>0.92</v>
      </c>
      <c r="X422" s="723">
        <v>0.66</v>
      </c>
      <c r="Y422" s="723">
        <v>6.48</v>
      </c>
      <c r="Z422" s="382">
        <v>3.3180533480162921E-2</v>
      </c>
      <c r="AA422" s="372">
        <v>2985.2408546000001</v>
      </c>
      <c r="AB422" s="372">
        <v>4403.0810351</v>
      </c>
      <c r="AC422" s="372">
        <v>6175.1398692000002</v>
      </c>
      <c r="AD422" s="372">
        <v>6851.1103376999999</v>
      </c>
      <c r="AE422" s="372">
        <v>6545</v>
      </c>
      <c r="AF422" s="372">
        <v>7172.33</v>
      </c>
      <c r="AG422" s="372">
        <v>7806.67</v>
      </c>
      <c r="AH422" s="372">
        <v>0</v>
      </c>
    </row>
    <row r="423" spans="1:34">
      <c r="A423" s="372" t="s">
        <v>3467</v>
      </c>
      <c r="B423" s="373" t="s">
        <v>3468</v>
      </c>
      <c r="C423" s="372" t="s">
        <v>3469</v>
      </c>
      <c r="D423" s="374">
        <v>1101110006456</v>
      </c>
      <c r="E423" s="372" t="s">
        <v>3470</v>
      </c>
      <c r="F423" s="375" t="s">
        <v>958</v>
      </c>
      <c r="G423" s="375" t="s">
        <v>959</v>
      </c>
      <c r="H423" s="375" t="s">
        <v>933</v>
      </c>
      <c r="I423" s="375" t="s">
        <v>754</v>
      </c>
      <c r="J423" s="375">
        <v>5215367.8144899998</v>
      </c>
      <c r="K423" s="375">
        <v>437717.37105999998</v>
      </c>
      <c r="L423" s="375">
        <v>440940.90418999997</v>
      </c>
      <c r="M423" s="375">
        <v>2959573.5358799999</v>
      </c>
      <c r="N423" s="372">
        <v>0.59299999999999997</v>
      </c>
      <c r="O423" s="704">
        <v>108.41789652328326</v>
      </c>
      <c r="P423" s="375" t="s">
        <v>622</v>
      </c>
      <c r="Q423" s="372" t="s">
        <v>622</v>
      </c>
      <c r="R423" s="696">
        <v>19750630</v>
      </c>
      <c r="S423" s="372" t="s">
        <v>3471</v>
      </c>
      <c r="T423" s="697">
        <v>0.26400000000000001</v>
      </c>
      <c r="U423" s="372" t="s">
        <v>3472</v>
      </c>
      <c r="V423" s="723">
        <v>0</v>
      </c>
      <c r="W423" s="723">
        <v>0.27</v>
      </c>
      <c r="X423" s="723">
        <v>0.12</v>
      </c>
      <c r="Y423" s="723">
        <v>2.2999999999999998</v>
      </c>
      <c r="Z423" s="382" t="s">
        <v>927</v>
      </c>
      <c r="AA423" s="372">
        <v>59941.806085299999</v>
      </c>
      <c r="AB423" s="372">
        <v>61358.278336099997</v>
      </c>
      <c r="AC423" s="372">
        <v>46717.5444967</v>
      </c>
      <c r="AD423" s="372">
        <v>48765.201679999998</v>
      </c>
      <c r="AE423" s="372">
        <v>0</v>
      </c>
      <c r="AF423" s="372">
        <v>0</v>
      </c>
      <c r="AG423" s="372">
        <v>0</v>
      </c>
      <c r="AH423" s="372">
        <v>0</v>
      </c>
    </row>
    <row r="424" spans="1:34">
      <c r="A424" s="372" t="s">
        <v>3473</v>
      </c>
      <c r="B424" s="373" t="s">
        <v>3474</v>
      </c>
      <c r="C424" s="372" t="s">
        <v>3475</v>
      </c>
      <c r="D424" s="374">
        <v>1101110042492</v>
      </c>
      <c r="E424" s="372" t="s">
        <v>3476</v>
      </c>
      <c r="F424" s="375" t="s">
        <v>1262</v>
      </c>
      <c r="G424" s="375" t="s">
        <v>1263</v>
      </c>
      <c r="H424" s="375" t="s">
        <v>1264</v>
      </c>
      <c r="I424" s="375" t="s">
        <v>754</v>
      </c>
      <c r="J424" s="375">
        <v>535010.18999999994</v>
      </c>
      <c r="K424" s="375">
        <v>109832.988</v>
      </c>
      <c r="L424" s="375">
        <v>109117.577</v>
      </c>
      <c r="M424" s="375">
        <v>1604839.125</v>
      </c>
      <c r="N424" s="372">
        <v>0.85699999999999998</v>
      </c>
      <c r="O424" s="704">
        <v>1492.7240467146378</v>
      </c>
      <c r="P424" s="375" t="s">
        <v>622</v>
      </c>
      <c r="Q424" s="375" t="s">
        <v>622</v>
      </c>
      <c r="R424" s="696">
        <v>19880121</v>
      </c>
      <c r="S424" s="375" t="s">
        <v>3257</v>
      </c>
      <c r="T424" s="697">
        <v>0.23100000000000001</v>
      </c>
      <c r="U424" s="375" t="s">
        <v>3477</v>
      </c>
      <c r="V424" s="723">
        <v>0</v>
      </c>
      <c r="W424" s="723">
        <v>0.37</v>
      </c>
      <c r="X424" s="723">
        <v>0.23</v>
      </c>
      <c r="Y424" s="723">
        <v>7.82</v>
      </c>
      <c r="Z424" s="382" t="s">
        <v>927</v>
      </c>
      <c r="AA424" s="372">
        <v>4919.3649500000001</v>
      </c>
      <c r="AB424" s="372">
        <v>7546.8543399999999</v>
      </c>
      <c r="AC424" s="372">
        <v>3852.7844300000002</v>
      </c>
      <c r="AD424" s="372">
        <v>5099.1248900000001</v>
      </c>
      <c r="AE424" s="372">
        <v>0</v>
      </c>
      <c r="AF424" s="372">
        <v>0</v>
      </c>
      <c r="AG424" s="372">
        <v>0</v>
      </c>
      <c r="AH424" s="372">
        <v>0</v>
      </c>
    </row>
    <row r="425" spans="1:34">
      <c r="A425" s="372" t="s">
        <v>3478</v>
      </c>
      <c r="B425" s="373" t="s">
        <v>3479</v>
      </c>
      <c r="C425" s="372" t="s">
        <v>3480</v>
      </c>
      <c r="D425" s="374">
        <v>1350110042924</v>
      </c>
      <c r="E425" s="372" t="s">
        <v>3481</v>
      </c>
      <c r="F425" s="375" t="s">
        <v>998</v>
      </c>
      <c r="G425" s="375" t="s">
        <v>999</v>
      </c>
      <c r="H425" s="375" t="s">
        <v>861</v>
      </c>
      <c r="I425" s="375" t="s">
        <v>862</v>
      </c>
      <c r="J425" s="375">
        <v>490659.65078000003</v>
      </c>
      <c r="K425" s="375">
        <v>35771.62197</v>
      </c>
      <c r="L425" s="375">
        <v>30205.07156</v>
      </c>
      <c r="M425" s="375">
        <v>252493.99716999999</v>
      </c>
      <c r="N425" s="372">
        <v>0.80900000000000005</v>
      </c>
      <c r="O425" s="704">
        <v>0.12731532194500705</v>
      </c>
      <c r="P425" s="375" t="s">
        <v>622</v>
      </c>
      <c r="Q425" s="375" t="s">
        <v>622</v>
      </c>
      <c r="R425" s="696">
        <v>20030120</v>
      </c>
      <c r="S425" s="375" t="s">
        <v>3482</v>
      </c>
      <c r="T425" s="697">
        <v>0.23100000000000001</v>
      </c>
      <c r="U425" s="372" t="s">
        <v>3483</v>
      </c>
      <c r="V425" s="723">
        <v>5.21</v>
      </c>
      <c r="W425" s="723">
        <v>1.06</v>
      </c>
      <c r="X425" s="723">
        <v>0.54</v>
      </c>
      <c r="Y425" s="723">
        <v>7.87</v>
      </c>
      <c r="Z425" s="382">
        <v>6.8910629924960887E-2</v>
      </c>
      <c r="AA425" s="372">
        <v>3236.9127874999999</v>
      </c>
      <c r="AB425" s="372">
        <v>4469.9549035</v>
      </c>
      <c r="AC425" s="372">
        <v>4427.0995831999999</v>
      </c>
      <c r="AD425" s="372">
        <v>4381.5769658999998</v>
      </c>
      <c r="AE425" s="372">
        <v>5268.5</v>
      </c>
      <c r="AF425" s="372">
        <v>5655</v>
      </c>
      <c r="AG425" s="372">
        <v>5720</v>
      </c>
      <c r="AH425" s="372">
        <v>0</v>
      </c>
    </row>
    <row r="426" spans="1:34">
      <c r="A426" s="372" t="s">
        <v>3484</v>
      </c>
      <c r="B426" s="373" t="s">
        <v>3485</v>
      </c>
      <c r="C426" s="372" t="s">
        <v>3486</v>
      </c>
      <c r="D426" s="374">
        <v>1101116168614</v>
      </c>
      <c r="E426" s="372" t="s">
        <v>3487</v>
      </c>
      <c r="F426" s="375" t="s">
        <v>1962</v>
      </c>
      <c r="G426" s="375" t="s">
        <v>1962</v>
      </c>
      <c r="H426" s="375" t="s">
        <v>861</v>
      </c>
      <c r="I426" s="375" t="s">
        <v>862</v>
      </c>
      <c r="J426" s="375">
        <v>96471.437109999999</v>
      </c>
      <c r="K426" s="375">
        <v>13611.43341</v>
      </c>
      <c r="L426" s="375">
        <v>14495.730509999999</v>
      </c>
      <c r="M426" s="375">
        <v>106637.88422000001</v>
      </c>
      <c r="N426" s="372">
        <v>1.3779999999999999</v>
      </c>
      <c r="O426" s="704">
        <v>0.87565462652229564</v>
      </c>
      <c r="P426" s="375" t="s">
        <v>622</v>
      </c>
      <c r="Q426" s="375" t="s">
        <v>622</v>
      </c>
      <c r="R426" s="696">
        <v>20180404</v>
      </c>
      <c r="S426" s="375" t="s">
        <v>3488</v>
      </c>
      <c r="T426" s="697">
        <v>0.20900000000000002</v>
      </c>
      <c r="U426" s="372" t="s">
        <v>3489</v>
      </c>
      <c r="V426" s="723">
        <v>33.25</v>
      </c>
      <c r="W426" s="723">
        <v>4.5999999999999996</v>
      </c>
      <c r="X426" s="723">
        <v>5.25</v>
      </c>
      <c r="Y426" s="723">
        <v>40.82</v>
      </c>
      <c r="Z426" s="382">
        <v>0.19014498001466862</v>
      </c>
      <c r="AA426" s="372">
        <v>486.384838</v>
      </c>
      <c r="AB426" s="372">
        <v>371.76448110000001</v>
      </c>
      <c r="AC426" s="372">
        <v>746.73208039999997</v>
      </c>
      <c r="AD426" s="372">
        <v>1009.3122658</v>
      </c>
      <c r="AE426" s="372">
        <v>1108</v>
      </c>
      <c r="AF426" s="372">
        <v>1498</v>
      </c>
      <c r="AG426" s="372">
        <v>2025</v>
      </c>
      <c r="AH426" s="372">
        <v>0</v>
      </c>
    </row>
    <row r="427" spans="1:34">
      <c r="A427" s="372" t="s">
        <v>3490</v>
      </c>
      <c r="B427" s="373" t="s">
        <v>3491</v>
      </c>
      <c r="C427" s="372" t="s">
        <v>3492</v>
      </c>
      <c r="D427" s="374">
        <v>1101113687568</v>
      </c>
      <c r="E427" s="372" t="s">
        <v>3493</v>
      </c>
      <c r="F427" s="372" t="s">
        <v>1006</v>
      </c>
      <c r="G427" s="375" t="s">
        <v>3494</v>
      </c>
      <c r="H427" s="375" t="s">
        <v>861</v>
      </c>
      <c r="I427" s="375" t="s">
        <v>862</v>
      </c>
      <c r="J427" s="375">
        <v>223844.96088999999</v>
      </c>
      <c r="K427" s="375">
        <v>14670.608190000001</v>
      </c>
      <c r="L427" s="375">
        <v>13916.09028</v>
      </c>
      <c r="M427" s="375">
        <v>167471.23001999999</v>
      </c>
      <c r="N427" s="372">
        <v>0.96299999999999997</v>
      </c>
      <c r="O427" s="704">
        <v>2.9030281304244601</v>
      </c>
      <c r="P427" s="375" t="s">
        <v>622</v>
      </c>
      <c r="Q427" s="375" t="s">
        <v>622</v>
      </c>
      <c r="R427" s="696">
        <v>20141006</v>
      </c>
      <c r="S427" s="375" t="s">
        <v>3495</v>
      </c>
      <c r="T427" s="697">
        <v>0.20900000000000002</v>
      </c>
      <c r="U427" s="372" t="s">
        <v>3496</v>
      </c>
      <c r="V427" s="723">
        <v>20.78</v>
      </c>
      <c r="W427" s="723">
        <v>2.2999999999999998</v>
      </c>
      <c r="X427" s="723">
        <v>2.09</v>
      </c>
      <c r="Y427" s="723">
        <v>34.659999999999997</v>
      </c>
      <c r="Z427" s="382">
        <v>0.23090727347534012</v>
      </c>
      <c r="AA427" s="372">
        <v>705.10663669999997</v>
      </c>
      <c r="AB427" s="372">
        <v>3693.2923086999999</v>
      </c>
      <c r="AC427" s="372">
        <v>2144.2395445000002</v>
      </c>
      <c r="AD427" s="372">
        <v>1611.4332875</v>
      </c>
      <c r="AE427" s="372">
        <v>2721</v>
      </c>
      <c r="AF427" s="372">
        <v>3206</v>
      </c>
      <c r="AG427" s="372">
        <v>3699.25</v>
      </c>
      <c r="AH427" s="372">
        <v>0</v>
      </c>
    </row>
    <row r="428" spans="1:34">
      <c r="A428" s="372" t="s">
        <v>3497</v>
      </c>
      <c r="B428" s="373" t="s">
        <v>3498</v>
      </c>
      <c r="C428" s="372" t="s">
        <v>3499</v>
      </c>
      <c r="D428" s="374">
        <v>1101110256788</v>
      </c>
      <c r="E428" s="372" t="s">
        <v>3500</v>
      </c>
      <c r="F428" s="375" t="s">
        <v>3289</v>
      </c>
      <c r="G428" s="375" t="s">
        <v>3289</v>
      </c>
      <c r="H428" s="375">
        <v>0</v>
      </c>
      <c r="I428" s="375" t="s">
        <v>862</v>
      </c>
      <c r="J428" s="375">
        <v>183692.49651999999</v>
      </c>
      <c r="K428" s="375">
        <v>47159.725299999998</v>
      </c>
      <c r="L428" s="375">
        <v>177899.92973</v>
      </c>
      <c r="M428" s="375">
        <v>981953.43500000006</v>
      </c>
      <c r="N428" s="372">
        <v>0.73099999999999998</v>
      </c>
      <c r="O428" s="704">
        <v>230.98408673573374</v>
      </c>
      <c r="P428" s="375" t="s">
        <v>622</v>
      </c>
      <c r="Q428" s="372" t="s">
        <v>622</v>
      </c>
      <c r="R428" s="696">
        <v>19950929</v>
      </c>
      <c r="S428" s="372" t="s">
        <v>3501</v>
      </c>
      <c r="T428" s="697">
        <v>0.23100000000000001</v>
      </c>
      <c r="U428" s="375" t="s">
        <v>3502</v>
      </c>
      <c r="V428" s="723">
        <v>21.43</v>
      </c>
      <c r="W428" s="723">
        <v>0.48</v>
      </c>
      <c r="X428" s="723">
        <v>2.25</v>
      </c>
      <c r="Y428" s="723">
        <v>2.87</v>
      </c>
      <c r="Z428" s="382">
        <v>6.2087159010926651E-2</v>
      </c>
      <c r="AA428" s="372">
        <v>847.57128520000003</v>
      </c>
      <c r="AB428" s="372">
        <v>967.32675310000002</v>
      </c>
      <c r="AC428" s="372">
        <v>1352.8100182000001</v>
      </c>
      <c r="AD428" s="372">
        <v>1691.6188959000001</v>
      </c>
      <c r="AE428" s="372">
        <v>1878</v>
      </c>
      <c r="AF428" s="372">
        <v>2002.5</v>
      </c>
      <c r="AG428" s="372">
        <v>2152.5</v>
      </c>
      <c r="AH428" s="372">
        <v>0</v>
      </c>
    </row>
    <row r="429" spans="1:34">
      <c r="A429" s="372" t="s">
        <v>3503</v>
      </c>
      <c r="B429" s="373" t="s">
        <v>3504</v>
      </c>
      <c r="C429" s="372" t="s">
        <v>3505</v>
      </c>
      <c r="D429" s="374">
        <v>1101111673816</v>
      </c>
      <c r="E429" s="372" t="s">
        <v>3506</v>
      </c>
      <c r="F429" s="375" t="s">
        <v>1796</v>
      </c>
      <c r="G429" s="375" t="s">
        <v>1796</v>
      </c>
      <c r="H429" s="375" t="s">
        <v>861</v>
      </c>
      <c r="I429" s="375" t="s">
        <v>862</v>
      </c>
      <c r="J429" s="375">
        <v>96046.384650000007</v>
      </c>
      <c r="K429" s="375">
        <v>-844.50783000000001</v>
      </c>
      <c r="L429" s="375">
        <v>1780.45451</v>
      </c>
      <c r="M429" s="375">
        <v>268308.57001000002</v>
      </c>
      <c r="N429" s="372">
        <v>0.67500000000000004</v>
      </c>
      <c r="O429" s="704">
        <v>6.5543226656047935</v>
      </c>
      <c r="P429" s="375" t="s">
        <v>622</v>
      </c>
      <c r="Q429" s="375" t="s">
        <v>622</v>
      </c>
      <c r="R429" s="696">
        <v>20091210</v>
      </c>
      <c r="S429" s="375" t="s">
        <v>3507</v>
      </c>
      <c r="T429" s="697">
        <v>0.20900000000000002</v>
      </c>
      <c r="U429" s="375" t="s">
        <v>3508</v>
      </c>
      <c r="V429" s="723">
        <v>78.17</v>
      </c>
      <c r="W429" s="723">
        <v>2.36</v>
      </c>
      <c r="X429" s="723">
        <v>3.17</v>
      </c>
      <c r="Y429" s="723" t="s">
        <v>773</v>
      </c>
      <c r="Z429" s="382">
        <v>0.29458644445813542</v>
      </c>
      <c r="AA429" s="372">
        <v>347.90558629999998</v>
      </c>
      <c r="AB429" s="372">
        <v>485.7832191</v>
      </c>
      <c r="AC429" s="372">
        <v>508.69207970000002</v>
      </c>
      <c r="AD429" s="372">
        <v>530.11546840000005</v>
      </c>
      <c r="AE429" s="372">
        <v>1173</v>
      </c>
      <c r="AF429" s="372">
        <v>1359</v>
      </c>
      <c r="AG429" s="372">
        <v>1489</v>
      </c>
      <c r="AH429" s="372">
        <v>0</v>
      </c>
    </row>
    <row r="430" spans="1:34">
      <c r="A430" s="372" t="s">
        <v>3509</v>
      </c>
      <c r="B430" s="373" t="s">
        <v>3510</v>
      </c>
      <c r="C430" s="372" t="s">
        <v>3511</v>
      </c>
      <c r="D430" s="374">
        <v>0</v>
      </c>
      <c r="E430" s="372" t="s">
        <v>3512</v>
      </c>
      <c r="F430" s="372" t="s">
        <v>1116</v>
      </c>
      <c r="G430" s="375" t="s">
        <v>1336</v>
      </c>
      <c r="H430" s="375">
        <v>0</v>
      </c>
      <c r="I430" s="375" t="s">
        <v>754</v>
      </c>
      <c r="J430" s="375">
        <v>987.16200000000003</v>
      </c>
      <c r="K430" s="375">
        <v>-73316.884000000005</v>
      </c>
      <c r="L430" s="375">
        <v>-57035.334000000003</v>
      </c>
      <c r="M430" s="375">
        <v>516163.462</v>
      </c>
      <c r="N430" s="372">
        <v>0.84199999999999997</v>
      </c>
      <c r="O430" s="704">
        <v>8.1415070312317042</v>
      </c>
      <c r="P430" s="375" t="s">
        <v>622</v>
      </c>
      <c r="Q430" s="375" t="s">
        <v>622</v>
      </c>
      <c r="R430" s="696">
        <v>20210205</v>
      </c>
      <c r="S430" s="375" t="s">
        <v>3513</v>
      </c>
      <c r="T430" s="697" t="s">
        <v>771</v>
      </c>
      <c r="U430" s="372" t="s">
        <v>3514</v>
      </c>
      <c r="V430" s="723" t="s">
        <v>773</v>
      </c>
      <c r="W430" s="723">
        <v>1.22</v>
      </c>
      <c r="X430" s="723">
        <v>541.20000000000005</v>
      </c>
      <c r="Y430" s="723" t="s">
        <v>773</v>
      </c>
      <c r="Z430" s="382" t="s">
        <v>927</v>
      </c>
      <c r="AA430" s="372">
        <v>0</v>
      </c>
      <c r="AB430" s="372">
        <v>0</v>
      </c>
      <c r="AC430" s="372">
        <v>0</v>
      </c>
      <c r="AD430" s="372">
        <v>1.6184099999999999</v>
      </c>
      <c r="AE430" s="372">
        <v>0</v>
      </c>
      <c r="AF430" s="372">
        <v>0</v>
      </c>
      <c r="AG430" s="372">
        <v>0</v>
      </c>
      <c r="AH430" s="372">
        <v>0</v>
      </c>
    </row>
    <row r="431" spans="1:34">
      <c r="A431" s="372" t="s">
        <v>3515</v>
      </c>
      <c r="B431" s="373" t="s">
        <v>3516</v>
      </c>
      <c r="C431" s="372" t="s">
        <v>15987</v>
      </c>
      <c r="D431" s="374">
        <v>1101115869346</v>
      </c>
      <c r="E431" s="372" t="s">
        <v>15988</v>
      </c>
      <c r="F431" s="375" t="s">
        <v>1962</v>
      </c>
      <c r="G431" s="375" t="s">
        <v>1962</v>
      </c>
      <c r="H431" s="375" t="s">
        <v>861</v>
      </c>
      <c r="I431" s="375" t="s">
        <v>862</v>
      </c>
      <c r="J431" s="375">
        <v>202433.72042</v>
      </c>
      <c r="K431" s="375">
        <v>15126.17902</v>
      </c>
      <c r="L431" s="375">
        <v>18033.830999999998</v>
      </c>
      <c r="M431" s="375">
        <v>410438.67220999999</v>
      </c>
      <c r="N431" s="372">
        <v>0.72</v>
      </c>
      <c r="O431" s="704">
        <v>8.7763634072358645</v>
      </c>
      <c r="P431" s="375" t="s">
        <v>622</v>
      </c>
      <c r="Q431" s="375" t="s">
        <v>622</v>
      </c>
      <c r="R431" s="696">
        <v>20151224</v>
      </c>
      <c r="S431" s="375" t="s">
        <v>3517</v>
      </c>
      <c r="T431" s="697">
        <v>0.20900000000000002</v>
      </c>
      <c r="U431" s="372" t="s">
        <v>3518</v>
      </c>
      <c r="V431" s="723">
        <v>52.04</v>
      </c>
      <c r="W431" s="723">
        <v>3.39</v>
      </c>
      <c r="X431" s="723">
        <v>5.35</v>
      </c>
      <c r="Y431" s="723">
        <v>98.82</v>
      </c>
      <c r="Z431" s="382">
        <v>0.13333391301927144</v>
      </c>
      <c r="AA431" s="372">
        <v>1719.380827</v>
      </c>
      <c r="AB431" s="372">
        <v>3112.7037188999998</v>
      </c>
      <c r="AC431" s="372">
        <v>2852.6775968000002</v>
      </c>
      <c r="AD431" s="372">
        <v>2551.8230617999998</v>
      </c>
      <c r="AE431" s="372">
        <v>2190</v>
      </c>
      <c r="AF431" s="372">
        <v>3970</v>
      </c>
      <c r="AG431" s="372">
        <v>4210</v>
      </c>
      <c r="AH431" s="372">
        <v>0</v>
      </c>
    </row>
    <row r="432" spans="1:34">
      <c r="A432" s="372" t="s">
        <v>3519</v>
      </c>
      <c r="B432" s="373" t="s">
        <v>3520</v>
      </c>
      <c r="C432" s="372" t="s">
        <v>3521</v>
      </c>
      <c r="D432" s="374">
        <v>1615110017818</v>
      </c>
      <c r="E432" s="372" t="s">
        <v>3522</v>
      </c>
      <c r="F432" s="375" t="s">
        <v>2184</v>
      </c>
      <c r="G432" s="375" t="s">
        <v>3523</v>
      </c>
      <c r="H432" s="375" t="s">
        <v>861</v>
      </c>
      <c r="I432" s="375" t="s">
        <v>862</v>
      </c>
      <c r="J432" s="375">
        <v>315213.63913000003</v>
      </c>
      <c r="K432" s="375">
        <v>27145.33367</v>
      </c>
      <c r="L432" s="375">
        <v>25316.444650000001</v>
      </c>
      <c r="M432" s="375">
        <v>378759.64818000002</v>
      </c>
      <c r="N432" s="372">
        <v>1.5369999999999999</v>
      </c>
      <c r="O432" s="704">
        <v>7.9583769151442665</v>
      </c>
      <c r="P432" s="375" t="s">
        <v>622</v>
      </c>
      <c r="Q432" s="375" t="s">
        <v>622</v>
      </c>
      <c r="R432" s="696">
        <v>20110105</v>
      </c>
      <c r="S432" s="375" t="s">
        <v>3524</v>
      </c>
      <c r="T432" s="697">
        <v>0.23100000000000001</v>
      </c>
      <c r="U432" s="375" t="s">
        <v>3525</v>
      </c>
      <c r="V432" s="723">
        <v>10.99</v>
      </c>
      <c r="W432" s="723">
        <v>1.66</v>
      </c>
      <c r="X432" s="723">
        <v>1.74</v>
      </c>
      <c r="Y432" s="723">
        <v>25.94</v>
      </c>
      <c r="Z432" s="382">
        <v>0.13575449953669594</v>
      </c>
      <c r="AA432" s="372">
        <v>2855.0858536999999</v>
      </c>
      <c r="AB432" s="372">
        <v>3076.6325443000001</v>
      </c>
      <c r="AC432" s="372">
        <v>3392.6416949999998</v>
      </c>
      <c r="AD432" s="372">
        <v>2491.4768984000002</v>
      </c>
      <c r="AE432" s="372">
        <v>3203.67</v>
      </c>
      <c r="AF432" s="372">
        <v>3639.67</v>
      </c>
      <c r="AG432" s="372">
        <v>4145.67</v>
      </c>
      <c r="AH432" s="372">
        <v>0</v>
      </c>
    </row>
    <row r="433" spans="1:34">
      <c r="A433" s="372" t="s">
        <v>3526</v>
      </c>
      <c r="B433" s="373" t="s">
        <v>3527</v>
      </c>
      <c r="C433" s="372" t="s">
        <v>3528</v>
      </c>
      <c r="D433" s="374">
        <v>1101114720945</v>
      </c>
      <c r="E433" s="372" t="s">
        <v>3529</v>
      </c>
      <c r="F433" s="375" t="s">
        <v>2222</v>
      </c>
      <c r="G433" s="375" t="s">
        <v>2222</v>
      </c>
      <c r="H433" s="375" t="s">
        <v>1316</v>
      </c>
      <c r="I433" s="375" t="s">
        <v>754</v>
      </c>
      <c r="J433" s="375">
        <v>2665322.0607699999</v>
      </c>
      <c r="K433" s="375">
        <v>146297.46419999999</v>
      </c>
      <c r="L433" s="375">
        <v>169576.93268</v>
      </c>
      <c r="M433" s="375">
        <v>1892981.9038</v>
      </c>
      <c r="N433" s="372">
        <v>0.78900000000000003</v>
      </c>
      <c r="O433" s="704">
        <v>186.93379926379606</v>
      </c>
      <c r="P433" s="375" t="s">
        <v>622</v>
      </c>
      <c r="Q433" s="375" t="s">
        <v>622</v>
      </c>
      <c r="R433" s="696">
        <v>20111205</v>
      </c>
      <c r="S433" s="375" t="s">
        <v>3530</v>
      </c>
      <c r="T433" s="697">
        <v>0.23100000000000001</v>
      </c>
      <c r="U433" s="372" t="s">
        <v>3531</v>
      </c>
      <c r="V433" s="723">
        <v>5.26</v>
      </c>
      <c r="W433" s="723">
        <v>0.32</v>
      </c>
      <c r="X433" s="723">
        <v>0.2</v>
      </c>
      <c r="Y433" s="723">
        <v>4.42</v>
      </c>
      <c r="Z433" s="382" t="s">
        <v>927</v>
      </c>
      <c r="AA433" s="372">
        <v>20517.668896200001</v>
      </c>
      <c r="AB433" s="372">
        <v>23844.536239699999</v>
      </c>
      <c r="AC433" s="372">
        <v>26524.3853566</v>
      </c>
      <c r="AD433" s="372">
        <v>26514.391713500001</v>
      </c>
      <c r="AE433" s="372">
        <v>0</v>
      </c>
      <c r="AF433" s="372">
        <v>0</v>
      </c>
      <c r="AG433" s="372">
        <v>0</v>
      </c>
      <c r="AH433" s="372">
        <v>0</v>
      </c>
    </row>
    <row r="434" spans="1:34">
      <c r="A434" s="372" t="s">
        <v>3532</v>
      </c>
      <c r="B434" s="373" t="s">
        <v>3533</v>
      </c>
      <c r="C434" s="372" t="s">
        <v>3534</v>
      </c>
      <c r="D434" s="374">
        <v>1101110042880</v>
      </c>
      <c r="E434" s="372" t="s">
        <v>3535</v>
      </c>
      <c r="F434" s="375" t="s">
        <v>2007</v>
      </c>
      <c r="G434" s="375" t="s">
        <v>2007</v>
      </c>
      <c r="H434" s="375" t="s">
        <v>792</v>
      </c>
      <c r="I434" s="375" t="s">
        <v>754</v>
      </c>
      <c r="J434" s="375">
        <v>569653.28530999995</v>
      </c>
      <c r="K434" s="375">
        <v>94470.241190000001</v>
      </c>
      <c r="L434" s="375">
        <v>115946.4455</v>
      </c>
      <c r="M434" s="375">
        <v>765932.43995000003</v>
      </c>
      <c r="N434" s="372">
        <v>0.48499999999999999</v>
      </c>
      <c r="O434" s="704">
        <v>0.11856449066525473</v>
      </c>
      <c r="P434" s="375" t="s">
        <v>622</v>
      </c>
      <c r="Q434" s="375" t="s">
        <v>622</v>
      </c>
      <c r="R434" s="696">
        <v>19760708</v>
      </c>
      <c r="S434" s="375" t="s">
        <v>3536</v>
      </c>
      <c r="T434" s="697">
        <v>0.23100000000000001</v>
      </c>
      <c r="U434" s="375" t="s">
        <v>3537</v>
      </c>
      <c r="V434" s="723">
        <v>7.79</v>
      </c>
      <c r="W434" s="723">
        <v>0.94</v>
      </c>
      <c r="X434" s="723">
        <v>1.41</v>
      </c>
      <c r="Y434" s="723">
        <v>8.58</v>
      </c>
      <c r="Z434" s="382">
        <v>7.6950568516177764E-2</v>
      </c>
      <c r="AA434" s="372">
        <v>3017.5440773999999</v>
      </c>
      <c r="AB434" s="372">
        <v>3359.5401259</v>
      </c>
      <c r="AC434" s="372">
        <v>4080.2469826000001</v>
      </c>
      <c r="AD434" s="372">
        <v>4859.5427332999998</v>
      </c>
      <c r="AE434" s="372">
        <v>5941</v>
      </c>
      <c r="AF434" s="372">
        <v>7032</v>
      </c>
      <c r="AG434" s="372">
        <v>6537</v>
      </c>
      <c r="AH434" s="372">
        <v>0</v>
      </c>
    </row>
    <row r="435" spans="1:34">
      <c r="A435" s="372" t="s">
        <v>3538</v>
      </c>
      <c r="B435" s="373" t="s">
        <v>3539</v>
      </c>
      <c r="C435" s="372" t="s">
        <v>3540</v>
      </c>
      <c r="D435" s="374">
        <v>1101115695337</v>
      </c>
      <c r="E435" s="372" t="s">
        <v>3541</v>
      </c>
      <c r="F435" s="375" t="s">
        <v>621</v>
      </c>
      <c r="G435" s="375" t="s">
        <v>621</v>
      </c>
      <c r="H435" s="375" t="s">
        <v>861</v>
      </c>
      <c r="I435" s="375" t="s">
        <v>862</v>
      </c>
      <c r="J435" s="375">
        <v>112543.037</v>
      </c>
      <c r="K435" s="375">
        <v>7553.3128299999998</v>
      </c>
      <c r="L435" s="375">
        <v>39588.282590000003</v>
      </c>
      <c r="M435" s="375">
        <v>349641.45192000002</v>
      </c>
      <c r="N435" s="372">
        <v>1.0389999999999999</v>
      </c>
      <c r="O435" s="704">
        <v>17.292649374210995</v>
      </c>
      <c r="P435" s="375" t="s">
        <v>622</v>
      </c>
      <c r="Q435" s="372" t="s">
        <v>622</v>
      </c>
      <c r="R435" s="696">
        <v>20150630</v>
      </c>
      <c r="S435" s="372" t="s">
        <v>3542</v>
      </c>
      <c r="T435" s="697">
        <v>0.23100000000000001</v>
      </c>
      <c r="U435" s="372" t="s">
        <v>3543</v>
      </c>
      <c r="V435" s="723">
        <v>22.84</v>
      </c>
      <c r="W435" s="723">
        <v>0.98</v>
      </c>
      <c r="X435" s="723">
        <v>2.87</v>
      </c>
      <c r="Y435" s="723">
        <v>7.03</v>
      </c>
      <c r="Z435" s="382">
        <v>0.15636816782210139</v>
      </c>
      <c r="AA435" s="372">
        <v>704.52303689999997</v>
      </c>
      <c r="AB435" s="372">
        <v>1015.6130141</v>
      </c>
      <c r="AC435" s="372">
        <v>1080.328986</v>
      </c>
      <c r="AD435" s="372">
        <v>1114.3299876999999</v>
      </c>
      <c r="AE435" s="372">
        <v>1184</v>
      </c>
      <c r="AF435" s="372">
        <v>1617.33</v>
      </c>
      <c r="AG435" s="372">
        <v>1992.5</v>
      </c>
      <c r="AH435" s="372">
        <v>0</v>
      </c>
    </row>
    <row r="436" spans="1:34">
      <c r="A436" s="372" t="s">
        <v>3544</v>
      </c>
      <c r="B436" s="373" t="s">
        <v>3545</v>
      </c>
      <c r="C436" s="372" t="s">
        <v>3546</v>
      </c>
      <c r="D436" s="374">
        <v>1101111113929</v>
      </c>
      <c r="E436" s="372" t="s">
        <v>3547</v>
      </c>
      <c r="F436" s="375" t="s">
        <v>5471</v>
      </c>
      <c r="G436" s="375" t="s">
        <v>5471</v>
      </c>
      <c r="H436" s="375" t="s">
        <v>895</v>
      </c>
      <c r="I436" s="375" t="s">
        <v>862</v>
      </c>
      <c r="J436" s="375">
        <v>1084893.5311100001</v>
      </c>
      <c r="K436" s="375">
        <v>43994.817929999997</v>
      </c>
      <c r="L436" s="375">
        <v>52339.615180000001</v>
      </c>
      <c r="M436" s="375">
        <v>247855.79384999999</v>
      </c>
      <c r="N436" s="372">
        <v>0.70099999999999996</v>
      </c>
      <c r="O436" s="704">
        <v>0.53842015650338382</v>
      </c>
      <c r="P436" s="375" t="s">
        <v>622</v>
      </c>
      <c r="Q436" s="375" t="s">
        <v>622</v>
      </c>
      <c r="R436" s="696">
        <v>20020104</v>
      </c>
      <c r="S436" s="375" t="s">
        <v>3549</v>
      </c>
      <c r="T436" s="697">
        <v>0.23100000000000001</v>
      </c>
      <c r="U436" s="375" t="s">
        <v>3550</v>
      </c>
      <c r="V436" s="723">
        <v>6.23</v>
      </c>
      <c r="W436" s="723">
        <v>1.06</v>
      </c>
      <c r="X436" s="723">
        <v>0.28000000000000003</v>
      </c>
      <c r="Y436" s="723">
        <v>7.45</v>
      </c>
      <c r="Z436" s="382">
        <v>7.6243424359742074E-2</v>
      </c>
      <c r="AA436" s="372">
        <v>6248.4009462000004</v>
      </c>
      <c r="AB436" s="372">
        <v>7454.1820805999996</v>
      </c>
      <c r="AC436" s="372">
        <v>8227.6311282999995</v>
      </c>
      <c r="AD436" s="372">
        <v>9720.1622246000006</v>
      </c>
      <c r="AE436" s="372">
        <v>11074.38</v>
      </c>
      <c r="AF436" s="372">
        <v>12063.63</v>
      </c>
      <c r="AG436" s="372">
        <v>13041.14</v>
      </c>
      <c r="AH436" s="372">
        <v>0</v>
      </c>
    </row>
    <row r="437" spans="1:34">
      <c r="A437" s="372" t="s">
        <v>3551</v>
      </c>
      <c r="B437" s="373" t="s">
        <v>3552</v>
      </c>
      <c r="C437" s="372" t="s">
        <v>3553</v>
      </c>
      <c r="D437" s="374">
        <v>1101112425448</v>
      </c>
      <c r="E437" s="372" t="s">
        <v>3554</v>
      </c>
      <c r="F437" s="375" t="s">
        <v>1743</v>
      </c>
      <c r="G437" s="375" t="s">
        <v>1743</v>
      </c>
      <c r="H437" s="375" t="s">
        <v>3099</v>
      </c>
      <c r="I437" s="375" t="s">
        <v>862</v>
      </c>
      <c r="J437" s="375">
        <v>623639.37733000005</v>
      </c>
      <c r="K437" s="375">
        <v>125867.57801</v>
      </c>
      <c r="L437" s="375">
        <v>122499.60421999999</v>
      </c>
      <c r="M437" s="375">
        <v>222763.70422000001</v>
      </c>
      <c r="N437" s="372">
        <v>0.72499999999999998</v>
      </c>
      <c r="O437" s="704">
        <v>6.6685049413958959</v>
      </c>
      <c r="P437" s="375" t="s">
        <v>622</v>
      </c>
      <c r="Q437" s="372" t="s">
        <v>622</v>
      </c>
      <c r="R437" s="696">
        <v>20210929</v>
      </c>
      <c r="S437" s="372" t="s">
        <v>3555</v>
      </c>
      <c r="T437" s="697">
        <v>0.23100000000000001</v>
      </c>
      <c r="U437" s="372" t="s">
        <v>3556</v>
      </c>
      <c r="V437" s="723">
        <v>22.15</v>
      </c>
      <c r="W437" s="723">
        <v>12.62</v>
      </c>
      <c r="X437" s="723">
        <v>4.4800000000000004</v>
      </c>
      <c r="Y437" s="723">
        <v>28.33</v>
      </c>
      <c r="Z437" s="382">
        <v>0.41079128849179725</v>
      </c>
      <c r="AA437" s="372">
        <v>993.98346289999995</v>
      </c>
      <c r="AB437" s="372">
        <v>1310.0197274</v>
      </c>
      <c r="AC437" s="372">
        <v>1652.7216453999999</v>
      </c>
      <c r="AD437" s="372">
        <v>3428.6099794000002</v>
      </c>
      <c r="AE437" s="372">
        <v>7209.29</v>
      </c>
      <c r="AF437" s="372">
        <v>10438.290000000001</v>
      </c>
      <c r="AG437" s="372">
        <v>13582.17</v>
      </c>
      <c r="AH437" s="372">
        <v>0</v>
      </c>
    </row>
    <row r="438" spans="1:34">
      <c r="A438" s="372" t="s">
        <v>3557</v>
      </c>
      <c r="B438" s="373" t="s">
        <v>3558</v>
      </c>
      <c r="C438" s="372" t="s">
        <v>3559</v>
      </c>
      <c r="D438" s="374">
        <v>1101110505614</v>
      </c>
      <c r="E438" s="372" t="s">
        <v>3560</v>
      </c>
      <c r="F438" s="375" t="s">
        <v>2625</v>
      </c>
      <c r="G438" s="375" t="s">
        <v>2626</v>
      </c>
      <c r="H438" s="375" t="s">
        <v>817</v>
      </c>
      <c r="I438" s="375" t="s">
        <v>754</v>
      </c>
      <c r="J438" s="375">
        <v>2961065.6213600002</v>
      </c>
      <c r="K438" s="375">
        <v>159754.65841</v>
      </c>
      <c r="L438" s="375">
        <v>69236.395080000002</v>
      </c>
      <c r="M438" s="375">
        <v>1323700.0407199999</v>
      </c>
      <c r="N438" s="372">
        <v>0.501</v>
      </c>
      <c r="O438" s="704">
        <v>240.53327376166703</v>
      </c>
      <c r="P438" s="375" t="s">
        <v>622</v>
      </c>
      <c r="Q438" s="375" t="s">
        <v>622</v>
      </c>
      <c r="R438" s="696">
        <v>20040204</v>
      </c>
      <c r="S438" s="375" t="s">
        <v>3561</v>
      </c>
      <c r="T438" s="697">
        <v>0.23100000000000001</v>
      </c>
      <c r="U438" s="375" t="s">
        <v>3562</v>
      </c>
      <c r="V438" s="723">
        <v>3.27</v>
      </c>
      <c r="W438" s="723">
        <v>0.52</v>
      </c>
      <c r="X438" s="723">
        <v>0.14000000000000001</v>
      </c>
      <c r="Y438" s="723" t="s">
        <v>773</v>
      </c>
      <c r="Z438" s="382" t="s">
        <v>927</v>
      </c>
      <c r="AA438" s="372">
        <v>20555.1409781</v>
      </c>
      <c r="AB438" s="372">
        <v>24498.6653233</v>
      </c>
      <c r="AC438" s="372">
        <v>27529.220791600001</v>
      </c>
      <c r="AD438" s="372">
        <v>28189.1678245</v>
      </c>
      <c r="AE438" s="372">
        <v>34760</v>
      </c>
      <c r="AF438" s="372">
        <v>0</v>
      </c>
      <c r="AG438" s="372">
        <v>0</v>
      </c>
      <c r="AH438" s="372">
        <v>0</v>
      </c>
    </row>
    <row r="439" spans="1:34">
      <c r="A439" s="372" t="s">
        <v>3563</v>
      </c>
      <c r="B439" s="373" t="s">
        <v>3564</v>
      </c>
      <c r="C439" s="372" t="s">
        <v>3565</v>
      </c>
      <c r="D439" s="374">
        <v>1101115399517</v>
      </c>
      <c r="E439" s="372" t="s">
        <v>3566</v>
      </c>
      <c r="F439" s="375" t="s">
        <v>16101</v>
      </c>
      <c r="G439" s="375" t="s">
        <v>16101</v>
      </c>
      <c r="H439" s="375" t="s">
        <v>861</v>
      </c>
      <c r="I439" s="375" t="s">
        <v>862</v>
      </c>
      <c r="J439" s="375">
        <v>619269.70669000002</v>
      </c>
      <c r="K439" s="375">
        <v>25367.707610000001</v>
      </c>
      <c r="L439" s="375">
        <v>20502.360509999999</v>
      </c>
      <c r="M439" s="375">
        <v>402214.65012000001</v>
      </c>
      <c r="N439" s="372">
        <v>0.65</v>
      </c>
      <c r="O439" s="704">
        <v>58.340734294301996</v>
      </c>
      <c r="P439" s="375" t="s">
        <v>622</v>
      </c>
      <c r="Q439" s="372" t="s">
        <v>622</v>
      </c>
      <c r="R439" s="696">
        <v>20140723</v>
      </c>
      <c r="S439" s="372" t="s">
        <v>3567</v>
      </c>
      <c r="T439" s="697">
        <v>0.23100000000000001</v>
      </c>
      <c r="U439" s="375" t="s">
        <v>3568</v>
      </c>
      <c r="V439" s="723">
        <v>13.54</v>
      </c>
      <c r="W439" s="723">
        <v>1.08</v>
      </c>
      <c r="X439" s="723">
        <v>0.72</v>
      </c>
      <c r="Y439" s="723">
        <v>27.94</v>
      </c>
      <c r="Z439" s="382">
        <v>5.6882178411649997E-2</v>
      </c>
      <c r="AA439" s="372">
        <v>6068.9155115000003</v>
      </c>
      <c r="AB439" s="372">
        <v>5930.8073189999996</v>
      </c>
      <c r="AC439" s="372">
        <v>5759.0299404999996</v>
      </c>
      <c r="AD439" s="372">
        <v>5795.5153802000004</v>
      </c>
      <c r="AE439" s="372">
        <v>6498.33</v>
      </c>
      <c r="AF439" s="372">
        <v>7172.67</v>
      </c>
      <c r="AG439" s="372">
        <v>7231</v>
      </c>
      <c r="AH439" s="372">
        <v>0</v>
      </c>
    </row>
    <row r="440" spans="1:34">
      <c r="A440" s="372" t="s">
        <v>3569</v>
      </c>
      <c r="B440" s="373" t="s">
        <v>3570</v>
      </c>
      <c r="C440" s="372" t="s">
        <v>3571</v>
      </c>
      <c r="D440" s="374">
        <v>1101110030405</v>
      </c>
      <c r="E440" s="372" t="s">
        <v>3572</v>
      </c>
      <c r="F440" s="375" t="s">
        <v>1323</v>
      </c>
      <c r="G440" s="375" t="s">
        <v>16106</v>
      </c>
      <c r="H440" s="375" t="s">
        <v>784</v>
      </c>
      <c r="I440" s="375" t="s">
        <v>754</v>
      </c>
      <c r="J440" s="375">
        <v>138926.69476000001</v>
      </c>
      <c r="K440" s="375">
        <v>-16047.1468</v>
      </c>
      <c r="L440" s="375">
        <v>-17487.592049999999</v>
      </c>
      <c r="M440" s="375">
        <v>228969.69584999999</v>
      </c>
      <c r="N440" s="372">
        <v>0.72299999999999998</v>
      </c>
      <c r="O440" s="704">
        <v>23.810041401967108</v>
      </c>
      <c r="P440" s="375" t="s">
        <v>622</v>
      </c>
      <c r="Q440" s="372" t="s">
        <v>622</v>
      </c>
      <c r="R440" s="696">
        <v>19880805</v>
      </c>
      <c r="S440" s="372" t="s">
        <v>3573</v>
      </c>
      <c r="T440" s="697" t="s">
        <v>771</v>
      </c>
      <c r="U440" s="375" t="s">
        <v>3574</v>
      </c>
      <c r="V440" s="723" t="s">
        <v>773</v>
      </c>
      <c r="W440" s="723">
        <v>1.55</v>
      </c>
      <c r="X440" s="723">
        <v>2.5499999999999998</v>
      </c>
      <c r="Y440" s="723" t="s">
        <v>773</v>
      </c>
      <c r="Z440" s="382" t="s">
        <v>927</v>
      </c>
      <c r="AA440" s="372">
        <v>1696.5975351</v>
      </c>
      <c r="AB440" s="372">
        <v>1824.9122146</v>
      </c>
      <c r="AC440" s="372">
        <v>1909.0936452999999</v>
      </c>
      <c r="AD440" s="372">
        <v>1259.2824077</v>
      </c>
      <c r="AE440" s="372">
        <v>0</v>
      </c>
      <c r="AF440" s="372">
        <v>0</v>
      </c>
      <c r="AG440" s="372">
        <v>0</v>
      </c>
      <c r="AH440" s="372">
        <v>0</v>
      </c>
    </row>
    <row r="441" spans="1:34">
      <c r="A441" s="372" t="s">
        <v>3575</v>
      </c>
      <c r="B441" s="373" t="s">
        <v>3576</v>
      </c>
      <c r="C441" s="372" t="s">
        <v>3577</v>
      </c>
      <c r="D441" s="374">
        <v>1349110012243</v>
      </c>
      <c r="E441" s="372" t="s">
        <v>3578</v>
      </c>
      <c r="F441" s="375" t="s">
        <v>1185</v>
      </c>
      <c r="G441" s="375" t="s">
        <v>1186</v>
      </c>
      <c r="H441" s="375" t="s">
        <v>861</v>
      </c>
      <c r="I441" s="375" t="s">
        <v>862</v>
      </c>
      <c r="J441" s="375">
        <v>178765.58313000001</v>
      </c>
      <c r="K441" s="375">
        <v>18774.682929999999</v>
      </c>
      <c r="L441" s="375">
        <v>19464.489710000002</v>
      </c>
      <c r="M441" s="375">
        <v>320135.06838000001</v>
      </c>
      <c r="N441" s="372">
        <v>1.1910000000000001</v>
      </c>
      <c r="O441" s="704">
        <v>8.218423447251114</v>
      </c>
      <c r="P441" s="375" t="s">
        <v>622</v>
      </c>
      <c r="Q441" s="375" t="s">
        <v>622</v>
      </c>
      <c r="R441" s="696">
        <v>20010814</v>
      </c>
      <c r="S441" s="375" t="s">
        <v>3579</v>
      </c>
      <c r="T441" s="697">
        <v>0.20900000000000002</v>
      </c>
      <c r="U441" s="372" t="s">
        <v>3580</v>
      </c>
      <c r="V441" s="723">
        <v>13.19</v>
      </c>
      <c r="W441" s="723">
        <v>1.03</v>
      </c>
      <c r="X441" s="723">
        <v>1.88</v>
      </c>
      <c r="Y441" s="723">
        <v>15.73</v>
      </c>
      <c r="Z441" s="382">
        <v>8.0846969107780442E-2</v>
      </c>
      <c r="AA441" s="372">
        <v>865.03551330000005</v>
      </c>
      <c r="AB441" s="372">
        <v>1739.9681008</v>
      </c>
      <c r="AC441" s="372">
        <v>1987.7241509999999</v>
      </c>
      <c r="AD441" s="372">
        <v>1560.7119915000001</v>
      </c>
      <c r="AE441" s="372">
        <v>1740</v>
      </c>
      <c r="AF441" s="372">
        <v>1910</v>
      </c>
      <c r="AG441" s="372">
        <v>2130</v>
      </c>
      <c r="AH441" s="372">
        <v>0</v>
      </c>
    </row>
    <row r="442" spans="1:34">
      <c r="A442" s="372" t="s">
        <v>3581</v>
      </c>
      <c r="B442" s="373" t="s">
        <v>3582</v>
      </c>
      <c r="C442" s="372" t="s">
        <v>3583</v>
      </c>
      <c r="D442" s="374">
        <v>1101110546006</v>
      </c>
      <c r="E442" s="372" t="s">
        <v>3584</v>
      </c>
      <c r="F442" s="375" t="s">
        <v>1276</v>
      </c>
      <c r="G442" s="375" t="s">
        <v>1452</v>
      </c>
      <c r="H442" s="375" t="s">
        <v>861</v>
      </c>
      <c r="I442" s="375" t="s">
        <v>862</v>
      </c>
      <c r="J442" s="375">
        <v>203907.62330000001</v>
      </c>
      <c r="K442" s="375">
        <v>-13606.51374</v>
      </c>
      <c r="L442" s="375">
        <v>-21140.947960000001</v>
      </c>
      <c r="M442" s="375">
        <v>235225.06426000001</v>
      </c>
      <c r="N442" s="372">
        <v>1.3180000000000001</v>
      </c>
      <c r="O442" s="704">
        <v>52.757399894792854</v>
      </c>
      <c r="P442" s="375" t="s">
        <v>622</v>
      </c>
      <c r="Q442" s="372" t="s">
        <v>622</v>
      </c>
      <c r="R442" s="696">
        <v>20000114</v>
      </c>
      <c r="S442" s="372" t="s">
        <v>3585</v>
      </c>
      <c r="T442" s="697" t="s">
        <v>771</v>
      </c>
      <c r="U442" s="372" t="s">
        <v>3586</v>
      </c>
      <c r="V442" s="723">
        <v>118.68</v>
      </c>
      <c r="W442" s="723">
        <v>1.94</v>
      </c>
      <c r="X442" s="723">
        <v>2.3199999999999998</v>
      </c>
      <c r="Y442" s="723" t="s">
        <v>773</v>
      </c>
      <c r="Z442" s="382" t="s">
        <v>927</v>
      </c>
      <c r="AA442" s="372">
        <v>1661.5784272000001</v>
      </c>
      <c r="AB442" s="372">
        <v>2136.5826499999998</v>
      </c>
      <c r="AC442" s="372">
        <v>2196.2417303000002</v>
      </c>
      <c r="AD442" s="372">
        <v>1976.0861926</v>
      </c>
      <c r="AE442" s="372">
        <v>0</v>
      </c>
      <c r="AF442" s="372">
        <v>0</v>
      </c>
      <c r="AG442" s="372">
        <v>0</v>
      </c>
      <c r="AH442" s="372">
        <v>0</v>
      </c>
    </row>
    <row r="443" spans="1:34">
      <c r="A443" s="372" t="s">
        <v>3587</v>
      </c>
      <c r="B443" s="373" t="s">
        <v>3588</v>
      </c>
      <c r="C443" s="372" t="s">
        <v>3589</v>
      </c>
      <c r="D443" s="374">
        <v>1101113136383</v>
      </c>
      <c r="E443" s="372" t="s">
        <v>3590</v>
      </c>
      <c r="F443" s="372" t="s">
        <v>3591</v>
      </c>
      <c r="G443" s="375" t="s">
        <v>3592</v>
      </c>
      <c r="H443" s="375" t="s">
        <v>753</v>
      </c>
      <c r="I443" s="375" t="s">
        <v>754</v>
      </c>
      <c r="J443" s="375">
        <v>1011627.53608</v>
      </c>
      <c r="K443" s="375">
        <v>33256.152009999998</v>
      </c>
      <c r="L443" s="375">
        <v>38518.273099999999</v>
      </c>
      <c r="M443" s="375">
        <v>342579.25909000001</v>
      </c>
      <c r="N443" s="372">
        <v>0.81399999999999995</v>
      </c>
      <c r="O443" s="704">
        <v>27.768645703397027</v>
      </c>
      <c r="P443" s="375" t="s">
        <v>622</v>
      </c>
      <c r="Q443" s="375" t="s">
        <v>622</v>
      </c>
      <c r="R443" s="696">
        <v>20120725</v>
      </c>
      <c r="S443" s="375" t="s">
        <v>3593</v>
      </c>
      <c r="T443" s="697">
        <v>0.23100000000000001</v>
      </c>
      <c r="U443" s="372" t="s">
        <v>3594</v>
      </c>
      <c r="V443" s="723">
        <v>4.29</v>
      </c>
      <c r="W443" s="723">
        <v>0.92</v>
      </c>
      <c r="X443" s="723">
        <v>0.33</v>
      </c>
      <c r="Y443" s="723">
        <v>7.69</v>
      </c>
      <c r="Z443" s="382">
        <v>7.7179133098795205E-2</v>
      </c>
      <c r="AA443" s="372">
        <v>13113.4273815</v>
      </c>
      <c r="AB443" s="372">
        <v>10092.736399900001</v>
      </c>
      <c r="AC443" s="372">
        <v>11086.3795032</v>
      </c>
      <c r="AD443" s="372">
        <v>9324.9011074999999</v>
      </c>
      <c r="AE443" s="372">
        <v>10200.17</v>
      </c>
      <c r="AF443" s="372">
        <v>11155.5</v>
      </c>
      <c r="AG443" s="372">
        <v>12554.4</v>
      </c>
      <c r="AH443" s="372">
        <v>0</v>
      </c>
    </row>
    <row r="444" spans="1:34">
      <c r="A444" s="372" t="s">
        <v>3595</v>
      </c>
      <c r="B444" s="373" t="s">
        <v>3596</v>
      </c>
      <c r="C444" s="372" t="s">
        <v>3597</v>
      </c>
      <c r="D444" s="374">
        <v>1101115891943</v>
      </c>
      <c r="E444" s="372" t="s">
        <v>3598</v>
      </c>
      <c r="F444" s="375" t="s">
        <v>3599</v>
      </c>
      <c r="G444" s="375" t="s">
        <v>3600</v>
      </c>
      <c r="H444" s="375" t="s">
        <v>968</v>
      </c>
      <c r="I444" s="375" t="s">
        <v>754</v>
      </c>
      <c r="J444" s="375">
        <v>1448351.61353</v>
      </c>
      <c r="K444" s="375">
        <v>51207.853920000001</v>
      </c>
      <c r="L444" s="375">
        <v>12195.96127</v>
      </c>
      <c r="M444" s="375">
        <v>539795.08872</v>
      </c>
      <c r="N444" s="372">
        <v>0.41299999999999998</v>
      </c>
      <c r="O444" s="704">
        <v>111.13800239852748</v>
      </c>
      <c r="P444" s="375" t="s">
        <v>622</v>
      </c>
      <c r="Q444" s="372" t="s">
        <v>622</v>
      </c>
      <c r="R444" s="696">
        <v>20161004</v>
      </c>
      <c r="S444" s="375">
        <v>0</v>
      </c>
      <c r="T444" s="697">
        <v>0.20900000000000002</v>
      </c>
      <c r="U444" s="375" t="s">
        <v>3601</v>
      </c>
      <c r="V444" s="723">
        <v>8.1</v>
      </c>
      <c r="W444" s="723">
        <v>1.03</v>
      </c>
      <c r="X444" s="723">
        <v>0.35</v>
      </c>
      <c r="Y444" s="723">
        <v>131.44999999999999</v>
      </c>
      <c r="Z444" s="382">
        <v>0.12888613143292726</v>
      </c>
      <c r="AA444" s="372">
        <v>11157.5645102</v>
      </c>
      <c r="AB444" s="372">
        <v>11385.751579399999</v>
      </c>
      <c r="AC444" s="372">
        <v>16540.2958244</v>
      </c>
      <c r="AD444" s="372">
        <v>12138.319372399999</v>
      </c>
      <c r="AE444" s="372">
        <v>15616</v>
      </c>
      <c r="AF444" s="372">
        <v>18094.63</v>
      </c>
      <c r="AG444" s="372">
        <v>19713.29</v>
      </c>
      <c r="AH444" s="372">
        <v>0</v>
      </c>
    </row>
    <row r="445" spans="1:34">
      <c r="A445" s="372" t="s">
        <v>3602</v>
      </c>
      <c r="B445" s="373" t="s">
        <v>3603</v>
      </c>
      <c r="C445" s="372" t="s">
        <v>3604</v>
      </c>
      <c r="D445" s="374">
        <v>1358110090117</v>
      </c>
      <c r="E445" s="372" t="s">
        <v>3605</v>
      </c>
      <c r="F445" s="375" t="s">
        <v>1276</v>
      </c>
      <c r="G445" s="375" t="s">
        <v>1452</v>
      </c>
      <c r="H445" s="375" t="s">
        <v>861</v>
      </c>
      <c r="I445" s="375" t="s">
        <v>862</v>
      </c>
      <c r="J445" s="375">
        <v>1466806.5619300001</v>
      </c>
      <c r="K445" s="375">
        <v>54452.713539999997</v>
      </c>
      <c r="L445" s="375">
        <v>52122.691859999999</v>
      </c>
      <c r="M445" s="375">
        <v>536900.65353999997</v>
      </c>
      <c r="N445" s="372">
        <v>0.66300000000000003</v>
      </c>
      <c r="O445" s="704">
        <v>17.424552638561671</v>
      </c>
      <c r="P445" s="375" t="s">
        <v>622</v>
      </c>
      <c r="Q445" s="375" t="s">
        <v>622</v>
      </c>
      <c r="R445" s="696">
        <v>20061213</v>
      </c>
      <c r="S445" s="375" t="s">
        <v>3606</v>
      </c>
      <c r="T445" s="697">
        <v>0.23100000000000001</v>
      </c>
      <c r="U445" s="375" t="s">
        <v>3607</v>
      </c>
      <c r="V445" s="723">
        <v>4.5199999999999996</v>
      </c>
      <c r="W445" s="723">
        <v>0.76</v>
      </c>
      <c r="X445" s="723">
        <v>0.28999999999999998</v>
      </c>
      <c r="Y445" s="723">
        <v>9.75</v>
      </c>
      <c r="Z445" s="382">
        <v>8.3362220197948256E-2</v>
      </c>
      <c r="AA445" s="372">
        <v>11792.7898226</v>
      </c>
      <c r="AB445" s="372">
        <v>13126.5812881</v>
      </c>
      <c r="AC445" s="372">
        <v>12219.1078696</v>
      </c>
      <c r="AD445" s="372">
        <v>11724.0532078</v>
      </c>
      <c r="AE445" s="372">
        <v>14488.33</v>
      </c>
      <c r="AF445" s="372">
        <v>15349</v>
      </c>
      <c r="AG445" s="372">
        <v>16150</v>
      </c>
      <c r="AH445" s="372">
        <v>0</v>
      </c>
    </row>
    <row r="446" spans="1:34">
      <c r="A446" s="372" t="s">
        <v>3608</v>
      </c>
      <c r="B446" s="373" t="s">
        <v>3609</v>
      </c>
      <c r="C446" s="372" t="s">
        <v>3610</v>
      </c>
      <c r="D446" s="374">
        <v>1341110036348</v>
      </c>
      <c r="E446" s="372" t="s">
        <v>3611</v>
      </c>
      <c r="F446" s="375" t="s">
        <v>1750</v>
      </c>
      <c r="G446" s="375" t="s">
        <v>1750</v>
      </c>
      <c r="H446" s="375" t="s">
        <v>861</v>
      </c>
      <c r="I446" s="375" t="s">
        <v>862</v>
      </c>
      <c r="J446" s="375">
        <v>387871.13828000001</v>
      </c>
      <c r="K446" s="375">
        <v>56927.019869999996</v>
      </c>
      <c r="L446" s="375">
        <v>57959.14</v>
      </c>
      <c r="M446" s="375">
        <v>452073.61995000002</v>
      </c>
      <c r="N446" s="372">
        <v>0.77100000000000002</v>
      </c>
      <c r="O446" s="704">
        <v>12.644541925844738</v>
      </c>
      <c r="P446" s="375" t="s">
        <v>622</v>
      </c>
      <c r="Q446" s="375" t="s">
        <v>622</v>
      </c>
      <c r="R446" s="696">
        <v>20060929</v>
      </c>
      <c r="S446" s="375" t="s">
        <v>3612</v>
      </c>
      <c r="T446" s="697">
        <v>0.23100000000000001</v>
      </c>
      <c r="U446" s="375" t="s">
        <v>3613</v>
      </c>
      <c r="V446" s="723">
        <v>5.2</v>
      </c>
      <c r="W446" s="723">
        <v>0.82</v>
      </c>
      <c r="X446" s="723">
        <v>0.92</v>
      </c>
      <c r="Y446" s="723">
        <v>8.5399999999999991</v>
      </c>
      <c r="Z446" s="382">
        <v>4.837704448788549E-2</v>
      </c>
      <c r="AA446" s="372">
        <v>2443.1206440000001</v>
      </c>
      <c r="AB446" s="372">
        <v>3389.8036224000002</v>
      </c>
      <c r="AC446" s="372">
        <v>3950.559945</v>
      </c>
      <c r="AD446" s="372">
        <v>3849.4511981000001</v>
      </c>
      <c r="AE446" s="372">
        <v>3915.67</v>
      </c>
      <c r="AF446" s="372">
        <v>4260</v>
      </c>
      <c r="AG446" s="372">
        <v>4650.17</v>
      </c>
      <c r="AH446" s="372">
        <v>0</v>
      </c>
    </row>
    <row r="447" spans="1:34">
      <c r="A447" s="372" t="s">
        <v>3614</v>
      </c>
      <c r="B447" s="373" t="s">
        <v>3615</v>
      </c>
      <c r="C447" s="372" t="s">
        <v>3616</v>
      </c>
      <c r="D447" s="374">
        <v>1243110005721</v>
      </c>
      <c r="E447" s="372" t="s">
        <v>3617</v>
      </c>
      <c r="F447" s="375" t="s">
        <v>16101</v>
      </c>
      <c r="G447" s="375" t="s">
        <v>16101</v>
      </c>
      <c r="H447" s="375" t="s">
        <v>861</v>
      </c>
      <c r="I447" s="375" t="s">
        <v>862</v>
      </c>
      <c r="J447" s="375">
        <v>28664.00362</v>
      </c>
      <c r="K447" s="375">
        <v>-5310.7422500000002</v>
      </c>
      <c r="L447" s="375">
        <v>-5524.9401099999995</v>
      </c>
      <c r="M447" s="375">
        <v>64115.763379999997</v>
      </c>
      <c r="N447" s="372">
        <v>0.63400000000000001</v>
      </c>
      <c r="O447" s="704">
        <v>0.13407039160573669</v>
      </c>
      <c r="P447" s="375" t="s">
        <v>622</v>
      </c>
      <c r="Q447" s="375" t="s">
        <v>622</v>
      </c>
      <c r="R447" s="696">
        <v>19921123</v>
      </c>
      <c r="S447" s="375" t="s">
        <v>3618</v>
      </c>
      <c r="T447" s="697" t="s">
        <v>771</v>
      </c>
      <c r="U447" s="375" t="s">
        <v>3619</v>
      </c>
      <c r="V447" s="723" t="s">
        <v>773</v>
      </c>
      <c r="W447" s="723">
        <v>9.89</v>
      </c>
      <c r="X447" s="723">
        <v>22.06</v>
      </c>
      <c r="Y447" s="723" t="s">
        <v>773</v>
      </c>
      <c r="Z447" s="382" t="s">
        <v>927</v>
      </c>
      <c r="AA447" s="372">
        <v>167.19797399999999</v>
      </c>
      <c r="AB447" s="372">
        <v>203.54393659999999</v>
      </c>
      <c r="AC447" s="372">
        <v>212.52018169999999</v>
      </c>
      <c r="AD447" s="372">
        <v>193.50887019999999</v>
      </c>
      <c r="AE447" s="372">
        <v>0</v>
      </c>
      <c r="AF447" s="372">
        <v>0</v>
      </c>
      <c r="AG447" s="372">
        <v>0</v>
      </c>
      <c r="AH447" s="372">
        <v>0</v>
      </c>
    </row>
    <row r="448" spans="1:34">
      <c r="A448" s="372" t="s">
        <v>3620</v>
      </c>
      <c r="B448" s="373" t="s">
        <v>3621</v>
      </c>
      <c r="C448" s="372" t="s">
        <v>3622</v>
      </c>
      <c r="D448" s="374">
        <v>1355110319406</v>
      </c>
      <c r="E448" s="372" t="s">
        <v>3623</v>
      </c>
      <c r="F448" s="375" t="s">
        <v>3624</v>
      </c>
      <c r="G448" s="375" t="s">
        <v>3624</v>
      </c>
      <c r="H448" s="375" t="s">
        <v>817</v>
      </c>
      <c r="I448" s="375" t="s">
        <v>754</v>
      </c>
      <c r="J448" s="375">
        <v>1005409.52582</v>
      </c>
      <c r="K448" s="375">
        <v>140132.07485</v>
      </c>
      <c r="L448" s="375">
        <v>182686.66808</v>
      </c>
      <c r="M448" s="375">
        <v>1005345.16451</v>
      </c>
      <c r="N448" s="372">
        <v>0.879</v>
      </c>
      <c r="O448" s="704">
        <v>21.899339535276305</v>
      </c>
      <c r="P448" s="375" t="s">
        <v>622</v>
      </c>
      <c r="Q448" s="375" t="s">
        <v>622</v>
      </c>
      <c r="R448" s="696">
        <v>20180111</v>
      </c>
      <c r="S448" s="375" t="s">
        <v>3625</v>
      </c>
      <c r="T448" s="697">
        <v>0.23100000000000001</v>
      </c>
      <c r="U448" s="375" t="s">
        <v>3270</v>
      </c>
      <c r="V448" s="723">
        <v>3.26</v>
      </c>
      <c r="W448" s="723">
        <v>0.56999999999999995</v>
      </c>
      <c r="X448" s="723">
        <v>0.52</v>
      </c>
      <c r="Y448" s="723">
        <v>4.05</v>
      </c>
      <c r="Z448" s="382" t="s">
        <v>927</v>
      </c>
      <c r="AA448" s="372">
        <v>7866.3546643999998</v>
      </c>
      <c r="AB448" s="372">
        <v>8442.8450589000004</v>
      </c>
      <c r="AC448" s="372">
        <v>9380.7266997999996</v>
      </c>
      <c r="AD448" s="372">
        <v>9545.5172418999991</v>
      </c>
      <c r="AE448" s="372">
        <v>0</v>
      </c>
      <c r="AF448" s="372">
        <v>0</v>
      </c>
      <c r="AG448" s="372">
        <v>0</v>
      </c>
      <c r="AH448" s="372">
        <v>0</v>
      </c>
    </row>
    <row r="449" spans="1:34">
      <c r="A449" s="372" t="s">
        <v>3626</v>
      </c>
      <c r="B449" s="373" t="s">
        <v>3627</v>
      </c>
      <c r="C449" s="372" t="s">
        <v>3628</v>
      </c>
      <c r="D449" s="374">
        <v>1346110009460</v>
      </c>
      <c r="E449" s="372" t="s">
        <v>3629</v>
      </c>
      <c r="F449" s="375" t="s">
        <v>1185</v>
      </c>
      <c r="G449" s="375" t="s">
        <v>1186</v>
      </c>
      <c r="H449" s="375" t="s">
        <v>861</v>
      </c>
      <c r="I449" s="375" t="s">
        <v>862</v>
      </c>
      <c r="J449" s="375">
        <v>292304.99660999997</v>
      </c>
      <c r="K449" s="375">
        <v>20846.53499</v>
      </c>
      <c r="L449" s="375">
        <v>21860.156800000001</v>
      </c>
      <c r="M449" s="375">
        <v>244534.81460000001</v>
      </c>
      <c r="N449" s="372">
        <v>1.593</v>
      </c>
      <c r="O449" s="704">
        <v>0.87103561197121626</v>
      </c>
      <c r="P449" s="375" t="s">
        <v>622</v>
      </c>
      <c r="Q449" s="375" t="s">
        <v>622</v>
      </c>
      <c r="R449" s="696">
        <v>20020226</v>
      </c>
      <c r="S449" s="375" t="s">
        <v>3630</v>
      </c>
      <c r="T449" s="697">
        <v>0.23100000000000001</v>
      </c>
      <c r="U449" s="375" t="s">
        <v>15855</v>
      </c>
      <c r="V449" s="723">
        <v>13.57</v>
      </c>
      <c r="W449" s="723">
        <v>1.3</v>
      </c>
      <c r="X449" s="723">
        <v>1.1599999999999999</v>
      </c>
      <c r="Y449" s="723">
        <v>17.34</v>
      </c>
      <c r="Z449" s="382">
        <v>0.15846053628859069</v>
      </c>
      <c r="AA449" s="372">
        <v>2691.0140209000001</v>
      </c>
      <c r="AB449" s="372">
        <v>3195.1398356999998</v>
      </c>
      <c r="AC449" s="372">
        <v>4224.1875393999999</v>
      </c>
      <c r="AD449" s="372">
        <v>3194.6256477000002</v>
      </c>
      <c r="AE449" s="372">
        <v>3462.67</v>
      </c>
      <c r="AF449" s="372">
        <v>5543</v>
      </c>
      <c r="AG449" s="372">
        <v>5753.67</v>
      </c>
      <c r="AH449" s="372">
        <v>8440</v>
      </c>
    </row>
    <row r="450" spans="1:34">
      <c r="A450" s="372" t="s">
        <v>3631</v>
      </c>
      <c r="B450" s="373" t="s">
        <v>3632</v>
      </c>
      <c r="C450" s="372" t="s">
        <v>3633</v>
      </c>
      <c r="D450" s="374">
        <v>1101112276809</v>
      </c>
      <c r="E450" s="372" t="s">
        <v>3634</v>
      </c>
      <c r="F450" s="375" t="s">
        <v>3218</v>
      </c>
      <c r="G450" s="375" t="s">
        <v>3218</v>
      </c>
      <c r="H450" s="375" t="s">
        <v>812</v>
      </c>
      <c r="I450" s="375" t="s">
        <v>754</v>
      </c>
      <c r="J450" s="375">
        <v>5988989.5877700001</v>
      </c>
      <c r="K450" s="375">
        <v>135464.65195999999</v>
      </c>
      <c r="L450" s="375">
        <v>91467.919680000006</v>
      </c>
      <c r="M450" s="375">
        <v>3188258.6081099999</v>
      </c>
      <c r="N450" s="372">
        <v>0.45</v>
      </c>
      <c r="O450" s="704">
        <v>452.99255657241736</v>
      </c>
      <c r="P450" s="375" t="s">
        <v>622</v>
      </c>
      <c r="Q450" s="375" t="s">
        <v>622</v>
      </c>
      <c r="R450" s="696">
        <v>20010730</v>
      </c>
      <c r="S450" s="375" t="s">
        <v>3635</v>
      </c>
      <c r="T450" s="697">
        <v>0.23100000000000001</v>
      </c>
      <c r="U450" s="372" t="s">
        <v>3636</v>
      </c>
      <c r="V450" s="723">
        <v>9.92</v>
      </c>
      <c r="W450" s="723">
        <v>0.18</v>
      </c>
      <c r="X450" s="723">
        <v>7.0000000000000007E-2</v>
      </c>
      <c r="Y450" s="723">
        <v>8.17</v>
      </c>
      <c r="Z450" s="382" t="s">
        <v>927</v>
      </c>
      <c r="AA450" s="372">
        <v>42573.547419399998</v>
      </c>
      <c r="AB450" s="372">
        <v>60055.221838799996</v>
      </c>
      <c r="AC450" s="372">
        <v>67458.014948900003</v>
      </c>
      <c r="AD450" s="372">
        <v>64192.036030199997</v>
      </c>
      <c r="AE450" s="372">
        <v>0</v>
      </c>
      <c r="AF450" s="372">
        <v>0</v>
      </c>
      <c r="AG450" s="372">
        <v>0</v>
      </c>
      <c r="AH450" s="372">
        <v>0</v>
      </c>
    </row>
    <row r="451" spans="1:34">
      <c r="A451" s="372" t="s">
        <v>3637</v>
      </c>
      <c r="B451" s="373" t="s">
        <v>3638</v>
      </c>
      <c r="C451" s="372" t="s">
        <v>3639</v>
      </c>
      <c r="D451" s="374">
        <v>1101110531578</v>
      </c>
      <c r="E451" s="372" t="s">
        <v>3640</v>
      </c>
      <c r="F451" s="375" t="s">
        <v>1537</v>
      </c>
      <c r="G451" s="375" t="s">
        <v>3641</v>
      </c>
      <c r="H451" s="375" t="s">
        <v>1539</v>
      </c>
      <c r="I451" s="375" t="s">
        <v>754</v>
      </c>
      <c r="J451" s="375">
        <v>1502543.6844500001</v>
      </c>
      <c r="K451" s="375">
        <v>74160.781019999995</v>
      </c>
      <c r="L451" s="375">
        <v>72168.55528</v>
      </c>
      <c r="M451" s="375">
        <v>1392721.8107499999</v>
      </c>
      <c r="N451" s="372">
        <v>0.79900000000000004</v>
      </c>
      <c r="O451" s="704">
        <v>50.959069443825754</v>
      </c>
      <c r="P451" s="375" t="s">
        <v>622</v>
      </c>
      <c r="Q451" s="375" t="s">
        <v>622</v>
      </c>
      <c r="R451" s="696">
        <v>19960703</v>
      </c>
      <c r="S451" s="375" t="s">
        <v>3642</v>
      </c>
      <c r="T451" s="697">
        <v>0.23100000000000001</v>
      </c>
      <c r="U451" s="375" t="s">
        <v>3643</v>
      </c>
      <c r="V451" s="723">
        <v>3.08</v>
      </c>
      <c r="W451" s="723">
        <v>0.27</v>
      </c>
      <c r="X451" s="723">
        <v>0.26</v>
      </c>
      <c r="Y451" s="723">
        <v>7.19</v>
      </c>
      <c r="Z451" s="382">
        <v>1.4923894756924794E-2</v>
      </c>
      <c r="AA451" s="372">
        <v>11958.9964031</v>
      </c>
      <c r="AB451" s="372">
        <v>13874.016606699999</v>
      </c>
      <c r="AC451" s="372">
        <v>15422.2168342</v>
      </c>
      <c r="AD451" s="372">
        <v>15286.407292399999</v>
      </c>
      <c r="AE451" s="372">
        <v>15098</v>
      </c>
      <c r="AF451" s="372">
        <v>15691.56</v>
      </c>
      <c r="AG451" s="372">
        <v>16219.57</v>
      </c>
      <c r="AH451" s="372">
        <v>0</v>
      </c>
    </row>
    <row r="452" spans="1:34">
      <c r="A452" s="372" t="s">
        <v>3644</v>
      </c>
      <c r="B452" s="373" t="s">
        <v>3645</v>
      </c>
      <c r="C452" s="372" t="s">
        <v>3646</v>
      </c>
      <c r="D452" s="374">
        <v>1348110324294</v>
      </c>
      <c r="E452" s="372" t="s">
        <v>3647</v>
      </c>
      <c r="F452" s="375" t="s">
        <v>1055</v>
      </c>
      <c r="G452" s="375" t="s">
        <v>16104</v>
      </c>
      <c r="H452" s="375" t="s">
        <v>784</v>
      </c>
      <c r="I452" s="375" t="s">
        <v>754</v>
      </c>
      <c r="J452" s="375">
        <v>99805.535210000002</v>
      </c>
      <c r="K452" s="375">
        <v>11518.456319999999</v>
      </c>
      <c r="L452" s="375">
        <v>-28857.004420000001</v>
      </c>
      <c r="M452" s="375">
        <v>1589470.7556100001</v>
      </c>
      <c r="N452" s="372">
        <v>0.93899999999999995</v>
      </c>
      <c r="O452" s="704">
        <v>0.80542874213892757</v>
      </c>
      <c r="P452" s="375" t="s">
        <v>622</v>
      </c>
      <c r="Q452" s="375" t="s">
        <v>622</v>
      </c>
      <c r="R452" s="696">
        <v>20221222</v>
      </c>
      <c r="S452" s="375" t="s">
        <v>3648</v>
      </c>
      <c r="T452" s="697" t="s">
        <v>771</v>
      </c>
      <c r="U452" s="375" t="s">
        <v>3649</v>
      </c>
      <c r="V452" s="723">
        <v>23.62</v>
      </c>
      <c r="W452" s="723">
        <v>0.28999999999999998</v>
      </c>
      <c r="X452" s="723">
        <v>4.66</v>
      </c>
      <c r="Y452" s="723">
        <v>11.53</v>
      </c>
      <c r="Z452" s="382">
        <v>0.21250413875082752</v>
      </c>
      <c r="AA452" s="372">
        <v>6315.0454479999999</v>
      </c>
      <c r="AB452" s="372">
        <v>6223.5516442999997</v>
      </c>
      <c r="AC452" s="372">
        <v>4796.5708980999998</v>
      </c>
      <c r="AD452" s="372">
        <v>900.80965579999997</v>
      </c>
      <c r="AE452" s="372">
        <v>1136</v>
      </c>
      <c r="AF452" s="372">
        <v>1505</v>
      </c>
      <c r="AG452" s="372">
        <v>1947</v>
      </c>
      <c r="AH452" s="372">
        <v>0</v>
      </c>
    </row>
    <row r="453" spans="1:34">
      <c r="A453" s="372" t="s">
        <v>3650</v>
      </c>
      <c r="B453" s="373" t="s">
        <v>3651</v>
      </c>
      <c r="C453" s="372" t="s">
        <v>3652</v>
      </c>
      <c r="D453" s="374">
        <v>1301110026749</v>
      </c>
      <c r="E453" s="372" t="s">
        <v>3653</v>
      </c>
      <c r="F453" s="372" t="s">
        <v>998</v>
      </c>
      <c r="G453" s="375" t="s">
        <v>999</v>
      </c>
      <c r="H453" s="375" t="s">
        <v>753</v>
      </c>
      <c r="I453" s="375" t="s">
        <v>754</v>
      </c>
      <c r="J453" s="375">
        <v>1384133.54877</v>
      </c>
      <c r="K453" s="375">
        <v>-32195.824120000001</v>
      </c>
      <c r="L453" s="375">
        <v>-35391.250679999997</v>
      </c>
      <c r="M453" s="375">
        <v>733648.06961999997</v>
      </c>
      <c r="N453" s="372">
        <v>1.359</v>
      </c>
      <c r="O453" s="704">
        <v>113.96490191817425</v>
      </c>
      <c r="P453" s="375" t="s">
        <v>622</v>
      </c>
      <c r="Q453" s="375" t="s">
        <v>622</v>
      </c>
      <c r="R453" s="696">
        <v>19850909</v>
      </c>
      <c r="S453" s="375" t="s">
        <v>3654</v>
      </c>
      <c r="T453" s="697" t="s">
        <v>771</v>
      </c>
      <c r="U453" s="375" t="s">
        <v>3655</v>
      </c>
      <c r="V453" s="723">
        <v>8.56</v>
      </c>
      <c r="W453" s="723">
        <v>0.68</v>
      </c>
      <c r="X453" s="723">
        <v>0.22</v>
      </c>
      <c r="Y453" s="723" t="s">
        <v>773</v>
      </c>
      <c r="Z453" s="382">
        <v>6.7691654828506254E-2</v>
      </c>
      <c r="AA453" s="372">
        <v>9021.2128728999996</v>
      </c>
      <c r="AB453" s="372">
        <v>14241.6850275</v>
      </c>
      <c r="AC453" s="372">
        <v>15968.7515212</v>
      </c>
      <c r="AD453" s="372">
        <v>13322.344442400001</v>
      </c>
      <c r="AE453" s="372">
        <v>14728.33</v>
      </c>
      <c r="AF453" s="372">
        <v>15967.67</v>
      </c>
      <c r="AG453" s="372">
        <v>17312.669999999998</v>
      </c>
      <c r="AH453" s="372">
        <v>0</v>
      </c>
    </row>
    <row r="454" spans="1:34">
      <c r="A454" s="372" t="s">
        <v>3656</v>
      </c>
      <c r="B454" s="373" t="s">
        <v>3657</v>
      </c>
      <c r="C454" s="372" t="s">
        <v>3658</v>
      </c>
      <c r="D454" s="374">
        <v>1311110501435</v>
      </c>
      <c r="E454" s="372" t="s">
        <v>3659</v>
      </c>
      <c r="F454" s="375" t="s">
        <v>1370</v>
      </c>
      <c r="G454" s="375" t="s">
        <v>1370</v>
      </c>
      <c r="H454" s="375" t="s">
        <v>861</v>
      </c>
      <c r="I454" s="375" t="s">
        <v>862</v>
      </c>
      <c r="J454" s="375">
        <v>26966.742340000001</v>
      </c>
      <c r="K454" s="375">
        <v>-10431.733819999999</v>
      </c>
      <c r="L454" s="375">
        <v>-9624.8500499999991</v>
      </c>
      <c r="M454" s="375">
        <v>67313.831510000004</v>
      </c>
      <c r="N454" s="372">
        <v>1.3169999999999999</v>
      </c>
      <c r="O454" s="704">
        <v>7.0056664179997963</v>
      </c>
      <c r="P454" s="375" t="s">
        <v>622</v>
      </c>
      <c r="Q454" s="375" t="s">
        <v>622</v>
      </c>
      <c r="R454" s="696">
        <v>20220926</v>
      </c>
      <c r="S454" s="375" t="s">
        <v>3660</v>
      </c>
      <c r="T454" s="697" t="s">
        <v>771</v>
      </c>
      <c r="U454" s="375" t="s">
        <v>3661</v>
      </c>
      <c r="V454" s="723" t="s">
        <v>773</v>
      </c>
      <c r="W454" s="723">
        <v>4.88</v>
      </c>
      <c r="X454" s="723">
        <v>10.9</v>
      </c>
      <c r="Y454" s="723" t="s">
        <v>773</v>
      </c>
      <c r="Z454" s="382">
        <v>0.45471490136956372</v>
      </c>
      <c r="AA454" s="372">
        <v>10.886423199999999</v>
      </c>
      <c r="AB454" s="372">
        <v>51.858677800000002</v>
      </c>
      <c r="AC454" s="372">
        <v>100.1168756</v>
      </c>
      <c r="AD454" s="372">
        <v>195.94562669999999</v>
      </c>
      <c r="AE454" s="372">
        <v>289.33</v>
      </c>
      <c r="AF454" s="372">
        <v>541.66999999999996</v>
      </c>
      <c r="AG454" s="372">
        <v>877.5</v>
      </c>
      <c r="AH454" s="372">
        <v>0</v>
      </c>
    </row>
    <row r="455" spans="1:34">
      <c r="A455" s="372" t="s">
        <v>3662</v>
      </c>
      <c r="B455" s="373" t="s">
        <v>3663</v>
      </c>
      <c r="C455" s="372" t="s">
        <v>3664</v>
      </c>
      <c r="D455" s="374">
        <v>1101117221677</v>
      </c>
      <c r="E455" s="372" t="s">
        <v>3665</v>
      </c>
      <c r="F455" s="375" t="s">
        <v>1750</v>
      </c>
      <c r="G455" s="375" t="s">
        <v>1750</v>
      </c>
      <c r="H455" s="375" t="s">
        <v>861</v>
      </c>
      <c r="I455" s="375" t="s">
        <v>862</v>
      </c>
      <c r="J455" s="375">
        <v>52006.657859999999</v>
      </c>
      <c r="K455" s="375">
        <v>30867.716479999999</v>
      </c>
      <c r="L455" s="375">
        <v>32368.065739999998</v>
      </c>
      <c r="M455" s="375">
        <v>78551.519310000003</v>
      </c>
      <c r="N455" s="372">
        <v>0.45200000000000001</v>
      </c>
      <c r="O455" s="704">
        <v>0.16403240137835456</v>
      </c>
      <c r="P455" s="375" t="s">
        <v>622</v>
      </c>
      <c r="Q455" s="372" t="s">
        <v>622</v>
      </c>
      <c r="R455" s="696">
        <v>20191203</v>
      </c>
      <c r="S455" s="375" t="s">
        <v>3666</v>
      </c>
      <c r="T455" s="697">
        <v>0.23100000000000001</v>
      </c>
      <c r="U455" s="375" t="s">
        <v>3667</v>
      </c>
      <c r="V455" s="723">
        <v>0</v>
      </c>
      <c r="W455" s="723">
        <v>0</v>
      </c>
      <c r="X455" s="723">
        <v>0</v>
      </c>
      <c r="Y455" s="723">
        <v>0</v>
      </c>
      <c r="Z455" s="382">
        <v>0.23960647842635363</v>
      </c>
      <c r="AA455" s="372">
        <v>121.5432766</v>
      </c>
      <c r="AB455" s="372">
        <v>183.7272294</v>
      </c>
      <c r="AC455" s="372">
        <v>311.08305469999999</v>
      </c>
      <c r="AD455" s="372">
        <v>425.20500090000002</v>
      </c>
      <c r="AE455" s="372">
        <v>568</v>
      </c>
      <c r="AF455" s="372">
        <v>767</v>
      </c>
      <c r="AG455" s="372">
        <v>1004</v>
      </c>
      <c r="AH455" s="372">
        <v>0</v>
      </c>
    </row>
    <row r="456" spans="1:34">
      <c r="A456" s="372" t="s">
        <v>3668</v>
      </c>
      <c r="B456" s="373" t="s">
        <v>3669</v>
      </c>
      <c r="C456" s="372" t="s">
        <v>3670</v>
      </c>
      <c r="D456" s="374">
        <v>1601110105498</v>
      </c>
      <c r="E456" s="372" t="s">
        <v>3671</v>
      </c>
      <c r="F456" s="372" t="s">
        <v>3672</v>
      </c>
      <c r="G456" s="375" t="s">
        <v>3672</v>
      </c>
      <c r="H456" s="375" t="s">
        <v>1337</v>
      </c>
      <c r="I456" s="375" t="s">
        <v>862</v>
      </c>
      <c r="J456" s="375">
        <v>2199.56079</v>
      </c>
      <c r="K456" s="375">
        <v>-14655.329159999999</v>
      </c>
      <c r="L456" s="375">
        <v>-10758.173150000001</v>
      </c>
      <c r="M456" s="375">
        <v>124334.29325</v>
      </c>
      <c r="N456" s="372">
        <v>0.73199999999999998</v>
      </c>
      <c r="O456" s="704">
        <v>0.51577600298923487</v>
      </c>
      <c r="P456" s="375" t="s">
        <v>622</v>
      </c>
      <c r="Q456" s="375" t="s">
        <v>622</v>
      </c>
      <c r="R456" s="696">
        <v>20160719</v>
      </c>
      <c r="S456" s="375" t="s">
        <v>3673</v>
      </c>
      <c r="T456" s="697" t="s">
        <v>771</v>
      </c>
      <c r="U456" s="372" t="s">
        <v>3674</v>
      </c>
      <c r="V456" s="723" t="s">
        <v>773</v>
      </c>
      <c r="W456" s="723">
        <v>2.87</v>
      </c>
      <c r="X456" s="723">
        <v>168.36</v>
      </c>
      <c r="Y456" s="723" t="s">
        <v>773</v>
      </c>
      <c r="Z456" s="382">
        <v>0.78242580709974874</v>
      </c>
      <c r="AA456" s="372">
        <v>12.388508</v>
      </c>
      <c r="AB456" s="372">
        <v>51.3961507</v>
      </c>
      <c r="AC456" s="372">
        <v>298.656747</v>
      </c>
      <c r="AD456" s="372">
        <v>34.1800937</v>
      </c>
      <c r="AE456" s="372">
        <v>39</v>
      </c>
      <c r="AF456" s="372">
        <v>195</v>
      </c>
      <c r="AG456" s="372">
        <v>345</v>
      </c>
      <c r="AH456" s="372">
        <v>0</v>
      </c>
    </row>
    <row r="457" spans="1:34">
      <c r="A457" s="372" t="s">
        <v>3675</v>
      </c>
      <c r="B457" s="373" t="s">
        <v>3676</v>
      </c>
      <c r="C457" s="372" t="s">
        <v>3677</v>
      </c>
      <c r="D457" s="374">
        <v>1101115455476</v>
      </c>
      <c r="E457" s="372" t="s">
        <v>3678</v>
      </c>
      <c r="F457" s="375" t="s">
        <v>2992</v>
      </c>
      <c r="G457" s="375" t="s">
        <v>2992</v>
      </c>
      <c r="H457" s="375" t="s">
        <v>792</v>
      </c>
      <c r="I457" s="375" t="s">
        <v>754</v>
      </c>
      <c r="J457" s="375">
        <v>3946524.9372399999</v>
      </c>
      <c r="K457" s="375">
        <v>196041.56385000001</v>
      </c>
      <c r="L457" s="375">
        <v>179819.62907</v>
      </c>
      <c r="M457" s="375">
        <v>1046742.82051</v>
      </c>
      <c r="N457" s="372">
        <v>1.5509999999999999</v>
      </c>
      <c r="O457" s="704">
        <v>184.75094797297254</v>
      </c>
      <c r="P457" s="375" t="s">
        <v>622</v>
      </c>
      <c r="Q457" s="372" t="s">
        <v>622</v>
      </c>
      <c r="R457" s="696">
        <v>20140808</v>
      </c>
      <c r="S457" s="372" t="s">
        <v>3679</v>
      </c>
      <c r="T457" s="697">
        <v>0.23100000000000001</v>
      </c>
      <c r="U457" s="372" t="s">
        <v>3680</v>
      </c>
      <c r="V457" s="723">
        <v>2.64</v>
      </c>
      <c r="W457" s="723">
        <v>0.39</v>
      </c>
      <c r="X457" s="723">
        <v>0.1</v>
      </c>
      <c r="Y457" s="723">
        <v>2.91</v>
      </c>
      <c r="Z457" s="382">
        <v>5.9328237750515544E-2</v>
      </c>
      <c r="AA457" s="372">
        <v>19623.845932699998</v>
      </c>
      <c r="AB457" s="372">
        <v>21800.658987499999</v>
      </c>
      <c r="AC457" s="372">
        <v>28452.5336995</v>
      </c>
      <c r="AD457" s="372">
        <v>35742.655600300001</v>
      </c>
      <c r="AE457" s="372">
        <v>39850</v>
      </c>
      <c r="AF457" s="372">
        <v>41860</v>
      </c>
      <c r="AG457" s="372">
        <v>45010</v>
      </c>
      <c r="AH457" s="372">
        <v>0</v>
      </c>
    </row>
    <row r="458" spans="1:34">
      <c r="A458" s="372" t="s">
        <v>3681</v>
      </c>
      <c r="B458" s="373" t="s">
        <v>3682</v>
      </c>
      <c r="C458" s="372" t="s">
        <v>3683</v>
      </c>
      <c r="D458" s="374">
        <v>1101110731483</v>
      </c>
      <c r="E458" s="372" t="s">
        <v>3684</v>
      </c>
      <c r="F458" s="375" t="s">
        <v>3685</v>
      </c>
      <c r="G458" s="375" t="s">
        <v>3685</v>
      </c>
      <c r="H458" s="375" t="s">
        <v>817</v>
      </c>
      <c r="I458" s="375" t="s">
        <v>754</v>
      </c>
      <c r="J458" s="375">
        <v>1085628.8326900001</v>
      </c>
      <c r="K458" s="375">
        <v>-8699.8956099999996</v>
      </c>
      <c r="L458" s="375">
        <v>476.02042999999998</v>
      </c>
      <c r="M458" s="375">
        <v>870579.99994000001</v>
      </c>
      <c r="N458" s="372">
        <v>0.68100000000000005</v>
      </c>
      <c r="O458" s="704">
        <v>128.86399653060576</v>
      </c>
      <c r="P458" s="375" t="s">
        <v>622</v>
      </c>
      <c r="Q458" s="372" t="s">
        <v>622</v>
      </c>
      <c r="R458" s="696">
        <v>19990512</v>
      </c>
      <c r="S458" s="372" t="s">
        <v>3686</v>
      </c>
      <c r="T458" s="697">
        <v>0.20900000000000002</v>
      </c>
      <c r="U458" s="375" t="s">
        <v>3687</v>
      </c>
      <c r="V458" s="723">
        <v>11</v>
      </c>
      <c r="W458" s="723">
        <v>0.33</v>
      </c>
      <c r="X458" s="723">
        <v>0.27</v>
      </c>
      <c r="Y458" s="723">
        <v>255.29</v>
      </c>
      <c r="Z458" s="382">
        <v>1.5137033433525904E-2</v>
      </c>
      <c r="AA458" s="372">
        <v>8603.4311436000007</v>
      </c>
      <c r="AB458" s="372">
        <v>10490.345696</v>
      </c>
      <c r="AC458" s="372">
        <v>11737.815808900001</v>
      </c>
      <c r="AD458" s="372">
        <v>9967.6361326000006</v>
      </c>
      <c r="AE458" s="372">
        <v>11007.5</v>
      </c>
      <c r="AF458" s="372">
        <v>10563.5</v>
      </c>
      <c r="AG458" s="372">
        <v>10585</v>
      </c>
      <c r="AH458" s="372">
        <v>0</v>
      </c>
    </row>
    <row r="459" spans="1:34">
      <c r="A459" s="372" t="s">
        <v>3688</v>
      </c>
      <c r="B459" s="373" t="s">
        <v>3689</v>
      </c>
      <c r="C459" s="372" t="s">
        <v>3690</v>
      </c>
      <c r="D459" s="374">
        <v>2052110029832</v>
      </c>
      <c r="E459" s="372" t="s">
        <v>3691</v>
      </c>
      <c r="F459" s="375" t="s">
        <v>1116</v>
      </c>
      <c r="G459" s="375" t="s">
        <v>1336</v>
      </c>
      <c r="H459" s="375" t="s">
        <v>1337</v>
      </c>
      <c r="I459" s="375" t="s">
        <v>862</v>
      </c>
      <c r="J459" s="375">
        <v>0</v>
      </c>
      <c r="K459" s="375">
        <v>0</v>
      </c>
      <c r="L459" s="375">
        <v>0</v>
      </c>
      <c r="M459" s="375">
        <v>75054.24308</v>
      </c>
      <c r="N459" s="372">
        <v>1.319</v>
      </c>
      <c r="O459" s="704">
        <v>0.8289666398975617</v>
      </c>
      <c r="P459" s="375" t="s">
        <v>622</v>
      </c>
      <c r="Q459" s="375" t="s">
        <v>622</v>
      </c>
      <c r="R459" s="696">
        <v>20200922</v>
      </c>
      <c r="S459" s="375" t="s">
        <v>3692</v>
      </c>
      <c r="T459" s="697" t="s">
        <v>771</v>
      </c>
      <c r="U459" s="372" t="s">
        <v>3693</v>
      </c>
      <c r="V459" s="723">
        <v>0</v>
      </c>
      <c r="W459" s="723">
        <v>4.37</v>
      </c>
      <c r="X459" s="723">
        <v>0</v>
      </c>
      <c r="Y459" s="723">
        <v>0</v>
      </c>
      <c r="Z459" s="382" t="s">
        <v>927</v>
      </c>
      <c r="AA459" s="372">
        <v>0</v>
      </c>
      <c r="AB459" s="372">
        <v>0</v>
      </c>
      <c r="AC459" s="372">
        <v>0</v>
      </c>
      <c r="AD459" s="372">
        <v>0.1372332</v>
      </c>
      <c r="AE459" s="372">
        <v>0</v>
      </c>
      <c r="AF459" s="372">
        <v>0</v>
      </c>
      <c r="AG459" s="372">
        <v>0</v>
      </c>
      <c r="AH459" s="372">
        <v>0</v>
      </c>
    </row>
    <row r="460" spans="1:34">
      <c r="A460" s="372" t="s">
        <v>3694</v>
      </c>
      <c r="B460" s="373" t="s">
        <v>3695</v>
      </c>
      <c r="C460" s="372" t="s">
        <v>3696</v>
      </c>
      <c r="D460" s="374">
        <v>1545110002355</v>
      </c>
      <c r="E460" s="372" t="s">
        <v>3697</v>
      </c>
      <c r="F460" s="375" t="s">
        <v>3236</v>
      </c>
      <c r="G460" s="375" t="s">
        <v>3236</v>
      </c>
      <c r="H460" s="375" t="s">
        <v>861</v>
      </c>
      <c r="I460" s="375" t="s">
        <v>862</v>
      </c>
      <c r="J460" s="375">
        <v>477988.03862000001</v>
      </c>
      <c r="K460" s="375">
        <v>-38367.117599999998</v>
      </c>
      <c r="L460" s="375">
        <v>-158087.54818000001</v>
      </c>
      <c r="M460" s="375">
        <v>200315.10568000001</v>
      </c>
      <c r="N460" s="372">
        <v>1.23</v>
      </c>
      <c r="O460" s="704">
        <v>244.09099633007645</v>
      </c>
      <c r="P460" s="375" t="s">
        <v>622</v>
      </c>
      <c r="Q460" s="375" t="s">
        <v>622</v>
      </c>
      <c r="R460" s="696">
        <v>19991211</v>
      </c>
      <c r="S460" s="375" t="s">
        <v>3698</v>
      </c>
      <c r="T460" s="697" t="s">
        <v>771</v>
      </c>
      <c r="U460" s="372" t="s">
        <v>3699</v>
      </c>
      <c r="V460" s="723">
        <v>5.76</v>
      </c>
      <c r="W460" s="723">
        <v>1.94</v>
      </c>
      <c r="X460" s="723">
        <v>0.43</v>
      </c>
      <c r="Y460" s="723" t="s">
        <v>773</v>
      </c>
      <c r="Z460" s="382" t="s">
        <v>927</v>
      </c>
      <c r="AA460" s="372">
        <v>3435.5967740000001</v>
      </c>
      <c r="AB460" s="372">
        <v>4183.6653753000001</v>
      </c>
      <c r="AC460" s="372">
        <v>5880.3920995999997</v>
      </c>
      <c r="AD460" s="372">
        <v>4801.1163941000004</v>
      </c>
      <c r="AE460" s="372">
        <v>0</v>
      </c>
      <c r="AF460" s="372">
        <v>0</v>
      </c>
      <c r="AG460" s="372">
        <v>0</v>
      </c>
      <c r="AH460" s="372">
        <v>0</v>
      </c>
    </row>
    <row r="461" spans="1:34">
      <c r="A461" s="372" t="s">
        <v>3700</v>
      </c>
      <c r="B461" s="373" t="s">
        <v>3701</v>
      </c>
      <c r="C461" s="372" t="s">
        <v>3702</v>
      </c>
      <c r="D461" s="374">
        <v>1101110398275</v>
      </c>
      <c r="E461" s="372" t="s">
        <v>3703</v>
      </c>
      <c r="F461" s="372" t="s">
        <v>1096</v>
      </c>
      <c r="G461" s="375" t="s">
        <v>1228</v>
      </c>
      <c r="H461" s="375" t="s">
        <v>826</v>
      </c>
      <c r="I461" s="375" t="s">
        <v>754</v>
      </c>
      <c r="J461" s="375">
        <v>683758.21042000002</v>
      </c>
      <c r="K461" s="375">
        <v>55079.992160000002</v>
      </c>
      <c r="L461" s="375">
        <v>49905.546049999997</v>
      </c>
      <c r="M461" s="375">
        <v>394801.89953</v>
      </c>
      <c r="N461" s="372">
        <v>0.29199999999999998</v>
      </c>
      <c r="O461" s="704">
        <v>3.2472215069539554</v>
      </c>
      <c r="P461" s="375" t="s">
        <v>622</v>
      </c>
      <c r="Q461" s="375" t="s">
        <v>622</v>
      </c>
      <c r="R461" s="696">
        <v>20180322</v>
      </c>
      <c r="S461" s="375" t="s">
        <v>3704</v>
      </c>
      <c r="T461" s="697">
        <v>0.23100000000000001</v>
      </c>
      <c r="U461" s="375" t="s">
        <v>3705</v>
      </c>
      <c r="V461" s="723">
        <v>6.92</v>
      </c>
      <c r="W461" s="723">
        <v>1.17</v>
      </c>
      <c r="X461" s="723">
        <v>0.72</v>
      </c>
      <c r="Y461" s="723">
        <v>12.4</v>
      </c>
      <c r="Z461" s="382">
        <v>5.687019580571584E-2</v>
      </c>
      <c r="AA461" s="372">
        <v>5881.3564651999995</v>
      </c>
      <c r="AB461" s="372">
        <v>5739.2318495999998</v>
      </c>
      <c r="AC461" s="372">
        <v>6104.1075309999997</v>
      </c>
      <c r="AD461" s="372">
        <v>6688.6695111999998</v>
      </c>
      <c r="AE461" s="372">
        <v>7171.33</v>
      </c>
      <c r="AF461" s="372">
        <v>7735.83</v>
      </c>
      <c r="AG461" s="372">
        <v>8345</v>
      </c>
      <c r="AH461" s="372">
        <v>0</v>
      </c>
    </row>
    <row r="462" spans="1:34">
      <c r="A462" s="372" t="s">
        <v>3706</v>
      </c>
      <c r="B462" s="373" t="s">
        <v>3707</v>
      </c>
      <c r="C462" s="372" t="s">
        <v>3708</v>
      </c>
      <c r="D462" s="374">
        <v>1101110279433</v>
      </c>
      <c r="E462" s="372" t="s">
        <v>3709</v>
      </c>
      <c r="F462" s="375" t="s">
        <v>2103</v>
      </c>
      <c r="G462" s="375" t="s">
        <v>2103</v>
      </c>
      <c r="H462" s="375" t="s">
        <v>855</v>
      </c>
      <c r="I462" s="375" t="s">
        <v>754</v>
      </c>
      <c r="J462" s="375">
        <v>6069453.8479399998</v>
      </c>
      <c r="K462" s="375">
        <v>354776.05904999998</v>
      </c>
      <c r="L462" s="375">
        <v>355143.09555999999</v>
      </c>
      <c r="M462" s="375">
        <v>5112723.5113500003</v>
      </c>
      <c r="N462" s="372">
        <v>0.70899999999999996</v>
      </c>
      <c r="O462" s="704">
        <v>764.11111901643415</v>
      </c>
      <c r="P462" s="375" t="s">
        <v>622</v>
      </c>
      <c r="Q462" s="375" t="s">
        <v>622</v>
      </c>
      <c r="R462" s="696">
        <v>19961016</v>
      </c>
      <c r="S462" s="375" t="s">
        <v>854</v>
      </c>
      <c r="T462" s="697">
        <v>0.26400000000000001</v>
      </c>
      <c r="U462" s="375" t="s">
        <v>3710</v>
      </c>
      <c r="V462" s="723">
        <v>13.15</v>
      </c>
      <c r="W462" s="723">
        <v>0.23</v>
      </c>
      <c r="X462" s="723">
        <v>0.11</v>
      </c>
      <c r="Y462" s="723">
        <v>4.96</v>
      </c>
      <c r="Z462" s="382" t="s">
        <v>927</v>
      </c>
      <c r="AA462" s="372">
        <v>39518.630020899996</v>
      </c>
      <c r="AB462" s="372">
        <v>47795.863288</v>
      </c>
      <c r="AC462" s="372">
        <v>50449.445316199999</v>
      </c>
      <c r="AD462" s="372">
        <v>59082.846322700003</v>
      </c>
      <c r="AE462" s="372">
        <v>16666</v>
      </c>
      <c r="AF462" s="372">
        <v>0</v>
      </c>
      <c r="AG462" s="372">
        <v>0</v>
      </c>
      <c r="AH462" s="372">
        <v>0</v>
      </c>
    </row>
    <row r="463" spans="1:34">
      <c r="A463" s="372" t="s">
        <v>3711</v>
      </c>
      <c r="B463" s="373" t="s">
        <v>3712</v>
      </c>
      <c r="C463" s="372" t="s">
        <v>3713</v>
      </c>
      <c r="D463" s="374">
        <v>1101116139277</v>
      </c>
      <c r="E463" s="372" t="s">
        <v>3714</v>
      </c>
      <c r="F463" s="375" t="s">
        <v>1323</v>
      </c>
      <c r="G463" s="375" t="s">
        <v>16106</v>
      </c>
      <c r="H463" s="375" t="s">
        <v>784</v>
      </c>
      <c r="I463" s="375" t="s">
        <v>754</v>
      </c>
      <c r="J463" s="375">
        <v>610282.10273000004</v>
      </c>
      <c r="K463" s="375">
        <v>1839.1644899999999</v>
      </c>
      <c r="L463" s="375">
        <v>-16261.99279</v>
      </c>
      <c r="M463" s="375">
        <v>157432.29246</v>
      </c>
      <c r="N463" s="372">
        <v>0.92700000000000005</v>
      </c>
      <c r="O463" s="704">
        <v>52.968673357439279</v>
      </c>
      <c r="P463" s="375" t="s">
        <v>622</v>
      </c>
      <c r="Q463" s="372" t="s">
        <v>622</v>
      </c>
      <c r="R463" s="696">
        <v>20160831</v>
      </c>
      <c r="S463" s="372" t="s">
        <v>3715</v>
      </c>
      <c r="T463" s="697" t="s">
        <v>771</v>
      </c>
      <c r="U463" s="372" t="s">
        <v>3716</v>
      </c>
      <c r="V463" s="723">
        <v>18.89</v>
      </c>
      <c r="W463" s="723">
        <v>2.4500000000000002</v>
      </c>
      <c r="X463" s="723">
        <v>0.64</v>
      </c>
      <c r="Y463" s="723" t="s">
        <v>773</v>
      </c>
      <c r="Z463" s="382" t="s">
        <v>927</v>
      </c>
      <c r="AA463" s="372">
        <v>5618.4510017000002</v>
      </c>
      <c r="AB463" s="372">
        <v>5601.3162629999997</v>
      </c>
      <c r="AC463" s="372">
        <v>6377.1448981000003</v>
      </c>
      <c r="AD463" s="372">
        <v>6007.5783959</v>
      </c>
      <c r="AE463" s="372">
        <v>7414</v>
      </c>
      <c r="AF463" s="372">
        <v>0</v>
      </c>
      <c r="AG463" s="372">
        <v>0</v>
      </c>
      <c r="AH463" s="372">
        <v>0</v>
      </c>
    </row>
    <row r="464" spans="1:34">
      <c r="A464" s="372" t="s">
        <v>3717</v>
      </c>
      <c r="B464" s="373" t="s">
        <v>3718</v>
      </c>
      <c r="C464" s="372" t="s">
        <v>3719</v>
      </c>
      <c r="D464" s="374">
        <v>1101112577885</v>
      </c>
      <c r="E464" s="372" t="s">
        <v>3720</v>
      </c>
      <c r="F464" s="375" t="s">
        <v>3721</v>
      </c>
      <c r="G464" s="375" t="s">
        <v>3722</v>
      </c>
      <c r="H464" s="375" t="s">
        <v>861</v>
      </c>
      <c r="I464" s="375" t="s">
        <v>862</v>
      </c>
      <c r="J464" s="375">
        <v>672168.45765</v>
      </c>
      <c r="K464" s="375">
        <v>24203.836210000001</v>
      </c>
      <c r="L464" s="375">
        <v>13912.9102</v>
      </c>
      <c r="M464" s="375">
        <v>299341.14442000003</v>
      </c>
      <c r="N464" s="372">
        <v>1.3660000000000001</v>
      </c>
      <c r="O464" s="704">
        <v>67.995036201141502</v>
      </c>
      <c r="P464" s="375" t="s">
        <v>622</v>
      </c>
      <c r="Q464" s="375" t="s">
        <v>622</v>
      </c>
      <c r="R464" s="696">
        <v>20071001</v>
      </c>
      <c r="S464" s="375" t="s">
        <v>3723</v>
      </c>
      <c r="T464" s="697">
        <v>0.20900000000000002</v>
      </c>
      <c r="U464" s="375" t="s">
        <v>3724</v>
      </c>
      <c r="V464" s="723">
        <v>12.07</v>
      </c>
      <c r="W464" s="723">
        <v>1.28</v>
      </c>
      <c r="X464" s="723">
        <v>0.54</v>
      </c>
      <c r="Y464" s="723">
        <v>44.82</v>
      </c>
      <c r="Z464" s="382" t="s">
        <v>927</v>
      </c>
      <c r="AA464" s="372">
        <v>4035.9887509</v>
      </c>
      <c r="AB464" s="372">
        <v>4582.4437789000003</v>
      </c>
      <c r="AC464" s="372">
        <v>4903.2766343000003</v>
      </c>
      <c r="AD464" s="372">
        <v>6940.2581528000001</v>
      </c>
      <c r="AE464" s="372">
        <v>0</v>
      </c>
      <c r="AF464" s="372">
        <v>0</v>
      </c>
      <c r="AG464" s="372">
        <v>0</v>
      </c>
      <c r="AH464" s="372">
        <v>0</v>
      </c>
    </row>
    <row r="465" spans="1:34">
      <c r="A465" s="372" t="s">
        <v>3725</v>
      </c>
      <c r="B465" s="373" t="s">
        <v>3726</v>
      </c>
      <c r="C465" s="372" t="s">
        <v>3727</v>
      </c>
      <c r="D465" s="374">
        <v>1243110008999</v>
      </c>
      <c r="E465" s="372" t="s">
        <v>3728</v>
      </c>
      <c r="F465" s="375" t="s">
        <v>1303</v>
      </c>
      <c r="G465" s="375" t="s">
        <v>1303</v>
      </c>
      <c r="H465" s="375" t="s">
        <v>826</v>
      </c>
      <c r="I465" s="375" t="s">
        <v>754</v>
      </c>
      <c r="J465" s="375">
        <v>8691179.8432800006</v>
      </c>
      <c r="K465" s="375">
        <v>283558.82834000001</v>
      </c>
      <c r="L465" s="375">
        <v>271919.66252999997</v>
      </c>
      <c r="M465" s="375">
        <v>3785841.8810800002</v>
      </c>
      <c r="N465" s="372">
        <v>0.90200000000000002</v>
      </c>
      <c r="O465" s="704">
        <v>655.96592955272035</v>
      </c>
      <c r="P465" s="375" t="s">
        <v>622</v>
      </c>
      <c r="Q465" s="375" t="s">
        <v>622</v>
      </c>
      <c r="R465" s="696">
        <v>19890825</v>
      </c>
      <c r="S465" s="375" t="s">
        <v>3729</v>
      </c>
      <c r="T465" s="697">
        <v>0.23100000000000001</v>
      </c>
      <c r="U465" s="372" t="s">
        <v>3730</v>
      </c>
      <c r="V465" s="723">
        <v>7.59</v>
      </c>
      <c r="W465" s="723">
        <v>0.31</v>
      </c>
      <c r="X465" s="723">
        <v>0.03</v>
      </c>
      <c r="Y465" s="723">
        <v>5</v>
      </c>
      <c r="Z465" s="382" t="s">
        <v>927</v>
      </c>
      <c r="AA465" s="372">
        <v>36863.503516299999</v>
      </c>
      <c r="AB465" s="372">
        <v>48266.183930500003</v>
      </c>
      <c r="AC465" s="372">
        <v>66073.550888500002</v>
      </c>
      <c r="AD465" s="372">
        <v>89330.570235499996</v>
      </c>
      <c r="AE465" s="372">
        <v>0</v>
      </c>
      <c r="AF465" s="372">
        <v>0</v>
      </c>
      <c r="AG465" s="372">
        <v>0</v>
      </c>
      <c r="AH465" s="372">
        <v>0</v>
      </c>
    </row>
    <row r="466" spans="1:34">
      <c r="A466" s="372" t="s">
        <v>3731</v>
      </c>
      <c r="B466" s="373" t="s">
        <v>3732</v>
      </c>
      <c r="C466" s="372" t="s">
        <v>3733</v>
      </c>
      <c r="D466" s="374">
        <v>1348110080937</v>
      </c>
      <c r="E466" s="372" t="s">
        <v>3734</v>
      </c>
      <c r="F466" s="375" t="s">
        <v>2426</v>
      </c>
      <c r="G466" s="375" t="s">
        <v>2427</v>
      </c>
      <c r="H466" s="375" t="s">
        <v>861</v>
      </c>
      <c r="I466" s="375" t="s">
        <v>862</v>
      </c>
      <c r="J466" s="375">
        <v>100936.67296</v>
      </c>
      <c r="K466" s="375">
        <v>-18300.321349999998</v>
      </c>
      <c r="L466" s="375">
        <v>-17690.736550000001</v>
      </c>
      <c r="M466" s="375">
        <v>102632.35180999999</v>
      </c>
      <c r="N466" s="372">
        <v>1.282</v>
      </c>
      <c r="O466" s="704">
        <v>42.74293330418957</v>
      </c>
      <c r="P466" s="375" t="s">
        <v>622</v>
      </c>
      <c r="Q466" s="372" t="s">
        <v>622</v>
      </c>
      <c r="R466" s="696">
        <v>20201125</v>
      </c>
      <c r="S466" s="372" t="s">
        <v>3735</v>
      </c>
      <c r="T466" s="697" t="s">
        <v>771</v>
      </c>
      <c r="U466" s="375" t="s">
        <v>3736</v>
      </c>
      <c r="V466" s="723" t="s">
        <v>773</v>
      </c>
      <c r="W466" s="723">
        <v>2.37</v>
      </c>
      <c r="X466" s="723">
        <v>2.4500000000000002</v>
      </c>
      <c r="Y466" s="723" t="s">
        <v>773</v>
      </c>
      <c r="Z466" s="382">
        <v>0.11486061793993074</v>
      </c>
      <c r="AA466" s="372">
        <v>880.41749949999996</v>
      </c>
      <c r="AB466" s="372">
        <v>1130.0141308</v>
      </c>
      <c r="AC466" s="372">
        <v>1138.5799096000001</v>
      </c>
      <c r="AD466" s="372">
        <v>1199.4803055</v>
      </c>
      <c r="AE466" s="372">
        <v>1076</v>
      </c>
      <c r="AF466" s="372">
        <v>1528</v>
      </c>
      <c r="AG466" s="372">
        <v>1853</v>
      </c>
      <c r="AH466" s="372">
        <v>0</v>
      </c>
    </row>
    <row r="467" spans="1:34">
      <c r="A467" s="372" t="s">
        <v>3737</v>
      </c>
      <c r="B467" s="373" t="s">
        <v>3738</v>
      </c>
      <c r="C467" s="372" t="s">
        <v>3739</v>
      </c>
      <c r="D467" s="374">
        <v>1101111799513</v>
      </c>
      <c r="E467" s="372" t="s">
        <v>3740</v>
      </c>
      <c r="F467" s="372" t="s">
        <v>1656</v>
      </c>
      <c r="G467" s="375" t="s">
        <v>1656</v>
      </c>
      <c r="H467" s="375" t="s">
        <v>861</v>
      </c>
      <c r="I467" s="375" t="s">
        <v>862</v>
      </c>
      <c r="J467" s="375">
        <v>183461.94930000001</v>
      </c>
      <c r="K467" s="375">
        <v>5714.2235300000002</v>
      </c>
      <c r="L467" s="375">
        <v>634.29888000000005</v>
      </c>
      <c r="M467" s="375">
        <v>212121.46311000001</v>
      </c>
      <c r="N467" s="372">
        <v>1.2110000000000001</v>
      </c>
      <c r="O467" s="704">
        <v>64.065936087584646</v>
      </c>
      <c r="P467" s="375" t="s">
        <v>622</v>
      </c>
      <c r="Q467" s="375" t="s">
        <v>622</v>
      </c>
      <c r="R467" s="696">
        <v>20041208</v>
      </c>
      <c r="S467" s="375" t="s">
        <v>3741</v>
      </c>
      <c r="T467" s="697">
        <v>0.20900000000000002</v>
      </c>
      <c r="U467" s="372" t="s">
        <v>3742</v>
      </c>
      <c r="V467" s="723">
        <v>15.9</v>
      </c>
      <c r="W467" s="723">
        <v>0.98</v>
      </c>
      <c r="X467" s="723">
        <v>1.1599999999999999</v>
      </c>
      <c r="Y467" s="723" t="s">
        <v>773</v>
      </c>
      <c r="Z467" s="382">
        <v>9.1667270876288454E-2</v>
      </c>
      <c r="AA467" s="372">
        <v>1007.2189466999999</v>
      </c>
      <c r="AB467" s="372">
        <v>1364.1249851</v>
      </c>
      <c r="AC467" s="372">
        <v>1504.0431177999999</v>
      </c>
      <c r="AD467" s="372">
        <v>1910.9471818</v>
      </c>
      <c r="AE467" s="372">
        <v>1870.5</v>
      </c>
      <c r="AF467" s="372">
        <v>2066.5</v>
      </c>
      <c r="AG467" s="372">
        <v>2714</v>
      </c>
      <c r="AH467" s="372">
        <v>0</v>
      </c>
    </row>
    <row r="468" spans="1:34">
      <c r="A468" s="372" t="s">
        <v>3743</v>
      </c>
      <c r="B468" s="373" t="s">
        <v>3744</v>
      </c>
      <c r="C468" s="372" t="s">
        <v>3745</v>
      </c>
      <c r="D468" s="374">
        <v>1545110016091</v>
      </c>
      <c r="E468" s="372" t="s">
        <v>3746</v>
      </c>
      <c r="F468" s="372" t="s">
        <v>1096</v>
      </c>
      <c r="G468" s="375" t="s">
        <v>1097</v>
      </c>
      <c r="H468" s="375" t="s">
        <v>861</v>
      </c>
      <c r="I468" s="375" t="s">
        <v>862</v>
      </c>
      <c r="J468" s="375">
        <v>518721.77318000002</v>
      </c>
      <c r="K468" s="375">
        <v>62066.3315</v>
      </c>
      <c r="L468" s="375">
        <v>57642.454559999998</v>
      </c>
      <c r="M468" s="375">
        <v>280785.42693000002</v>
      </c>
      <c r="N468" s="372">
        <v>0.624</v>
      </c>
      <c r="O468" s="704">
        <v>13.636493117507012</v>
      </c>
      <c r="P468" s="375" t="s">
        <v>622</v>
      </c>
      <c r="Q468" s="375" t="s">
        <v>622</v>
      </c>
      <c r="R468" s="696">
        <v>20161028</v>
      </c>
      <c r="S468" s="375" t="s">
        <v>3747</v>
      </c>
      <c r="T468" s="697">
        <v>0.23100000000000001</v>
      </c>
      <c r="U468" s="375" t="s">
        <v>3748</v>
      </c>
      <c r="V468" s="723">
        <v>14.08</v>
      </c>
      <c r="W468" s="723">
        <v>4.8600000000000003</v>
      </c>
      <c r="X468" s="723">
        <v>1.89</v>
      </c>
      <c r="Y468" s="723">
        <v>27.5</v>
      </c>
      <c r="Z468" s="382">
        <v>0.11274322169273665</v>
      </c>
      <c r="AA468" s="372">
        <v>3390.5573390999998</v>
      </c>
      <c r="AB468" s="372">
        <v>3964.6578580999999</v>
      </c>
      <c r="AC468" s="372">
        <v>3993.9923789999998</v>
      </c>
      <c r="AD468" s="372">
        <v>4707.1911129</v>
      </c>
      <c r="AE468" s="372">
        <v>5413.88</v>
      </c>
      <c r="AF468" s="372">
        <v>6341.25</v>
      </c>
      <c r="AG468" s="372">
        <v>7216.75</v>
      </c>
      <c r="AH468" s="372">
        <v>9620</v>
      </c>
    </row>
    <row r="469" spans="1:34">
      <c r="A469" s="372" t="s">
        <v>3749</v>
      </c>
      <c r="B469" s="373" t="s">
        <v>3750</v>
      </c>
      <c r="C469" s="372" t="s">
        <v>3751</v>
      </c>
      <c r="D469" s="374">
        <v>1101113487546</v>
      </c>
      <c r="E469" s="372" t="s">
        <v>3752</v>
      </c>
      <c r="F469" s="375" t="s">
        <v>1656</v>
      </c>
      <c r="G469" s="375" t="s">
        <v>1656</v>
      </c>
      <c r="H469" s="375" t="s">
        <v>861</v>
      </c>
      <c r="I469" s="375" t="s">
        <v>862</v>
      </c>
      <c r="J469" s="375">
        <v>139690.36900000001</v>
      </c>
      <c r="K469" s="375">
        <v>22800.2709</v>
      </c>
      <c r="L469" s="375">
        <v>19467.618289999999</v>
      </c>
      <c r="M469" s="375">
        <v>73449.555810000005</v>
      </c>
      <c r="N469" s="372">
        <v>0.751</v>
      </c>
      <c r="O469" s="704">
        <v>1.9367332007297264</v>
      </c>
      <c r="P469" s="375" t="s">
        <v>622</v>
      </c>
      <c r="Q469" s="375" t="s">
        <v>622</v>
      </c>
      <c r="R469" s="696">
        <v>20150630</v>
      </c>
      <c r="S469" s="375" t="s">
        <v>3753</v>
      </c>
      <c r="T469" s="697">
        <v>0.20900000000000002</v>
      </c>
      <c r="U469" s="375" t="s">
        <v>3754</v>
      </c>
      <c r="V469" s="723">
        <v>0</v>
      </c>
      <c r="W469" s="723">
        <v>0</v>
      </c>
      <c r="X469" s="723">
        <v>0</v>
      </c>
      <c r="Y469" s="723">
        <v>0</v>
      </c>
      <c r="Z469" s="382" t="s">
        <v>927</v>
      </c>
      <c r="AA469" s="372">
        <v>707.19105590000004</v>
      </c>
      <c r="AB469" s="372">
        <v>506.61220730000002</v>
      </c>
      <c r="AC469" s="372">
        <v>501.38173069999999</v>
      </c>
      <c r="AD469" s="372">
        <v>1114.8661308999999</v>
      </c>
      <c r="AE469" s="372">
        <v>0</v>
      </c>
      <c r="AF469" s="372">
        <v>0</v>
      </c>
      <c r="AG469" s="372">
        <v>0</v>
      </c>
      <c r="AH469" s="372">
        <v>0</v>
      </c>
    </row>
    <row r="470" spans="1:34">
      <c r="A470" s="372" t="s">
        <v>3755</v>
      </c>
      <c r="B470" s="373" t="s">
        <v>3756</v>
      </c>
      <c r="C470" s="372" t="s">
        <v>3757</v>
      </c>
      <c r="D470" s="374">
        <v>1101111459191</v>
      </c>
      <c r="E470" s="372" t="s">
        <v>3758</v>
      </c>
      <c r="F470" s="375" t="s">
        <v>1756</v>
      </c>
      <c r="G470" s="375" t="s">
        <v>1757</v>
      </c>
      <c r="H470" s="375" t="s">
        <v>861</v>
      </c>
      <c r="I470" s="375" t="s">
        <v>862</v>
      </c>
      <c r="J470" s="375">
        <v>744062.72852</v>
      </c>
      <c r="K470" s="375">
        <v>-6547.2488499999999</v>
      </c>
      <c r="L470" s="375">
        <v>-3335.1055500000002</v>
      </c>
      <c r="M470" s="375">
        <v>194376.17545000001</v>
      </c>
      <c r="N470" s="372">
        <v>0.60099999999999998</v>
      </c>
      <c r="O470" s="704">
        <v>31.73170095795485</v>
      </c>
      <c r="P470" s="375" t="s">
        <v>622</v>
      </c>
      <c r="Q470" s="375" t="s">
        <v>622</v>
      </c>
      <c r="R470" s="696">
        <v>20030723</v>
      </c>
      <c r="S470" s="375" t="s">
        <v>3759</v>
      </c>
      <c r="T470" s="697" t="s">
        <v>771</v>
      </c>
      <c r="U470" s="372" t="s">
        <v>3760</v>
      </c>
      <c r="V470" s="723">
        <v>14.26</v>
      </c>
      <c r="W470" s="723">
        <v>1.03</v>
      </c>
      <c r="X470" s="723">
        <v>0.27</v>
      </c>
      <c r="Y470" s="723" t="s">
        <v>773</v>
      </c>
      <c r="Z470" s="382" t="s">
        <v>927</v>
      </c>
      <c r="AA470" s="372">
        <v>9272.3598359000007</v>
      </c>
      <c r="AB470" s="372">
        <v>9083.2400990999995</v>
      </c>
      <c r="AC470" s="372">
        <v>7438.7328883999999</v>
      </c>
      <c r="AD470" s="372">
        <v>7731.8112402999996</v>
      </c>
      <c r="AE470" s="372">
        <v>7360</v>
      </c>
      <c r="AF470" s="372">
        <v>7510</v>
      </c>
      <c r="AG470" s="372">
        <v>0</v>
      </c>
      <c r="AH470" s="372">
        <v>0</v>
      </c>
    </row>
    <row r="471" spans="1:34">
      <c r="A471" s="372" t="s">
        <v>3761</v>
      </c>
      <c r="B471" s="373" t="s">
        <v>3762</v>
      </c>
      <c r="C471" s="372" t="s">
        <v>3763</v>
      </c>
      <c r="D471" s="374">
        <v>1101110030710</v>
      </c>
      <c r="E471" s="372" t="s">
        <v>3764</v>
      </c>
      <c r="F471" s="375" t="s">
        <v>2625</v>
      </c>
      <c r="G471" s="375" t="s">
        <v>2626</v>
      </c>
      <c r="H471" s="375" t="s">
        <v>817</v>
      </c>
      <c r="I471" s="375" t="s">
        <v>754</v>
      </c>
      <c r="J471" s="375">
        <v>2034489.90962</v>
      </c>
      <c r="K471" s="375">
        <v>210307.76633000001</v>
      </c>
      <c r="L471" s="375">
        <v>187180.33966</v>
      </c>
      <c r="M471" s="375">
        <v>2028883.7149199999</v>
      </c>
      <c r="N471" s="372">
        <v>0.52200000000000002</v>
      </c>
      <c r="O471" s="704">
        <v>192.06369995129671</v>
      </c>
      <c r="P471" s="375" t="s">
        <v>622</v>
      </c>
      <c r="Q471" s="372" t="s">
        <v>622</v>
      </c>
      <c r="R471" s="696">
        <v>19740603</v>
      </c>
      <c r="S471" s="372" t="s">
        <v>3765</v>
      </c>
      <c r="T471" s="697">
        <v>0.23100000000000001</v>
      </c>
      <c r="U471" s="372" t="s">
        <v>3766</v>
      </c>
      <c r="V471" s="723">
        <v>5.46</v>
      </c>
      <c r="W471" s="723">
        <v>0.46</v>
      </c>
      <c r="X471" s="723">
        <v>0.27</v>
      </c>
      <c r="Y471" s="723">
        <v>6.6</v>
      </c>
      <c r="Z471" s="382" t="s">
        <v>927</v>
      </c>
      <c r="AA471" s="372">
        <v>15271.4114961</v>
      </c>
      <c r="AB471" s="372">
        <v>18465.037395300002</v>
      </c>
      <c r="AC471" s="372">
        <v>20723.005896400002</v>
      </c>
      <c r="AD471" s="372">
        <v>21158.873231599999</v>
      </c>
      <c r="AE471" s="372">
        <v>0</v>
      </c>
      <c r="AF471" s="372">
        <v>0</v>
      </c>
      <c r="AG471" s="372">
        <v>0</v>
      </c>
      <c r="AH471" s="372">
        <v>0</v>
      </c>
    </row>
    <row r="472" spans="1:34">
      <c r="A472" s="372" t="s">
        <v>3767</v>
      </c>
      <c r="B472" s="373" t="s">
        <v>3768</v>
      </c>
      <c r="C472" s="372" t="s">
        <v>3769</v>
      </c>
      <c r="D472" s="374">
        <v>1101112785355</v>
      </c>
      <c r="E472" s="372" t="s">
        <v>3770</v>
      </c>
      <c r="F472" s="375" t="s">
        <v>16101</v>
      </c>
      <c r="G472" s="375" t="s">
        <v>16101</v>
      </c>
      <c r="H472" s="375" t="s">
        <v>861</v>
      </c>
      <c r="I472" s="375" t="s">
        <v>862</v>
      </c>
      <c r="J472" s="375">
        <v>53478.964220000002</v>
      </c>
      <c r="K472" s="375">
        <v>16128.70544</v>
      </c>
      <c r="L472" s="375">
        <v>22758.954730000001</v>
      </c>
      <c r="M472" s="375">
        <v>142253.66581999999</v>
      </c>
      <c r="N472" s="372">
        <v>0.69299999999999995</v>
      </c>
      <c r="O472" s="704">
        <v>20.78251209564554</v>
      </c>
      <c r="P472" s="375" t="s">
        <v>622</v>
      </c>
      <c r="Q472" s="375" t="s">
        <v>622</v>
      </c>
      <c r="R472" s="696">
        <v>20210927</v>
      </c>
      <c r="S472" s="375" t="s">
        <v>3771</v>
      </c>
      <c r="T472" s="697">
        <v>0.23100000000000001</v>
      </c>
      <c r="U472" s="375" t="s">
        <v>15856</v>
      </c>
      <c r="V472" s="723">
        <v>16.46</v>
      </c>
      <c r="W472" s="723">
        <v>2.2599999999999998</v>
      </c>
      <c r="X472" s="723">
        <v>5.9</v>
      </c>
      <c r="Y472" s="723">
        <v>17.73</v>
      </c>
      <c r="Z472" s="382" t="s">
        <v>927</v>
      </c>
      <c r="AA472" s="372">
        <v>243.6660086</v>
      </c>
      <c r="AB472" s="372">
        <v>374.18198210000003</v>
      </c>
      <c r="AC472" s="372">
        <v>567.18818550000003</v>
      </c>
      <c r="AD472" s="372">
        <v>650.42901059999997</v>
      </c>
      <c r="AE472" s="372">
        <v>634</v>
      </c>
      <c r="AF472" s="372">
        <v>789</v>
      </c>
      <c r="AG472" s="372">
        <v>0</v>
      </c>
      <c r="AH472" s="372">
        <v>0</v>
      </c>
    </row>
    <row r="473" spans="1:34">
      <c r="A473" s="372" t="s">
        <v>3772</v>
      </c>
      <c r="B473" s="373" t="s">
        <v>3773</v>
      </c>
      <c r="C473" s="372" t="s">
        <v>3774</v>
      </c>
      <c r="D473" s="374">
        <v>1101110381387</v>
      </c>
      <c r="E473" s="372" t="s">
        <v>3775</v>
      </c>
      <c r="F473" s="375" t="s">
        <v>2040</v>
      </c>
      <c r="G473" s="375" t="s">
        <v>2041</v>
      </c>
      <c r="H473" s="375" t="s">
        <v>846</v>
      </c>
      <c r="I473" s="375" t="s">
        <v>754</v>
      </c>
      <c r="J473" s="375">
        <v>10315455.34038</v>
      </c>
      <c r="K473" s="375">
        <v>154847.83781</v>
      </c>
      <c r="L473" s="375">
        <v>190698.49789999999</v>
      </c>
      <c r="M473" s="375">
        <v>2252529.6587899998</v>
      </c>
      <c r="N473" s="372">
        <v>0.73199999999999998</v>
      </c>
      <c r="O473" s="704">
        <v>660.96994178436955</v>
      </c>
      <c r="P473" s="375" t="s">
        <v>622</v>
      </c>
      <c r="Q473" s="375" t="s">
        <v>622</v>
      </c>
      <c r="R473" s="696">
        <v>19970827</v>
      </c>
      <c r="S473" s="375" t="s">
        <v>3776</v>
      </c>
      <c r="T473" s="697">
        <v>0.23100000000000001</v>
      </c>
      <c r="U473" s="372" t="s">
        <v>3777</v>
      </c>
      <c r="V473" s="723">
        <v>10.62</v>
      </c>
      <c r="W473" s="723">
        <v>0.3</v>
      </c>
      <c r="X473" s="723">
        <v>0.05</v>
      </c>
      <c r="Y473" s="723">
        <v>4.32</v>
      </c>
      <c r="Z473" s="382">
        <v>0.12762148858571076</v>
      </c>
      <c r="AA473" s="372">
        <v>39275.542366200003</v>
      </c>
      <c r="AB473" s="372">
        <v>51523.008974700002</v>
      </c>
      <c r="AC473" s="372">
        <v>79907.6789766</v>
      </c>
      <c r="AD473" s="372">
        <v>78277.370665199996</v>
      </c>
      <c r="AE473" s="372">
        <v>113835</v>
      </c>
      <c r="AF473" s="372">
        <v>119904</v>
      </c>
      <c r="AG473" s="372">
        <v>126558</v>
      </c>
      <c r="AH473" s="372">
        <v>0</v>
      </c>
    </row>
    <row r="474" spans="1:34">
      <c r="A474" s="372" t="s">
        <v>3778</v>
      </c>
      <c r="B474" s="373" t="s">
        <v>3779</v>
      </c>
      <c r="C474" s="372" t="s">
        <v>3780</v>
      </c>
      <c r="D474" s="374">
        <v>1311110446029</v>
      </c>
      <c r="E474" s="372" t="s">
        <v>3781</v>
      </c>
      <c r="F474" s="372" t="s">
        <v>1323</v>
      </c>
      <c r="G474" s="375" t="s">
        <v>16106</v>
      </c>
      <c r="H474" s="375" t="s">
        <v>861</v>
      </c>
      <c r="I474" s="375" t="s">
        <v>862</v>
      </c>
      <c r="J474" s="375">
        <v>588831.81030000001</v>
      </c>
      <c r="K474" s="375">
        <v>40671.098319999997</v>
      </c>
      <c r="L474" s="375">
        <v>44356.883159999998</v>
      </c>
      <c r="M474" s="375">
        <v>346296.12544999999</v>
      </c>
      <c r="N474" s="372">
        <v>0.73699999999999999</v>
      </c>
      <c r="O474" s="704">
        <v>48.371077599405574</v>
      </c>
      <c r="P474" s="375" t="s">
        <v>622</v>
      </c>
      <c r="Q474" s="375" t="s">
        <v>622</v>
      </c>
      <c r="R474" s="696">
        <v>20160603</v>
      </c>
      <c r="S474" s="375" t="s">
        <v>3782</v>
      </c>
      <c r="T474" s="697">
        <v>0.23100000000000001</v>
      </c>
      <c r="U474" s="375" t="s">
        <v>3783</v>
      </c>
      <c r="V474" s="723">
        <v>7.24</v>
      </c>
      <c r="W474" s="723">
        <v>0.98</v>
      </c>
      <c r="X474" s="723">
        <v>0.57999999999999996</v>
      </c>
      <c r="Y474" s="723">
        <v>9.69</v>
      </c>
      <c r="Z474" s="382">
        <v>7.8775997178317514E-2</v>
      </c>
      <c r="AA474" s="372">
        <v>4066.7788096999998</v>
      </c>
      <c r="AB474" s="372">
        <v>4369.1138891999999</v>
      </c>
      <c r="AC474" s="372">
        <v>4923.8681076000003</v>
      </c>
      <c r="AD474" s="372">
        <v>5520.0650225999998</v>
      </c>
      <c r="AE474" s="372">
        <v>6318</v>
      </c>
      <c r="AF474" s="372">
        <v>6898</v>
      </c>
      <c r="AG474" s="372">
        <v>7476</v>
      </c>
      <c r="AH474" s="372">
        <v>0</v>
      </c>
    </row>
    <row r="475" spans="1:34">
      <c r="A475" s="372" t="s">
        <v>3784</v>
      </c>
      <c r="B475" s="373" t="s">
        <v>3785</v>
      </c>
      <c r="C475" s="372" t="s">
        <v>3786</v>
      </c>
      <c r="D475" s="374">
        <v>1342110002769</v>
      </c>
      <c r="E475" s="372" t="s">
        <v>3787</v>
      </c>
      <c r="F475" s="375" t="s">
        <v>1323</v>
      </c>
      <c r="G475" s="375" t="s">
        <v>16106</v>
      </c>
      <c r="H475" s="375" t="s">
        <v>784</v>
      </c>
      <c r="I475" s="375" t="s">
        <v>754</v>
      </c>
      <c r="J475" s="375">
        <v>286519.24894999998</v>
      </c>
      <c r="K475" s="375">
        <v>54853.973180000001</v>
      </c>
      <c r="L475" s="375">
        <v>31630.36089</v>
      </c>
      <c r="M475" s="375">
        <v>391833.10116999998</v>
      </c>
      <c r="N475" s="372">
        <v>0.77200000000000002</v>
      </c>
      <c r="O475" s="704">
        <v>5.2504383402524217</v>
      </c>
      <c r="P475" s="375" t="s">
        <v>622</v>
      </c>
      <c r="Q475" s="372" t="s">
        <v>622</v>
      </c>
      <c r="R475" s="696">
        <v>19991109</v>
      </c>
      <c r="S475" s="375" t="s">
        <v>3788</v>
      </c>
      <c r="T475" s="697">
        <v>0.23100000000000001</v>
      </c>
      <c r="U475" s="375" t="s">
        <v>3789</v>
      </c>
      <c r="V475" s="723">
        <v>0</v>
      </c>
      <c r="W475" s="723">
        <v>0</v>
      </c>
      <c r="X475" s="723">
        <v>0</v>
      </c>
      <c r="Y475" s="723">
        <v>0</v>
      </c>
      <c r="Z475" s="382" t="s">
        <v>927</v>
      </c>
      <c r="AA475" s="372">
        <v>2159.4955264999999</v>
      </c>
      <c r="AB475" s="372">
        <v>2210.3996290999999</v>
      </c>
      <c r="AC475" s="372">
        <v>2625.2202255000002</v>
      </c>
      <c r="AD475" s="372">
        <v>2789.4329680999999</v>
      </c>
      <c r="AE475" s="372">
        <v>0</v>
      </c>
      <c r="AF475" s="372">
        <v>0</v>
      </c>
      <c r="AG475" s="372">
        <v>0</v>
      </c>
      <c r="AH475" s="372">
        <v>0</v>
      </c>
    </row>
    <row r="476" spans="1:34">
      <c r="A476" s="372" t="s">
        <v>3790</v>
      </c>
      <c r="B476" s="373" t="s">
        <v>3791</v>
      </c>
      <c r="C476" s="372" t="s">
        <v>3792</v>
      </c>
      <c r="D476" s="374">
        <v>1101110041634</v>
      </c>
      <c r="E476" s="372" t="s">
        <v>3793</v>
      </c>
      <c r="F476" s="375" t="s">
        <v>1384</v>
      </c>
      <c r="G476" s="375" t="s">
        <v>1385</v>
      </c>
      <c r="H476" s="375" t="s">
        <v>1386</v>
      </c>
      <c r="I476" s="375" t="s">
        <v>754</v>
      </c>
      <c r="J476" s="375">
        <v>382624.92989999999</v>
      </c>
      <c r="K476" s="375">
        <v>-120410.76171999999</v>
      </c>
      <c r="L476" s="375">
        <v>-158440.7916</v>
      </c>
      <c r="M476" s="375">
        <v>44989.613340000004</v>
      </c>
      <c r="N476" s="372">
        <v>1.06</v>
      </c>
      <c r="O476" s="704">
        <v>138.04201167479749</v>
      </c>
      <c r="P476" s="375" t="s">
        <v>622</v>
      </c>
      <c r="Q476" s="375" t="s">
        <v>16116</v>
      </c>
      <c r="R476" s="696">
        <v>19760626</v>
      </c>
      <c r="S476" s="375" t="s">
        <v>3794</v>
      </c>
      <c r="T476" s="697" t="s">
        <v>771</v>
      </c>
      <c r="U476" s="372" t="s">
        <v>3795</v>
      </c>
      <c r="V476" s="723" t="s">
        <v>773</v>
      </c>
      <c r="W476" s="723">
        <v>2.4300000000000002</v>
      </c>
      <c r="X476" s="723">
        <v>0.3</v>
      </c>
      <c r="Y476" s="723" t="s">
        <v>773</v>
      </c>
      <c r="Z476" s="382" t="s">
        <v>927</v>
      </c>
      <c r="AA476" s="372">
        <v>3793.6224562000002</v>
      </c>
      <c r="AB476" s="372">
        <v>3570.4794000000002</v>
      </c>
      <c r="AC476" s="372">
        <v>4362.9250872000002</v>
      </c>
      <c r="AD476" s="372">
        <v>5749.7568707</v>
      </c>
      <c r="AE476" s="372">
        <v>0</v>
      </c>
      <c r="AF476" s="372">
        <v>0</v>
      </c>
      <c r="AG476" s="372">
        <v>0</v>
      </c>
      <c r="AH476" s="372">
        <v>0</v>
      </c>
    </row>
    <row r="477" spans="1:34">
      <c r="A477" s="372" t="s">
        <v>3796</v>
      </c>
      <c r="B477" s="373" t="s">
        <v>3797</v>
      </c>
      <c r="C477" s="372" t="s">
        <v>3798</v>
      </c>
      <c r="D477" s="374">
        <v>1101115527168</v>
      </c>
      <c r="E477" s="372" t="s">
        <v>3799</v>
      </c>
      <c r="F477" s="375" t="s">
        <v>1055</v>
      </c>
      <c r="G477" s="375" t="s">
        <v>1055</v>
      </c>
      <c r="H477" s="375" t="s">
        <v>861</v>
      </c>
      <c r="I477" s="375" t="s">
        <v>862</v>
      </c>
      <c r="J477" s="375">
        <v>141862.83804</v>
      </c>
      <c r="K477" s="375">
        <v>30730.966789999999</v>
      </c>
      <c r="L477" s="375">
        <v>32091.914540000002</v>
      </c>
      <c r="M477" s="375">
        <v>223008.20009</v>
      </c>
      <c r="N477" s="372">
        <v>0.745</v>
      </c>
      <c r="O477" s="704">
        <v>1.8564696439876831</v>
      </c>
      <c r="P477" s="375" t="s">
        <v>622</v>
      </c>
      <c r="Q477" s="375" t="s">
        <v>622</v>
      </c>
      <c r="R477" s="696">
        <v>20141229</v>
      </c>
      <c r="S477" s="375" t="s">
        <v>3800</v>
      </c>
      <c r="T477" s="697">
        <v>0.23100000000000001</v>
      </c>
      <c r="U477" s="375" t="s">
        <v>3801</v>
      </c>
      <c r="V477" s="723">
        <v>10.34</v>
      </c>
      <c r="W477" s="723">
        <v>1.69</v>
      </c>
      <c r="X477" s="723">
        <v>2.76</v>
      </c>
      <c r="Y477" s="723">
        <v>14.37</v>
      </c>
      <c r="Z477" s="382">
        <v>0.10833297716041845</v>
      </c>
      <c r="AA477" s="372">
        <v>1441.3104185</v>
      </c>
      <c r="AB477" s="372">
        <v>1577.0796035000001</v>
      </c>
      <c r="AC477" s="372">
        <v>1180.7684253</v>
      </c>
      <c r="AD477" s="372">
        <v>1342.1923967</v>
      </c>
      <c r="AE477" s="372">
        <v>1528.67</v>
      </c>
      <c r="AF477" s="372">
        <v>1745</v>
      </c>
      <c r="AG477" s="372">
        <v>2025.33</v>
      </c>
      <c r="AH477" s="372">
        <v>0</v>
      </c>
    </row>
    <row r="478" spans="1:34">
      <c r="A478" s="372" t="s">
        <v>3802</v>
      </c>
      <c r="B478" s="373" t="s">
        <v>3803</v>
      </c>
      <c r="C478" s="372" t="s">
        <v>3804</v>
      </c>
      <c r="D478" s="374">
        <v>1501110198453</v>
      </c>
      <c r="E478" s="372" t="s">
        <v>3805</v>
      </c>
      <c r="F478" s="375" t="s">
        <v>1598</v>
      </c>
      <c r="G478" s="375" t="s">
        <v>16112</v>
      </c>
      <c r="H478" s="375" t="s">
        <v>861</v>
      </c>
      <c r="I478" s="375" t="s">
        <v>862</v>
      </c>
      <c r="J478" s="375">
        <v>280544.48485000001</v>
      </c>
      <c r="K478" s="375">
        <v>15969.16894</v>
      </c>
      <c r="L478" s="375">
        <v>18363.70145</v>
      </c>
      <c r="M478" s="375">
        <v>275419.16339</v>
      </c>
      <c r="N478" s="372">
        <v>1.58</v>
      </c>
      <c r="O478" s="704">
        <v>47.97144293923531</v>
      </c>
      <c r="P478" s="375" t="s">
        <v>622</v>
      </c>
      <c r="Q478" s="375" t="s">
        <v>622</v>
      </c>
      <c r="R478" s="696">
        <v>20230119</v>
      </c>
      <c r="S478" s="375" t="s">
        <v>3806</v>
      </c>
      <c r="T478" s="697">
        <v>0.20900000000000002</v>
      </c>
      <c r="U478" s="372" t="s">
        <v>3807</v>
      </c>
      <c r="V478" s="723">
        <v>9.98</v>
      </c>
      <c r="W478" s="723">
        <v>1.1499999999999999</v>
      </c>
      <c r="X478" s="723">
        <v>0.75</v>
      </c>
      <c r="Y478" s="723">
        <v>16.739999999999998</v>
      </c>
      <c r="Z478" s="382">
        <v>0.19816299334771559</v>
      </c>
      <c r="AA478" s="372">
        <v>683.55735749999997</v>
      </c>
      <c r="AB478" s="372">
        <v>902.09839369999997</v>
      </c>
      <c r="AC478" s="372">
        <v>3517.4013083999998</v>
      </c>
      <c r="AD478" s="372">
        <v>2007.8297239000001</v>
      </c>
      <c r="AE478" s="372">
        <v>3296</v>
      </c>
      <c r="AF478" s="372">
        <v>4097</v>
      </c>
      <c r="AG478" s="372">
        <v>4138</v>
      </c>
      <c r="AH478" s="372">
        <v>0</v>
      </c>
    </row>
    <row r="479" spans="1:34">
      <c r="A479" s="372" t="s">
        <v>3808</v>
      </c>
      <c r="B479" s="373" t="s">
        <v>3809</v>
      </c>
      <c r="C479" s="372" t="s">
        <v>3810</v>
      </c>
      <c r="D479" s="374">
        <v>1348110319279</v>
      </c>
      <c r="E479" s="372" t="s">
        <v>3811</v>
      </c>
      <c r="F479" s="375" t="s">
        <v>1370</v>
      </c>
      <c r="G479" s="375" t="s">
        <v>1370</v>
      </c>
      <c r="H479" s="375" t="s">
        <v>861</v>
      </c>
      <c r="I479" s="375" t="s">
        <v>862</v>
      </c>
      <c r="J479" s="375">
        <v>23719.75547</v>
      </c>
      <c r="K479" s="375">
        <v>-13244.23972</v>
      </c>
      <c r="L479" s="375">
        <v>-16395.710920000001</v>
      </c>
      <c r="M479" s="375">
        <v>6177.7483300000004</v>
      </c>
      <c r="N479" s="372">
        <v>1.407</v>
      </c>
      <c r="O479" s="704">
        <v>2.8838482989601313</v>
      </c>
      <c r="P479" s="375" t="s">
        <v>622</v>
      </c>
      <c r="Q479" s="375" t="s">
        <v>622</v>
      </c>
      <c r="R479" s="696">
        <v>20210226</v>
      </c>
      <c r="S479" s="375" t="s">
        <v>3812</v>
      </c>
      <c r="T479" s="697" t="s">
        <v>771</v>
      </c>
      <c r="U479" s="375" t="s">
        <v>3813</v>
      </c>
      <c r="V479" s="723" t="s">
        <v>773</v>
      </c>
      <c r="W479" s="723">
        <v>76.099999999999994</v>
      </c>
      <c r="X479" s="723">
        <v>19.82</v>
      </c>
      <c r="Y479" s="723" t="s">
        <v>773</v>
      </c>
      <c r="Z479" s="382">
        <v>0.54362179866159099</v>
      </c>
      <c r="AA479" s="372">
        <v>12.5721873</v>
      </c>
      <c r="AB479" s="372">
        <v>22.478799299999999</v>
      </c>
      <c r="AC479" s="372">
        <v>82.745305700000003</v>
      </c>
      <c r="AD479" s="372">
        <v>132.7589208</v>
      </c>
      <c r="AE479" s="372">
        <v>287.92</v>
      </c>
      <c r="AF479" s="372">
        <v>484.1</v>
      </c>
      <c r="AG479" s="372">
        <v>753.75</v>
      </c>
      <c r="AH479" s="372">
        <v>0</v>
      </c>
    </row>
    <row r="480" spans="1:34">
      <c r="A480" s="372" t="s">
        <v>3814</v>
      </c>
      <c r="B480" s="373" t="s">
        <v>3815</v>
      </c>
      <c r="C480" s="372" t="s">
        <v>3816</v>
      </c>
      <c r="D480" s="374">
        <v>1101115238096</v>
      </c>
      <c r="E480" s="372" t="s">
        <v>3817</v>
      </c>
      <c r="F480" s="375" t="s">
        <v>1466</v>
      </c>
      <c r="G480" s="375" t="s">
        <v>1467</v>
      </c>
      <c r="H480" s="375" t="s">
        <v>1468</v>
      </c>
      <c r="I480" s="375" t="s">
        <v>754</v>
      </c>
      <c r="J480" s="375">
        <v>1129361.65818</v>
      </c>
      <c r="K480" s="375">
        <v>158159.75477999999</v>
      </c>
      <c r="L480" s="375">
        <v>122161.75573</v>
      </c>
      <c r="M480" s="375">
        <v>1103666.3505800001</v>
      </c>
      <c r="N480" s="372">
        <v>0.6</v>
      </c>
      <c r="O480" s="704">
        <v>182.5200155557587</v>
      </c>
      <c r="P480" s="375" t="s">
        <v>622</v>
      </c>
      <c r="Q480" s="372" t="s">
        <v>622</v>
      </c>
      <c r="R480" s="696">
        <v>20131106</v>
      </c>
      <c r="S480" s="375" t="s">
        <v>3818</v>
      </c>
      <c r="T480" s="697">
        <v>0.23100000000000001</v>
      </c>
      <c r="U480" s="375" t="s">
        <v>3819</v>
      </c>
      <c r="V480" s="723">
        <v>4.1900000000000004</v>
      </c>
      <c r="W480" s="723">
        <v>0.38</v>
      </c>
      <c r="X480" s="723">
        <v>0.37</v>
      </c>
      <c r="Y480" s="723">
        <v>4.3499999999999996</v>
      </c>
      <c r="Z480" s="382">
        <v>-1.1813699427769997E-2</v>
      </c>
      <c r="AA480" s="372">
        <v>7875.4739554999996</v>
      </c>
      <c r="AB480" s="372">
        <v>8925.6941709000002</v>
      </c>
      <c r="AC480" s="372">
        <v>10401.459061400001</v>
      </c>
      <c r="AD480" s="372">
        <v>12004.5490949</v>
      </c>
      <c r="AE480" s="372">
        <v>11591.5</v>
      </c>
      <c r="AF480" s="372">
        <v>11202.5</v>
      </c>
      <c r="AG480" s="372">
        <v>11447.25</v>
      </c>
      <c r="AH480" s="372">
        <v>0</v>
      </c>
    </row>
    <row r="481" spans="1:34">
      <c r="A481" s="372" t="s">
        <v>3820</v>
      </c>
      <c r="B481" s="373" t="s">
        <v>3821</v>
      </c>
      <c r="C481" s="372" t="s">
        <v>3822</v>
      </c>
      <c r="D481" s="374">
        <v>1101110092976</v>
      </c>
      <c r="E481" s="372" t="s">
        <v>3823</v>
      </c>
      <c r="F481" s="372" t="s">
        <v>16111</v>
      </c>
      <c r="G481" s="375" t="s">
        <v>16111</v>
      </c>
      <c r="H481" s="375" t="s">
        <v>1316</v>
      </c>
      <c r="I481" s="375" t="s">
        <v>754</v>
      </c>
      <c r="J481" s="375">
        <v>962750.64554000006</v>
      </c>
      <c r="K481" s="375">
        <v>-67265.686040000001</v>
      </c>
      <c r="L481" s="375">
        <v>-63370.092129999997</v>
      </c>
      <c r="M481" s="375">
        <v>646048.53452999995</v>
      </c>
      <c r="N481" s="372">
        <v>0.52200000000000002</v>
      </c>
      <c r="O481" s="704">
        <v>3.068675351941093</v>
      </c>
      <c r="P481" s="375" t="s">
        <v>622</v>
      </c>
      <c r="Q481" s="375" t="s">
        <v>622</v>
      </c>
      <c r="R481" s="696">
        <v>19780624</v>
      </c>
      <c r="S481" s="375" t="s">
        <v>3824</v>
      </c>
      <c r="T481" s="697" t="s">
        <v>771</v>
      </c>
      <c r="U481" s="375" t="s">
        <v>3825</v>
      </c>
      <c r="V481" s="723" t="s">
        <v>773</v>
      </c>
      <c r="W481" s="723">
        <v>0.76</v>
      </c>
      <c r="X481" s="723">
        <v>0.54</v>
      </c>
      <c r="Y481" s="723" t="s">
        <v>773</v>
      </c>
      <c r="Z481" s="382" t="s">
        <v>927</v>
      </c>
      <c r="AA481" s="372">
        <v>9489.2641086000003</v>
      </c>
      <c r="AB481" s="372">
        <v>9560.8402987000009</v>
      </c>
      <c r="AC481" s="372">
        <v>9646.6000636999997</v>
      </c>
      <c r="AD481" s="372">
        <v>9967.6335897999998</v>
      </c>
      <c r="AE481" s="372">
        <v>0</v>
      </c>
      <c r="AF481" s="372">
        <v>0</v>
      </c>
      <c r="AG481" s="372">
        <v>0</v>
      </c>
      <c r="AH481" s="372">
        <v>0</v>
      </c>
    </row>
    <row r="482" spans="1:34">
      <c r="A482" s="372" t="s">
        <v>3826</v>
      </c>
      <c r="B482" s="373" t="s">
        <v>3827</v>
      </c>
      <c r="C482" s="372" t="s">
        <v>3828</v>
      </c>
      <c r="D482" s="374">
        <v>1101111401051</v>
      </c>
      <c r="E482" s="372" t="s">
        <v>3829</v>
      </c>
      <c r="F482" s="375" t="s">
        <v>1006</v>
      </c>
      <c r="G482" s="375" t="s">
        <v>1215</v>
      </c>
      <c r="H482" s="375" t="s">
        <v>861</v>
      </c>
      <c r="I482" s="375" t="s">
        <v>862</v>
      </c>
      <c r="J482" s="375">
        <v>72645.083140000002</v>
      </c>
      <c r="K482" s="375">
        <v>-6089.7195400000001</v>
      </c>
      <c r="L482" s="375">
        <v>-13772.76462</v>
      </c>
      <c r="M482" s="375">
        <v>75917.476120000007</v>
      </c>
      <c r="N482" s="372">
        <v>0.71699999999999997</v>
      </c>
      <c r="O482" s="704">
        <v>9.143064336449628</v>
      </c>
      <c r="P482" s="375" t="s">
        <v>622</v>
      </c>
      <c r="Q482" s="375" t="s">
        <v>622</v>
      </c>
      <c r="R482" s="696">
        <v>20090603</v>
      </c>
      <c r="S482" s="375" t="s">
        <v>3830</v>
      </c>
      <c r="T482" s="697" t="s">
        <v>771</v>
      </c>
      <c r="U482" s="375" t="s">
        <v>3831</v>
      </c>
      <c r="V482" s="723" t="s">
        <v>773</v>
      </c>
      <c r="W482" s="723">
        <v>3.92</v>
      </c>
      <c r="X482" s="723">
        <v>4.62</v>
      </c>
      <c r="Y482" s="723" t="s">
        <v>773</v>
      </c>
      <c r="Z482" s="382" t="s">
        <v>927</v>
      </c>
      <c r="AA482" s="372">
        <v>379.21102960000002</v>
      </c>
      <c r="AB482" s="372">
        <v>355.21769799999998</v>
      </c>
      <c r="AC482" s="372">
        <v>862.35273010000003</v>
      </c>
      <c r="AD482" s="372">
        <v>697.63645180000003</v>
      </c>
      <c r="AE482" s="372">
        <v>0</v>
      </c>
      <c r="AF482" s="372">
        <v>0</v>
      </c>
      <c r="AG482" s="372">
        <v>0</v>
      </c>
      <c r="AH482" s="372">
        <v>0</v>
      </c>
    </row>
    <row r="483" spans="1:34">
      <c r="A483" s="372" t="s">
        <v>3832</v>
      </c>
      <c r="B483" s="373" t="s">
        <v>3833</v>
      </c>
      <c r="C483" s="372" t="s">
        <v>3834</v>
      </c>
      <c r="D483" s="374">
        <v>1101111785827</v>
      </c>
      <c r="E483" s="372" t="s">
        <v>3835</v>
      </c>
      <c r="F483" s="375" t="s">
        <v>3672</v>
      </c>
      <c r="G483" s="375" t="s">
        <v>3672</v>
      </c>
      <c r="H483" s="375" t="s">
        <v>1337</v>
      </c>
      <c r="I483" s="375" t="s">
        <v>862</v>
      </c>
      <c r="J483" s="375">
        <v>998.57559000000003</v>
      </c>
      <c r="K483" s="375">
        <v>-20908.29248</v>
      </c>
      <c r="L483" s="375">
        <v>-47760.635670000003</v>
      </c>
      <c r="M483" s="375">
        <v>14897.357379999999</v>
      </c>
      <c r="N483" s="372">
        <v>1.58</v>
      </c>
      <c r="O483" s="704">
        <v>13.917130190177188</v>
      </c>
      <c r="P483" s="375" t="s">
        <v>622</v>
      </c>
      <c r="Q483" s="372" t="s">
        <v>622</v>
      </c>
      <c r="R483" s="696">
        <v>20140625</v>
      </c>
      <c r="S483" s="372" t="s">
        <v>3836</v>
      </c>
      <c r="T483" s="697" t="s">
        <v>771</v>
      </c>
      <c r="U483" s="372" t="s">
        <v>3837</v>
      </c>
      <c r="V483" s="723" t="s">
        <v>773</v>
      </c>
      <c r="W483" s="723">
        <v>30.83</v>
      </c>
      <c r="X483" s="723">
        <v>459.1</v>
      </c>
      <c r="Y483" s="723" t="s">
        <v>773</v>
      </c>
      <c r="Z483" s="382" t="s">
        <v>927</v>
      </c>
      <c r="AA483" s="372">
        <v>7.1309288000000004</v>
      </c>
      <c r="AB483" s="372">
        <v>15.972754399999999</v>
      </c>
      <c r="AC483" s="372">
        <v>7.4346360999999996</v>
      </c>
      <c r="AD483" s="372">
        <v>11.0340942</v>
      </c>
      <c r="AE483" s="372">
        <v>0</v>
      </c>
      <c r="AF483" s="372">
        <v>0</v>
      </c>
      <c r="AG483" s="372">
        <v>0</v>
      </c>
      <c r="AH483" s="372">
        <v>0</v>
      </c>
    </row>
    <row r="484" spans="1:34">
      <c r="A484" s="372" t="s">
        <v>3838</v>
      </c>
      <c r="B484" s="373" t="s">
        <v>3839</v>
      </c>
      <c r="C484" s="372" t="s">
        <v>3840</v>
      </c>
      <c r="D484" s="374">
        <v>1760110020723</v>
      </c>
      <c r="E484" s="372" t="s">
        <v>3841</v>
      </c>
      <c r="F484" s="375" t="s">
        <v>1275</v>
      </c>
      <c r="G484" s="375" t="s">
        <v>1275</v>
      </c>
      <c r="H484" s="375" t="s">
        <v>861</v>
      </c>
      <c r="I484" s="375" t="s">
        <v>862</v>
      </c>
      <c r="J484" s="375">
        <v>288341.52834000002</v>
      </c>
      <c r="K484" s="375">
        <v>64544.415050000003</v>
      </c>
      <c r="L484" s="375">
        <v>65484.515670000001</v>
      </c>
      <c r="M484" s="375">
        <v>283504.63581000001</v>
      </c>
      <c r="N484" s="372">
        <v>1.228</v>
      </c>
      <c r="O484" s="704">
        <v>15.948434584252338</v>
      </c>
      <c r="P484" s="375" t="s">
        <v>622</v>
      </c>
      <c r="Q484" s="375" t="s">
        <v>622</v>
      </c>
      <c r="R484" s="696">
        <v>20080619</v>
      </c>
      <c r="S484" s="375" t="s">
        <v>3842</v>
      </c>
      <c r="T484" s="697">
        <v>0.23100000000000001</v>
      </c>
      <c r="U484" s="372" t="s">
        <v>3843</v>
      </c>
      <c r="V484" s="723">
        <v>4.1100000000000003</v>
      </c>
      <c r="W484" s="723">
        <v>1.1599999999999999</v>
      </c>
      <c r="X484" s="723">
        <v>1.1399999999999999</v>
      </c>
      <c r="Y484" s="723">
        <v>6.28</v>
      </c>
      <c r="Z484" s="382" t="s">
        <v>927</v>
      </c>
      <c r="AA484" s="372">
        <v>1556.8227342</v>
      </c>
      <c r="AB484" s="372">
        <v>1900.5736841999999</v>
      </c>
      <c r="AC484" s="372">
        <v>2559.2977553999999</v>
      </c>
      <c r="AD484" s="372">
        <v>2880.8719299999998</v>
      </c>
      <c r="AE484" s="372">
        <v>3378</v>
      </c>
      <c r="AF484" s="372">
        <v>0</v>
      </c>
      <c r="AG484" s="372">
        <v>0</v>
      </c>
      <c r="AH484" s="372">
        <v>0</v>
      </c>
    </row>
    <row r="485" spans="1:34">
      <c r="A485" s="372" t="s">
        <v>3844</v>
      </c>
      <c r="B485" s="373" t="s">
        <v>3845</v>
      </c>
      <c r="C485" s="372" t="s">
        <v>3846</v>
      </c>
      <c r="D485" s="374">
        <v>1501110093926</v>
      </c>
      <c r="E485" s="372" t="s">
        <v>3847</v>
      </c>
      <c r="F485" s="372" t="s">
        <v>769</v>
      </c>
      <c r="G485" s="375" t="s">
        <v>769</v>
      </c>
      <c r="H485" s="375" t="s">
        <v>861</v>
      </c>
      <c r="I485" s="375" t="s">
        <v>862</v>
      </c>
      <c r="J485" s="375">
        <v>240539.52009000001</v>
      </c>
      <c r="K485" s="375">
        <v>-5970.8371200000001</v>
      </c>
      <c r="L485" s="375">
        <v>-18411.59865</v>
      </c>
      <c r="M485" s="375">
        <v>161438.84464</v>
      </c>
      <c r="N485" s="372">
        <v>1.3959999999999999</v>
      </c>
      <c r="O485" s="704">
        <v>69.296008470815181</v>
      </c>
      <c r="P485" s="375" t="s">
        <v>622</v>
      </c>
      <c r="Q485" s="372" t="s">
        <v>622</v>
      </c>
      <c r="R485" s="696">
        <v>20090605</v>
      </c>
      <c r="S485" s="372" t="s">
        <v>3848</v>
      </c>
      <c r="T485" s="697" t="s">
        <v>771</v>
      </c>
      <c r="U485" s="375" t="s">
        <v>3849</v>
      </c>
      <c r="V485" s="723">
        <v>15.17</v>
      </c>
      <c r="W485" s="723">
        <v>1.62</v>
      </c>
      <c r="X485" s="723">
        <v>0.82</v>
      </c>
      <c r="Y485" s="723" t="s">
        <v>773</v>
      </c>
      <c r="Z485" s="382" t="s">
        <v>927</v>
      </c>
      <c r="AA485" s="372">
        <v>1441.8987898</v>
      </c>
      <c r="AB485" s="372">
        <v>1674.9875529000001</v>
      </c>
      <c r="AC485" s="372">
        <v>2425.7679658000002</v>
      </c>
      <c r="AD485" s="372">
        <v>2324.3638909000001</v>
      </c>
      <c r="AE485" s="372">
        <v>0</v>
      </c>
      <c r="AF485" s="372">
        <v>0</v>
      </c>
      <c r="AG485" s="372">
        <v>0</v>
      </c>
      <c r="AH485" s="372">
        <v>0</v>
      </c>
    </row>
    <row r="486" spans="1:34">
      <c r="A486" s="372" t="s">
        <v>3850</v>
      </c>
      <c r="B486" s="373" t="s">
        <v>3851</v>
      </c>
      <c r="C486" s="372" t="s">
        <v>3852</v>
      </c>
      <c r="D486" s="374">
        <v>1101110548771</v>
      </c>
      <c r="E486" s="372" t="s">
        <v>3853</v>
      </c>
      <c r="F486" s="375" t="s">
        <v>16100</v>
      </c>
      <c r="G486" s="375" t="s">
        <v>3854</v>
      </c>
      <c r="H486" s="375" t="s">
        <v>861</v>
      </c>
      <c r="I486" s="375" t="s">
        <v>862</v>
      </c>
      <c r="J486" s="375">
        <v>186453.66836000001</v>
      </c>
      <c r="K486" s="375">
        <v>43316.342490000003</v>
      </c>
      <c r="L486" s="375">
        <v>42576.51369</v>
      </c>
      <c r="M486" s="375">
        <v>263213.14117999998</v>
      </c>
      <c r="N486" s="372">
        <v>0.61899999999999999</v>
      </c>
      <c r="O486" s="704">
        <v>0.21625924055265075</v>
      </c>
      <c r="P486" s="375" t="s">
        <v>622</v>
      </c>
      <c r="Q486" s="375" t="s">
        <v>622</v>
      </c>
      <c r="R486" s="696">
        <v>20091028</v>
      </c>
      <c r="S486" s="375" t="s">
        <v>3855</v>
      </c>
      <c r="T486" s="697">
        <v>0.23100000000000001</v>
      </c>
      <c r="U486" s="372" t="s">
        <v>3856</v>
      </c>
      <c r="V486" s="723">
        <v>7.43</v>
      </c>
      <c r="W486" s="723">
        <v>1.58</v>
      </c>
      <c r="X486" s="723">
        <v>2.2799999999999998</v>
      </c>
      <c r="Y486" s="723">
        <v>12.02</v>
      </c>
      <c r="Z486" s="382">
        <v>7.7688379259404083E-2</v>
      </c>
      <c r="AA486" s="372">
        <v>1131.7991687000001</v>
      </c>
      <c r="AB486" s="372">
        <v>1132.4992459</v>
      </c>
      <c r="AC486" s="372">
        <v>1409.8094037000001</v>
      </c>
      <c r="AD486" s="372">
        <v>1762.2048096000001</v>
      </c>
      <c r="AE486" s="372">
        <v>2002.33</v>
      </c>
      <c r="AF486" s="372">
        <v>2183</v>
      </c>
      <c r="AG486" s="372">
        <v>2377</v>
      </c>
      <c r="AH486" s="372">
        <v>0</v>
      </c>
    </row>
    <row r="487" spans="1:34">
      <c r="A487" s="372" t="s">
        <v>3857</v>
      </c>
      <c r="B487" s="373" t="s">
        <v>3858</v>
      </c>
      <c r="C487" s="372" t="s">
        <v>3859</v>
      </c>
      <c r="D487" s="374">
        <v>1345110623337</v>
      </c>
      <c r="E487" s="372" t="s">
        <v>3860</v>
      </c>
      <c r="F487" s="375" t="s">
        <v>3861</v>
      </c>
      <c r="G487" s="375" t="s">
        <v>3861</v>
      </c>
      <c r="H487" s="375" t="s">
        <v>846</v>
      </c>
      <c r="I487" s="375" t="s">
        <v>754</v>
      </c>
      <c r="J487" s="375">
        <v>2260940.4240000001</v>
      </c>
      <c r="K487" s="375">
        <v>100105.74</v>
      </c>
      <c r="L487" s="375">
        <v>89533.214000000007</v>
      </c>
      <c r="M487" s="375">
        <v>695110.23300000001</v>
      </c>
      <c r="N487" s="372" t="s">
        <v>1026</v>
      </c>
      <c r="O487" s="704">
        <v>7.4580300570000517</v>
      </c>
      <c r="P487" s="375" t="s">
        <v>622</v>
      </c>
      <c r="Q487" s="375" t="s">
        <v>622</v>
      </c>
      <c r="R487" s="696">
        <v>20230410</v>
      </c>
      <c r="S487" s="375" t="s">
        <v>3862</v>
      </c>
      <c r="T487" s="697">
        <v>0.23100000000000001</v>
      </c>
      <c r="U487" s="372" t="s">
        <v>3044</v>
      </c>
      <c r="V487" s="723">
        <v>2.76</v>
      </c>
      <c r="W487" s="723">
        <v>0.57999999999999996</v>
      </c>
      <c r="X487" s="723">
        <v>0.18</v>
      </c>
      <c r="Y487" s="723">
        <v>6.22</v>
      </c>
      <c r="Z487" s="382">
        <v>8.9317070383009289E-2</v>
      </c>
      <c r="AA487" s="372">
        <v>0</v>
      </c>
      <c r="AB487" s="372">
        <v>0</v>
      </c>
      <c r="AC487" s="372">
        <v>0</v>
      </c>
      <c r="AD487" s="372">
        <v>18269.983110000001</v>
      </c>
      <c r="AE487" s="372">
        <v>22996.55</v>
      </c>
      <c r="AF487" s="372">
        <v>24470.95</v>
      </c>
      <c r="AG487" s="372">
        <v>25725</v>
      </c>
      <c r="AH487" s="372">
        <v>0</v>
      </c>
    </row>
    <row r="488" spans="1:34">
      <c r="A488" s="372" t="s">
        <v>3863</v>
      </c>
      <c r="B488" s="373" t="s">
        <v>3864</v>
      </c>
      <c r="C488" s="372" t="s">
        <v>3865</v>
      </c>
      <c r="D488" s="374">
        <v>1701110014936</v>
      </c>
      <c r="E488" s="372" t="s">
        <v>3866</v>
      </c>
      <c r="F488" s="375" t="s">
        <v>1863</v>
      </c>
      <c r="G488" s="375" t="s">
        <v>16113</v>
      </c>
      <c r="H488" s="375" t="s">
        <v>792</v>
      </c>
      <c r="I488" s="375" t="s">
        <v>754</v>
      </c>
      <c r="J488" s="375">
        <v>1699837.0697000001</v>
      </c>
      <c r="K488" s="375">
        <v>57992.78125</v>
      </c>
      <c r="L488" s="375">
        <v>40876.924310000002</v>
      </c>
      <c r="M488" s="375">
        <v>477560.87485999998</v>
      </c>
      <c r="N488" s="372">
        <v>1.3759999999999999</v>
      </c>
      <c r="O488" s="704">
        <v>162.05223254331335</v>
      </c>
      <c r="P488" s="375" t="s">
        <v>622</v>
      </c>
      <c r="Q488" s="375" t="s">
        <v>622</v>
      </c>
      <c r="R488" s="696">
        <v>19940114</v>
      </c>
      <c r="S488" s="375" t="s">
        <v>3867</v>
      </c>
      <c r="T488" s="697">
        <v>0.23100000000000001</v>
      </c>
      <c r="U488" s="375" t="s">
        <v>3868</v>
      </c>
      <c r="V488" s="723">
        <v>5.34</v>
      </c>
      <c r="W488" s="723">
        <v>0.66</v>
      </c>
      <c r="X488" s="723">
        <v>0.19</v>
      </c>
      <c r="Y488" s="723">
        <v>8.75</v>
      </c>
      <c r="Z488" s="382">
        <v>5.7881199280759299E-2</v>
      </c>
      <c r="AA488" s="372">
        <v>10855.4198139</v>
      </c>
      <c r="AB488" s="372">
        <v>12365.923883900001</v>
      </c>
      <c r="AC488" s="372">
        <v>16902.714151600001</v>
      </c>
      <c r="AD488" s="372">
        <v>18027.598332400001</v>
      </c>
      <c r="AE488" s="372">
        <v>18199</v>
      </c>
      <c r="AF488" s="372">
        <v>20245</v>
      </c>
      <c r="AG488" s="372">
        <v>22578</v>
      </c>
      <c r="AH488" s="372">
        <v>26810</v>
      </c>
    </row>
    <row r="489" spans="1:34">
      <c r="A489" s="372" t="s">
        <v>3869</v>
      </c>
      <c r="B489" s="373" t="s">
        <v>3870</v>
      </c>
      <c r="C489" s="372" t="s">
        <v>3871</v>
      </c>
      <c r="D489" s="374">
        <v>2841110112915</v>
      </c>
      <c r="E489" s="372" t="s">
        <v>3872</v>
      </c>
      <c r="F489" s="375" t="s">
        <v>1290</v>
      </c>
      <c r="G489" s="375" t="s">
        <v>1290</v>
      </c>
      <c r="H489" s="375" t="s">
        <v>861</v>
      </c>
      <c r="I489" s="375" t="s">
        <v>862</v>
      </c>
      <c r="J489" s="375">
        <v>23829.723549999999</v>
      </c>
      <c r="K489" s="375">
        <v>-21404.3907</v>
      </c>
      <c r="L489" s="375">
        <v>-21673.180469999999</v>
      </c>
      <c r="M489" s="375">
        <v>11953.29047</v>
      </c>
      <c r="N489" s="372">
        <v>1.0129999999999999</v>
      </c>
      <c r="O489" s="704">
        <v>21.389060846946091</v>
      </c>
      <c r="P489" s="375" t="s">
        <v>622</v>
      </c>
      <c r="Q489" s="375" t="s">
        <v>622</v>
      </c>
      <c r="R489" s="696">
        <v>20221104</v>
      </c>
      <c r="S489" s="375" t="s">
        <v>3873</v>
      </c>
      <c r="T489" s="697" t="s">
        <v>771</v>
      </c>
      <c r="U489" s="372" t="s">
        <v>3874</v>
      </c>
      <c r="V489" s="723" t="s">
        <v>773</v>
      </c>
      <c r="W489" s="723">
        <v>20.25</v>
      </c>
      <c r="X489" s="723">
        <v>10.130000000000001</v>
      </c>
      <c r="Y489" s="723" t="s">
        <v>773</v>
      </c>
      <c r="Z489" s="382">
        <v>0.62572711761499966</v>
      </c>
      <c r="AA489" s="372">
        <v>40.656824999999998</v>
      </c>
      <c r="AB489" s="372">
        <v>73.512580499999999</v>
      </c>
      <c r="AC489" s="372">
        <v>97.546414600000006</v>
      </c>
      <c r="AD489" s="372">
        <v>137.429711</v>
      </c>
      <c r="AE489" s="372">
        <v>310</v>
      </c>
      <c r="AF489" s="372">
        <v>560</v>
      </c>
      <c r="AG489" s="372">
        <v>960</v>
      </c>
      <c r="AH489" s="372">
        <v>0</v>
      </c>
    </row>
    <row r="490" spans="1:34">
      <c r="A490" s="372" t="s">
        <v>3875</v>
      </c>
      <c r="B490" s="373" t="s">
        <v>3876</v>
      </c>
      <c r="C490" s="372" t="s">
        <v>3877</v>
      </c>
      <c r="D490" s="374">
        <v>1101114294122</v>
      </c>
      <c r="E490" s="372" t="s">
        <v>3878</v>
      </c>
      <c r="F490" s="375" t="s">
        <v>1249</v>
      </c>
      <c r="G490" s="375" t="s">
        <v>1249</v>
      </c>
      <c r="H490" s="375" t="s">
        <v>861</v>
      </c>
      <c r="I490" s="375" t="s">
        <v>862</v>
      </c>
      <c r="J490" s="375">
        <v>85330.002510000006</v>
      </c>
      <c r="K490" s="375">
        <v>28258.295600000001</v>
      </c>
      <c r="L490" s="375">
        <v>749.20236999999997</v>
      </c>
      <c r="M490" s="375">
        <v>123930.72162</v>
      </c>
      <c r="N490" s="372">
        <v>0.92100000000000004</v>
      </c>
      <c r="O490" s="704">
        <v>2.0439781347248402</v>
      </c>
      <c r="P490" s="375" t="s">
        <v>622</v>
      </c>
      <c r="Q490" s="375" t="s">
        <v>622</v>
      </c>
      <c r="R490" s="696">
        <v>20170124</v>
      </c>
      <c r="S490" s="375" t="s">
        <v>3879</v>
      </c>
      <c r="T490" s="697">
        <v>0.20900000000000002</v>
      </c>
      <c r="U490" s="372" t="s">
        <v>3880</v>
      </c>
      <c r="V490" s="723">
        <v>0</v>
      </c>
      <c r="W490" s="723">
        <v>0</v>
      </c>
      <c r="X490" s="723">
        <v>0</v>
      </c>
      <c r="Y490" s="723">
        <v>0</v>
      </c>
      <c r="Z490" s="382">
        <v>0.21667550699108418</v>
      </c>
      <c r="AA490" s="372">
        <v>284.89676009999999</v>
      </c>
      <c r="AB490" s="372">
        <v>393.84938140000003</v>
      </c>
      <c r="AC490" s="372">
        <v>554.66694229999996</v>
      </c>
      <c r="AD490" s="372">
        <v>693.65660609999998</v>
      </c>
      <c r="AE490" s="372">
        <v>1121</v>
      </c>
      <c r="AF490" s="372">
        <v>1510</v>
      </c>
      <c r="AG490" s="372">
        <v>1520</v>
      </c>
      <c r="AH490" s="372">
        <v>0</v>
      </c>
    </row>
    <row r="491" spans="1:34">
      <c r="A491" s="372" t="s">
        <v>3881</v>
      </c>
      <c r="B491" s="373" t="s">
        <v>3882</v>
      </c>
      <c r="C491" s="372" t="s">
        <v>3883</v>
      </c>
      <c r="D491" s="374">
        <v>1101112196304</v>
      </c>
      <c r="E491" s="372" t="s">
        <v>3884</v>
      </c>
      <c r="F491" s="375" t="s">
        <v>3885</v>
      </c>
      <c r="G491" s="375" t="s">
        <v>3885</v>
      </c>
      <c r="H491" s="375" t="s">
        <v>855</v>
      </c>
      <c r="I491" s="375" t="s">
        <v>754</v>
      </c>
      <c r="J491" s="375">
        <v>0</v>
      </c>
      <c r="K491" s="375">
        <v>0</v>
      </c>
      <c r="L491" s="375">
        <v>0</v>
      </c>
      <c r="M491" s="375">
        <v>0</v>
      </c>
      <c r="N491" s="372">
        <v>0.61399999999999999</v>
      </c>
      <c r="O491" s="704" t="s">
        <v>16301</v>
      </c>
      <c r="P491" s="375" t="s">
        <v>622</v>
      </c>
      <c r="Q491" s="375" t="s">
        <v>622</v>
      </c>
      <c r="R491" s="696">
        <v>20160713</v>
      </c>
      <c r="S491" s="375" t="s">
        <v>3886</v>
      </c>
      <c r="T491" s="697" t="s">
        <v>771</v>
      </c>
      <c r="U491" s="375" t="s">
        <v>3887</v>
      </c>
      <c r="V491" s="723">
        <v>0</v>
      </c>
      <c r="W491" s="723">
        <v>0</v>
      </c>
      <c r="X491" s="723">
        <v>0</v>
      </c>
      <c r="Y491" s="723">
        <v>0</v>
      </c>
      <c r="Z491" s="382">
        <v>1.686893945105794E-2</v>
      </c>
      <c r="AA491" s="372">
        <v>2400.6170799000001</v>
      </c>
      <c r="AB491" s="372">
        <v>2125.2719117000001</v>
      </c>
      <c r="AC491" s="372">
        <v>2329.6457306000002</v>
      </c>
      <c r="AD491" s="372">
        <v>2590.7162042</v>
      </c>
      <c r="AE491" s="372">
        <v>2290</v>
      </c>
      <c r="AF491" s="372">
        <v>2365</v>
      </c>
      <c r="AG491" s="372">
        <v>2770</v>
      </c>
      <c r="AH491" s="372">
        <v>0</v>
      </c>
    </row>
    <row r="492" spans="1:34">
      <c r="A492" s="372" t="s">
        <v>3888</v>
      </c>
      <c r="B492" s="373" t="s">
        <v>3889</v>
      </c>
      <c r="C492" s="372" t="s">
        <v>3890</v>
      </c>
      <c r="D492" s="374">
        <v>1301110008664</v>
      </c>
      <c r="E492" s="372" t="s">
        <v>3891</v>
      </c>
      <c r="F492" s="375" t="s">
        <v>769</v>
      </c>
      <c r="G492" s="375" t="s">
        <v>769</v>
      </c>
      <c r="H492" s="375" t="s">
        <v>753</v>
      </c>
      <c r="I492" s="375" t="s">
        <v>754</v>
      </c>
      <c r="J492" s="375">
        <v>590276.50321</v>
      </c>
      <c r="K492" s="375">
        <v>2678.9787799999999</v>
      </c>
      <c r="L492" s="375">
        <v>-9145.9606299999996</v>
      </c>
      <c r="M492" s="375">
        <v>235734.29943000001</v>
      </c>
      <c r="N492" s="372">
        <v>1.129</v>
      </c>
      <c r="O492" s="704">
        <v>77.727088226543799</v>
      </c>
      <c r="P492" s="375" t="s">
        <v>622</v>
      </c>
      <c r="Q492" s="375" t="s">
        <v>622</v>
      </c>
      <c r="R492" s="696">
        <v>19960731</v>
      </c>
      <c r="S492" s="375" t="s">
        <v>3892</v>
      </c>
      <c r="T492" s="697" t="s">
        <v>771</v>
      </c>
      <c r="U492" s="372" t="s">
        <v>3893</v>
      </c>
      <c r="V492" s="723">
        <v>34.18</v>
      </c>
      <c r="W492" s="723">
        <v>1.45</v>
      </c>
      <c r="X492" s="723">
        <v>0.59</v>
      </c>
      <c r="Y492" s="723" t="s">
        <v>773</v>
      </c>
      <c r="Z492" s="382">
        <v>0.11025438603981597</v>
      </c>
      <c r="AA492" s="372">
        <v>4823.6541607999998</v>
      </c>
      <c r="AB492" s="372">
        <v>4545.2369226000001</v>
      </c>
      <c r="AC492" s="372">
        <v>6641.4367990999999</v>
      </c>
      <c r="AD492" s="372">
        <v>5765.1965235999996</v>
      </c>
      <c r="AE492" s="372">
        <v>6123.33</v>
      </c>
      <c r="AF492" s="372">
        <v>7757.33</v>
      </c>
      <c r="AG492" s="372">
        <v>8760</v>
      </c>
      <c r="AH492" s="372">
        <v>9870</v>
      </c>
    </row>
    <row r="493" spans="1:34">
      <c r="A493" s="372" t="s">
        <v>3894</v>
      </c>
      <c r="B493" s="373" t="s">
        <v>3895</v>
      </c>
      <c r="C493" s="372" t="s">
        <v>15989</v>
      </c>
      <c r="D493" s="374">
        <v>1101111799183</v>
      </c>
      <c r="E493" s="372" t="s">
        <v>15990</v>
      </c>
      <c r="F493" s="375" t="s">
        <v>1357</v>
      </c>
      <c r="G493" s="375" t="s">
        <v>1357</v>
      </c>
      <c r="H493" s="375" t="s">
        <v>861</v>
      </c>
      <c r="I493" s="375" t="s">
        <v>862</v>
      </c>
      <c r="J493" s="375">
        <v>7026037.9430799996</v>
      </c>
      <c r="K493" s="375">
        <v>171978.40875999999</v>
      </c>
      <c r="L493" s="375">
        <v>184809.1875</v>
      </c>
      <c r="M493" s="375">
        <v>2972253.5059799999</v>
      </c>
      <c r="N493" s="372">
        <v>1.2509999999999999</v>
      </c>
      <c r="O493" s="704">
        <v>661.73787606359622</v>
      </c>
      <c r="P493" s="375" t="s">
        <v>622</v>
      </c>
      <c r="Q493" s="375" t="s">
        <v>622</v>
      </c>
      <c r="R493" s="696">
        <v>20130724</v>
      </c>
      <c r="S493" s="375" t="s">
        <v>3896</v>
      </c>
      <c r="T493" s="697">
        <v>0.23100000000000001</v>
      </c>
      <c r="U493" s="375" t="s">
        <v>3897</v>
      </c>
      <c r="V493" s="723">
        <v>7.54</v>
      </c>
      <c r="W493" s="723">
        <v>0.22</v>
      </c>
      <c r="X493" s="723">
        <v>0.04</v>
      </c>
      <c r="Y493" s="723">
        <v>6.1</v>
      </c>
      <c r="Z493" s="382" t="s">
        <v>927</v>
      </c>
      <c r="AA493" s="372">
        <v>1538.6692995999999</v>
      </c>
      <c r="AB493" s="372">
        <v>34124.9919802</v>
      </c>
      <c r="AC493" s="372">
        <v>49442.412561800003</v>
      </c>
      <c r="AD493" s="372">
        <v>72571.696088099998</v>
      </c>
      <c r="AE493" s="372">
        <v>0</v>
      </c>
      <c r="AF493" s="372">
        <v>0</v>
      </c>
      <c r="AG493" s="372">
        <v>0</v>
      </c>
      <c r="AH493" s="372">
        <v>0</v>
      </c>
    </row>
    <row r="494" spans="1:34">
      <c r="A494" s="372" t="s">
        <v>3898</v>
      </c>
      <c r="B494" s="373" t="s">
        <v>3899</v>
      </c>
      <c r="C494" s="372" t="s">
        <v>3900</v>
      </c>
      <c r="D494" s="374">
        <v>1101110375439</v>
      </c>
      <c r="E494" s="372" t="s">
        <v>3901</v>
      </c>
      <c r="F494" s="375" t="s">
        <v>2222</v>
      </c>
      <c r="G494" s="375" t="s">
        <v>2222</v>
      </c>
      <c r="H494" s="375" t="s">
        <v>1316</v>
      </c>
      <c r="I494" s="375" t="s">
        <v>754</v>
      </c>
      <c r="J494" s="375">
        <v>3157983.9564299998</v>
      </c>
      <c r="K494" s="375">
        <v>76847.73732</v>
      </c>
      <c r="L494" s="375">
        <v>21314.198550000001</v>
      </c>
      <c r="M494" s="375">
        <v>528602.31018000003</v>
      </c>
      <c r="N494" s="372">
        <v>0.71299999999999997</v>
      </c>
      <c r="O494" s="704">
        <v>322.8181364657687</v>
      </c>
      <c r="P494" s="375" t="s">
        <v>622</v>
      </c>
      <c r="Q494" s="375" t="s">
        <v>622</v>
      </c>
      <c r="R494" s="696">
        <v>19951005</v>
      </c>
      <c r="S494" s="375" t="s">
        <v>3902</v>
      </c>
      <c r="T494" s="697">
        <v>0.23100000000000001</v>
      </c>
      <c r="U494" s="372" t="s">
        <v>3903</v>
      </c>
      <c r="V494" s="723">
        <v>7.13</v>
      </c>
      <c r="W494" s="723">
        <v>1.39</v>
      </c>
      <c r="X494" s="723">
        <v>0.13</v>
      </c>
      <c r="Y494" s="723">
        <v>17.149999999999999</v>
      </c>
      <c r="Z494" s="382">
        <v>3.9878634165707361E-2</v>
      </c>
      <c r="AA494" s="372">
        <v>23111.999924200001</v>
      </c>
      <c r="AB494" s="372">
        <v>25188.9610607</v>
      </c>
      <c r="AC494" s="372">
        <v>28383.038603600002</v>
      </c>
      <c r="AD494" s="372">
        <v>29934.681913</v>
      </c>
      <c r="AE494" s="372">
        <v>31655</v>
      </c>
      <c r="AF494" s="372">
        <v>33563.5</v>
      </c>
      <c r="AG494" s="372">
        <v>35003</v>
      </c>
      <c r="AH494" s="372">
        <v>0</v>
      </c>
    </row>
    <row r="495" spans="1:34">
      <c r="A495" s="372" t="s">
        <v>3904</v>
      </c>
      <c r="B495" s="373" t="s">
        <v>3905</v>
      </c>
      <c r="C495" s="372" t="s">
        <v>3906</v>
      </c>
      <c r="D495" s="374">
        <v>1901110001872</v>
      </c>
      <c r="E495" s="372" t="s">
        <v>3907</v>
      </c>
      <c r="F495" s="375" t="s">
        <v>3218</v>
      </c>
      <c r="G495" s="375" t="s">
        <v>3218</v>
      </c>
      <c r="H495" s="375" t="s">
        <v>812</v>
      </c>
      <c r="I495" s="375" t="s">
        <v>754</v>
      </c>
      <c r="J495" s="375">
        <v>1156360.9709099999</v>
      </c>
      <c r="K495" s="375">
        <v>38513.425369999997</v>
      </c>
      <c r="L495" s="375">
        <v>82697.238889999993</v>
      </c>
      <c r="M495" s="375">
        <v>1534622.7913899999</v>
      </c>
      <c r="N495" s="372">
        <v>0.35299999999999998</v>
      </c>
      <c r="O495" s="704">
        <v>4.0934283594795655</v>
      </c>
      <c r="P495" s="375" t="s">
        <v>622</v>
      </c>
      <c r="Q495" s="372" t="s">
        <v>622</v>
      </c>
      <c r="R495" s="696">
        <v>19891113</v>
      </c>
      <c r="S495" s="372" t="s">
        <v>2638</v>
      </c>
      <c r="T495" s="697">
        <v>0.23100000000000001</v>
      </c>
      <c r="U495" s="372" t="s">
        <v>3908</v>
      </c>
      <c r="V495" s="723">
        <v>11.21</v>
      </c>
      <c r="W495" s="723">
        <v>0.26</v>
      </c>
      <c r="X495" s="723">
        <v>0.27</v>
      </c>
      <c r="Y495" s="723">
        <v>6.55</v>
      </c>
      <c r="Z495" s="382" t="s">
        <v>927</v>
      </c>
      <c r="AA495" s="372">
        <v>10645.6944747</v>
      </c>
      <c r="AB495" s="372">
        <v>15808.493389699999</v>
      </c>
      <c r="AC495" s="372">
        <v>18106.134460400001</v>
      </c>
      <c r="AD495" s="372">
        <v>15418.943060699999</v>
      </c>
      <c r="AE495" s="372">
        <v>23440</v>
      </c>
      <c r="AF495" s="372">
        <v>0</v>
      </c>
      <c r="AG495" s="372">
        <v>0</v>
      </c>
      <c r="AH495" s="372">
        <v>0</v>
      </c>
    </row>
    <row r="496" spans="1:34">
      <c r="A496" s="372" t="s">
        <v>3909</v>
      </c>
      <c r="B496" s="373" t="s">
        <v>3910</v>
      </c>
      <c r="C496" s="372" t="s">
        <v>3911</v>
      </c>
      <c r="D496" s="374">
        <v>1101112341850</v>
      </c>
      <c r="E496" s="372" t="s">
        <v>3912</v>
      </c>
      <c r="F496" s="372" t="s">
        <v>880</v>
      </c>
      <c r="G496" s="375" t="s">
        <v>880</v>
      </c>
      <c r="H496" s="375" t="s">
        <v>861</v>
      </c>
      <c r="I496" s="375" t="s">
        <v>862</v>
      </c>
      <c r="J496" s="375">
        <v>507094.85220000002</v>
      </c>
      <c r="K496" s="375">
        <v>43634.884330000001</v>
      </c>
      <c r="L496" s="375">
        <v>22924.02145</v>
      </c>
      <c r="M496" s="375">
        <v>263860.68575</v>
      </c>
      <c r="N496" s="372">
        <v>1.19</v>
      </c>
      <c r="O496" s="704">
        <v>180.68085934509259</v>
      </c>
      <c r="P496" s="375" t="s">
        <v>622</v>
      </c>
      <c r="Q496" s="372" t="s">
        <v>622</v>
      </c>
      <c r="R496" s="696">
        <v>20170804</v>
      </c>
      <c r="S496" s="375" t="s">
        <v>3913</v>
      </c>
      <c r="T496" s="697">
        <v>0.23100000000000001</v>
      </c>
      <c r="U496" s="375" t="s">
        <v>3914</v>
      </c>
      <c r="V496" s="723">
        <v>10.61</v>
      </c>
      <c r="W496" s="723">
        <v>1.3</v>
      </c>
      <c r="X496" s="723">
        <v>0.59</v>
      </c>
      <c r="Y496" s="723">
        <v>22.11</v>
      </c>
      <c r="Z496" s="382" t="s">
        <v>927</v>
      </c>
      <c r="AA496" s="372">
        <v>3538.0683847999999</v>
      </c>
      <c r="AB496" s="372">
        <v>4367.0226092000003</v>
      </c>
      <c r="AC496" s="372">
        <v>5685.0086891999999</v>
      </c>
      <c r="AD496" s="372">
        <v>5310.3080384000004</v>
      </c>
      <c r="AE496" s="372">
        <v>7519</v>
      </c>
      <c r="AF496" s="372">
        <v>8443</v>
      </c>
      <c r="AG496" s="372">
        <v>0</v>
      </c>
      <c r="AH496" s="372">
        <v>0</v>
      </c>
    </row>
    <row r="497" spans="1:34">
      <c r="A497" s="372" t="s">
        <v>3915</v>
      </c>
      <c r="B497" s="373" t="s">
        <v>3916</v>
      </c>
      <c r="C497" s="372" t="s">
        <v>3917</v>
      </c>
      <c r="D497" s="374">
        <v>1101111603764</v>
      </c>
      <c r="E497" s="372" t="s">
        <v>3918</v>
      </c>
      <c r="F497" s="375" t="s">
        <v>2834</v>
      </c>
      <c r="G497" s="375" t="s">
        <v>2834</v>
      </c>
      <c r="H497" s="375" t="s">
        <v>861</v>
      </c>
      <c r="I497" s="375" t="s">
        <v>862</v>
      </c>
      <c r="J497" s="375">
        <v>338818.98333999998</v>
      </c>
      <c r="K497" s="375">
        <v>35160.306210000002</v>
      </c>
      <c r="L497" s="375">
        <v>54086.098010000002</v>
      </c>
      <c r="M497" s="375">
        <v>300965.32046000002</v>
      </c>
      <c r="N497" s="372">
        <v>0.63200000000000001</v>
      </c>
      <c r="O497" s="704">
        <v>36.97412097830626</v>
      </c>
      <c r="P497" s="375" t="s">
        <v>622</v>
      </c>
      <c r="Q497" s="375" t="s">
        <v>622</v>
      </c>
      <c r="R497" s="696">
        <v>20050708</v>
      </c>
      <c r="S497" s="375" t="s">
        <v>3919</v>
      </c>
      <c r="T497" s="697">
        <v>0.23100000000000001</v>
      </c>
      <c r="U497" s="372" t="s">
        <v>3920</v>
      </c>
      <c r="V497" s="723">
        <v>6.3</v>
      </c>
      <c r="W497" s="723">
        <v>0.92</v>
      </c>
      <c r="X497" s="723">
        <v>0.82</v>
      </c>
      <c r="Y497" s="723">
        <v>5.97</v>
      </c>
      <c r="Z497" s="382">
        <v>4.5726434478014166E-2</v>
      </c>
      <c r="AA497" s="372">
        <v>1711.480024</v>
      </c>
      <c r="AB497" s="372">
        <v>2122.5802337</v>
      </c>
      <c r="AC497" s="372">
        <v>2797.8554872</v>
      </c>
      <c r="AD497" s="372">
        <v>3213.6460237000001</v>
      </c>
      <c r="AE497" s="372">
        <v>3373</v>
      </c>
      <c r="AF497" s="372">
        <v>3575</v>
      </c>
      <c r="AG497" s="372">
        <v>3843</v>
      </c>
      <c r="AH497" s="372">
        <v>0</v>
      </c>
    </row>
    <row r="498" spans="1:34">
      <c r="A498" s="372" t="s">
        <v>3921</v>
      </c>
      <c r="B498" s="373" t="s">
        <v>3922</v>
      </c>
      <c r="C498" s="372" t="s">
        <v>3923</v>
      </c>
      <c r="D498" s="374">
        <v>1101111682932</v>
      </c>
      <c r="E498" s="372" t="s">
        <v>3924</v>
      </c>
      <c r="F498" s="375" t="s">
        <v>1796</v>
      </c>
      <c r="G498" s="375" t="s">
        <v>2797</v>
      </c>
      <c r="H498" s="375" t="s">
        <v>861</v>
      </c>
      <c r="I498" s="375" t="s">
        <v>862</v>
      </c>
      <c r="J498" s="375">
        <v>29243.187440000002</v>
      </c>
      <c r="K498" s="375">
        <v>-13467.77534</v>
      </c>
      <c r="L498" s="375">
        <v>-12802.70362</v>
      </c>
      <c r="M498" s="375">
        <v>17761.8122</v>
      </c>
      <c r="N498" s="372">
        <v>1.2</v>
      </c>
      <c r="O498" s="704">
        <v>2.9893361804729284</v>
      </c>
      <c r="P498" s="375" t="s">
        <v>622</v>
      </c>
      <c r="Q498" s="372" t="s">
        <v>622</v>
      </c>
      <c r="R498" s="696">
        <v>20220707</v>
      </c>
      <c r="S498" s="372" t="s">
        <v>3925</v>
      </c>
      <c r="T498" s="697" t="s">
        <v>771</v>
      </c>
      <c r="U498" s="372" t="s">
        <v>3926</v>
      </c>
      <c r="V498" s="723">
        <v>0</v>
      </c>
      <c r="W498" s="723">
        <v>0</v>
      </c>
      <c r="X498" s="723">
        <v>0</v>
      </c>
      <c r="Y498" s="723">
        <v>0</v>
      </c>
      <c r="Z498" s="382" t="s">
        <v>927</v>
      </c>
      <c r="AA498" s="372">
        <v>140.01471520000001</v>
      </c>
      <c r="AB498" s="372">
        <v>178.49096030000001</v>
      </c>
      <c r="AC498" s="372">
        <v>153.88167999999999</v>
      </c>
      <c r="AD498" s="372">
        <v>244.2825532</v>
      </c>
      <c r="AE498" s="372">
        <v>0</v>
      </c>
      <c r="AF498" s="372">
        <v>0</v>
      </c>
      <c r="AG498" s="372">
        <v>0</v>
      </c>
      <c r="AH498" s="372">
        <v>0</v>
      </c>
    </row>
    <row r="499" spans="1:34">
      <c r="A499" s="372" t="s">
        <v>3927</v>
      </c>
      <c r="B499" s="373" t="s">
        <v>3928</v>
      </c>
      <c r="C499" s="372" t="s">
        <v>3929</v>
      </c>
      <c r="D499" s="374">
        <v>1101110005929</v>
      </c>
      <c r="E499" s="372" t="s">
        <v>3930</v>
      </c>
      <c r="F499" s="372" t="s">
        <v>1591</v>
      </c>
      <c r="G499" s="375" t="s">
        <v>1591</v>
      </c>
      <c r="H499" s="375" t="s">
        <v>946</v>
      </c>
      <c r="I499" s="375" t="s">
        <v>754</v>
      </c>
      <c r="J499" s="375">
        <v>5232311.3422800004</v>
      </c>
      <c r="K499" s="375">
        <v>143674.53515000001</v>
      </c>
      <c r="L499" s="375">
        <v>162511.92392</v>
      </c>
      <c r="M499" s="375">
        <v>1765160.60672</v>
      </c>
      <c r="N499" s="372">
        <v>0.996</v>
      </c>
      <c r="O499" s="704">
        <v>373.28213282627848</v>
      </c>
      <c r="P499" s="375" t="s">
        <v>622</v>
      </c>
      <c r="Q499" s="372" t="s">
        <v>622</v>
      </c>
      <c r="R499" s="696">
        <v>19761223</v>
      </c>
      <c r="S499" s="372" t="s">
        <v>3931</v>
      </c>
      <c r="T499" s="697">
        <v>0.23100000000000001</v>
      </c>
      <c r="U499" s="372" t="s">
        <v>3932</v>
      </c>
      <c r="V499" s="723">
        <v>1.87</v>
      </c>
      <c r="W499" s="723">
        <v>0.22</v>
      </c>
      <c r="X499" s="723">
        <v>7.0000000000000007E-2</v>
      </c>
      <c r="Y499" s="723">
        <v>3.33</v>
      </c>
      <c r="Z499" s="382">
        <v>-3.0790949714101679E-2</v>
      </c>
      <c r="AA499" s="372">
        <v>32080.320993400001</v>
      </c>
      <c r="AB499" s="372">
        <v>37693.108960700003</v>
      </c>
      <c r="AC499" s="372">
        <v>57891.048716700003</v>
      </c>
      <c r="AD499" s="372">
        <v>56640.412611599997</v>
      </c>
      <c r="AE499" s="372">
        <v>48090</v>
      </c>
      <c r="AF499" s="372">
        <v>48810</v>
      </c>
      <c r="AG499" s="372">
        <v>49980</v>
      </c>
      <c r="AH499" s="372">
        <v>0</v>
      </c>
    </row>
    <row r="500" spans="1:34">
      <c r="A500" s="372" t="s">
        <v>3933</v>
      </c>
      <c r="B500" s="373" t="s">
        <v>3934</v>
      </c>
      <c r="C500" s="372" t="s">
        <v>3935</v>
      </c>
      <c r="D500" s="374">
        <v>1601110188262</v>
      </c>
      <c r="E500" s="372" t="s">
        <v>3936</v>
      </c>
      <c r="F500" s="375" t="s">
        <v>3937</v>
      </c>
      <c r="G500" s="375" t="s">
        <v>3937</v>
      </c>
      <c r="H500" s="375" t="s">
        <v>1337</v>
      </c>
      <c r="I500" s="375" t="s">
        <v>862</v>
      </c>
      <c r="J500" s="375">
        <v>21187.5105</v>
      </c>
      <c r="K500" s="375">
        <v>-170.94925000000001</v>
      </c>
      <c r="L500" s="375">
        <v>973.41989000000001</v>
      </c>
      <c r="M500" s="375">
        <v>128367.90862</v>
      </c>
      <c r="N500" s="372" t="s">
        <v>1026</v>
      </c>
      <c r="O500" s="704">
        <v>0.44557998870039683</v>
      </c>
      <c r="P500" s="375" t="s">
        <v>622</v>
      </c>
      <c r="Q500" s="372" t="s">
        <v>622</v>
      </c>
      <c r="R500" s="696">
        <v>20231121</v>
      </c>
      <c r="S500" s="375" t="s">
        <v>3938</v>
      </c>
      <c r="T500" s="697">
        <v>0.20900000000000002</v>
      </c>
      <c r="U500" s="375" t="s">
        <v>3939</v>
      </c>
      <c r="V500" s="723">
        <v>952.19</v>
      </c>
      <c r="W500" s="723">
        <v>1.69</v>
      </c>
      <c r="X500" s="723">
        <v>9.98</v>
      </c>
      <c r="Y500" s="723">
        <v>420.85</v>
      </c>
      <c r="Z500" s="382" t="s">
        <v>927</v>
      </c>
      <c r="AA500" s="372">
        <v>95.533770000000004</v>
      </c>
      <c r="AB500" s="372">
        <v>269.9423433</v>
      </c>
      <c r="AC500" s="372">
        <v>601.2114219</v>
      </c>
      <c r="AD500" s="372">
        <v>648.21406709999997</v>
      </c>
      <c r="AE500" s="372">
        <v>0</v>
      </c>
      <c r="AF500" s="372">
        <v>0</v>
      </c>
      <c r="AG500" s="372">
        <v>0</v>
      </c>
      <c r="AH500" s="372">
        <v>0</v>
      </c>
    </row>
    <row r="501" spans="1:34">
      <c r="A501" s="372" t="s">
        <v>3940</v>
      </c>
      <c r="B501" s="373" t="s">
        <v>3941</v>
      </c>
      <c r="C501" s="372" t="s">
        <v>3942</v>
      </c>
      <c r="D501" s="374">
        <v>1345110064482</v>
      </c>
      <c r="E501" s="372" t="s">
        <v>3943</v>
      </c>
      <c r="F501" s="375" t="s">
        <v>1185</v>
      </c>
      <c r="G501" s="375" t="s">
        <v>1186</v>
      </c>
      <c r="H501" s="375" t="s">
        <v>861</v>
      </c>
      <c r="I501" s="375" t="s">
        <v>862</v>
      </c>
      <c r="J501" s="375">
        <v>179477.98207999999</v>
      </c>
      <c r="K501" s="375">
        <v>8846.7994099999996</v>
      </c>
      <c r="L501" s="375">
        <v>18385.03831</v>
      </c>
      <c r="M501" s="375">
        <v>311576.50332000002</v>
      </c>
      <c r="N501" s="372">
        <v>1.02</v>
      </c>
      <c r="O501" s="704">
        <v>2.2381908929778609</v>
      </c>
      <c r="P501" s="375" t="s">
        <v>622</v>
      </c>
      <c r="Q501" s="375" t="s">
        <v>622</v>
      </c>
      <c r="R501" s="696">
        <v>20080520</v>
      </c>
      <c r="S501" s="375" t="s">
        <v>3944</v>
      </c>
      <c r="T501" s="697">
        <v>0.20900000000000002</v>
      </c>
      <c r="U501" s="375" t="s">
        <v>3945</v>
      </c>
      <c r="V501" s="723">
        <v>23.75</v>
      </c>
      <c r="W501" s="723">
        <v>0.93</v>
      </c>
      <c r="X501" s="723">
        <v>1.91</v>
      </c>
      <c r="Y501" s="723">
        <v>23.75</v>
      </c>
      <c r="Z501" s="382">
        <v>0.23862077647714752</v>
      </c>
      <c r="AA501" s="372">
        <v>2459.6749896000001</v>
      </c>
      <c r="AB501" s="372">
        <v>3751.9433079999999</v>
      </c>
      <c r="AC501" s="372">
        <v>3579.9168257000001</v>
      </c>
      <c r="AD501" s="372">
        <v>1469.3807225999999</v>
      </c>
      <c r="AE501" s="372">
        <v>2149.5</v>
      </c>
      <c r="AF501" s="372">
        <v>2933.5</v>
      </c>
      <c r="AG501" s="372">
        <v>3458.5</v>
      </c>
      <c r="AH501" s="372">
        <v>4227</v>
      </c>
    </row>
    <row r="502" spans="1:34">
      <c r="A502" s="372" t="s">
        <v>3946</v>
      </c>
      <c r="B502" s="373" t="s">
        <v>3947</v>
      </c>
      <c r="C502" s="372" t="s">
        <v>3948</v>
      </c>
      <c r="D502" s="374">
        <v>1101110991467</v>
      </c>
      <c r="E502" s="372" t="s">
        <v>3949</v>
      </c>
      <c r="F502" s="375" t="s">
        <v>1962</v>
      </c>
      <c r="G502" s="375" t="s">
        <v>1962</v>
      </c>
      <c r="H502" s="375" t="s">
        <v>861</v>
      </c>
      <c r="I502" s="375" t="s">
        <v>862</v>
      </c>
      <c r="J502" s="375">
        <v>39406.79378</v>
      </c>
      <c r="K502" s="375">
        <v>-3735.4884299999999</v>
      </c>
      <c r="L502" s="375">
        <v>-3436.66041</v>
      </c>
      <c r="M502" s="375">
        <v>35779.675719999999</v>
      </c>
      <c r="N502" s="372">
        <v>1.163</v>
      </c>
      <c r="O502" s="704">
        <v>2.1291203830549663</v>
      </c>
      <c r="P502" s="375" t="s">
        <v>622</v>
      </c>
      <c r="Q502" s="375" t="s">
        <v>622</v>
      </c>
      <c r="R502" s="696">
        <v>20011109</v>
      </c>
      <c r="S502" s="375" t="s">
        <v>3950</v>
      </c>
      <c r="T502" s="697" t="s">
        <v>771</v>
      </c>
      <c r="U502" s="375" t="s">
        <v>3951</v>
      </c>
      <c r="V502" s="723">
        <v>0</v>
      </c>
      <c r="W502" s="723">
        <v>0</v>
      </c>
      <c r="X502" s="723">
        <v>0</v>
      </c>
      <c r="Y502" s="723">
        <v>0</v>
      </c>
      <c r="Z502" s="382" t="s">
        <v>927</v>
      </c>
      <c r="AA502" s="372">
        <v>576.93783370000006</v>
      </c>
      <c r="AB502" s="372">
        <v>276.4629908</v>
      </c>
      <c r="AC502" s="372">
        <v>445.01666549999999</v>
      </c>
      <c r="AD502" s="372">
        <v>304.17114429999998</v>
      </c>
      <c r="AE502" s="372">
        <v>0</v>
      </c>
      <c r="AF502" s="372">
        <v>0</v>
      </c>
      <c r="AG502" s="372">
        <v>0</v>
      </c>
      <c r="AH502" s="372">
        <v>0</v>
      </c>
    </row>
    <row r="503" spans="1:34">
      <c r="A503" s="372" t="s">
        <v>3952</v>
      </c>
      <c r="B503" s="373" t="s">
        <v>3953</v>
      </c>
      <c r="C503" s="372" t="s">
        <v>3954</v>
      </c>
      <c r="D503" s="374">
        <v>1101110006274</v>
      </c>
      <c r="E503" s="372" t="s">
        <v>3955</v>
      </c>
      <c r="F503" s="375" t="s">
        <v>3956</v>
      </c>
      <c r="G503" s="375" t="s">
        <v>3956</v>
      </c>
      <c r="H503" s="375" t="s">
        <v>3957</v>
      </c>
      <c r="I503" s="375" t="s">
        <v>754</v>
      </c>
      <c r="J503" s="375">
        <v>900510.63882999995</v>
      </c>
      <c r="K503" s="375">
        <v>46487.328309999997</v>
      </c>
      <c r="L503" s="375">
        <v>58866.145779999999</v>
      </c>
      <c r="M503" s="375">
        <v>844613.29770999996</v>
      </c>
      <c r="N503" s="372">
        <v>0.59499999999999997</v>
      </c>
      <c r="O503" s="704">
        <v>26.397015084922959</v>
      </c>
      <c r="P503" s="375" t="s">
        <v>622</v>
      </c>
      <c r="Q503" s="372" t="s">
        <v>622</v>
      </c>
      <c r="R503" s="696">
        <v>19881215</v>
      </c>
      <c r="S503" s="372" t="s">
        <v>3958</v>
      </c>
      <c r="T503" s="697">
        <v>0.23100000000000001</v>
      </c>
      <c r="U503" s="372" t="s">
        <v>3959</v>
      </c>
      <c r="V503" s="723">
        <v>3.73</v>
      </c>
      <c r="W503" s="723">
        <v>0.39</v>
      </c>
      <c r="X503" s="723">
        <v>0.4</v>
      </c>
      <c r="Y503" s="723">
        <v>7.72</v>
      </c>
      <c r="Z503" s="382" t="s">
        <v>927</v>
      </c>
      <c r="AA503" s="372">
        <v>7316.3174931000003</v>
      </c>
      <c r="AB503" s="372">
        <v>9457.3447156999991</v>
      </c>
      <c r="AC503" s="372">
        <v>10233.928750999999</v>
      </c>
      <c r="AD503" s="372">
        <v>9083.3440245999991</v>
      </c>
      <c r="AE503" s="372">
        <v>9800</v>
      </c>
      <c r="AF503" s="372">
        <v>10350</v>
      </c>
      <c r="AG503" s="372">
        <v>0</v>
      </c>
      <c r="AH503" s="372">
        <v>0</v>
      </c>
    </row>
    <row r="504" spans="1:34">
      <c r="A504" s="372" t="s">
        <v>3960</v>
      </c>
      <c r="B504" s="373" t="s">
        <v>3961</v>
      </c>
      <c r="C504" s="372" t="s">
        <v>3962</v>
      </c>
      <c r="D504" s="374">
        <v>1101113555187</v>
      </c>
      <c r="E504" s="372" t="s">
        <v>3962</v>
      </c>
      <c r="F504" s="375" t="s">
        <v>1537</v>
      </c>
      <c r="G504" s="375" t="s">
        <v>1538</v>
      </c>
      <c r="H504" s="375" t="s">
        <v>1539</v>
      </c>
      <c r="I504" s="375" t="s">
        <v>754</v>
      </c>
      <c r="J504" s="375">
        <v>1965216.23153</v>
      </c>
      <c r="K504" s="375">
        <v>145549.51521000001</v>
      </c>
      <c r="L504" s="375">
        <v>135755.5024</v>
      </c>
      <c r="M504" s="375">
        <v>1763236.31201</v>
      </c>
      <c r="N504" s="372">
        <v>0.624</v>
      </c>
      <c r="O504" s="704">
        <v>197.45461068654234</v>
      </c>
      <c r="P504" s="375" t="s">
        <v>622</v>
      </c>
      <c r="Q504" s="375" t="s">
        <v>622</v>
      </c>
      <c r="R504" s="696">
        <v>20061201</v>
      </c>
      <c r="S504" s="375" t="s">
        <v>3963</v>
      </c>
      <c r="T504" s="697">
        <v>0.23100000000000001</v>
      </c>
      <c r="U504" s="375" t="s">
        <v>3964</v>
      </c>
      <c r="V504" s="723">
        <v>3.93</v>
      </c>
      <c r="W504" s="723">
        <v>0.28000000000000003</v>
      </c>
      <c r="X504" s="723">
        <v>0.22</v>
      </c>
      <c r="Y504" s="723">
        <v>4.5</v>
      </c>
      <c r="Z504" s="382">
        <v>2.4676712209037888E-2</v>
      </c>
      <c r="AA504" s="372">
        <v>16104.599721</v>
      </c>
      <c r="AB504" s="372">
        <v>17931.039797199999</v>
      </c>
      <c r="AC504" s="372">
        <v>19685.403646300001</v>
      </c>
      <c r="AD504" s="372">
        <v>19007.258232600001</v>
      </c>
      <c r="AE504" s="372">
        <v>19696</v>
      </c>
      <c r="AF504" s="372">
        <v>20153</v>
      </c>
      <c r="AG504" s="372">
        <v>20954</v>
      </c>
      <c r="AH504" s="372">
        <v>0</v>
      </c>
    </row>
    <row r="505" spans="1:34">
      <c r="A505" s="372" t="s">
        <v>3965</v>
      </c>
      <c r="B505" s="373" t="s">
        <v>3966</v>
      </c>
      <c r="C505" s="372" t="s">
        <v>3967</v>
      </c>
      <c r="D505" s="374">
        <v>1101117016870</v>
      </c>
      <c r="E505" s="372" t="s">
        <v>3968</v>
      </c>
      <c r="F505" s="372" t="s">
        <v>2414</v>
      </c>
      <c r="G505" s="375" t="s">
        <v>2414</v>
      </c>
      <c r="H505" s="375" t="s">
        <v>861</v>
      </c>
      <c r="I505" s="375" t="s">
        <v>862</v>
      </c>
      <c r="J505" s="375">
        <v>310673.44893999997</v>
      </c>
      <c r="K505" s="375">
        <v>21945.97884</v>
      </c>
      <c r="L505" s="375">
        <v>20792.028129999999</v>
      </c>
      <c r="M505" s="375">
        <v>164287.75867000001</v>
      </c>
      <c r="N505" s="372">
        <v>0.6</v>
      </c>
      <c r="O505" s="704">
        <v>2.8976037923501554</v>
      </c>
      <c r="P505" s="375" t="s">
        <v>622</v>
      </c>
      <c r="Q505" s="375" t="s">
        <v>622</v>
      </c>
      <c r="R505" s="696">
        <v>20190508</v>
      </c>
      <c r="S505" s="375" t="s">
        <v>3969</v>
      </c>
      <c r="T505" s="697">
        <v>0.23100000000000001</v>
      </c>
      <c r="U505" s="372" t="s">
        <v>3970</v>
      </c>
      <c r="V505" s="723">
        <v>13.53</v>
      </c>
      <c r="W505" s="723">
        <v>2.08</v>
      </c>
      <c r="X505" s="723">
        <v>1.1200000000000001</v>
      </c>
      <c r="Y505" s="723">
        <v>21.87</v>
      </c>
      <c r="Z505" s="382" t="s">
        <v>927</v>
      </c>
      <c r="AA505" s="372">
        <v>1974.6791791999999</v>
      </c>
      <c r="AB505" s="372">
        <v>2400.8770014000002</v>
      </c>
      <c r="AC505" s="372">
        <v>2104.5610879000001</v>
      </c>
      <c r="AD505" s="372">
        <v>2678.3806181</v>
      </c>
      <c r="AE505" s="372">
        <v>3025</v>
      </c>
      <c r="AF505" s="372">
        <v>0</v>
      </c>
      <c r="AG505" s="372">
        <v>0</v>
      </c>
      <c r="AH505" s="372">
        <v>0</v>
      </c>
    </row>
    <row r="506" spans="1:34">
      <c r="A506" s="372" t="s">
        <v>3971</v>
      </c>
      <c r="B506" s="373" t="s">
        <v>3972</v>
      </c>
      <c r="C506" s="372" t="s">
        <v>3973</v>
      </c>
      <c r="D506" s="374">
        <v>2149110034430</v>
      </c>
      <c r="E506" s="372" t="s">
        <v>3974</v>
      </c>
      <c r="F506" s="375" t="s">
        <v>3975</v>
      </c>
      <c r="G506" s="375" t="s">
        <v>3976</v>
      </c>
      <c r="H506" s="375" t="s">
        <v>861</v>
      </c>
      <c r="I506" s="375" t="s">
        <v>862</v>
      </c>
      <c r="J506" s="375">
        <v>1302484.55107</v>
      </c>
      <c r="K506" s="375">
        <v>21332.9918</v>
      </c>
      <c r="L506" s="375">
        <v>8991.2927</v>
      </c>
      <c r="M506" s="375">
        <v>319896.99024999997</v>
      </c>
      <c r="N506" s="372">
        <v>0.67700000000000005</v>
      </c>
      <c r="O506" s="704">
        <v>146.49817479444192</v>
      </c>
      <c r="P506" s="375" t="s">
        <v>622</v>
      </c>
      <c r="Q506" s="375" t="s">
        <v>622</v>
      </c>
      <c r="R506" s="696">
        <v>20110502</v>
      </c>
      <c r="S506" s="375" t="s">
        <v>3977</v>
      </c>
      <c r="T506" s="697">
        <v>0.20900000000000002</v>
      </c>
      <c r="U506" s="372" t="s">
        <v>3978</v>
      </c>
      <c r="V506" s="723">
        <v>7.01</v>
      </c>
      <c r="W506" s="723">
        <v>0.94</v>
      </c>
      <c r="X506" s="723">
        <v>0.23</v>
      </c>
      <c r="Y506" s="723">
        <v>39.86</v>
      </c>
      <c r="Z506" s="382" t="s">
        <v>927</v>
      </c>
      <c r="AA506" s="372">
        <v>8954.6545119999992</v>
      </c>
      <c r="AB506" s="372">
        <v>11180.53875</v>
      </c>
      <c r="AC506" s="372">
        <v>13429.0940348</v>
      </c>
      <c r="AD506" s="372">
        <v>14108.3772458</v>
      </c>
      <c r="AE506" s="372">
        <v>0</v>
      </c>
      <c r="AF506" s="372">
        <v>0</v>
      </c>
      <c r="AG506" s="372">
        <v>0</v>
      </c>
      <c r="AH506" s="372">
        <v>0</v>
      </c>
    </row>
    <row r="507" spans="1:34">
      <c r="A507" s="372" t="s">
        <v>3979</v>
      </c>
      <c r="B507" s="373" t="s">
        <v>3980</v>
      </c>
      <c r="C507" s="372" t="s">
        <v>3981</v>
      </c>
      <c r="D507" s="374">
        <v>1358110389651</v>
      </c>
      <c r="E507" s="372" t="s">
        <v>3982</v>
      </c>
      <c r="F507" s="375" t="s">
        <v>2426</v>
      </c>
      <c r="G507" s="375" t="s">
        <v>2427</v>
      </c>
      <c r="H507" s="375" t="s">
        <v>861</v>
      </c>
      <c r="I507" s="375" t="s">
        <v>862</v>
      </c>
      <c r="J507" s="375">
        <v>271866.23311999999</v>
      </c>
      <c r="K507" s="375">
        <v>16786.62787</v>
      </c>
      <c r="L507" s="375">
        <v>16838.805390000001</v>
      </c>
      <c r="M507" s="375">
        <v>137993.08033</v>
      </c>
      <c r="N507" s="372" t="s">
        <v>1026</v>
      </c>
      <c r="O507" s="704">
        <v>7.1674878765404504</v>
      </c>
      <c r="P507" s="375" t="s">
        <v>622</v>
      </c>
      <c r="Q507" s="372" t="s">
        <v>622</v>
      </c>
      <c r="R507" s="696">
        <v>20230714</v>
      </c>
      <c r="S507" s="372" t="s">
        <v>3983</v>
      </c>
      <c r="T507" s="697">
        <v>0.20900000000000002</v>
      </c>
      <c r="U507" s="372" t="s">
        <v>3984</v>
      </c>
      <c r="V507" s="723">
        <v>17.690000000000001</v>
      </c>
      <c r="W507" s="723">
        <v>2.75</v>
      </c>
      <c r="X507" s="723">
        <v>1.39</v>
      </c>
      <c r="Y507" s="723">
        <v>28.74</v>
      </c>
      <c r="Z507" s="382" t="s">
        <v>927</v>
      </c>
      <c r="AA507" s="372">
        <v>174.30907010000001</v>
      </c>
      <c r="AB507" s="372">
        <v>1651.5196209000001</v>
      </c>
      <c r="AC507" s="372">
        <v>1897.0975418</v>
      </c>
      <c r="AD507" s="372">
        <v>1967.1516807999999</v>
      </c>
      <c r="AE507" s="372">
        <v>0</v>
      </c>
      <c r="AF507" s="372">
        <v>0</v>
      </c>
      <c r="AG507" s="372">
        <v>0</v>
      </c>
      <c r="AH507" s="372">
        <v>0</v>
      </c>
    </row>
    <row r="508" spans="1:34">
      <c r="A508" s="372" t="s">
        <v>3985</v>
      </c>
      <c r="B508" s="373" t="s">
        <v>3986</v>
      </c>
      <c r="C508" s="372" t="s">
        <v>3987</v>
      </c>
      <c r="D508" s="374">
        <v>1101110152134</v>
      </c>
      <c r="E508" s="372" t="s">
        <v>3988</v>
      </c>
      <c r="F508" s="375" t="s">
        <v>3989</v>
      </c>
      <c r="G508" s="375" t="s">
        <v>3989</v>
      </c>
      <c r="H508" s="375" t="s">
        <v>784</v>
      </c>
      <c r="I508" s="375" t="s">
        <v>754</v>
      </c>
      <c r="J508" s="375">
        <v>1634197.6943300001</v>
      </c>
      <c r="K508" s="375">
        <v>26696.744589999998</v>
      </c>
      <c r="L508" s="375">
        <v>51602.411440000003</v>
      </c>
      <c r="M508" s="375">
        <v>616665.74482000002</v>
      </c>
      <c r="N508" s="372">
        <v>0.83299999999999996</v>
      </c>
      <c r="O508" s="704">
        <v>132.72949535631167</v>
      </c>
      <c r="P508" s="375" t="s">
        <v>622</v>
      </c>
      <c r="Q508" s="375" t="s">
        <v>622</v>
      </c>
      <c r="R508" s="696">
        <v>19891117</v>
      </c>
      <c r="S508" s="375" t="s">
        <v>3990</v>
      </c>
      <c r="T508" s="697">
        <v>0.23100000000000001</v>
      </c>
      <c r="U508" s="372" t="s">
        <v>3991</v>
      </c>
      <c r="V508" s="723">
        <v>10.5</v>
      </c>
      <c r="W508" s="723">
        <v>0.49</v>
      </c>
      <c r="X508" s="723">
        <v>0.19</v>
      </c>
      <c r="Y508" s="723">
        <v>9.01</v>
      </c>
      <c r="Z508" s="382" t="s">
        <v>927</v>
      </c>
      <c r="AA508" s="372">
        <v>12437.695962199999</v>
      </c>
      <c r="AB508" s="372">
        <v>13381.8155432</v>
      </c>
      <c r="AC508" s="372">
        <v>14315.452551300001</v>
      </c>
      <c r="AD508" s="372">
        <v>15144.5414812</v>
      </c>
      <c r="AE508" s="372">
        <v>0</v>
      </c>
      <c r="AF508" s="372">
        <v>0</v>
      </c>
      <c r="AG508" s="372">
        <v>0</v>
      </c>
      <c r="AH508" s="372">
        <v>0</v>
      </c>
    </row>
    <row r="509" spans="1:34">
      <c r="A509" s="372" t="s">
        <v>3992</v>
      </c>
      <c r="B509" s="373" t="s">
        <v>3993</v>
      </c>
      <c r="C509" s="372" t="s">
        <v>3994</v>
      </c>
      <c r="D509" s="374">
        <v>1101114810308</v>
      </c>
      <c r="E509" s="372" t="s">
        <v>3995</v>
      </c>
      <c r="F509" s="375" t="s">
        <v>1357</v>
      </c>
      <c r="G509" s="375" t="s">
        <v>1357</v>
      </c>
      <c r="H509" s="375" t="s">
        <v>861</v>
      </c>
      <c r="I509" s="375" t="s">
        <v>862</v>
      </c>
      <c r="J509" s="375">
        <v>127827.79423</v>
      </c>
      <c r="K509" s="375">
        <v>18834.609909999999</v>
      </c>
      <c r="L509" s="375">
        <v>20760.467700000001</v>
      </c>
      <c r="M509" s="375">
        <v>110424.97893</v>
      </c>
      <c r="N509" s="372" t="s">
        <v>1026</v>
      </c>
      <c r="O509" s="704">
        <v>0.24674154425851058</v>
      </c>
      <c r="P509" s="375" t="s">
        <v>622</v>
      </c>
      <c r="Q509" s="375" t="s">
        <v>622</v>
      </c>
      <c r="R509" s="696">
        <v>20230608</v>
      </c>
      <c r="S509" s="375" t="s">
        <v>3996</v>
      </c>
      <c r="T509" s="697">
        <v>0.23100000000000001</v>
      </c>
      <c r="U509" s="372" t="s">
        <v>3997</v>
      </c>
      <c r="V509" s="723">
        <v>17.23</v>
      </c>
      <c r="W509" s="723">
        <v>3.13</v>
      </c>
      <c r="X509" s="723">
        <v>2.7</v>
      </c>
      <c r="Y509" s="723">
        <v>21.45</v>
      </c>
      <c r="Z509" s="382" t="s">
        <v>927</v>
      </c>
      <c r="AA509" s="372">
        <v>393.022695</v>
      </c>
      <c r="AB509" s="372">
        <v>626.20416550000004</v>
      </c>
      <c r="AC509" s="372">
        <v>1018.3560960999999</v>
      </c>
      <c r="AD509" s="372">
        <v>1050.009321</v>
      </c>
      <c r="AE509" s="372">
        <v>1346.5</v>
      </c>
      <c r="AF509" s="372">
        <v>1633</v>
      </c>
      <c r="AG509" s="372">
        <v>0</v>
      </c>
      <c r="AH509" s="372">
        <v>0</v>
      </c>
    </row>
    <row r="510" spans="1:34">
      <c r="A510" s="372" t="s">
        <v>3998</v>
      </c>
      <c r="B510" s="373" t="s">
        <v>3999</v>
      </c>
      <c r="C510" s="372" t="s">
        <v>4000</v>
      </c>
      <c r="D510" s="374">
        <v>1101110007826</v>
      </c>
      <c r="E510" s="372" t="s">
        <v>4001</v>
      </c>
      <c r="F510" s="375" t="s">
        <v>1262</v>
      </c>
      <c r="G510" s="375" t="s">
        <v>1263</v>
      </c>
      <c r="H510" s="375" t="s">
        <v>1264</v>
      </c>
      <c r="I510" s="375" t="s">
        <v>754</v>
      </c>
      <c r="J510" s="375">
        <v>0</v>
      </c>
      <c r="K510" s="375">
        <v>0</v>
      </c>
      <c r="L510" s="375">
        <v>0</v>
      </c>
      <c r="M510" s="375">
        <v>0</v>
      </c>
      <c r="N510" s="372">
        <v>0.85599999999999998</v>
      </c>
      <c r="O510" s="704" t="s">
        <v>16301</v>
      </c>
      <c r="P510" s="375" t="s">
        <v>622</v>
      </c>
      <c r="Q510" s="372" t="s">
        <v>622</v>
      </c>
      <c r="R510" s="696">
        <v>19870824</v>
      </c>
      <c r="S510" s="375" t="s">
        <v>4002</v>
      </c>
      <c r="T510" s="697" t="s">
        <v>771</v>
      </c>
      <c r="U510" s="375" t="s">
        <v>4003</v>
      </c>
      <c r="V510" s="723">
        <v>0</v>
      </c>
      <c r="W510" s="723">
        <v>0</v>
      </c>
      <c r="X510" s="723">
        <v>0</v>
      </c>
      <c r="Y510" s="723">
        <v>0</v>
      </c>
      <c r="Z510" s="382" t="s">
        <v>927</v>
      </c>
      <c r="AA510" s="372">
        <v>3434.9622143000001</v>
      </c>
      <c r="AB510" s="372">
        <v>3678.9361014999999</v>
      </c>
      <c r="AC510" s="372">
        <v>2660.6993538000002</v>
      </c>
      <c r="AD510" s="372">
        <v>2741.4464944000001</v>
      </c>
      <c r="AE510" s="372">
        <v>0</v>
      </c>
      <c r="AF510" s="372">
        <v>0</v>
      </c>
      <c r="AG510" s="372">
        <v>0</v>
      </c>
      <c r="AH510" s="372">
        <v>0</v>
      </c>
    </row>
    <row r="511" spans="1:34">
      <c r="A511" s="372" t="s">
        <v>4004</v>
      </c>
      <c r="B511" s="373" t="s">
        <v>4005</v>
      </c>
      <c r="C511" s="372" t="s">
        <v>4006</v>
      </c>
      <c r="D511" s="374">
        <v>1311110304011</v>
      </c>
      <c r="E511" s="372" t="s">
        <v>4007</v>
      </c>
      <c r="F511" s="375" t="s">
        <v>16100</v>
      </c>
      <c r="G511" s="375" t="s">
        <v>16103</v>
      </c>
      <c r="H511" s="375" t="s">
        <v>861</v>
      </c>
      <c r="I511" s="375" t="s">
        <v>862</v>
      </c>
      <c r="J511" s="375">
        <v>110729.10386</v>
      </c>
      <c r="K511" s="375">
        <v>1310.44813</v>
      </c>
      <c r="L511" s="375">
        <v>2090.8037800000002</v>
      </c>
      <c r="M511" s="375">
        <v>151565.72132000001</v>
      </c>
      <c r="N511" s="372">
        <v>1.103</v>
      </c>
      <c r="O511" s="704">
        <v>11.617488344781265</v>
      </c>
      <c r="P511" s="375" t="s">
        <v>622</v>
      </c>
      <c r="Q511" s="375" t="s">
        <v>622</v>
      </c>
      <c r="R511" s="696">
        <v>20221018</v>
      </c>
      <c r="S511" s="375" t="s">
        <v>4008</v>
      </c>
      <c r="T511" s="697">
        <v>0.20900000000000002</v>
      </c>
      <c r="U511" s="372" t="s">
        <v>15857</v>
      </c>
      <c r="V511" s="723">
        <v>0</v>
      </c>
      <c r="W511" s="723">
        <v>0</v>
      </c>
      <c r="X511" s="723">
        <v>0</v>
      </c>
      <c r="Y511" s="723">
        <v>0</v>
      </c>
      <c r="Z511" s="382" t="s">
        <v>927</v>
      </c>
      <c r="AA511" s="372">
        <v>67.102008499999997</v>
      </c>
      <c r="AB511" s="372">
        <v>319.0439346</v>
      </c>
      <c r="AC511" s="372">
        <v>630.1995508</v>
      </c>
      <c r="AD511" s="372">
        <v>1221.9821221</v>
      </c>
      <c r="AE511" s="372">
        <v>0</v>
      </c>
      <c r="AF511" s="372">
        <v>0</v>
      </c>
      <c r="AG511" s="372">
        <v>0</v>
      </c>
      <c r="AH511" s="372">
        <v>0</v>
      </c>
    </row>
    <row r="512" spans="1:34">
      <c r="A512" s="372" t="s">
        <v>4009</v>
      </c>
      <c r="B512" s="373" t="s">
        <v>4010</v>
      </c>
      <c r="C512" s="372" t="s">
        <v>4011</v>
      </c>
      <c r="D512" s="374">
        <v>1112710005962</v>
      </c>
      <c r="E512" s="372" t="s">
        <v>4012</v>
      </c>
      <c r="F512" s="372" t="s">
        <v>16114</v>
      </c>
      <c r="G512" s="375" t="s">
        <v>16114</v>
      </c>
      <c r="H512" s="375" t="s">
        <v>946</v>
      </c>
      <c r="I512" s="375" t="s">
        <v>754</v>
      </c>
      <c r="J512" s="375">
        <v>3530487.4700199999</v>
      </c>
      <c r="K512" s="375">
        <v>707399.45392999996</v>
      </c>
      <c r="L512" s="375">
        <v>646596.13430999999</v>
      </c>
      <c r="M512" s="375">
        <v>2221089.4930599998</v>
      </c>
      <c r="N512" s="372">
        <v>0.52700000000000002</v>
      </c>
      <c r="O512" s="704">
        <v>776.03594838398453</v>
      </c>
      <c r="P512" s="375" t="s">
        <v>622</v>
      </c>
      <c r="Q512" s="372" t="s">
        <v>622</v>
      </c>
      <c r="R512" s="696">
        <v>20100129</v>
      </c>
      <c r="S512" s="372" t="s">
        <v>4013</v>
      </c>
      <c r="T512" s="697">
        <v>0.26400000000000001</v>
      </c>
      <c r="U512" s="372" t="s">
        <v>4014</v>
      </c>
      <c r="V512" s="723">
        <v>4.4400000000000004</v>
      </c>
      <c r="W512" s="723">
        <v>0.25</v>
      </c>
      <c r="X512" s="723">
        <v>0.16</v>
      </c>
      <c r="Y512" s="723">
        <v>1.06</v>
      </c>
      <c r="Z512" s="382">
        <v>-1.2792696303117634E-2</v>
      </c>
      <c r="AA512" s="372">
        <v>20989.062996699999</v>
      </c>
      <c r="AB512" s="372">
        <v>25367.9800971</v>
      </c>
      <c r="AC512" s="372">
        <v>41730.271364200002</v>
      </c>
      <c r="AD512" s="372">
        <v>39536.976056500003</v>
      </c>
      <c r="AE512" s="372">
        <v>36615.75</v>
      </c>
      <c r="AF512" s="372">
        <v>37444.67</v>
      </c>
      <c r="AG512" s="372">
        <v>37552.33</v>
      </c>
      <c r="AH512" s="372">
        <v>0</v>
      </c>
    </row>
    <row r="513" spans="1:34">
      <c r="A513" s="372" t="s">
        <v>4015</v>
      </c>
      <c r="B513" s="373" t="s">
        <v>4016</v>
      </c>
      <c r="C513" s="372" t="s">
        <v>4017</v>
      </c>
      <c r="D513" s="374">
        <v>1101110043127</v>
      </c>
      <c r="E513" s="372" t="s">
        <v>4018</v>
      </c>
      <c r="F513" s="375" t="s">
        <v>1323</v>
      </c>
      <c r="G513" s="375" t="s">
        <v>16106</v>
      </c>
      <c r="H513" s="375" t="s">
        <v>784</v>
      </c>
      <c r="I513" s="375" t="s">
        <v>754</v>
      </c>
      <c r="J513" s="375">
        <v>253499.25849000001</v>
      </c>
      <c r="K513" s="375">
        <v>9738.8593000000001</v>
      </c>
      <c r="L513" s="375">
        <v>2325.4810200000002</v>
      </c>
      <c r="M513" s="375">
        <v>91968.152690000003</v>
      </c>
      <c r="N513" s="372">
        <v>0.745</v>
      </c>
      <c r="O513" s="704">
        <v>14.866634942209833</v>
      </c>
      <c r="P513" s="375" t="s">
        <v>622</v>
      </c>
      <c r="Q513" s="375" t="s">
        <v>622</v>
      </c>
      <c r="R513" s="696">
        <v>19730625</v>
      </c>
      <c r="S513" s="375" t="s">
        <v>4019</v>
      </c>
      <c r="T513" s="697">
        <v>0.20900000000000002</v>
      </c>
      <c r="U513" s="375" t="s">
        <v>4020</v>
      </c>
      <c r="V513" s="723">
        <v>0</v>
      </c>
      <c r="W513" s="723">
        <v>0</v>
      </c>
      <c r="X513" s="723">
        <v>0</v>
      </c>
      <c r="Y513" s="723">
        <v>0</v>
      </c>
      <c r="Z513" s="382" t="s">
        <v>927</v>
      </c>
      <c r="AA513" s="372">
        <v>2084.6363967000002</v>
      </c>
      <c r="AB513" s="372">
        <v>1960.6724184</v>
      </c>
      <c r="AC513" s="372">
        <v>2183.8098742000002</v>
      </c>
      <c r="AD513" s="372">
        <v>2349.0246017999998</v>
      </c>
      <c r="AE513" s="372">
        <v>0</v>
      </c>
      <c r="AF513" s="372">
        <v>0</v>
      </c>
      <c r="AG513" s="372">
        <v>0</v>
      </c>
      <c r="AH513" s="372">
        <v>0</v>
      </c>
    </row>
    <row r="514" spans="1:34">
      <c r="A514" s="372" t="s">
        <v>4021</v>
      </c>
      <c r="B514" s="373" t="s">
        <v>4022</v>
      </c>
      <c r="C514" s="372" t="s">
        <v>4023</v>
      </c>
      <c r="D514" s="374">
        <v>1801110000636</v>
      </c>
      <c r="E514" s="372" t="s">
        <v>4024</v>
      </c>
      <c r="F514" s="372" t="s">
        <v>1764</v>
      </c>
      <c r="G514" s="375" t="s">
        <v>2238</v>
      </c>
      <c r="H514" s="375" t="s">
        <v>826</v>
      </c>
      <c r="I514" s="375" t="s">
        <v>754</v>
      </c>
      <c r="J514" s="375">
        <v>1060761</v>
      </c>
      <c r="K514" s="375">
        <v>54257</v>
      </c>
      <c r="L514" s="375">
        <v>44557</v>
      </c>
      <c r="M514" s="375">
        <v>732738</v>
      </c>
      <c r="N514" s="372">
        <v>0.83499999999999996</v>
      </c>
      <c r="O514" s="704">
        <v>64.083028083028083</v>
      </c>
      <c r="P514" s="375" t="s">
        <v>622</v>
      </c>
      <c r="Q514" s="375" t="s">
        <v>622</v>
      </c>
      <c r="R514" s="696">
        <v>19770625</v>
      </c>
      <c r="S514" s="375" t="s">
        <v>4025</v>
      </c>
      <c r="T514" s="697">
        <v>0.23100000000000001</v>
      </c>
      <c r="U514" s="375" t="s">
        <v>4026</v>
      </c>
      <c r="V514" s="723">
        <v>4.25</v>
      </c>
      <c r="W514" s="723">
        <v>0.43</v>
      </c>
      <c r="X514" s="723">
        <v>0.3</v>
      </c>
      <c r="Y514" s="723">
        <v>10.02</v>
      </c>
      <c r="Z514" s="382" t="s">
        <v>927</v>
      </c>
      <c r="AA514" s="372">
        <v>8077.68</v>
      </c>
      <c r="AB514" s="372">
        <v>9981.9</v>
      </c>
      <c r="AC514" s="372">
        <v>13295.09</v>
      </c>
      <c r="AD514" s="372">
        <v>10299.75</v>
      </c>
      <c r="AE514" s="372">
        <v>12577</v>
      </c>
      <c r="AF514" s="372">
        <v>14527</v>
      </c>
      <c r="AG514" s="372">
        <v>0</v>
      </c>
      <c r="AH514" s="372">
        <v>0</v>
      </c>
    </row>
    <row r="515" spans="1:34">
      <c r="A515" s="372" t="s">
        <v>4027</v>
      </c>
      <c r="B515" s="373" t="s">
        <v>4028</v>
      </c>
      <c r="C515" s="372" t="s">
        <v>4029</v>
      </c>
      <c r="D515" s="374">
        <v>1311110466283</v>
      </c>
      <c r="E515" s="372" t="s">
        <v>4030</v>
      </c>
      <c r="F515" s="375" t="s">
        <v>1116</v>
      </c>
      <c r="G515" s="375" t="s">
        <v>1336</v>
      </c>
      <c r="H515" s="375" t="s">
        <v>1337</v>
      </c>
      <c r="I515" s="375" t="s">
        <v>862</v>
      </c>
      <c r="J515" s="375">
        <v>0</v>
      </c>
      <c r="K515" s="375">
        <v>0</v>
      </c>
      <c r="L515" s="375">
        <v>0</v>
      </c>
      <c r="M515" s="375">
        <v>37862.937080000003</v>
      </c>
      <c r="N515" s="372" t="s">
        <v>1026</v>
      </c>
      <c r="O515" s="704">
        <v>9.2691727055642517</v>
      </c>
      <c r="P515" s="375" t="s">
        <v>622</v>
      </c>
      <c r="Q515" s="375" t="s">
        <v>622</v>
      </c>
      <c r="R515" s="696">
        <v>20231109</v>
      </c>
      <c r="S515" s="375" t="s">
        <v>4031</v>
      </c>
      <c r="T515" s="697" t="s">
        <v>771</v>
      </c>
      <c r="U515" s="375" t="s">
        <v>4032</v>
      </c>
      <c r="V515" s="723">
        <v>0</v>
      </c>
      <c r="W515" s="723">
        <v>10.96</v>
      </c>
      <c r="X515" s="723">
        <v>0</v>
      </c>
      <c r="Y515" s="723">
        <v>0</v>
      </c>
      <c r="Z515" s="382" t="s">
        <v>773</v>
      </c>
      <c r="AA515" s="372">
        <v>0.359649</v>
      </c>
      <c r="AB515" s="372">
        <v>0</v>
      </c>
      <c r="AC515" s="372">
        <v>0</v>
      </c>
      <c r="AD515" s="372">
        <v>0</v>
      </c>
      <c r="AE515" s="372">
        <v>0</v>
      </c>
      <c r="AF515" s="372">
        <v>0</v>
      </c>
      <c r="AG515" s="372">
        <v>0</v>
      </c>
      <c r="AH515" s="372">
        <v>0</v>
      </c>
    </row>
    <row r="516" spans="1:34">
      <c r="A516" s="372" t="s">
        <v>4033</v>
      </c>
      <c r="B516" s="373" t="s">
        <v>4034</v>
      </c>
      <c r="C516" s="372" t="s">
        <v>4035</v>
      </c>
      <c r="D516" s="374">
        <v>1101114767153</v>
      </c>
      <c r="E516" s="372" t="s">
        <v>4036</v>
      </c>
      <c r="F516" s="375" t="s">
        <v>4037</v>
      </c>
      <c r="G516" s="375" t="s">
        <v>4037</v>
      </c>
      <c r="H516" s="375" t="s">
        <v>861</v>
      </c>
      <c r="I516" s="375" t="s">
        <v>862</v>
      </c>
      <c r="J516" s="375">
        <v>80854.305980000005</v>
      </c>
      <c r="K516" s="375">
        <v>11292.378769999999</v>
      </c>
      <c r="L516" s="375">
        <v>12073.509389999999</v>
      </c>
      <c r="M516" s="375">
        <v>92224.190189999994</v>
      </c>
      <c r="N516" s="372">
        <v>0.73099999999999998</v>
      </c>
      <c r="O516" s="704">
        <v>1.0286591531032598</v>
      </c>
      <c r="P516" s="375" t="s">
        <v>622</v>
      </c>
      <c r="Q516" s="375" t="s">
        <v>622</v>
      </c>
      <c r="R516" s="696">
        <v>20170801</v>
      </c>
      <c r="S516" s="375" t="s">
        <v>4038</v>
      </c>
      <c r="T516" s="697">
        <v>0.20900000000000002</v>
      </c>
      <c r="U516" s="375" t="s">
        <v>4039</v>
      </c>
      <c r="V516" s="723">
        <v>16.350000000000001</v>
      </c>
      <c r="W516" s="723">
        <v>2.41</v>
      </c>
      <c r="X516" s="723">
        <v>2.79</v>
      </c>
      <c r="Y516" s="723">
        <v>21.38</v>
      </c>
      <c r="Z516" s="382">
        <v>0.12074526561498322</v>
      </c>
      <c r="AA516" s="372">
        <v>577.2515588</v>
      </c>
      <c r="AB516" s="372">
        <v>674.21822039999995</v>
      </c>
      <c r="AC516" s="372">
        <v>612.14379659999997</v>
      </c>
      <c r="AD516" s="372">
        <v>603.72245940000005</v>
      </c>
      <c r="AE516" s="372">
        <v>898.5</v>
      </c>
      <c r="AF516" s="372">
        <v>904</v>
      </c>
      <c r="AG516" s="372">
        <v>952.5</v>
      </c>
      <c r="AH516" s="372">
        <v>0</v>
      </c>
    </row>
    <row r="517" spans="1:34">
      <c r="A517" s="372" t="s">
        <v>4040</v>
      </c>
      <c r="B517" s="373" t="s">
        <v>4041</v>
      </c>
      <c r="C517" s="372" t="s">
        <v>4042</v>
      </c>
      <c r="D517" s="374">
        <v>1101116743763</v>
      </c>
      <c r="E517" s="372" t="s">
        <v>4043</v>
      </c>
      <c r="F517" s="375" t="s">
        <v>1656</v>
      </c>
      <c r="G517" s="375" t="s">
        <v>2367</v>
      </c>
      <c r="H517" s="375" t="s">
        <v>861</v>
      </c>
      <c r="I517" s="375" t="s">
        <v>862</v>
      </c>
      <c r="J517" s="375">
        <v>5563.0147500000003</v>
      </c>
      <c r="K517" s="375">
        <v>-21525.80586</v>
      </c>
      <c r="L517" s="375">
        <v>-17697.999950000001</v>
      </c>
      <c r="M517" s="375">
        <v>53996.566250000003</v>
      </c>
      <c r="N517" s="372" t="s">
        <v>1026</v>
      </c>
      <c r="O517" s="704">
        <v>4.9888621079321158</v>
      </c>
      <c r="P517" s="375" t="s">
        <v>622</v>
      </c>
      <c r="Q517" s="372" t="s">
        <v>622</v>
      </c>
      <c r="R517" s="696">
        <v>20231027</v>
      </c>
      <c r="S517" s="375" t="s">
        <v>4044</v>
      </c>
      <c r="T517" s="697" t="s">
        <v>771</v>
      </c>
      <c r="U517" s="375" t="s">
        <v>4045</v>
      </c>
      <c r="V517" s="723">
        <v>0</v>
      </c>
      <c r="W517" s="723">
        <v>0</v>
      </c>
      <c r="X517" s="723">
        <v>0</v>
      </c>
      <c r="Y517" s="723">
        <v>0</v>
      </c>
      <c r="Z517" s="382" t="s">
        <v>927</v>
      </c>
      <c r="AA517" s="372">
        <v>13.1607805</v>
      </c>
      <c r="AB517" s="372">
        <v>39.520700599999998</v>
      </c>
      <c r="AC517" s="372">
        <v>107.8927472</v>
      </c>
      <c r="AD517" s="372">
        <v>107.7454116</v>
      </c>
      <c r="AE517" s="372">
        <v>0</v>
      </c>
      <c r="AF517" s="372">
        <v>0</v>
      </c>
      <c r="AG517" s="372">
        <v>0</v>
      </c>
      <c r="AH517" s="372">
        <v>0</v>
      </c>
    </row>
    <row r="518" spans="1:34">
      <c r="A518" s="372" t="s">
        <v>4046</v>
      </c>
      <c r="B518" s="373" t="s">
        <v>4047</v>
      </c>
      <c r="C518" s="372" t="s">
        <v>4048</v>
      </c>
      <c r="D518" s="374">
        <v>1501110101662</v>
      </c>
      <c r="E518" s="372" t="s">
        <v>4049</v>
      </c>
      <c r="F518" s="375" t="s">
        <v>1598</v>
      </c>
      <c r="G518" s="375" t="s">
        <v>16112</v>
      </c>
      <c r="H518" s="375" t="s">
        <v>861</v>
      </c>
      <c r="I518" s="375" t="s">
        <v>862</v>
      </c>
      <c r="J518" s="375">
        <v>323262.06170999998</v>
      </c>
      <c r="K518" s="375">
        <v>46265.418799999999</v>
      </c>
      <c r="L518" s="375">
        <v>39410.590020000003</v>
      </c>
      <c r="M518" s="375">
        <v>479598.12867000001</v>
      </c>
      <c r="N518" s="372">
        <v>0.78300000000000003</v>
      </c>
      <c r="O518" s="704">
        <v>26.892460659898475</v>
      </c>
      <c r="P518" s="375" t="s">
        <v>622</v>
      </c>
      <c r="Q518" s="372" t="s">
        <v>622</v>
      </c>
      <c r="R518" s="696">
        <v>20111228</v>
      </c>
      <c r="S518" s="372" t="s">
        <v>4050</v>
      </c>
      <c r="T518" s="697">
        <v>0.23100000000000001</v>
      </c>
      <c r="U518" s="372" t="s">
        <v>4051</v>
      </c>
      <c r="V518" s="723">
        <v>4.18</v>
      </c>
      <c r="W518" s="723">
        <v>0.7</v>
      </c>
      <c r="X518" s="723">
        <v>1.04</v>
      </c>
      <c r="Y518" s="723">
        <v>11.73</v>
      </c>
      <c r="Z518" s="382">
        <v>-2.3592399027875466E-2</v>
      </c>
      <c r="AA518" s="372">
        <v>2767.5612569</v>
      </c>
      <c r="AB518" s="372">
        <v>3107.2930132000001</v>
      </c>
      <c r="AC518" s="372">
        <v>5812.5802507999997</v>
      </c>
      <c r="AD518" s="372">
        <v>3916.7458474</v>
      </c>
      <c r="AE518" s="372">
        <v>3456.25</v>
      </c>
      <c r="AF518" s="372">
        <v>4260.25</v>
      </c>
      <c r="AG518" s="372">
        <v>3560</v>
      </c>
      <c r="AH518" s="372">
        <v>0</v>
      </c>
    </row>
    <row r="519" spans="1:34">
      <c r="A519" s="372" t="s">
        <v>4052</v>
      </c>
      <c r="B519" s="373" t="s">
        <v>4053</v>
      </c>
      <c r="C519" s="372" t="s">
        <v>4054</v>
      </c>
      <c r="D519" s="374">
        <v>1911110000104</v>
      </c>
      <c r="E519" s="372" t="s">
        <v>4055</v>
      </c>
      <c r="F519" s="372" t="s">
        <v>4056</v>
      </c>
      <c r="G519" s="375" t="s">
        <v>4056</v>
      </c>
      <c r="H519" s="375" t="s">
        <v>1043</v>
      </c>
      <c r="I519" s="375" t="s">
        <v>754</v>
      </c>
      <c r="J519" s="375">
        <v>1359826.4691699999</v>
      </c>
      <c r="K519" s="375">
        <v>20834.015820000001</v>
      </c>
      <c r="L519" s="375">
        <v>-36802.987229999999</v>
      </c>
      <c r="M519" s="375">
        <v>621761.86638999998</v>
      </c>
      <c r="N519" s="372">
        <v>0.92300000000000004</v>
      </c>
      <c r="O519" s="704">
        <v>583.35144385539854</v>
      </c>
      <c r="P519" s="375" t="s">
        <v>622</v>
      </c>
      <c r="Q519" s="375" t="s">
        <v>622</v>
      </c>
      <c r="R519" s="696">
        <v>19750627</v>
      </c>
      <c r="S519" s="375" t="s">
        <v>4057</v>
      </c>
      <c r="T519" s="697" t="s">
        <v>771</v>
      </c>
      <c r="U519" s="372" t="s">
        <v>4058</v>
      </c>
      <c r="V519" s="723">
        <v>22.01</v>
      </c>
      <c r="W519" s="723">
        <v>0.5</v>
      </c>
      <c r="X519" s="723">
        <v>0.17</v>
      </c>
      <c r="Y519" s="723" t="s">
        <v>773</v>
      </c>
      <c r="Z519" s="382" t="s">
        <v>927</v>
      </c>
      <c r="AA519" s="372">
        <v>8957.5142443999994</v>
      </c>
      <c r="AB519" s="372">
        <v>11791.933218100001</v>
      </c>
      <c r="AC519" s="372">
        <v>14637.379297199999</v>
      </c>
      <c r="AD519" s="372">
        <v>14333.907772799999</v>
      </c>
      <c r="AE519" s="372">
        <v>14423</v>
      </c>
      <c r="AF519" s="372">
        <v>20142</v>
      </c>
      <c r="AG519" s="372">
        <v>0</v>
      </c>
      <c r="AH519" s="372">
        <v>0</v>
      </c>
    </row>
    <row r="520" spans="1:34">
      <c r="A520" s="372" t="s">
        <v>4059</v>
      </c>
      <c r="B520" s="373" t="s">
        <v>4060</v>
      </c>
      <c r="C520" s="372" t="s">
        <v>4061</v>
      </c>
      <c r="D520" s="374">
        <v>1311110081627</v>
      </c>
      <c r="E520" s="372" t="s">
        <v>4062</v>
      </c>
      <c r="F520" s="372" t="s">
        <v>1656</v>
      </c>
      <c r="G520" s="375" t="s">
        <v>1656</v>
      </c>
      <c r="H520" s="375" t="s">
        <v>861</v>
      </c>
      <c r="I520" s="375" t="s">
        <v>862</v>
      </c>
      <c r="J520" s="375">
        <v>124681.72225000001</v>
      </c>
      <c r="K520" s="375">
        <v>-12114.0412</v>
      </c>
      <c r="L520" s="375">
        <v>-10372.487649999999</v>
      </c>
      <c r="M520" s="375">
        <v>140899.03924000001</v>
      </c>
      <c r="N520" s="372">
        <v>1.1200000000000001</v>
      </c>
      <c r="O520" s="704">
        <v>25.804897099292223</v>
      </c>
      <c r="P520" s="375" t="s">
        <v>622</v>
      </c>
      <c r="Q520" s="375" t="s">
        <v>622</v>
      </c>
      <c r="R520" s="696">
        <v>20141216</v>
      </c>
      <c r="S520" s="375" t="s">
        <v>4063</v>
      </c>
      <c r="T520" s="697" t="s">
        <v>771</v>
      </c>
      <c r="U520" s="375" t="s">
        <v>4064</v>
      </c>
      <c r="V520" s="723" t="s">
        <v>773</v>
      </c>
      <c r="W520" s="723">
        <v>1.71</v>
      </c>
      <c r="X520" s="723">
        <v>2.04</v>
      </c>
      <c r="Y520" s="723" t="s">
        <v>773</v>
      </c>
      <c r="Z520" s="382" t="s">
        <v>927</v>
      </c>
      <c r="AA520" s="372">
        <v>2923.6036964</v>
      </c>
      <c r="AB520" s="372">
        <v>3220.8365749999998</v>
      </c>
      <c r="AC520" s="372">
        <v>1642.4876956999999</v>
      </c>
      <c r="AD520" s="372">
        <v>1001.7217767</v>
      </c>
      <c r="AE520" s="372">
        <v>1553</v>
      </c>
      <c r="AF520" s="372">
        <v>2187</v>
      </c>
      <c r="AG520" s="372">
        <v>0</v>
      </c>
      <c r="AH520" s="372">
        <v>0</v>
      </c>
    </row>
    <row r="521" spans="1:34">
      <c r="A521" s="372" t="s">
        <v>4065</v>
      </c>
      <c r="B521" s="373" t="s">
        <v>4066</v>
      </c>
      <c r="C521" s="372" t="s">
        <v>4067</v>
      </c>
      <c r="D521" s="374">
        <v>1345110003696</v>
      </c>
      <c r="E521" s="372" t="s">
        <v>4068</v>
      </c>
      <c r="F521" s="375" t="s">
        <v>1276</v>
      </c>
      <c r="G521" s="375" t="s">
        <v>1718</v>
      </c>
      <c r="H521" s="375" t="s">
        <v>753</v>
      </c>
      <c r="I521" s="375" t="s">
        <v>754</v>
      </c>
      <c r="J521" s="375">
        <v>288436.06925</v>
      </c>
      <c r="K521" s="375">
        <v>19211.213159999999</v>
      </c>
      <c r="L521" s="375">
        <v>20953.713879999999</v>
      </c>
      <c r="M521" s="375">
        <v>262306.17080999998</v>
      </c>
      <c r="N521" s="372">
        <v>0.96499999999999997</v>
      </c>
      <c r="O521" s="704">
        <v>1.1851155875521802</v>
      </c>
      <c r="P521" s="375" t="s">
        <v>622</v>
      </c>
      <c r="Q521" s="375" t="s">
        <v>622</v>
      </c>
      <c r="R521" s="696">
        <v>19760626</v>
      </c>
      <c r="S521" s="375" t="s">
        <v>4069</v>
      </c>
      <c r="T521" s="697">
        <v>0.23100000000000001</v>
      </c>
      <c r="U521" s="372" t="s">
        <v>4070</v>
      </c>
      <c r="V521" s="723">
        <v>9.8000000000000007</v>
      </c>
      <c r="W521" s="723">
        <v>1.44</v>
      </c>
      <c r="X521" s="723">
        <v>1.3</v>
      </c>
      <c r="Y521" s="723">
        <v>21.58</v>
      </c>
      <c r="Z521" s="382">
        <v>8.6248787671586058E-2</v>
      </c>
      <c r="AA521" s="372">
        <v>2425.1420241000001</v>
      </c>
      <c r="AB521" s="372">
        <v>2621.5928574</v>
      </c>
      <c r="AC521" s="372">
        <v>2634.6912996000001</v>
      </c>
      <c r="AD521" s="372">
        <v>2807.6854500999998</v>
      </c>
      <c r="AE521" s="372">
        <v>3051</v>
      </c>
      <c r="AF521" s="372">
        <v>3446.6</v>
      </c>
      <c r="AG521" s="372">
        <v>3909</v>
      </c>
      <c r="AH521" s="372">
        <v>0</v>
      </c>
    </row>
    <row r="522" spans="1:34">
      <c r="A522" s="372" t="s">
        <v>4071</v>
      </c>
      <c r="B522" s="373" t="s">
        <v>4072</v>
      </c>
      <c r="C522" s="372" t="s">
        <v>4073</v>
      </c>
      <c r="D522" s="374">
        <v>1101111204637</v>
      </c>
      <c r="E522" s="372" t="s">
        <v>4074</v>
      </c>
      <c r="F522" s="375" t="s">
        <v>1962</v>
      </c>
      <c r="G522" s="375" t="s">
        <v>1962</v>
      </c>
      <c r="H522" s="375" t="s">
        <v>861</v>
      </c>
      <c r="I522" s="375" t="s">
        <v>862</v>
      </c>
      <c r="J522" s="375">
        <v>86049.138850000003</v>
      </c>
      <c r="K522" s="375">
        <v>-8956.6945599999999</v>
      </c>
      <c r="L522" s="375">
        <v>-11278.175859999999</v>
      </c>
      <c r="M522" s="375">
        <v>48278.777470000001</v>
      </c>
      <c r="N522" s="372">
        <v>1.429</v>
      </c>
      <c r="O522" s="704">
        <v>15.090136262219763</v>
      </c>
      <c r="P522" s="375" t="s">
        <v>622</v>
      </c>
      <c r="Q522" s="375" t="s">
        <v>622</v>
      </c>
      <c r="R522" s="696">
        <v>20110105</v>
      </c>
      <c r="S522" s="375" t="s">
        <v>4075</v>
      </c>
      <c r="T522" s="697" t="s">
        <v>771</v>
      </c>
      <c r="U522" s="375" t="s">
        <v>4076</v>
      </c>
      <c r="V522" s="723" t="s">
        <v>773</v>
      </c>
      <c r="W522" s="723">
        <v>3.51</v>
      </c>
      <c r="X522" s="723">
        <v>2.11</v>
      </c>
      <c r="Y522" s="723" t="s">
        <v>773</v>
      </c>
      <c r="Z522" s="382">
        <v>0.2472140189421641</v>
      </c>
      <c r="AA522" s="372">
        <v>562.59572309999999</v>
      </c>
      <c r="AB522" s="372">
        <v>1196.6110586</v>
      </c>
      <c r="AC522" s="372">
        <v>1188.3672644000001</v>
      </c>
      <c r="AD522" s="372">
        <v>748.02246290000005</v>
      </c>
      <c r="AE522" s="372">
        <v>1046.33</v>
      </c>
      <c r="AF522" s="372">
        <v>1517</v>
      </c>
      <c r="AG522" s="372">
        <v>1810</v>
      </c>
      <c r="AH522" s="372">
        <v>0</v>
      </c>
    </row>
    <row r="523" spans="1:34">
      <c r="A523" s="372" t="s">
        <v>4077</v>
      </c>
      <c r="B523" s="373" t="s">
        <v>4078</v>
      </c>
      <c r="C523" s="372" t="s">
        <v>4079</v>
      </c>
      <c r="D523" s="374">
        <v>1311110449718</v>
      </c>
      <c r="E523" s="372" t="s">
        <v>4080</v>
      </c>
      <c r="F523" s="372" t="s">
        <v>1276</v>
      </c>
      <c r="G523" s="375" t="s">
        <v>1276</v>
      </c>
      <c r="H523" s="375" t="s">
        <v>861</v>
      </c>
      <c r="I523" s="375" t="s">
        <v>862</v>
      </c>
      <c r="J523" s="375">
        <v>48299.956570000002</v>
      </c>
      <c r="K523" s="375">
        <v>5045.8373199999996</v>
      </c>
      <c r="L523" s="375">
        <v>5129.59148</v>
      </c>
      <c r="M523" s="375">
        <v>146846.51211000001</v>
      </c>
      <c r="N523" s="372">
        <v>1.236</v>
      </c>
      <c r="O523" s="704">
        <v>22.280986400399144</v>
      </c>
      <c r="P523" s="375" t="s">
        <v>622</v>
      </c>
      <c r="Q523" s="375" t="s">
        <v>622</v>
      </c>
      <c r="R523" s="696">
        <v>20210520</v>
      </c>
      <c r="S523" s="375" t="s">
        <v>4081</v>
      </c>
      <c r="T523" s="697">
        <v>0.20900000000000002</v>
      </c>
      <c r="U523" s="372" t="s">
        <v>4082</v>
      </c>
      <c r="V523" s="723">
        <v>0</v>
      </c>
      <c r="W523" s="723">
        <v>0</v>
      </c>
      <c r="X523" s="723">
        <v>0</v>
      </c>
      <c r="Y523" s="723">
        <v>0</v>
      </c>
      <c r="Z523" s="382" t="s">
        <v>927</v>
      </c>
      <c r="AA523" s="372">
        <v>359.42186930000003</v>
      </c>
      <c r="AB523" s="372">
        <v>475.72154749999999</v>
      </c>
      <c r="AC523" s="372">
        <v>501.1858623</v>
      </c>
      <c r="AD523" s="372">
        <v>309.34610500000002</v>
      </c>
      <c r="AE523" s="372">
        <v>0</v>
      </c>
      <c r="AF523" s="372">
        <v>0</v>
      </c>
      <c r="AG523" s="372">
        <v>0</v>
      </c>
      <c r="AH523" s="372">
        <v>0</v>
      </c>
    </row>
    <row r="524" spans="1:34">
      <c r="A524" s="372" t="s">
        <v>4083</v>
      </c>
      <c r="B524" s="373" t="s">
        <v>4084</v>
      </c>
      <c r="C524" s="372" t="s">
        <v>4085</v>
      </c>
      <c r="D524" s="374">
        <v>1717110036705</v>
      </c>
      <c r="E524" s="372" t="s">
        <v>4086</v>
      </c>
      <c r="F524" s="375" t="s">
        <v>1116</v>
      </c>
      <c r="G524" s="375" t="s">
        <v>1336</v>
      </c>
      <c r="H524" s="375" t="s">
        <v>1337</v>
      </c>
      <c r="I524" s="375" t="s">
        <v>862</v>
      </c>
      <c r="J524" s="375">
        <v>3824.9042399999998</v>
      </c>
      <c r="K524" s="375">
        <v>-32896.938219999996</v>
      </c>
      <c r="L524" s="375">
        <v>-20946.003059999999</v>
      </c>
      <c r="M524" s="375">
        <v>258755.62916000001</v>
      </c>
      <c r="N524" s="372">
        <v>1.238</v>
      </c>
      <c r="O524" s="704">
        <v>21.737187833183174</v>
      </c>
      <c r="P524" s="375" t="s">
        <v>622</v>
      </c>
      <c r="Q524" s="372" t="s">
        <v>622</v>
      </c>
      <c r="R524" s="696">
        <v>20090915</v>
      </c>
      <c r="S524" s="372" t="s">
        <v>4087</v>
      </c>
      <c r="T524" s="697" t="s">
        <v>771</v>
      </c>
      <c r="U524" s="375" t="s">
        <v>4088</v>
      </c>
      <c r="V524" s="723">
        <v>0</v>
      </c>
      <c r="W524" s="723">
        <v>0</v>
      </c>
      <c r="X524" s="723">
        <v>0</v>
      </c>
      <c r="Y524" s="723">
        <v>0</v>
      </c>
      <c r="Z524" s="382" t="s">
        <v>927</v>
      </c>
      <c r="AA524" s="372">
        <v>185.43494620000001</v>
      </c>
      <c r="AB524" s="372">
        <v>368.28454640000001</v>
      </c>
      <c r="AC524" s="372">
        <v>161.39032159999999</v>
      </c>
      <c r="AD524" s="372">
        <v>44.266269899999998</v>
      </c>
      <c r="AE524" s="372">
        <v>100</v>
      </c>
      <c r="AF524" s="372">
        <v>0</v>
      </c>
      <c r="AG524" s="372">
        <v>0</v>
      </c>
      <c r="AH524" s="372">
        <v>0</v>
      </c>
    </row>
    <row r="525" spans="1:34">
      <c r="A525" s="372" t="s">
        <v>4089</v>
      </c>
      <c r="B525" s="373" t="s">
        <v>4090</v>
      </c>
      <c r="C525" s="372" t="s">
        <v>4091</v>
      </c>
      <c r="D525" s="374">
        <v>1201110018110</v>
      </c>
      <c r="E525" s="372" t="s">
        <v>4092</v>
      </c>
      <c r="F525" s="375" t="s">
        <v>893</v>
      </c>
      <c r="G525" s="375" t="s">
        <v>894</v>
      </c>
      <c r="H525" s="375" t="s">
        <v>855</v>
      </c>
      <c r="I525" s="375" t="s">
        <v>754</v>
      </c>
      <c r="J525" s="375">
        <v>434189.61421000003</v>
      </c>
      <c r="K525" s="375">
        <v>101634.29011</v>
      </c>
      <c r="L525" s="375">
        <v>98807.506080000006</v>
      </c>
      <c r="M525" s="375">
        <v>1097435.7988799999</v>
      </c>
      <c r="N525" s="372">
        <v>0.89300000000000002</v>
      </c>
      <c r="O525" s="704">
        <v>17.587905381369335</v>
      </c>
      <c r="P525" s="375" t="s">
        <v>622</v>
      </c>
      <c r="Q525" s="375" t="s">
        <v>622</v>
      </c>
      <c r="R525" s="696">
        <v>19880728</v>
      </c>
      <c r="S525" s="375" t="s">
        <v>4093</v>
      </c>
      <c r="T525" s="697">
        <v>0.23100000000000001</v>
      </c>
      <c r="U525" s="375" t="s">
        <v>4094</v>
      </c>
      <c r="V525" s="723">
        <v>3.74</v>
      </c>
      <c r="W525" s="723">
        <v>0.35</v>
      </c>
      <c r="X525" s="723">
        <v>0.9</v>
      </c>
      <c r="Y525" s="723">
        <v>3.47</v>
      </c>
      <c r="Z525" s="382">
        <v>4.2821691605950285E-2</v>
      </c>
      <c r="AA525" s="372">
        <v>2659.4072974000001</v>
      </c>
      <c r="AB525" s="372">
        <v>4877.8467799</v>
      </c>
      <c r="AC525" s="372">
        <v>3876.7143489</v>
      </c>
      <c r="AD525" s="372">
        <v>4067.2873051000001</v>
      </c>
      <c r="AE525" s="372">
        <v>4460</v>
      </c>
      <c r="AF525" s="372">
        <v>4610</v>
      </c>
      <c r="AG525" s="372">
        <v>4810</v>
      </c>
      <c r="AH525" s="372">
        <v>0</v>
      </c>
    </row>
    <row r="526" spans="1:34">
      <c r="A526" s="372" t="s">
        <v>4095</v>
      </c>
      <c r="B526" s="373" t="s">
        <v>4096</v>
      </c>
      <c r="C526" s="372" t="s">
        <v>4097</v>
      </c>
      <c r="D526" s="374">
        <v>1101110164717</v>
      </c>
      <c r="E526" s="372" t="s">
        <v>4098</v>
      </c>
      <c r="F526" s="375" t="s">
        <v>4099</v>
      </c>
      <c r="G526" s="375" t="s">
        <v>4100</v>
      </c>
      <c r="H526" s="375" t="s">
        <v>826</v>
      </c>
      <c r="I526" s="375" t="s">
        <v>754</v>
      </c>
      <c r="J526" s="375">
        <v>1528305.47358</v>
      </c>
      <c r="K526" s="375">
        <v>33393.114119999998</v>
      </c>
      <c r="L526" s="375">
        <v>28156.975979999999</v>
      </c>
      <c r="M526" s="375">
        <v>539262.96097999997</v>
      </c>
      <c r="N526" s="372">
        <v>0.66100000000000003</v>
      </c>
      <c r="O526" s="704">
        <v>74.817427443820137</v>
      </c>
      <c r="P526" s="375" t="s">
        <v>622</v>
      </c>
      <c r="Q526" s="372" t="s">
        <v>622</v>
      </c>
      <c r="R526" s="696">
        <v>19951110</v>
      </c>
      <c r="S526" s="372" t="s">
        <v>4101</v>
      </c>
      <c r="T526" s="697">
        <v>0.23100000000000001</v>
      </c>
      <c r="U526" s="372" t="s">
        <v>4102</v>
      </c>
      <c r="V526" s="723">
        <v>6.39</v>
      </c>
      <c r="W526" s="723">
        <v>0.6</v>
      </c>
      <c r="X526" s="723">
        <v>0.21</v>
      </c>
      <c r="Y526" s="723">
        <v>11.28</v>
      </c>
      <c r="Z526" s="382" t="s">
        <v>927</v>
      </c>
      <c r="AA526" s="372">
        <v>10098.4524822</v>
      </c>
      <c r="AB526" s="372">
        <v>14518.844072800001</v>
      </c>
      <c r="AC526" s="372">
        <v>21695.6587052</v>
      </c>
      <c r="AD526" s="372">
        <v>15880.783247900001</v>
      </c>
      <c r="AE526" s="372">
        <v>0</v>
      </c>
      <c r="AF526" s="372">
        <v>0</v>
      </c>
      <c r="AG526" s="372">
        <v>0</v>
      </c>
      <c r="AH526" s="372">
        <v>0</v>
      </c>
    </row>
    <row r="527" spans="1:34">
      <c r="A527" s="372" t="s">
        <v>4103</v>
      </c>
      <c r="B527" s="373" t="s">
        <v>4104</v>
      </c>
      <c r="C527" s="372" t="s">
        <v>4105</v>
      </c>
      <c r="D527" s="374">
        <v>1101116860640</v>
      </c>
      <c r="E527" s="372" t="s">
        <v>4106</v>
      </c>
      <c r="F527" s="375" t="s">
        <v>2485</v>
      </c>
      <c r="G527" s="375" t="s">
        <v>2485</v>
      </c>
      <c r="H527" s="375" t="s">
        <v>812</v>
      </c>
      <c r="I527" s="375" t="s">
        <v>754</v>
      </c>
      <c r="J527" s="375">
        <v>1700320.2744799999</v>
      </c>
      <c r="K527" s="375">
        <v>123244.80837</v>
      </c>
      <c r="L527" s="375">
        <v>130988.02151000001</v>
      </c>
      <c r="M527" s="375">
        <v>1037230.31866</v>
      </c>
      <c r="N527" s="372">
        <v>0.82299999999999995</v>
      </c>
      <c r="O527" s="704">
        <v>56.03066617819136</v>
      </c>
      <c r="P527" s="375" t="s">
        <v>622</v>
      </c>
      <c r="Q527" s="375" t="s">
        <v>622</v>
      </c>
      <c r="R527" s="696">
        <v>20181005</v>
      </c>
      <c r="S527" s="375" t="s">
        <v>4107</v>
      </c>
      <c r="T527" s="697">
        <v>0.23100000000000001</v>
      </c>
      <c r="U527" s="375" t="s">
        <v>4108</v>
      </c>
      <c r="V527" s="723">
        <v>0</v>
      </c>
      <c r="W527" s="723">
        <v>0</v>
      </c>
      <c r="X527" s="723">
        <v>0</v>
      </c>
      <c r="Y527" s="723">
        <v>0</v>
      </c>
      <c r="Z527" s="382" t="s">
        <v>927</v>
      </c>
      <c r="AA527" s="372">
        <v>11504.661645599999</v>
      </c>
      <c r="AB527" s="372">
        <v>14973.607758100001</v>
      </c>
      <c r="AC527" s="372">
        <v>18018.3509046</v>
      </c>
      <c r="AD527" s="372">
        <v>18609.0496991</v>
      </c>
      <c r="AE527" s="372">
        <v>0</v>
      </c>
      <c r="AF527" s="372">
        <v>0</v>
      </c>
      <c r="AG527" s="372">
        <v>0</v>
      </c>
      <c r="AH527" s="372">
        <v>0</v>
      </c>
    </row>
    <row r="528" spans="1:34">
      <c r="A528" s="372" t="s">
        <v>4109</v>
      </c>
      <c r="B528" s="373" t="s">
        <v>4110</v>
      </c>
      <c r="C528" s="372" t="s">
        <v>4111</v>
      </c>
      <c r="D528" s="374">
        <v>1101111398117</v>
      </c>
      <c r="E528" s="372" t="s">
        <v>4112</v>
      </c>
      <c r="F528" s="375" t="s">
        <v>1796</v>
      </c>
      <c r="G528" s="375" t="s">
        <v>2797</v>
      </c>
      <c r="H528" s="375" t="s">
        <v>861</v>
      </c>
      <c r="I528" s="375" t="s">
        <v>862</v>
      </c>
      <c r="J528" s="375">
        <v>241601.07175999999</v>
      </c>
      <c r="K528" s="375">
        <v>10112.794690000001</v>
      </c>
      <c r="L528" s="375">
        <v>14855.88515</v>
      </c>
      <c r="M528" s="375">
        <v>455938.5552</v>
      </c>
      <c r="N528" s="372">
        <v>1.169</v>
      </c>
      <c r="O528" s="704">
        <v>8.5739391125227797</v>
      </c>
      <c r="P528" s="375" t="s">
        <v>622</v>
      </c>
      <c r="Q528" s="375" t="s">
        <v>622</v>
      </c>
      <c r="R528" s="696">
        <v>20051028</v>
      </c>
      <c r="S528" s="375" t="s">
        <v>4113</v>
      </c>
      <c r="T528" s="697">
        <v>0.20900000000000002</v>
      </c>
      <c r="U528" s="375" t="s">
        <v>4114</v>
      </c>
      <c r="V528" s="723">
        <v>36.29</v>
      </c>
      <c r="W528" s="723">
        <v>3.1</v>
      </c>
      <c r="X528" s="723">
        <v>1.1399999999999999</v>
      </c>
      <c r="Y528" s="723">
        <v>100.9</v>
      </c>
      <c r="Z528" s="382" t="s">
        <v>927</v>
      </c>
      <c r="AA528" s="372">
        <v>194.94758479999999</v>
      </c>
      <c r="AB528" s="372">
        <v>229.81880229999999</v>
      </c>
      <c r="AC528" s="372">
        <v>241.83175209999999</v>
      </c>
      <c r="AD528" s="372">
        <v>1078.9193534000001</v>
      </c>
      <c r="AE528" s="372">
        <v>0</v>
      </c>
      <c r="AF528" s="372">
        <v>0</v>
      </c>
      <c r="AG528" s="372">
        <v>0</v>
      </c>
      <c r="AH528" s="372">
        <v>0</v>
      </c>
    </row>
    <row r="529" spans="1:34">
      <c r="A529" s="372" t="s">
        <v>4115</v>
      </c>
      <c r="B529" s="373" t="s">
        <v>4116</v>
      </c>
      <c r="C529" s="372" t="s">
        <v>4117</v>
      </c>
      <c r="D529" s="374">
        <v>1101110003668</v>
      </c>
      <c r="E529" s="372" t="s">
        <v>4118</v>
      </c>
      <c r="F529" s="372" t="s">
        <v>1459</v>
      </c>
      <c r="G529" s="375" t="s">
        <v>4119</v>
      </c>
      <c r="H529" s="375" t="s">
        <v>909</v>
      </c>
      <c r="I529" s="375" t="s">
        <v>754</v>
      </c>
      <c r="J529" s="375">
        <v>2951685.72915</v>
      </c>
      <c r="K529" s="375">
        <v>129834.75117</v>
      </c>
      <c r="L529" s="375">
        <v>26607.172050000001</v>
      </c>
      <c r="M529" s="375">
        <v>1545579.07064</v>
      </c>
      <c r="N529" s="372">
        <v>0.90800000000000003</v>
      </c>
      <c r="O529" s="704">
        <v>745.52612897169217</v>
      </c>
      <c r="P529" s="375" t="s">
        <v>622</v>
      </c>
      <c r="Q529" s="375" t="s">
        <v>622</v>
      </c>
      <c r="R529" s="696">
        <v>19740812</v>
      </c>
      <c r="S529" s="375" t="s">
        <v>4120</v>
      </c>
      <c r="T529" s="697">
        <v>0.23100000000000001</v>
      </c>
      <c r="U529" s="375" t="s">
        <v>4121</v>
      </c>
      <c r="V529" s="723">
        <v>7.47</v>
      </c>
      <c r="W529" s="723">
        <v>0.2</v>
      </c>
      <c r="X529" s="723">
        <v>0.1</v>
      </c>
      <c r="Y529" s="723">
        <v>11.97</v>
      </c>
      <c r="Z529" s="382">
        <v>4.2281950840353577E-2</v>
      </c>
      <c r="AA529" s="372">
        <v>22156.866408499998</v>
      </c>
      <c r="AB529" s="372">
        <v>25041.311937499999</v>
      </c>
      <c r="AC529" s="372">
        <v>28494.208694299999</v>
      </c>
      <c r="AD529" s="372">
        <v>28075.2878256</v>
      </c>
      <c r="AE529" s="372">
        <v>29670</v>
      </c>
      <c r="AF529" s="372">
        <v>31400</v>
      </c>
      <c r="AG529" s="372">
        <v>33133.33</v>
      </c>
      <c r="AH529" s="372">
        <v>0</v>
      </c>
    </row>
    <row r="530" spans="1:34">
      <c r="A530" s="372" t="s">
        <v>4122</v>
      </c>
      <c r="B530" s="373" t="s">
        <v>4123</v>
      </c>
      <c r="C530" s="372" t="s">
        <v>4124</v>
      </c>
      <c r="D530" s="374">
        <v>1701110111352</v>
      </c>
      <c r="E530" s="372" t="s">
        <v>4125</v>
      </c>
      <c r="F530" s="372" t="s">
        <v>4126</v>
      </c>
      <c r="G530" s="375" t="s">
        <v>4127</v>
      </c>
      <c r="H530" s="375" t="s">
        <v>861</v>
      </c>
      <c r="I530" s="375" t="s">
        <v>862</v>
      </c>
      <c r="J530" s="375">
        <v>159143.16260000001</v>
      </c>
      <c r="K530" s="375">
        <v>31430.31466</v>
      </c>
      <c r="L530" s="375">
        <v>35829.216130000001</v>
      </c>
      <c r="M530" s="375">
        <v>195874.46205999999</v>
      </c>
      <c r="N530" s="372">
        <v>0.71499999999999997</v>
      </c>
      <c r="O530" s="704">
        <v>13.026469708549168</v>
      </c>
      <c r="P530" s="375" t="s">
        <v>622</v>
      </c>
      <c r="Q530" s="372" t="s">
        <v>622</v>
      </c>
      <c r="R530" s="696">
        <v>20060607</v>
      </c>
      <c r="S530" s="372" t="s">
        <v>4128</v>
      </c>
      <c r="T530" s="697">
        <v>0.23100000000000001</v>
      </c>
      <c r="U530" s="372" t="s">
        <v>4129</v>
      </c>
      <c r="V530" s="723">
        <v>7.03</v>
      </c>
      <c r="W530" s="723">
        <v>1.1599999999999999</v>
      </c>
      <c r="X530" s="723">
        <v>1.6</v>
      </c>
      <c r="Y530" s="723">
        <v>8</v>
      </c>
      <c r="Z530" s="382">
        <v>5.5360070548482687E-2</v>
      </c>
      <c r="AA530" s="372">
        <v>1154.1140736</v>
      </c>
      <c r="AB530" s="372">
        <v>1158.2629970999999</v>
      </c>
      <c r="AC530" s="372">
        <v>1419.7763009</v>
      </c>
      <c r="AD530" s="372">
        <v>1570.8534296</v>
      </c>
      <c r="AE530" s="372">
        <v>1653.4</v>
      </c>
      <c r="AF530" s="372">
        <v>1800</v>
      </c>
      <c r="AG530" s="372">
        <v>1948.67</v>
      </c>
      <c r="AH530" s="372">
        <v>0</v>
      </c>
    </row>
    <row r="531" spans="1:34">
      <c r="A531" s="372" t="s">
        <v>4130</v>
      </c>
      <c r="B531" s="373" t="s">
        <v>4131</v>
      </c>
      <c r="C531" s="372" t="s">
        <v>15991</v>
      </c>
      <c r="D531" s="374">
        <v>1348110112334</v>
      </c>
      <c r="E531" s="372" t="s">
        <v>4132</v>
      </c>
      <c r="F531" s="375" t="s">
        <v>1185</v>
      </c>
      <c r="G531" s="375" t="s">
        <v>3115</v>
      </c>
      <c r="H531" s="375" t="s">
        <v>861</v>
      </c>
      <c r="I531" s="375" t="s">
        <v>862</v>
      </c>
      <c r="J531" s="375">
        <v>102864.08366</v>
      </c>
      <c r="K531" s="375">
        <v>19323.51586</v>
      </c>
      <c r="L531" s="375">
        <v>25752.21646</v>
      </c>
      <c r="M531" s="375">
        <v>200291.81700000001</v>
      </c>
      <c r="N531" s="372">
        <v>1.02</v>
      </c>
      <c r="O531" s="704">
        <v>0.17132207883111361</v>
      </c>
      <c r="P531" s="375" t="s">
        <v>622</v>
      </c>
      <c r="Q531" s="372" t="s">
        <v>622</v>
      </c>
      <c r="R531" s="696">
        <v>20180807</v>
      </c>
      <c r="S531" s="372" t="s">
        <v>4133</v>
      </c>
      <c r="T531" s="697">
        <v>0.23100000000000001</v>
      </c>
      <c r="U531" s="372" t="s">
        <v>4134</v>
      </c>
      <c r="V531" s="723">
        <v>13.98</v>
      </c>
      <c r="W531" s="723">
        <v>1.41</v>
      </c>
      <c r="X531" s="723">
        <v>2.79</v>
      </c>
      <c r="Y531" s="723">
        <v>12.66</v>
      </c>
      <c r="Z531" s="382">
        <v>0.16468487526559539</v>
      </c>
      <c r="AA531" s="372">
        <v>285.92794950000001</v>
      </c>
      <c r="AB531" s="372">
        <v>760.92185270000004</v>
      </c>
      <c r="AC531" s="372">
        <v>1328.7492017</v>
      </c>
      <c r="AD531" s="372">
        <v>1070.612928</v>
      </c>
      <c r="AE531" s="372">
        <v>1023</v>
      </c>
      <c r="AF531" s="372">
        <v>1370</v>
      </c>
      <c r="AG531" s="372">
        <v>1970</v>
      </c>
      <c r="AH531" s="372">
        <v>0</v>
      </c>
    </row>
    <row r="532" spans="1:34">
      <c r="A532" s="372" t="s">
        <v>4135</v>
      </c>
      <c r="B532" s="373" t="s">
        <v>4136</v>
      </c>
      <c r="C532" s="372" t="s">
        <v>4137</v>
      </c>
      <c r="D532" s="374">
        <v>1313110033856</v>
      </c>
      <c r="E532" s="372" t="s">
        <v>4138</v>
      </c>
      <c r="F532" s="375" t="s">
        <v>1750</v>
      </c>
      <c r="G532" s="375" t="s">
        <v>1750</v>
      </c>
      <c r="H532" s="375" t="s">
        <v>861</v>
      </c>
      <c r="I532" s="375" t="s">
        <v>862</v>
      </c>
      <c r="J532" s="375">
        <v>119068.05538000001</v>
      </c>
      <c r="K532" s="375">
        <v>4437.5761199999997</v>
      </c>
      <c r="L532" s="375">
        <v>-14.171659999999999</v>
      </c>
      <c r="M532" s="375">
        <v>185974.17405999999</v>
      </c>
      <c r="N532" s="372">
        <v>0.48899999999999999</v>
      </c>
      <c r="O532" s="704">
        <v>11.342806682470592</v>
      </c>
      <c r="P532" s="375" t="s">
        <v>16115</v>
      </c>
      <c r="Q532" s="375" t="s">
        <v>16116</v>
      </c>
      <c r="R532" s="696">
        <v>20100728</v>
      </c>
      <c r="S532" s="375" t="s">
        <v>4139</v>
      </c>
      <c r="T532" s="697" t="s">
        <v>771</v>
      </c>
      <c r="U532" s="375" t="s">
        <v>4140</v>
      </c>
      <c r="V532" s="723">
        <v>24.12</v>
      </c>
      <c r="W532" s="723">
        <v>1.62</v>
      </c>
      <c r="X532" s="723">
        <v>2.76</v>
      </c>
      <c r="Y532" s="723">
        <v>177.63</v>
      </c>
      <c r="Z532" s="382" t="s">
        <v>927</v>
      </c>
      <c r="AA532" s="372">
        <v>882.02799530000004</v>
      </c>
      <c r="AB532" s="372">
        <v>1075.3483000000001</v>
      </c>
      <c r="AC532" s="372">
        <v>1178.2239238</v>
      </c>
      <c r="AD532" s="372">
        <v>1218.4277944</v>
      </c>
      <c r="AE532" s="372">
        <v>1409</v>
      </c>
      <c r="AF532" s="372">
        <v>1680</v>
      </c>
      <c r="AG532" s="372">
        <v>0</v>
      </c>
      <c r="AH532" s="372">
        <v>0</v>
      </c>
    </row>
    <row r="533" spans="1:34">
      <c r="A533" s="372" t="s">
        <v>4141</v>
      </c>
      <c r="B533" s="373" t="s">
        <v>4142</v>
      </c>
      <c r="C533" s="372" t="s">
        <v>4143</v>
      </c>
      <c r="D533" s="374">
        <v>1615110049069</v>
      </c>
      <c r="E533" s="372" t="s">
        <v>4144</v>
      </c>
      <c r="F533" s="375" t="s">
        <v>1185</v>
      </c>
      <c r="G533" s="375" t="s">
        <v>1186</v>
      </c>
      <c r="H533" s="375" t="s">
        <v>861</v>
      </c>
      <c r="I533" s="375" t="s">
        <v>862</v>
      </c>
      <c r="J533" s="375">
        <v>302067.77497999999</v>
      </c>
      <c r="K533" s="375">
        <v>14019.807419999999</v>
      </c>
      <c r="L533" s="375">
        <v>10755.707109999999</v>
      </c>
      <c r="M533" s="375">
        <v>257818.9185</v>
      </c>
      <c r="N533" s="372">
        <v>1.29</v>
      </c>
      <c r="O533" s="704">
        <v>19.594894013313734</v>
      </c>
      <c r="P533" s="375" t="s">
        <v>622</v>
      </c>
      <c r="Q533" s="372" t="s">
        <v>622</v>
      </c>
      <c r="R533" s="696">
        <v>20051005</v>
      </c>
      <c r="S533" s="372" t="s">
        <v>4145</v>
      </c>
      <c r="T533" s="697">
        <v>0.20900000000000002</v>
      </c>
      <c r="U533" s="372" t="s">
        <v>4146</v>
      </c>
      <c r="V533" s="723">
        <v>8.18</v>
      </c>
      <c r="W533" s="723">
        <v>0.7</v>
      </c>
      <c r="X533" s="723">
        <v>0.63</v>
      </c>
      <c r="Y533" s="723">
        <v>16.05</v>
      </c>
      <c r="Z533" s="382" t="s">
        <v>927</v>
      </c>
      <c r="AA533" s="372">
        <v>1712.3928364999999</v>
      </c>
      <c r="AB533" s="372">
        <v>2595.9687214</v>
      </c>
      <c r="AC533" s="372">
        <v>3741.9746292999998</v>
      </c>
      <c r="AD533" s="372">
        <v>4730.2842110000001</v>
      </c>
      <c r="AE533" s="372">
        <v>4541</v>
      </c>
      <c r="AF533" s="372">
        <v>4973</v>
      </c>
      <c r="AG533" s="372">
        <v>0</v>
      </c>
      <c r="AH533" s="372">
        <v>0</v>
      </c>
    </row>
    <row r="534" spans="1:34">
      <c r="A534" s="372" t="s">
        <v>4147</v>
      </c>
      <c r="B534" s="373" t="s">
        <v>4148</v>
      </c>
      <c r="C534" s="372" t="s">
        <v>4149</v>
      </c>
      <c r="D534" s="374">
        <v>1101113280099</v>
      </c>
      <c r="E534" s="372" t="s">
        <v>4150</v>
      </c>
      <c r="F534" s="375" t="s">
        <v>893</v>
      </c>
      <c r="G534" s="375" t="s">
        <v>894</v>
      </c>
      <c r="H534" s="375" t="s">
        <v>855</v>
      </c>
      <c r="I534" s="375" t="s">
        <v>754</v>
      </c>
      <c r="J534" s="375">
        <v>5272774.14157</v>
      </c>
      <c r="K534" s="375">
        <v>167479.99655000001</v>
      </c>
      <c r="L534" s="375">
        <v>102885.47761</v>
      </c>
      <c r="M534" s="375">
        <v>1647578.7433</v>
      </c>
      <c r="N534" s="372">
        <v>0.875</v>
      </c>
      <c r="O534" s="704">
        <v>587.11924586988437</v>
      </c>
      <c r="P534" s="375" t="s">
        <v>622</v>
      </c>
      <c r="Q534" s="375" t="s">
        <v>622</v>
      </c>
      <c r="R534" s="696">
        <v>20050817</v>
      </c>
      <c r="S534" s="375" t="s">
        <v>854</v>
      </c>
      <c r="T534" s="697">
        <v>0.23100000000000001</v>
      </c>
      <c r="U534" s="375" t="s">
        <v>4151</v>
      </c>
      <c r="V534" s="723">
        <v>6.59</v>
      </c>
      <c r="W534" s="723">
        <v>0.43</v>
      </c>
      <c r="X534" s="723">
        <v>0.06</v>
      </c>
      <c r="Y534" s="723">
        <v>12.68</v>
      </c>
      <c r="Z534" s="382" t="s">
        <v>927</v>
      </c>
      <c r="AA534" s="372">
        <v>37542.989613999998</v>
      </c>
      <c r="AB534" s="372">
        <v>42059.691817400002</v>
      </c>
      <c r="AC534" s="372">
        <v>52266.598200699998</v>
      </c>
      <c r="AD534" s="372">
        <v>52594.004301399997</v>
      </c>
      <c r="AE534" s="372">
        <v>0</v>
      </c>
      <c r="AF534" s="372">
        <v>0</v>
      </c>
      <c r="AG534" s="372">
        <v>0</v>
      </c>
      <c r="AH534" s="372">
        <v>0</v>
      </c>
    </row>
    <row r="535" spans="1:34">
      <c r="A535" s="372" t="s">
        <v>4152</v>
      </c>
      <c r="B535" s="373" t="s">
        <v>4153</v>
      </c>
      <c r="C535" s="372" t="s">
        <v>4154</v>
      </c>
      <c r="D535" s="374">
        <v>1201110330051</v>
      </c>
      <c r="E535" s="372" t="s">
        <v>4155</v>
      </c>
      <c r="F535" s="375" t="s">
        <v>1275</v>
      </c>
      <c r="G535" s="375" t="s">
        <v>1275</v>
      </c>
      <c r="H535" s="375" t="s">
        <v>861</v>
      </c>
      <c r="I535" s="375" t="s">
        <v>862</v>
      </c>
      <c r="J535" s="375">
        <v>77574.681890000007</v>
      </c>
      <c r="K535" s="375">
        <v>6759.2443300000004</v>
      </c>
      <c r="L535" s="375">
        <v>6527.2370899999996</v>
      </c>
      <c r="M535" s="375">
        <v>82926.246109999993</v>
      </c>
      <c r="N535" s="372">
        <v>1.179</v>
      </c>
      <c r="O535" s="704">
        <v>17.354133964751778</v>
      </c>
      <c r="P535" s="375" t="s">
        <v>622</v>
      </c>
      <c r="Q535" s="375" t="s">
        <v>622</v>
      </c>
      <c r="R535" s="696">
        <v>20221117</v>
      </c>
      <c r="S535" s="375" t="s">
        <v>4156</v>
      </c>
      <c r="T535" s="697">
        <v>0.20900000000000002</v>
      </c>
      <c r="U535" s="375" t="s">
        <v>4157</v>
      </c>
      <c r="V535" s="723">
        <v>21.19</v>
      </c>
      <c r="W535" s="723">
        <v>2.5</v>
      </c>
      <c r="X535" s="723">
        <v>2.71</v>
      </c>
      <c r="Y535" s="723">
        <v>30.04</v>
      </c>
      <c r="Z535" s="382" t="s">
        <v>927</v>
      </c>
      <c r="AA535" s="372">
        <v>548.50490960000002</v>
      </c>
      <c r="AB535" s="372">
        <v>719.63156679999997</v>
      </c>
      <c r="AC535" s="372">
        <v>637.46725960000003</v>
      </c>
      <c r="AD535" s="372">
        <v>803.25243850000004</v>
      </c>
      <c r="AE535" s="372">
        <v>0</v>
      </c>
      <c r="AF535" s="372">
        <v>0</v>
      </c>
      <c r="AG535" s="372">
        <v>0</v>
      </c>
      <c r="AH535" s="372">
        <v>0</v>
      </c>
    </row>
    <row r="536" spans="1:34">
      <c r="A536" s="372" t="s">
        <v>4158</v>
      </c>
      <c r="B536" s="373" t="s">
        <v>4159</v>
      </c>
      <c r="C536" s="372" t="s">
        <v>4160</v>
      </c>
      <c r="D536" s="374">
        <v>1601110091283</v>
      </c>
      <c r="E536" s="372" t="s">
        <v>4161</v>
      </c>
      <c r="F536" s="375" t="s">
        <v>1241</v>
      </c>
      <c r="G536" s="375" t="s">
        <v>1241</v>
      </c>
      <c r="H536" s="375" t="s">
        <v>861</v>
      </c>
      <c r="I536" s="375" t="s">
        <v>862</v>
      </c>
      <c r="J536" s="375">
        <v>160558.21755999999</v>
      </c>
      <c r="K536" s="375">
        <v>-5270.5123299999996</v>
      </c>
      <c r="L536" s="375">
        <v>272.52350999999999</v>
      </c>
      <c r="M536" s="375">
        <v>218696.39928000001</v>
      </c>
      <c r="N536" s="372">
        <v>0.91900000000000004</v>
      </c>
      <c r="O536" s="704">
        <v>2.7564584859735501</v>
      </c>
      <c r="P536" s="375" t="s">
        <v>622</v>
      </c>
      <c r="Q536" s="372" t="s">
        <v>622</v>
      </c>
      <c r="R536" s="696">
        <v>20080613</v>
      </c>
      <c r="S536" s="372" t="s">
        <v>4162</v>
      </c>
      <c r="T536" s="697">
        <v>0.20900000000000002</v>
      </c>
      <c r="U536" s="372" t="s">
        <v>4163</v>
      </c>
      <c r="V536" s="723">
        <v>141.18</v>
      </c>
      <c r="W536" s="723">
        <v>1.77</v>
      </c>
      <c r="X536" s="723">
        <v>2.44</v>
      </c>
      <c r="Y536" s="723">
        <v>8.84</v>
      </c>
      <c r="Z536" s="382">
        <v>0.20859706366703756</v>
      </c>
      <c r="AA536" s="372">
        <v>892.27431149999995</v>
      </c>
      <c r="AB536" s="372">
        <v>734.49328690000004</v>
      </c>
      <c r="AC536" s="372">
        <v>913.57563649999997</v>
      </c>
      <c r="AD536" s="372">
        <v>1254.3349495</v>
      </c>
      <c r="AE536" s="372">
        <v>1754.5</v>
      </c>
      <c r="AF536" s="372">
        <v>2321.75</v>
      </c>
      <c r="AG536" s="372">
        <v>2676.33</v>
      </c>
      <c r="AH536" s="372">
        <v>0</v>
      </c>
    </row>
    <row r="537" spans="1:34">
      <c r="A537" s="372" t="s">
        <v>4164</v>
      </c>
      <c r="B537" s="373" t="s">
        <v>4165</v>
      </c>
      <c r="C537" s="372" t="s">
        <v>4166</v>
      </c>
      <c r="D537" s="374">
        <v>1101110126642</v>
      </c>
      <c r="E537" s="372" t="s">
        <v>4167</v>
      </c>
      <c r="F537" s="375" t="s">
        <v>824</v>
      </c>
      <c r="G537" s="375" t="s">
        <v>825</v>
      </c>
      <c r="H537" s="375" t="s">
        <v>826</v>
      </c>
      <c r="I537" s="375" t="s">
        <v>754</v>
      </c>
      <c r="J537" s="375">
        <v>1285042.6869000001</v>
      </c>
      <c r="K537" s="375">
        <v>16888.731329999999</v>
      </c>
      <c r="L537" s="375">
        <v>2305.0589300000001</v>
      </c>
      <c r="M537" s="375">
        <v>835293.71825999999</v>
      </c>
      <c r="N537" s="372">
        <v>0.92600000000000005</v>
      </c>
      <c r="O537" s="704">
        <v>223.41644728274778</v>
      </c>
      <c r="P537" s="375" t="s">
        <v>622</v>
      </c>
      <c r="Q537" s="375" t="s">
        <v>622</v>
      </c>
      <c r="R537" s="696">
        <v>19890805</v>
      </c>
      <c r="S537" s="375" t="s">
        <v>4168</v>
      </c>
      <c r="T537" s="697">
        <v>0.20900000000000002</v>
      </c>
      <c r="U537" s="375" t="s">
        <v>4169</v>
      </c>
      <c r="V537" s="723">
        <v>10.7</v>
      </c>
      <c r="W537" s="723">
        <v>0.36</v>
      </c>
      <c r="X537" s="723">
        <v>0.24</v>
      </c>
      <c r="Y537" s="723" t="s">
        <v>773</v>
      </c>
      <c r="Z537" s="382">
        <v>1.8369211108515859E-2</v>
      </c>
      <c r="AA537" s="372">
        <v>11326.596948599999</v>
      </c>
      <c r="AB537" s="372">
        <v>15771.1174672</v>
      </c>
      <c r="AC537" s="372">
        <v>16017.741766700001</v>
      </c>
      <c r="AD537" s="372">
        <v>13117.763602499999</v>
      </c>
      <c r="AE537" s="372">
        <v>12935.67</v>
      </c>
      <c r="AF537" s="372">
        <v>14283</v>
      </c>
      <c r="AG537" s="372">
        <v>14108.5</v>
      </c>
      <c r="AH537" s="372">
        <v>0</v>
      </c>
    </row>
    <row r="538" spans="1:34">
      <c r="A538" s="372" t="s">
        <v>4170</v>
      </c>
      <c r="B538" s="373" t="s">
        <v>4171</v>
      </c>
      <c r="C538" s="372" t="s">
        <v>4172</v>
      </c>
      <c r="D538" s="374">
        <v>1101111105215</v>
      </c>
      <c r="E538" s="372" t="s">
        <v>4172</v>
      </c>
      <c r="F538" s="375" t="s">
        <v>893</v>
      </c>
      <c r="G538" s="375" t="s">
        <v>894</v>
      </c>
      <c r="H538" s="375" t="s">
        <v>855</v>
      </c>
      <c r="I538" s="375" t="s">
        <v>754</v>
      </c>
      <c r="J538" s="375">
        <v>508820.47081000003</v>
      </c>
      <c r="K538" s="375">
        <v>70157.568570000003</v>
      </c>
      <c r="L538" s="375">
        <v>81206.092180000007</v>
      </c>
      <c r="M538" s="375">
        <v>1966841.6489299999</v>
      </c>
      <c r="N538" s="372">
        <v>0.69099999999999995</v>
      </c>
      <c r="O538" s="704">
        <v>23.483407860411969</v>
      </c>
      <c r="P538" s="375" t="s">
        <v>622</v>
      </c>
      <c r="Q538" s="375" t="s">
        <v>622</v>
      </c>
      <c r="R538" s="696">
        <v>20140519</v>
      </c>
      <c r="S538" s="375" t="s">
        <v>854</v>
      </c>
      <c r="T538" s="697">
        <v>0.23100000000000001</v>
      </c>
      <c r="U538" s="375" t="s">
        <v>4173</v>
      </c>
      <c r="V538" s="723">
        <v>5.9</v>
      </c>
      <c r="W538" s="723">
        <v>0.2</v>
      </c>
      <c r="X538" s="723">
        <v>0.67</v>
      </c>
      <c r="Y538" s="723">
        <v>3.64</v>
      </c>
      <c r="Z538" s="382">
        <v>-1.0413506361992564E-2</v>
      </c>
      <c r="AA538" s="372">
        <v>1543.8128631</v>
      </c>
      <c r="AB538" s="372">
        <v>1501.8776083</v>
      </c>
      <c r="AC538" s="372">
        <v>4349.9743999000002</v>
      </c>
      <c r="AD538" s="372">
        <v>4431.7361208000002</v>
      </c>
      <c r="AE538" s="372">
        <v>4040</v>
      </c>
      <c r="AF538" s="372">
        <v>4140</v>
      </c>
      <c r="AG538" s="372">
        <v>4250</v>
      </c>
      <c r="AH538" s="372">
        <v>0</v>
      </c>
    </row>
    <row r="539" spans="1:34">
      <c r="A539" s="372" t="s">
        <v>4174</v>
      </c>
      <c r="B539" s="373" t="s">
        <v>4175</v>
      </c>
      <c r="C539" s="372" t="s">
        <v>4176</v>
      </c>
      <c r="D539" s="374">
        <v>1801110044717</v>
      </c>
      <c r="E539" s="372" t="s">
        <v>4177</v>
      </c>
      <c r="F539" s="375" t="s">
        <v>1743</v>
      </c>
      <c r="G539" s="375" t="s">
        <v>1743</v>
      </c>
      <c r="H539" s="375" t="s">
        <v>846</v>
      </c>
      <c r="I539" s="375" t="s">
        <v>754</v>
      </c>
      <c r="J539" s="375">
        <v>1504452.1203600001</v>
      </c>
      <c r="K539" s="375">
        <v>37183.956850000002</v>
      </c>
      <c r="L539" s="375">
        <v>-1023.53892</v>
      </c>
      <c r="M539" s="375">
        <v>957940.55764999997</v>
      </c>
      <c r="N539" s="372">
        <v>0.56200000000000006</v>
      </c>
      <c r="O539" s="704">
        <v>213.1417251821122</v>
      </c>
      <c r="P539" s="375" t="s">
        <v>622</v>
      </c>
      <c r="Q539" s="372" t="s">
        <v>622</v>
      </c>
      <c r="R539" s="696">
        <v>19731115</v>
      </c>
      <c r="S539" s="375" t="s">
        <v>4178</v>
      </c>
      <c r="T539" s="697" t="s">
        <v>771</v>
      </c>
      <c r="U539" s="372" t="s">
        <v>4179</v>
      </c>
      <c r="V539" s="723">
        <v>18.899999999999999</v>
      </c>
      <c r="W539" s="723">
        <v>0.48</v>
      </c>
      <c r="X539" s="723">
        <v>0.18</v>
      </c>
      <c r="Y539" s="723" t="s">
        <v>773</v>
      </c>
      <c r="Z539" s="382" t="s">
        <v>927</v>
      </c>
      <c r="AA539" s="372">
        <v>3348.6462065999999</v>
      </c>
      <c r="AB539" s="372">
        <v>3904.7056389999998</v>
      </c>
      <c r="AC539" s="372">
        <v>3629.1103158999999</v>
      </c>
      <c r="AD539" s="372">
        <v>3796.3175436000001</v>
      </c>
      <c r="AE539" s="372">
        <v>0</v>
      </c>
      <c r="AF539" s="372">
        <v>0</v>
      </c>
      <c r="AG539" s="372">
        <v>0</v>
      </c>
      <c r="AH539" s="372">
        <v>0</v>
      </c>
    </row>
    <row r="540" spans="1:34">
      <c r="A540" s="372" t="s">
        <v>4180</v>
      </c>
      <c r="B540" s="373" t="s">
        <v>4181</v>
      </c>
      <c r="C540" s="372" t="s">
        <v>4182</v>
      </c>
      <c r="D540" s="374">
        <v>1101110034960</v>
      </c>
      <c r="E540" s="372" t="s">
        <v>4183</v>
      </c>
      <c r="F540" s="375" t="s">
        <v>4184</v>
      </c>
      <c r="G540" s="375" t="s">
        <v>4184</v>
      </c>
      <c r="H540" s="375" t="s">
        <v>753</v>
      </c>
      <c r="I540" s="375" t="s">
        <v>754</v>
      </c>
      <c r="J540" s="375">
        <v>353773.69997000002</v>
      </c>
      <c r="K540" s="375">
        <v>17503.70752</v>
      </c>
      <c r="L540" s="375">
        <v>60771.168680000002</v>
      </c>
      <c r="M540" s="375">
        <v>1026794.93459</v>
      </c>
      <c r="N540" s="372">
        <v>0.67</v>
      </c>
      <c r="O540" s="704">
        <v>3.9328503255250182</v>
      </c>
      <c r="P540" s="375" t="s">
        <v>622</v>
      </c>
      <c r="Q540" s="372" t="s">
        <v>622</v>
      </c>
      <c r="R540" s="696">
        <v>19961224</v>
      </c>
      <c r="S540" s="375" t="s">
        <v>4185</v>
      </c>
      <c r="T540" s="697">
        <v>0.23100000000000001</v>
      </c>
      <c r="U540" s="375" t="s">
        <v>4186</v>
      </c>
      <c r="V540" s="723">
        <v>13.01</v>
      </c>
      <c r="W540" s="723">
        <v>0.39</v>
      </c>
      <c r="X540" s="723">
        <v>1.18</v>
      </c>
      <c r="Y540" s="723">
        <v>8.69</v>
      </c>
      <c r="Z540" s="382" t="s">
        <v>927</v>
      </c>
      <c r="AA540" s="372">
        <v>3358.4627046999999</v>
      </c>
      <c r="AB540" s="372">
        <v>3218.8436904</v>
      </c>
      <c r="AC540" s="372">
        <v>3781.8682779999999</v>
      </c>
      <c r="AD540" s="372">
        <v>3958.2311525</v>
      </c>
      <c r="AE540" s="372">
        <v>0</v>
      </c>
      <c r="AF540" s="372">
        <v>0</v>
      </c>
      <c r="AG540" s="372">
        <v>0</v>
      </c>
      <c r="AH540" s="372">
        <v>0</v>
      </c>
    </row>
    <row r="541" spans="1:34">
      <c r="A541" s="372" t="s">
        <v>4187</v>
      </c>
      <c r="B541" s="373" t="s">
        <v>4188</v>
      </c>
      <c r="C541" s="372" t="s">
        <v>4189</v>
      </c>
      <c r="D541" s="374">
        <v>1101110345630</v>
      </c>
      <c r="E541" s="372" t="s">
        <v>4190</v>
      </c>
      <c r="F541" s="375" t="s">
        <v>4191</v>
      </c>
      <c r="G541" s="375" t="s">
        <v>4192</v>
      </c>
      <c r="H541" s="375" t="s">
        <v>968</v>
      </c>
      <c r="I541" s="375" t="s">
        <v>754</v>
      </c>
      <c r="J541" s="375">
        <v>379047.04256999999</v>
      </c>
      <c r="K541" s="375">
        <v>28368.597399999999</v>
      </c>
      <c r="L541" s="375">
        <v>66207.090719999993</v>
      </c>
      <c r="M541" s="375">
        <v>561943.04359999998</v>
      </c>
      <c r="N541" s="372">
        <v>0.57299999999999995</v>
      </c>
      <c r="O541" s="704">
        <v>1.2712795388139944</v>
      </c>
      <c r="P541" s="375" t="s">
        <v>622</v>
      </c>
      <c r="Q541" s="375" t="s">
        <v>622</v>
      </c>
      <c r="R541" s="696">
        <v>19961224</v>
      </c>
      <c r="S541" s="375" t="s">
        <v>4193</v>
      </c>
      <c r="T541" s="697">
        <v>0.23100000000000001</v>
      </c>
      <c r="U541" s="375" t="s">
        <v>4194</v>
      </c>
      <c r="V541" s="723">
        <v>12.56</v>
      </c>
      <c r="W541" s="723">
        <v>0.78</v>
      </c>
      <c r="X541" s="723">
        <v>1.29</v>
      </c>
      <c r="Y541" s="723">
        <v>9.08</v>
      </c>
      <c r="Z541" s="382" t="s">
        <v>927</v>
      </c>
      <c r="AA541" s="372">
        <v>2868.5262874999999</v>
      </c>
      <c r="AB541" s="372">
        <v>3265.0527950000001</v>
      </c>
      <c r="AC541" s="372">
        <v>3812.5113084</v>
      </c>
      <c r="AD541" s="372">
        <v>3629.0562501999998</v>
      </c>
      <c r="AE541" s="372">
        <v>0</v>
      </c>
      <c r="AF541" s="372">
        <v>0</v>
      </c>
      <c r="AG541" s="372">
        <v>0</v>
      </c>
      <c r="AH541" s="372">
        <v>0</v>
      </c>
    </row>
    <row r="542" spans="1:34">
      <c r="A542" s="372" t="s">
        <v>4195</v>
      </c>
      <c r="B542" s="373" t="s">
        <v>4196</v>
      </c>
      <c r="C542" s="372" t="s">
        <v>4197</v>
      </c>
      <c r="D542" s="374">
        <v>1752110014707</v>
      </c>
      <c r="E542" s="372" t="s">
        <v>4198</v>
      </c>
      <c r="F542" s="375" t="s">
        <v>845</v>
      </c>
      <c r="G542" s="375" t="s">
        <v>845</v>
      </c>
      <c r="H542" s="375" t="s">
        <v>846</v>
      </c>
      <c r="I542" s="375" t="s">
        <v>754</v>
      </c>
      <c r="J542" s="375">
        <v>294317.46065999998</v>
      </c>
      <c r="K542" s="375">
        <v>4410.1068299999997</v>
      </c>
      <c r="L542" s="375">
        <v>-36303.218480000003</v>
      </c>
      <c r="M542" s="375">
        <v>248274.94923</v>
      </c>
      <c r="N542" s="372">
        <v>0.78600000000000003</v>
      </c>
      <c r="O542" s="704">
        <v>33.418038800241327</v>
      </c>
      <c r="P542" s="375" t="s">
        <v>16115</v>
      </c>
      <c r="Q542" s="372" t="s">
        <v>16116</v>
      </c>
      <c r="R542" s="696">
        <v>20071101</v>
      </c>
      <c r="S542" s="372" t="s">
        <v>4199</v>
      </c>
      <c r="T542" s="697" t="s">
        <v>771</v>
      </c>
      <c r="U542" s="372" t="s">
        <v>4200</v>
      </c>
      <c r="V542" s="723">
        <v>55.86</v>
      </c>
      <c r="W542" s="723">
        <v>1.72</v>
      </c>
      <c r="X542" s="723">
        <v>1.19</v>
      </c>
      <c r="Y542" s="723" t="s">
        <v>773</v>
      </c>
      <c r="Z542" s="382" t="s">
        <v>927</v>
      </c>
      <c r="AA542" s="372">
        <v>1652.1484981999999</v>
      </c>
      <c r="AB542" s="372">
        <v>2224.3116488999999</v>
      </c>
      <c r="AC542" s="372">
        <v>2691.7449001</v>
      </c>
      <c r="AD542" s="372">
        <v>2796.0298744000002</v>
      </c>
      <c r="AE542" s="372">
        <v>0</v>
      </c>
      <c r="AF542" s="372">
        <v>0</v>
      </c>
      <c r="AG542" s="372">
        <v>0</v>
      </c>
      <c r="AH542" s="372">
        <v>0</v>
      </c>
    </row>
    <row r="543" spans="1:34">
      <c r="A543" s="372" t="s">
        <v>4201</v>
      </c>
      <c r="B543" s="373" t="s">
        <v>4202</v>
      </c>
      <c r="C543" s="372" t="s">
        <v>4203</v>
      </c>
      <c r="D543" s="374">
        <v>1101111957195</v>
      </c>
      <c r="E543" s="372" t="s">
        <v>4204</v>
      </c>
      <c r="F543" s="375" t="s">
        <v>1764</v>
      </c>
      <c r="G543" s="375" t="s">
        <v>2238</v>
      </c>
      <c r="H543" s="375" t="s">
        <v>861</v>
      </c>
      <c r="I543" s="375" t="s">
        <v>862</v>
      </c>
      <c r="J543" s="375">
        <v>612939.36438000004</v>
      </c>
      <c r="K543" s="375">
        <v>48564.475729999998</v>
      </c>
      <c r="L543" s="375">
        <v>7334.22541</v>
      </c>
      <c r="M543" s="375">
        <v>397804.55557999999</v>
      </c>
      <c r="N543" s="372">
        <v>1.2350000000000001</v>
      </c>
      <c r="O543" s="704">
        <v>95.511590219360002</v>
      </c>
      <c r="P543" s="375" t="s">
        <v>622</v>
      </c>
      <c r="Q543" s="375" t="s">
        <v>622</v>
      </c>
      <c r="R543" s="696">
        <v>20090528</v>
      </c>
      <c r="S543" s="375" t="s">
        <v>4205</v>
      </c>
      <c r="T543" s="697">
        <v>0.20900000000000002</v>
      </c>
      <c r="U543" s="375" t="s">
        <v>4206</v>
      </c>
      <c r="V543" s="723">
        <v>5.27</v>
      </c>
      <c r="W543" s="723">
        <v>0.82</v>
      </c>
      <c r="X543" s="723">
        <v>0.52</v>
      </c>
      <c r="Y543" s="723">
        <v>171.72</v>
      </c>
      <c r="Z543" s="382" t="s">
        <v>927</v>
      </c>
      <c r="AA543" s="372">
        <v>4866.0722266000002</v>
      </c>
      <c r="AB543" s="372">
        <v>5217.9572252999997</v>
      </c>
      <c r="AC543" s="372">
        <v>6802.0698085000004</v>
      </c>
      <c r="AD543" s="372">
        <v>5747.6236732999996</v>
      </c>
      <c r="AE543" s="372">
        <v>0</v>
      </c>
      <c r="AF543" s="372">
        <v>0</v>
      </c>
      <c r="AG543" s="372">
        <v>0</v>
      </c>
      <c r="AH543" s="372">
        <v>0</v>
      </c>
    </row>
    <row r="544" spans="1:34">
      <c r="A544" s="372" t="s">
        <v>4207</v>
      </c>
      <c r="B544" s="373" t="s">
        <v>4208</v>
      </c>
      <c r="C544" s="372" t="s">
        <v>4209</v>
      </c>
      <c r="D544" s="374">
        <v>1311110046291</v>
      </c>
      <c r="E544" s="372" t="s">
        <v>4210</v>
      </c>
      <c r="F544" s="375" t="s">
        <v>769</v>
      </c>
      <c r="G544" s="375" t="s">
        <v>769</v>
      </c>
      <c r="H544" s="375" t="s">
        <v>861</v>
      </c>
      <c r="I544" s="375" t="s">
        <v>862</v>
      </c>
      <c r="J544" s="375">
        <v>459670.61358</v>
      </c>
      <c r="K544" s="375">
        <v>-11623.70968</v>
      </c>
      <c r="L544" s="375">
        <v>-26475.874339999998</v>
      </c>
      <c r="M544" s="375">
        <v>358955.53295000002</v>
      </c>
      <c r="N544" s="372">
        <v>1.222</v>
      </c>
      <c r="O544" s="704">
        <v>170.9756831549112</v>
      </c>
      <c r="P544" s="375" t="s">
        <v>622</v>
      </c>
      <c r="Q544" s="375" t="s">
        <v>622</v>
      </c>
      <c r="R544" s="696">
        <v>20110131</v>
      </c>
      <c r="S544" s="375" t="s">
        <v>4211</v>
      </c>
      <c r="T544" s="697" t="s">
        <v>771</v>
      </c>
      <c r="U544" s="375" t="s">
        <v>4212</v>
      </c>
      <c r="V544" s="723">
        <v>6.96</v>
      </c>
      <c r="W544" s="723">
        <v>0.77</v>
      </c>
      <c r="X544" s="723">
        <v>0.41</v>
      </c>
      <c r="Y544" s="723" t="s">
        <v>773</v>
      </c>
      <c r="Z544" s="382">
        <v>8.1165540638253653E-2</v>
      </c>
      <c r="AA544" s="372">
        <v>4427.9006264</v>
      </c>
      <c r="AB544" s="372">
        <v>4962.3697344000002</v>
      </c>
      <c r="AC544" s="372">
        <v>5246.0533396999999</v>
      </c>
      <c r="AD544" s="372">
        <v>4168.7053503999996</v>
      </c>
      <c r="AE544" s="372">
        <v>4518</v>
      </c>
      <c r="AF544" s="372">
        <v>5020</v>
      </c>
      <c r="AG544" s="372">
        <v>5696</v>
      </c>
      <c r="AH544" s="372">
        <v>0</v>
      </c>
    </row>
    <row r="545" spans="1:34">
      <c r="A545" s="372" t="s">
        <v>4213</v>
      </c>
      <c r="B545" s="373" t="s">
        <v>4214</v>
      </c>
      <c r="C545" s="372" t="s">
        <v>4215</v>
      </c>
      <c r="D545" s="374">
        <v>1801110605121</v>
      </c>
      <c r="E545" s="372" t="s">
        <v>4216</v>
      </c>
      <c r="F545" s="375" t="s">
        <v>1089</v>
      </c>
      <c r="G545" s="375" t="s">
        <v>1089</v>
      </c>
      <c r="H545" s="375" t="s">
        <v>909</v>
      </c>
      <c r="I545" s="375" t="s">
        <v>754</v>
      </c>
      <c r="J545" s="375">
        <v>1006430.33235</v>
      </c>
      <c r="K545" s="375">
        <v>161274.50294000001</v>
      </c>
      <c r="L545" s="375">
        <v>123846.48282</v>
      </c>
      <c r="M545" s="375">
        <v>202360.69592</v>
      </c>
      <c r="N545" s="372">
        <v>0.748</v>
      </c>
      <c r="O545" s="704">
        <v>240.46762012934155</v>
      </c>
      <c r="P545" s="375" t="s">
        <v>622</v>
      </c>
      <c r="Q545" s="375" t="s">
        <v>622</v>
      </c>
      <c r="R545" s="696">
        <v>20181227</v>
      </c>
      <c r="S545" s="375" t="s">
        <v>4217</v>
      </c>
      <c r="T545" s="697">
        <v>0.23100000000000001</v>
      </c>
      <c r="U545" s="375" t="s">
        <v>4218</v>
      </c>
      <c r="V545" s="723">
        <v>0</v>
      </c>
      <c r="W545" s="723">
        <v>0</v>
      </c>
      <c r="X545" s="723">
        <v>0</v>
      </c>
      <c r="Y545" s="723">
        <v>0</v>
      </c>
      <c r="Z545" s="382" t="s">
        <v>927</v>
      </c>
      <c r="AA545" s="372">
        <v>1899.1786836000001</v>
      </c>
      <c r="AB545" s="372">
        <v>1765.0176226999999</v>
      </c>
      <c r="AC545" s="372">
        <v>4049.9292013999998</v>
      </c>
      <c r="AD545" s="372">
        <v>8904.4034859999992</v>
      </c>
      <c r="AE545" s="372">
        <v>0</v>
      </c>
      <c r="AF545" s="372">
        <v>0</v>
      </c>
      <c r="AG545" s="372">
        <v>0</v>
      </c>
      <c r="AH545" s="372">
        <v>0</v>
      </c>
    </row>
    <row r="546" spans="1:34">
      <c r="A546" s="372" t="s">
        <v>4219</v>
      </c>
      <c r="B546" s="373" t="s">
        <v>4220</v>
      </c>
      <c r="C546" s="372" t="s">
        <v>4221</v>
      </c>
      <c r="D546" s="374">
        <v>1101110362808</v>
      </c>
      <c r="E546" s="372" t="s">
        <v>4222</v>
      </c>
      <c r="F546" s="372" t="s">
        <v>4223</v>
      </c>
      <c r="G546" s="375" t="s">
        <v>4224</v>
      </c>
      <c r="H546" s="375" t="s">
        <v>1337</v>
      </c>
      <c r="I546" s="375" t="s">
        <v>862</v>
      </c>
      <c r="J546" s="375">
        <v>101498.95219</v>
      </c>
      <c r="K546" s="375">
        <v>31461.571179999999</v>
      </c>
      <c r="L546" s="375">
        <v>35057.637549999999</v>
      </c>
      <c r="M546" s="375">
        <v>125589.88656</v>
      </c>
      <c r="N546" s="372">
        <v>0.50700000000000001</v>
      </c>
      <c r="O546" s="704">
        <v>0.52768411678789684</v>
      </c>
      <c r="P546" s="375" t="s">
        <v>622</v>
      </c>
      <c r="Q546" s="375" t="s">
        <v>622</v>
      </c>
      <c r="R546" s="696">
        <v>20020205</v>
      </c>
      <c r="S546" s="375" t="s">
        <v>4225</v>
      </c>
      <c r="T546" s="697">
        <v>0.23100000000000001</v>
      </c>
      <c r="U546" s="375" t="s">
        <v>4226</v>
      </c>
      <c r="V546" s="723">
        <v>11.26</v>
      </c>
      <c r="W546" s="723">
        <v>3.45</v>
      </c>
      <c r="X546" s="723">
        <v>3.83</v>
      </c>
      <c r="Y546" s="723">
        <v>16.059999999999999</v>
      </c>
      <c r="Z546" s="382" t="s">
        <v>927</v>
      </c>
      <c r="AA546" s="372">
        <v>958.84738630000004</v>
      </c>
      <c r="AB546" s="372">
        <v>1045.1967228000001</v>
      </c>
      <c r="AC546" s="372">
        <v>1015.7601842</v>
      </c>
      <c r="AD546" s="372">
        <v>955.94059679999998</v>
      </c>
      <c r="AE546" s="372">
        <v>0</v>
      </c>
      <c r="AF546" s="372">
        <v>0</v>
      </c>
      <c r="AG546" s="372">
        <v>0</v>
      </c>
      <c r="AH546" s="372">
        <v>0</v>
      </c>
    </row>
    <row r="547" spans="1:34">
      <c r="A547" s="372" t="s">
        <v>4227</v>
      </c>
      <c r="B547" s="373" t="s">
        <v>4228</v>
      </c>
      <c r="C547" s="372" t="s">
        <v>4229</v>
      </c>
      <c r="D547" s="374">
        <v>1101111271834</v>
      </c>
      <c r="E547" s="372" t="s">
        <v>4230</v>
      </c>
      <c r="F547" s="372" t="s">
        <v>2124</v>
      </c>
      <c r="G547" s="375" t="s">
        <v>4231</v>
      </c>
      <c r="H547" s="375" t="s">
        <v>861</v>
      </c>
      <c r="I547" s="375" t="s">
        <v>862</v>
      </c>
      <c r="J547" s="375">
        <v>191303.91828000001</v>
      </c>
      <c r="K547" s="375">
        <v>35978.508249999999</v>
      </c>
      <c r="L547" s="375">
        <v>40787.835579999999</v>
      </c>
      <c r="M547" s="375">
        <v>270374.48666</v>
      </c>
      <c r="N547" s="372">
        <v>0.625</v>
      </c>
      <c r="O547" s="704">
        <v>2.3963997755079456</v>
      </c>
      <c r="P547" s="375" t="s">
        <v>622</v>
      </c>
      <c r="Q547" s="375" t="s">
        <v>622</v>
      </c>
      <c r="R547" s="696">
        <v>20001212</v>
      </c>
      <c r="S547" s="375" t="s">
        <v>4232</v>
      </c>
      <c r="T547" s="697">
        <v>0.23100000000000001</v>
      </c>
      <c r="U547" s="375" t="s">
        <v>4233</v>
      </c>
      <c r="V547" s="723">
        <v>7.93</v>
      </c>
      <c r="W547" s="723">
        <v>1.2</v>
      </c>
      <c r="X547" s="723">
        <v>1.77</v>
      </c>
      <c r="Y547" s="723">
        <v>10.65</v>
      </c>
      <c r="Z547" s="382">
        <v>9.6330724150069269E-2</v>
      </c>
      <c r="AA547" s="372">
        <v>1071.2205368</v>
      </c>
      <c r="AB547" s="372">
        <v>1378.3696199000001</v>
      </c>
      <c r="AC547" s="372">
        <v>1600.0377409</v>
      </c>
      <c r="AD547" s="372">
        <v>1703.5122973</v>
      </c>
      <c r="AE547" s="372">
        <v>1980</v>
      </c>
      <c r="AF547" s="372">
        <v>2186</v>
      </c>
      <c r="AG547" s="372">
        <v>2461</v>
      </c>
      <c r="AH547" s="372">
        <v>0</v>
      </c>
    </row>
    <row r="548" spans="1:34">
      <c r="A548" s="372" t="s">
        <v>4234</v>
      </c>
      <c r="B548" s="373" t="s">
        <v>4235</v>
      </c>
      <c r="C548" s="372" t="s">
        <v>4236</v>
      </c>
      <c r="D548" s="374">
        <v>1101114071207</v>
      </c>
      <c r="E548" s="372" t="s">
        <v>4237</v>
      </c>
      <c r="F548" s="375" t="s">
        <v>4238</v>
      </c>
      <c r="G548" s="375" t="s">
        <v>4238</v>
      </c>
      <c r="H548" s="375" t="s">
        <v>826</v>
      </c>
      <c r="I548" s="375" t="s">
        <v>754</v>
      </c>
      <c r="J548" s="375">
        <v>3564172</v>
      </c>
      <c r="K548" s="375">
        <v>101422</v>
      </c>
      <c r="L548" s="375">
        <v>64292</v>
      </c>
      <c r="M548" s="375">
        <v>878291</v>
      </c>
      <c r="N548" s="372">
        <v>0.92</v>
      </c>
      <c r="O548" s="704">
        <v>237.51718768013629</v>
      </c>
      <c r="P548" s="375" t="s">
        <v>622</v>
      </c>
      <c r="Q548" s="372" t="s">
        <v>622</v>
      </c>
      <c r="R548" s="696">
        <v>20090420</v>
      </c>
      <c r="S548" s="372" t="s">
        <v>4239</v>
      </c>
      <c r="T548" s="697">
        <v>0.23100000000000001</v>
      </c>
      <c r="U548" s="372" t="s">
        <v>4240</v>
      </c>
      <c r="V548" s="723">
        <v>3.94</v>
      </c>
      <c r="W548" s="723">
        <v>0.45</v>
      </c>
      <c r="X548" s="723">
        <v>0.11</v>
      </c>
      <c r="Y548" s="723">
        <v>7.26</v>
      </c>
      <c r="Z548" s="382">
        <v>3.8706907576291361E-3</v>
      </c>
      <c r="AA548" s="372">
        <v>30380.37</v>
      </c>
      <c r="AB548" s="372">
        <v>34597.919999999998</v>
      </c>
      <c r="AC548" s="372">
        <v>36111.51</v>
      </c>
      <c r="AD548" s="372">
        <v>35258.07</v>
      </c>
      <c r="AE548" s="372">
        <v>35297.86</v>
      </c>
      <c r="AF548" s="372">
        <v>35129.43</v>
      </c>
      <c r="AG548" s="372">
        <v>35807.14</v>
      </c>
      <c r="AH548" s="372">
        <v>0</v>
      </c>
    </row>
    <row r="549" spans="1:34">
      <c r="A549" s="372" t="s">
        <v>4241</v>
      </c>
      <c r="B549" s="373" t="s">
        <v>4242</v>
      </c>
      <c r="C549" s="372" t="s">
        <v>4243</v>
      </c>
      <c r="D549" s="374">
        <v>1701110290867</v>
      </c>
      <c r="E549" s="372" t="s">
        <v>4244</v>
      </c>
      <c r="F549" s="372" t="s">
        <v>4245</v>
      </c>
      <c r="G549" s="375" t="s">
        <v>4245</v>
      </c>
      <c r="H549" s="375" t="s">
        <v>968</v>
      </c>
      <c r="I549" s="375" t="s">
        <v>754</v>
      </c>
      <c r="J549" s="375">
        <v>111138.81432</v>
      </c>
      <c r="K549" s="375">
        <v>1919.9949799999999</v>
      </c>
      <c r="L549" s="375">
        <v>-12958.717930000001</v>
      </c>
      <c r="M549" s="375">
        <v>229597.17920000001</v>
      </c>
      <c r="N549" s="372">
        <v>0.49299999999999999</v>
      </c>
      <c r="O549" s="704">
        <v>58.538382791935192</v>
      </c>
      <c r="P549" s="375" t="s">
        <v>622</v>
      </c>
      <c r="Q549" s="372" t="s">
        <v>622</v>
      </c>
      <c r="R549" s="696">
        <v>20050726</v>
      </c>
      <c r="S549" s="372" t="s">
        <v>4246</v>
      </c>
      <c r="T549" s="697" t="s">
        <v>771</v>
      </c>
      <c r="U549" s="372" t="s">
        <v>4247</v>
      </c>
      <c r="V549" s="723">
        <v>0</v>
      </c>
      <c r="W549" s="723">
        <v>0</v>
      </c>
      <c r="X549" s="723">
        <v>0</v>
      </c>
      <c r="Y549" s="723">
        <v>0</v>
      </c>
      <c r="Z549" s="382" t="s">
        <v>927</v>
      </c>
      <c r="AA549" s="372">
        <v>1314.8380456</v>
      </c>
      <c r="AB549" s="372">
        <v>1257.7755460999999</v>
      </c>
      <c r="AC549" s="372">
        <v>1264.6196293999999</v>
      </c>
      <c r="AD549" s="372">
        <v>1152.7572496</v>
      </c>
      <c r="AE549" s="372">
        <v>0</v>
      </c>
      <c r="AF549" s="372">
        <v>0</v>
      </c>
      <c r="AG549" s="372">
        <v>0</v>
      </c>
      <c r="AH549" s="372">
        <v>0</v>
      </c>
    </row>
    <row r="550" spans="1:34">
      <c r="A550" s="372" t="s">
        <v>4248</v>
      </c>
      <c r="B550" s="373" t="s">
        <v>4249</v>
      </c>
      <c r="C550" s="372" t="s">
        <v>4250</v>
      </c>
      <c r="D550" s="374">
        <v>1101110003709</v>
      </c>
      <c r="E550" s="372" t="s">
        <v>4251</v>
      </c>
      <c r="F550" s="375" t="s">
        <v>4252</v>
      </c>
      <c r="G550" s="375" t="s">
        <v>4253</v>
      </c>
      <c r="H550" s="375" t="s">
        <v>826</v>
      </c>
      <c r="I550" s="375" t="s">
        <v>754</v>
      </c>
      <c r="J550" s="375">
        <v>236738.24952000001</v>
      </c>
      <c r="K550" s="375">
        <v>7351.8894700000001</v>
      </c>
      <c r="L550" s="375">
        <v>-890.68411000000003</v>
      </c>
      <c r="M550" s="375">
        <v>213940.23555000001</v>
      </c>
      <c r="N550" s="372">
        <v>0.65900000000000003</v>
      </c>
      <c r="O550" s="704">
        <v>39.484232409637841</v>
      </c>
      <c r="P550" s="375" t="s">
        <v>622</v>
      </c>
      <c r="Q550" s="375" t="s">
        <v>622</v>
      </c>
      <c r="R550" s="696">
        <v>19760610</v>
      </c>
      <c r="S550" s="375" t="s">
        <v>4254</v>
      </c>
      <c r="T550" s="697" t="s">
        <v>771</v>
      </c>
      <c r="U550" s="375" t="s">
        <v>4255</v>
      </c>
      <c r="V550" s="723">
        <v>19.71</v>
      </c>
      <c r="W550" s="723">
        <v>1.85</v>
      </c>
      <c r="X550" s="723">
        <v>1.68</v>
      </c>
      <c r="Y550" s="723" t="s">
        <v>773</v>
      </c>
      <c r="Z550" s="382" t="s">
        <v>927</v>
      </c>
      <c r="AA550" s="372">
        <v>1713.2454898999999</v>
      </c>
      <c r="AB550" s="372">
        <v>1911.1772851000001</v>
      </c>
      <c r="AC550" s="372">
        <v>2327.2514682000001</v>
      </c>
      <c r="AD550" s="372">
        <v>2335.2188817000001</v>
      </c>
      <c r="AE550" s="372">
        <v>0</v>
      </c>
      <c r="AF550" s="372">
        <v>0</v>
      </c>
      <c r="AG550" s="372">
        <v>0</v>
      </c>
      <c r="AH550" s="372">
        <v>0</v>
      </c>
    </row>
    <row r="551" spans="1:34">
      <c r="A551" s="372" t="s">
        <v>4256</v>
      </c>
      <c r="B551" s="373" t="s">
        <v>4257</v>
      </c>
      <c r="C551" s="372" t="s">
        <v>4258</v>
      </c>
      <c r="D551" s="374">
        <v>1101111670044</v>
      </c>
      <c r="E551" s="372" t="s">
        <v>4259</v>
      </c>
      <c r="F551" s="372" t="s">
        <v>2426</v>
      </c>
      <c r="G551" s="375" t="s">
        <v>2427</v>
      </c>
      <c r="H551" s="375" t="s">
        <v>861</v>
      </c>
      <c r="I551" s="375" t="s">
        <v>862</v>
      </c>
      <c r="J551" s="375">
        <v>32036.612000000001</v>
      </c>
      <c r="K551" s="375">
        <v>-2777.6239999999998</v>
      </c>
      <c r="L551" s="375">
        <v>-5907.2169299999996</v>
      </c>
      <c r="M551" s="375">
        <v>94058.642680000004</v>
      </c>
      <c r="N551" s="372">
        <v>1.161</v>
      </c>
      <c r="O551" s="704">
        <v>1.1898946442603209</v>
      </c>
      <c r="P551" s="375" t="s">
        <v>622</v>
      </c>
      <c r="Q551" s="375" t="s">
        <v>622</v>
      </c>
      <c r="R551" s="696">
        <v>20181026</v>
      </c>
      <c r="S551" s="375" t="s">
        <v>4260</v>
      </c>
      <c r="T551" s="697" t="s">
        <v>771</v>
      </c>
      <c r="U551" s="375" t="s">
        <v>4261</v>
      </c>
      <c r="V551" s="723" t="s">
        <v>773</v>
      </c>
      <c r="W551" s="723">
        <v>2.6</v>
      </c>
      <c r="X551" s="723">
        <v>7.98</v>
      </c>
      <c r="Y551" s="723" t="s">
        <v>773</v>
      </c>
      <c r="Z551" s="382">
        <v>0.187899009539783</v>
      </c>
      <c r="AA551" s="372">
        <v>192.31375420000001</v>
      </c>
      <c r="AB551" s="372">
        <v>223.5819324</v>
      </c>
      <c r="AC551" s="372">
        <v>258.56449320000002</v>
      </c>
      <c r="AD551" s="372">
        <v>291.27949480000001</v>
      </c>
      <c r="AE551" s="372">
        <v>333.5</v>
      </c>
      <c r="AF551" s="372">
        <v>469.5</v>
      </c>
      <c r="AG551" s="372">
        <v>580</v>
      </c>
      <c r="AH551" s="372">
        <v>850</v>
      </c>
    </row>
    <row r="552" spans="1:34">
      <c r="A552" s="372" t="s">
        <v>4262</v>
      </c>
      <c r="B552" s="373" t="s">
        <v>4263</v>
      </c>
      <c r="C552" s="372" t="s">
        <v>4264</v>
      </c>
      <c r="D552" s="374">
        <v>1101110842785</v>
      </c>
      <c r="E552" s="372" t="s">
        <v>4265</v>
      </c>
      <c r="F552" s="375" t="s">
        <v>4266</v>
      </c>
      <c r="G552" s="375" t="s">
        <v>4267</v>
      </c>
      <c r="H552" s="375" t="s">
        <v>991</v>
      </c>
      <c r="I552" s="375" t="s">
        <v>754</v>
      </c>
      <c r="J552" s="375">
        <v>198361.02419</v>
      </c>
      <c r="K552" s="375">
        <v>5090.6585599999999</v>
      </c>
      <c r="L552" s="375">
        <v>6214.8574399999998</v>
      </c>
      <c r="M552" s="375">
        <v>842387.45993000001</v>
      </c>
      <c r="N552" s="372">
        <v>0.44600000000000001</v>
      </c>
      <c r="O552" s="704">
        <v>8.3932217099719288</v>
      </c>
      <c r="P552" s="375" t="s">
        <v>622</v>
      </c>
      <c r="Q552" s="372" t="s">
        <v>622</v>
      </c>
      <c r="R552" s="696">
        <v>20101223</v>
      </c>
      <c r="S552" s="372" t="s">
        <v>4268</v>
      </c>
      <c r="T552" s="697">
        <v>0.20900000000000002</v>
      </c>
      <c r="U552" s="372" t="s">
        <v>4269</v>
      </c>
      <c r="V552" s="723">
        <v>29.66</v>
      </c>
      <c r="W552" s="723">
        <v>0.67</v>
      </c>
      <c r="X552" s="723">
        <v>2.5</v>
      </c>
      <c r="Y552" s="723" t="s">
        <v>773</v>
      </c>
      <c r="Z552" s="382" t="s">
        <v>927</v>
      </c>
      <c r="AA552" s="372">
        <v>395.7915069</v>
      </c>
      <c r="AB552" s="372">
        <v>1367.0071914</v>
      </c>
      <c r="AC552" s="372">
        <v>1542.1323504</v>
      </c>
      <c r="AD552" s="372">
        <v>1686.1498987</v>
      </c>
      <c r="AE552" s="372">
        <v>0</v>
      </c>
      <c r="AF552" s="372">
        <v>0</v>
      </c>
      <c r="AG552" s="372">
        <v>0</v>
      </c>
      <c r="AH552" s="372">
        <v>0</v>
      </c>
    </row>
    <row r="553" spans="1:34">
      <c r="A553" s="372" t="s">
        <v>4270</v>
      </c>
      <c r="B553" s="373" t="s">
        <v>4271</v>
      </c>
      <c r="C553" s="372" t="s">
        <v>4272</v>
      </c>
      <c r="D553" s="374">
        <v>1101111602667</v>
      </c>
      <c r="E553" s="372" t="s">
        <v>4273</v>
      </c>
      <c r="F553" s="375" t="s">
        <v>1796</v>
      </c>
      <c r="G553" s="375" t="s">
        <v>2797</v>
      </c>
      <c r="H553" s="375" t="s">
        <v>861</v>
      </c>
      <c r="I553" s="375" t="s">
        <v>862</v>
      </c>
      <c r="J553" s="375">
        <v>1407164.3347199999</v>
      </c>
      <c r="K553" s="375">
        <v>79801.936820000003</v>
      </c>
      <c r="L553" s="375">
        <v>89300.32243</v>
      </c>
      <c r="M553" s="375">
        <v>687429.87892000005</v>
      </c>
      <c r="N553" s="372">
        <v>0.76300000000000001</v>
      </c>
      <c r="O553" s="704">
        <v>157.52491488435476</v>
      </c>
      <c r="P553" s="375" t="s">
        <v>622</v>
      </c>
      <c r="Q553" s="375" t="s">
        <v>622</v>
      </c>
      <c r="R553" s="696">
        <v>20021120</v>
      </c>
      <c r="S553" s="375" t="s">
        <v>4274</v>
      </c>
      <c r="T553" s="697">
        <v>0.23100000000000001</v>
      </c>
      <c r="U553" s="375" t="s">
        <v>4275</v>
      </c>
      <c r="V553" s="723">
        <v>5.66</v>
      </c>
      <c r="W553" s="723">
        <v>0.55000000000000004</v>
      </c>
      <c r="X553" s="723">
        <v>0.19</v>
      </c>
      <c r="Y553" s="723">
        <v>4.95</v>
      </c>
      <c r="Z553" s="382">
        <v>2.7672427085045248E-2</v>
      </c>
      <c r="AA553" s="372">
        <v>8101.5451432</v>
      </c>
      <c r="AB553" s="372">
        <v>10119.745541800001</v>
      </c>
      <c r="AC553" s="372">
        <v>11776.2455273</v>
      </c>
      <c r="AD553" s="372">
        <v>13447.9185318</v>
      </c>
      <c r="AE553" s="372">
        <v>14012.2</v>
      </c>
      <c r="AF553" s="372">
        <v>14249</v>
      </c>
      <c r="AG553" s="372">
        <v>14999.4</v>
      </c>
      <c r="AH553" s="372">
        <v>0</v>
      </c>
    </row>
    <row r="554" spans="1:34">
      <c r="A554" s="372" t="s">
        <v>4276</v>
      </c>
      <c r="B554" s="373" t="s">
        <v>4277</v>
      </c>
      <c r="C554" s="372" t="s">
        <v>4278</v>
      </c>
      <c r="D554" s="374">
        <v>1341110618279</v>
      </c>
      <c r="E554" s="372" t="s">
        <v>4279</v>
      </c>
      <c r="F554" s="375" t="s">
        <v>1276</v>
      </c>
      <c r="G554" s="375" t="s">
        <v>1452</v>
      </c>
      <c r="H554" s="375" t="s">
        <v>861</v>
      </c>
      <c r="I554" s="375" t="s">
        <v>862</v>
      </c>
      <c r="J554" s="375">
        <v>382294.00170000002</v>
      </c>
      <c r="K554" s="375">
        <v>4736.3589099999999</v>
      </c>
      <c r="L554" s="375">
        <v>-12085.096030000001</v>
      </c>
      <c r="M554" s="375">
        <v>162938.66183999999</v>
      </c>
      <c r="N554" s="372">
        <v>0.80400000000000005</v>
      </c>
      <c r="O554" s="704">
        <v>48.027293692404335</v>
      </c>
      <c r="P554" s="375" t="s">
        <v>622</v>
      </c>
      <c r="Q554" s="375" t="s">
        <v>622</v>
      </c>
      <c r="R554" s="696">
        <v>20221007</v>
      </c>
      <c r="S554" s="375" t="s">
        <v>4280</v>
      </c>
      <c r="T554" s="697" t="s">
        <v>771</v>
      </c>
      <c r="U554" s="375" t="s">
        <v>4281</v>
      </c>
      <c r="V554" s="723">
        <v>18.690000000000001</v>
      </c>
      <c r="W554" s="723">
        <v>1.59</v>
      </c>
      <c r="X554" s="723">
        <v>0.59</v>
      </c>
      <c r="Y554" s="723" t="s">
        <v>773</v>
      </c>
      <c r="Z554" s="382">
        <v>0.11643194664524303</v>
      </c>
      <c r="AA554" s="372">
        <v>0</v>
      </c>
      <c r="AB554" s="372">
        <v>0</v>
      </c>
      <c r="AC554" s="372">
        <v>1163.7275523999999</v>
      </c>
      <c r="AD554" s="372">
        <v>3800.2951514000001</v>
      </c>
      <c r="AE554" s="372">
        <v>4347</v>
      </c>
      <c r="AF554" s="372">
        <v>5423.67</v>
      </c>
      <c r="AG554" s="372">
        <v>5904</v>
      </c>
      <c r="AH554" s="372">
        <v>0</v>
      </c>
    </row>
    <row r="555" spans="1:34">
      <c r="A555" s="372" t="s">
        <v>4282</v>
      </c>
      <c r="B555" s="373" t="s">
        <v>4283</v>
      </c>
      <c r="C555" s="372" t="s">
        <v>4284</v>
      </c>
      <c r="D555" s="374">
        <v>1101110079817</v>
      </c>
      <c r="E555" s="372" t="s">
        <v>4285</v>
      </c>
      <c r="F555" s="375" t="s">
        <v>4286</v>
      </c>
      <c r="G555" s="375" t="s">
        <v>4286</v>
      </c>
      <c r="H555" s="375" t="s">
        <v>946</v>
      </c>
      <c r="I555" s="375" t="s">
        <v>754</v>
      </c>
      <c r="J555" s="375">
        <v>2382422.1639299998</v>
      </c>
      <c r="K555" s="375">
        <v>176653.62961999999</v>
      </c>
      <c r="L555" s="375">
        <v>74871.034419999996</v>
      </c>
      <c r="M555" s="375">
        <v>918519.50060999999</v>
      </c>
      <c r="N555" s="372">
        <v>0.70099999999999996</v>
      </c>
      <c r="O555" s="704">
        <v>484.06194799945393</v>
      </c>
      <c r="P555" s="375" t="s">
        <v>622</v>
      </c>
      <c r="Q555" s="375" t="s">
        <v>622</v>
      </c>
      <c r="R555" s="696">
        <v>19930106</v>
      </c>
      <c r="S555" s="375" t="s">
        <v>4287</v>
      </c>
      <c r="T555" s="697">
        <v>0.23100000000000001</v>
      </c>
      <c r="U555" s="375" t="s">
        <v>4288</v>
      </c>
      <c r="V555" s="723">
        <v>6.39</v>
      </c>
      <c r="W555" s="723">
        <v>0.53</v>
      </c>
      <c r="X555" s="723">
        <v>0.17</v>
      </c>
      <c r="Y555" s="723">
        <v>4.66</v>
      </c>
      <c r="Z555" s="382">
        <v>-2.9080841744721253E-2</v>
      </c>
      <c r="AA555" s="372">
        <v>1065.4836657999999</v>
      </c>
      <c r="AB555" s="372">
        <v>18983.868095999998</v>
      </c>
      <c r="AC555" s="372">
        <v>28233.3406583</v>
      </c>
      <c r="AD555" s="372">
        <v>30240.5163522</v>
      </c>
      <c r="AE555" s="372">
        <v>23820.880000000001</v>
      </c>
      <c r="AF555" s="372">
        <v>25840.5</v>
      </c>
      <c r="AG555" s="372">
        <v>26873.33</v>
      </c>
      <c r="AH555" s="372">
        <v>28180</v>
      </c>
    </row>
    <row r="556" spans="1:34">
      <c r="A556" s="372" t="s">
        <v>4289</v>
      </c>
      <c r="B556" s="373" t="s">
        <v>4290</v>
      </c>
      <c r="C556" s="372" t="s">
        <v>4291</v>
      </c>
      <c r="D556" s="374">
        <v>1601110005177</v>
      </c>
      <c r="E556" s="372" t="s">
        <v>4292</v>
      </c>
      <c r="F556" s="375" t="s">
        <v>16101</v>
      </c>
      <c r="G556" s="375" t="s">
        <v>16101</v>
      </c>
      <c r="H556" s="375" t="s">
        <v>784</v>
      </c>
      <c r="I556" s="375" t="s">
        <v>754</v>
      </c>
      <c r="J556" s="375">
        <v>56589.908900000002</v>
      </c>
      <c r="K556" s="375">
        <v>1406.84663</v>
      </c>
      <c r="L556" s="375">
        <v>4564.4051600000003</v>
      </c>
      <c r="M556" s="375">
        <v>82566.344070000006</v>
      </c>
      <c r="N556" s="372">
        <v>1.07</v>
      </c>
      <c r="O556" s="704">
        <v>0.20237950486109191</v>
      </c>
      <c r="P556" s="375" t="s">
        <v>622</v>
      </c>
      <c r="Q556" s="375" t="s">
        <v>622</v>
      </c>
      <c r="R556" s="696">
        <v>19880520</v>
      </c>
      <c r="S556" s="375" t="s">
        <v>4293</v>
      </c>
      <c r="T556" s="697">
        <v>0.20900000000000002</v>
      </c>
      <c r="U556" s="375" t="s">
        <v>4294</v>
      </c>
      <c r="V556" s="723">
        <v>0</v>
      </c>
      <c r="W556" s="723">
        <v>0</v>
      </c>
      <c r="X556" s="723">
        <v>0</v>
      </c>
      <c r="Y556" s="723">
        <v>0</v>
      </c>
      <c r="Z556" s="382" t="s">
        <v>927</v>
      </c>
      <c r="AA556" s="372">
        <v>377.52047599999997</v>
      </c>
      <c r="AB556" s="372">
        <v>518.11620500000004</v>
      </c>
      <c r="AC556" s="372">
        <v>601.81806970000002</v>
      </c>
      <c r="AD556" s="372">
        <v>562.27378920000001</v>
      </c>
      <c r="AE556" s="372">
        <v>0</v>
      </c>
      <c r="AF556" s="372">
        <v>0</v>
      </c>
      <c r="AG556" s="372">
        <v>0</v>
      </c>
      <c r="AH556" s="372">
        <v>0</v>
      </c>
    </row>
    <row r="557" spans="1:34">
      <c r="A557" s="372" t="s">
        <v>4295</v>
      </c>
      <c r="B557" s="373" t="s">
        <v>4296</v>
      </c>
      <c r="C557" s="372" t="s">
        <v>4297</v>
      </c>
      <c r="D557" s="374">
        <v>1501110001036</v>
      </c>
      <c r="E557" s="372" t="s">
        <v>4298</v>
      </c>
      <c r="F557" s="375" t="s">
        <v>4299</v>
      </c>
      <c r="G557" s="375" t="s">
        <v>4299</v>
      </c>
      <c r="H557" s="375" t="s">
        <v>968</v>
      </c>
      <c r="I557" s="375" t="s">
        <v>754</v>
      </c>
      <c r="J557" s="375">
        <v>91905.271099999998</v>
      </c>
      <c r="K557" s="375">
        <v>5037.0816000000004</v>
      </c>
      <c r="L557" s="375">
        <v>11634.97882</v>
      </c>
      <c r="M557" s="375">
        <v>504651.88030999998</v>
      </c>
      <c r="N557" s="372">
        <v>0.46899999999999997</v>
      </c>
      <c r="O557" s="704">
        <v>12.102564009898266</v>
      </c>
      <c r="P557" s="375" t="s">
        <v>622</v>
      </c>
      <c r="Q557" s="372" t="s">
        <v>622</v>
      </c>
      <c r="R557" s="696">
        <v>19770527</v>
      </c>
      <c r="S557" s="372" t="s">
        <v>4300</v>
      </c>
      <c r="T557" s="697">
        <v>0.20900000000000002</v>
      </c>
      <c r="U557" s="372" t="s">
        <v>4301</v>
      </c>
      <c r="V557" s="723">
        <v>0</v>
      </c>
      <c r="W557" s="723">
        <v>0</v>
      </c>
      <c r="X557" s="723">
        <v>0</v>
      </c>
      <c r="Y557" s="723">
        <v>0</v>
      </c>
      <c r="Z557" s="382" t="s">
        <v>927</v>
      </c>
      <c r="AA557" s="372">
        <v>973.16423369999995</v>
      </c>
      <c r="AB557" s="372">
        <v>1042.4854858000001</v>
      </c>
      <c r="AC557" s="372">
        <v>1220.0578321999999</v>
      </c>
      <c r="AD557" s="372">
        <v>1265.6700919</v>
      </c>
      <c r="AE557" s="372">
        <v>0</v>
      </c>
      <c r="AF557" s="372">
        <v>0</v>
      </c>
      <c r="AG557" s="372">
        <v>0</v>
      </c>
      <c r="AH557" s="372">
        <v>0</v>
      </c>
    </row>
    <row r="558" spans="1:34">
      <c r="A558" s="372" t="s">
        <v>4302</v>
      </c>
      <c r="B558" s="373" t="s">
        <v>4303</v>
      </c>
      <c r="C558" s="372" t="s">
        <v>4304</v>
      </c>
      <c r="D558" s="374">
        <v>1101110040165</v>
      </c>
      <c r="E558" s="372" t="s">
        <v>4305</v>
      </c>
      <c r="F558" s="375" t="s">
        <v>1466</v>
      </c>
      <c r="G558" s="375" t="s">
        <v>1467</v>
      </c>
      <c r="H558" s="375" t="s">
        <v>1468</v>
      </c>
      <c r="I558" s="375" t="s">
        <v>754</v>
      </c>
      <c r="J558" s="375">
        <v>2240240.9151699999</v>
      </c>
      <c r="K558" s="375">
        <v>297322.4534</v>
      </c>
      <c r="L558" s="375">
        <v>290052.67781999998</v>
      </c>
      <c r="M558" s="375">
        <v>2304733.2403600002</v>
      </c>
      <c r="N558" s="372">
        <v>0.57099999999999995</v>
      </c>
      <c r="O558" s="704">
        <v>208.31386889429578</v>
      </c>
      <c r="P558" s="375" t="s">
        <v>622</v>
      </c>
      <c r="Q558" s="375" t="s">
        <v>622</v>
      </c>
      <c r="R558" s="696">
        <v>19691120</v>
      </c>
      <c r="S558" s="375" t="s">
        <v>2638</v>
      </c>
      <c r="T558" s="697">
        <v>0.23100000000000001</v>
      </c>
      <c r="U558" s="375" t="s">
        <v>4306</v>
      </c>
      <c r="V558" s="723">
        <v>3.84</v>
      </c>
      <c r="W558" s="723">
        <v>0.26</v>
      </c>
      <c r="X558" s="723">
        <v>0.19</v>
      </c>
      <c r="Y558" s="723">
        <v>3.43</v>
      </c>
      <c r="Z558" s="382" t="s">
        <v>927</v>
      </c>
      <c r="AA558" s="372">
        <v>15333.7430726</v>
      </c>
      <c r="AB558" s="372">
        <v>16503.4319277</v>
      </c>
      <c r="AC558" s="372">
        <v>19656.117300599999</v>
      </c>
      <c r="AD558" s="372">
        <v>23630.5718935</v>
      </c>
      <c r="AE558" s="372">
        <v>0</v>
      </c>
      <c r="AF558" s="372">
        <v>0</v>
      </c>
      <c r="AG558" s="372">
        <v>0</v>
      </c>
      <c r="AH558" s="372">
        <v>0</v>
      </c>
    </row>
    <row r="559" spans="1:34">
      <c r="A559" s="372" t="s">
        <v>4307</v>
      </c>
      <c r="B559" s="373" t="s">
        <v>4308</v>
      </c>
      <c r="C559" s="372" t="s">
        <v>4309</v>
      </c>
      <c r="D559" s="374">
        <v>1101111081928</v>
      </c>
      <c r="E559" s="372" t="s">
        <v>4310</v>
      </c>
      <c r="F559" s="375" t="s">
        <v>1796</v>
      </c>
      <c r="G559" s="375" t="s">
        <v>2797</v>
      </c>
      <c r="H559" s="375" t="s">
        <v>861</v>
      </c>
      <c r="I559" s="375" t="s">
        <v>862</v>
      </c>
      <c r="J559" s="375">
        <v>133395.36472000001</v>
      </c>
      <c r="K559" s="375">
        <v>12037.336880000001</v>
      </c>
      <c r="L559" s="375">
        <v>4209.6011500000004</v>
      </c>
      <c r="M559" s="375">
        <v>115740.69317</v>
      </c>
      <c r="N559" s="372">
        <v>0.999</v>
      </c>
      <c r="O559" s="704">
        <v>33.36053712431908</v>
      </c>
      <c r="P559" s="375" t="s">
        <v>622</v>
      </c>
      <c r="Q559" s="372" t="s">
        <v>622</v>
      </c>
      <c r="R559" s="696">
        <v>20070720</v>
      </c>
      <c r="S559" s="375" t="s">
        <v>4311</v>
      </c>
      <c r="T559" s="697">
        <v>0.20900000000000002</v>
      </c>
      <c r="U559" s="372" t="s">
        <v>4312</v>
      </c>
      <c r="V559" s="723">
        <v>30.58</v>
      </c>
      <c r="W559" s="723">
        <v>2.92</v>
      </c>
      <c r="X559" s="723">
        <v>2.54</v>
      </c>
      <c r="Y559" s="723">
        <v>144.69</v>
      </c>
      <c r="Z559" s="382" t="s">
        <v>927</v>
      </c>
      <c r="AA559" s="372">
        <v>812.30421179999996</v>
      </c>
      <c r="AB559" s="372">
        <v>944.61899630000005</v>
      </c>
      <c r="AC559" s="372">
        <v>1122.8644191999999</v>
      </c>
      <c r="AD559" s="372">
        <v>1323.898248</v>
      </c>
      <c r="AE559" s="372">
        <v>0</v>
      </c>
      <c r="AF559" s="372">
        <v>0</v>
      </c>
      <c r="AG559" s="372">
        <v>0</v>
      </c>
      <c r="AH559" s="372">
        <v>0</v>
      </c>
    </row>
    <row r="560" spans="1:34">
      <c r="A560" s="372" t="s">
        <v>4313</v>
      </c>
      <c r="B560" s="373" t="s">
        <v>4314</v>
      </c>
      <c r="C560" s="372" t="s">
        <v>4315</v>
      </c>
      <c r="D560" s="374">
        <v>1101110404361</v>
      </c>
      <c r="E560" s="372" t="s">
        <v>4316</v>
      </c>
      <c r="F560" s="375" t="s">
        <v>1303</v>
      </c>
      <c r="G560" s="375" t="s">
        <v>1303</v>
      </c>
      <c r="H560" s="375" t="s">
        <v>861</v>
      </c>
      <c r="I560" s="375" t="s">
        <v>862</v>
      </c>
      <c r="J560" s="375">
        <v>550682.85016000003</v>
      </c>
      <c r="K560" s="375">
        <v>46817.229700000004</v>
      </c>
      <c r="L560" s="375">
        <v>37655.020570000001</v>
      </c>
      <c r="M560" s="375">
        <v>182169.21903000001</v>
      </c>
      <c r="N560" s="372">
        <v>0.496</v>
      </c>
      <c r="O560" s="704">
        <v>12.135935260592918</v>
      </c>
      <c r="P560" s="375" t="s">
        <v>622</v>
      </c>
      <c r="Q560" s="372" t="s">
        <v>622</v>
      </c>
      <c r="R560" s="696">
        <v>19971219</v>
      </c>
      <c r="S560" s="372" t="s">
        <v>4317</v>
      </c>
      <c r="T560" s="697">
        <v>0.23100000000000001</v>
      </c>
      <c r="U560" s="372" t="s">
        <v>4318</v>
      </c>
      <c r="V560" s="723">
        <v>6.42</v>
      </c>
      <c r="W560" s="723">
        <v>1.8</v>
      </c>
      <c r="X560" s="723">
        <v>0.62</v>
      </c>
      <c r="Y560" s="723">
        <v>11.87</v>
      </c>
      <c r="Z560" s="382">
        <v>6.2156300797511665E-2</v>
      </c>
      <c r="AA560" s="372">
        <v>3879.8598170999999</v>
      </c>
      <c r="AB560" s="372">
        <v>3650.3920942</v>
      </c>
      <c r="AC560" s="372">
        <v>4341.5155235000002</v>
      </c>
      <c r="AD560" s="372">
        <v>5314.0873803000004</v>
      </c>
      <c r="AE560" s="372">
        <v>5641</v>
      </c>
      <c r="AF560" s="372">
        <v>6330</v>
      </c>
      <c r="AG560" s="372">
        <v>6763.67</v>
      </c>
      <c r="AH560" s="372">
        <v>0</v>
      </c>
    </row>
    <row r="561" spans="1:34">
      <c r="A561" s="372" t="s">
        <v>4319</v>
      </c>
      <c r="B561" s="373" t="s">
        <v>4320</v>
      </c>
      <c r="C561" s="372" t="s">
        <v>4321</v>
      </c>
      <c r="D561" s="374">
        <v>1345110028404</v>
      </c>
      <c r="E561" s="372" t="s">
        <v>4322</v>
      </c>
      <c r="F561" s="375" t="s">
        <v>1055</v>
      </c>
      <c r="G561" s="375" t="s">
        <v>16104</v>
      </c>
      <c r="H561" s="375" t="s">
        <v>861</v>
      </c>
      <c r="I561" s="375" t="s">
        <v>862</v>
      </c>
      <c r="J561" s="375">
        <v>150313.40324000001</v>
      </c>
      <c r="K561" s="375">
        <v>46789.33365</v>
      </c>
      <c r="L561" s="375">
        <v>48113.883119999999</v>
      </c>
      <c r="M561" s="375">
        <v>162876.39562</v>
      </c>
      <c r="N561" s="372">
        <v>0.43099999999999999</v>
      </c>
      <c r="O561" s="704">
        <v>8.9343984990807063E-2</v>
      </c>
      <c r="P561" s="375" t="s">
        <v>622</v>
      </c>
      <c r="Q561" s="372" t="s">
        <v>622</v>
      </c>
      <c r="R561" s="696">
        <v>20201120</v>
      </c>
      <c r="S561" s="372" t="s">
        <v>4323</v>
      </c>
      <c r="T561" s="697">
        <v>0.23100000000000001</v>
      </c>
      <c r="U561" s="372" t="s">
        <v>4324</v>
      </c>
      <c r="V561" s="723">
        <v>11.89</v>
      </c>
      <c r="W561" s="723">
        <v>3.64</v>
      </c>
      <c r="X561" s="723">
        <v>3.99</v>
      </c>
      <c r="Y561" s="723">
        <v>15.14</v>
      </c>
      <c r="Z561" s="382">
        <v>0.23442604119468369</v>
      </c>
      <c r="AA561" s="372">
        <v>406.3312449</v>
      </c>
      <c r="AB561" s="372">
        <v>718.9588546</v>
      </c>
      <c r="AC561" s="372">
        <v>815.77391439999997</v>
      </c>
      <c r="AD561" s="372">
        <v>1154.6131894</v>
      </c>
      <c r="AE561" s="372">
        <v>1744.75</v>
      </c>
      <c r="AF561" s="372">
        <v>2226.25</v>
      </c>
      <c r="AG561" s="372">
        <v>2681</v>
      </c>
      <c r="AH561" s="372">
        <v>0</v>
      </c>
    </row>
    <row r="562" spans="1:34">
      <c r="A562" s="372" t="s">
        <v>4325</v>
      </c>
      <c r="B562" s="373" t="s">
        <v>4326</v>
      </c>
      <c r="C562" s="372" t="s">
        <v>4327</v>
      </c>
      <c r="D562" s="374">
        <v>1313110030042</v>
      </c>
      <c r="E562" s="372" t="s">
        <v>4328</v>
      </c>
      <c r="F562" s="372" t="s">
        <v>893</v>
      </c>
      <c r="G562" s="375" t="s">
        <v>894</v>
      </c>
      <c r="H562" s="375" t="s">
        <v>855</v>
      </c>
      <c r="I562" s="375" t="s">
        <v>754</v>
      </c>
      <c r="J562" s="375">
        <v>1328338.17557</v>
      </c>
      <c r="K562" s="375">
        <v>75887.404620000001</v>
      </c>
      <c r="L562" s="375">
        <v>37481.518479999999</v>
      </c>
      <c r="M562" s="375">
        <v>1039100.8494900001</v>
      </c>
      <c r="N562" s="372">
        <v>0.58699999999999997</v>
      </c>
      <c r="O562" s="704">
        <v>290.46192153065829</v>
      </c>
      <c r="P562" s="375" t="s">
        <v>622</v>
      </c>
      <c r="Q562" s="375" t="s">
        <v>622</v>
      </c>
      <c r="R562" s="696">
        <v>20100519</v>
      </c>
      <c r="S562" s="375" t="s">
        <v>4329</v>
      </c>
      <c r="T562" s="697">
        <v>0.23100000000000001</v>
      </c>
      <c r="U562" s="375" t="s">
        <v>4330</v>
      </c>
      <c r="V562" s="723">
        <v>9.26</v>
      </c>
      <c r="W562" s="723">
        <v>0.34</v>
      </c>
      <c r="X562" s="723">
        <v>0.27</v>
      </c>
      <c r="Y562" s="723">
        <v>15.09</v>
      </c>
      <c r="Z562" s="382">
        <v>4.5265318383689079E-2</v>
      </c>
      <c r="AA562" s="372">
        <v>7357.9763933000004</v>
      </c>
      <c r="AB562" s="372">
        <v>10411.584124000001</v>
      </c>
      <c r="AC562" s="372">
        <v>12771.0607005</v>
      </c>
      <c r="AD562" s="372">
        <v>12855.3341664</v>
      </c>
      <c r="AE562" s="372">
        <v>13795.83</v>
      </c>
      <c r="AF562" s="372">
        <v>14558</v>
      </c>
      <c r="AG562" s="372">
        <v>15345.8</v>
      </c>
      <c r="AH562" s="372">
        <v>17910</v>
      </c>
    </row>
    <row r="563" spans="1:34">
      <c r="A563" s="372" t="s">
        <v>4331</v>
      </c>
      <c r="B563" s="373" t="s">
        <v>4332</v>
      </c>
      <c r="C563" s="372" t="s">
        <v>4333</v>
      </c>
      <c r="D563" s="374">
        <v>1101110191398</v>
      </c>
      <c r="E563" s="372" t="s">
        <v>4334</v>
      </c>
      <c r="F563" s="375" t="s">
        <v>5687</v>
      </c>
      <c r="G563" s="375" t="s">
        <v>5687</v>
      </c>
      <c r="H563" s="375" t="s">
        <v>861</v>
      </c>
      <c r="I563" s="375" t="s">
        <v>862</v>
      </c>
      <c r="J563" s="375">
        <v>241656.59782</v>
      </c>
      <c r="K563" s="375">
        <v>9026.4823400000005</v>
      </c>
      <c r="L563" s="375">
        <v>4187.9010900000003</v>
      </c>
      <c r="M563" s="375">
        <v>71911.599719999998</v>
      </c>
      <c r="N563" s="372">
        <v>1.137</v>
      </c>
      <c r="O563" s="704">
        <v>13.250650378819149</v>
      </c>
      <c r="P563" s="375" t="s">
        <v>622</v>
      </c>
      <c r="Q563" s="375" t="s">
        <v>622</v>
      </c>
      <c r="R563" s="696">
        <v>20091120</v>
      </c>
      <c r="S563" s="375" t="s">
        <v>4337</v>
      </c>
      <c r="T563" s="697">
        <v>0.20900000000000002</v>
      </c>
      <c r="U563" s="372" t="s">
        <v>4338</v>
      </c>
      <c r="V563" s="723">
        <v>30.96</v>
      </c>
      <c r="W563" s="723">
        <v>8.19</v>
      </c>
      <c r="X563" s="723">
        <v>1.36</v>
      </c>
      <c r="Y563" s="723">
        <v>51.49</v>
      </c>
      <c r="Z563" s="382" t="s">
        <v>927</v>
      </c>
      <c r="AA563" s="372">
        <v>383.4516567</v>
      </c>
      <c r="AB563" s="372">
        <v>441.6315108</v>
      </c>
      <c r="AC563" s="372">
        <v>713.79940390000002</v>
      </c>
      <c r="AD563" s="372">
        <v>1392.1124178</v>
      </c>
      <c r="AE563" s="372">
        <v>0</v>
      </c>
      <c r="AF563" s="372">
        <v>0</v>
      </c>
      <c r="AG563" s="372">
        <v>0</v>
      </c>
      <c r="AH563" s="372">
        <v>0</v>
      </c>
    </row>
    <row r="564" spans="1:34">
      <c r="A564" s="372" t="s">
        <v>4339</v>
      </c>
      <c r="B564" s="373" t="s">
        <v>4340</v>
      </c>
      <c r="C564" s="372" t="s">
        <v>4341</v>
      </c>
      <c r="D564" s="374">
        <v>2301110120607</v>
      </c>
      <c r="E564" s="372" t="s">
        <v>4342</v>
      </c>
      <c r="F564" s="372" t="s">
        <v>1764</v>
      </c>
      <c r="G564" s="375" t="s">
        <v>1764</v>
      </c>
      <c r="H564" s="375" t="s">
        <v>861</v>
      </c>
      <c r="I564" s="375" t="s">
        <v>862</v>
      </c>
      <c r="J564" s="375">
        <v>102042.74932</v>
      </c>
      <c r="K564" s="375">
        <v>-21094.194680000001</v>
      </c>
      <c r="L564" s="375">
        <v>-65744.612420000005</v>
      </c>
      <c r="M564" s="375">
        <v>218708.3579</v>
      </c>
      <c r="N564" s="372">
        <v>1.091</v>
      </c>
      <c r="O564" s="704">
        <v>32.967210372289756</v>
      </c>
      <c r="P564" s="375" t="s">
        <v>622</v>
      </c>
      <c r="Q564" s="375" t="s">
        <v>622</v>
      </c>
      <c r="R564" s="696">
        <v>20190802</v>
      </c>
      <c r="S564" s="375" t="s">
        <v>4343</v>
      </c>
      <c r="T564" s="697" t="s">
        <v>771</v>
      </c>
      <c r="U564" s="375" t="s">
        <v>4344</v>
      </c>
      <c r="V564" s="723" t="s">
        <v>773</v>
      </c>
      <c r="W564" s="723">
        <v>4.45</v>
      </c>
      <c r="X564" s="723">
        <v>9.01</v>
      </c>
      <c r="Y564" s="723" t="s">
        <v>773</v>
      </c>
      <c r="Z564" s="382" t="s">
        <v>927</v>
      </c>
      <c r="AA564" s="372">
        <v>783.79152079999994</v>
      </c>
      <c r="AB564" s="372">
        <v>1123.8315591</v>
      </c>
      <c r="AC564" s="372">
        <v>1110.0512106000001</v>
      </c>
      <c r="AD564" s="372">
        <v>940.76712269999996</v>
      </c>
      <c r="AE564" s="372">
        <v>1263.2</v>
      </c>
      <c r="AF564" s="372">
        <v>1080</v>
      </c>
      <c r="AG564" s="372">
        <v>0</v>
      </c>
      <c r="AH564" s="372">
        <v>0</v>
      </c>
    </row>
    <row r="565" spans="1:34">
      <c r="A565" s="372" t="s">
        <v>4345</v>
      </c>
      <c r="B565" s="373" t="s">
        <v>4346</v>
      </c>
      <c r="C565" s="372" t="s">
        <v>4347</v>
      </c>
      <c r="D565" s="374">
        <v>1911110019783</v>
      </c>
      <c r="E565" s="372" t="s">
        <v>4348</v>
      </c>
      <c r="F565" s="375" t="s">
        <v>2222</v>
      </c>
      <c r="G565" s="375" t="s">
        <v>2222</v>
      </c>
      <c r="H565" s="375" t="s">
        <v>861</v>
      </c>
      <c r="I565" s="375" t="s">
        <v>862</v>
      </c>
      <c r="J565" s="375">
        <v>155738.97967</v>
      </c>
      <c r="K565" s="375">
        <v>-6164.8753299999998</v>
      </c>
      <c r="L565" s="375">
        <v>-39969.77953</v>
      </c>
      <c r="M565" s="375">
        <v>217840.00065999999</v>
      </c>
      <c r="N565" s="372">
        <v>1.07</v>
      </c>
      <c r="O565" s="704">
        <v>67.180426215671901</v>
      </c>
      <c r="P565" s="375" t="s">
        <v>622</v>
      </c>
      <c r="Q565" s="375" t="s">
        <v>622</v>
      </c>
      <c r="R565" s="696">
        <v>20130912</v>
      </c>
      <c r="S565" s="375" t="s">
        <v>4349</v>
      </c>
      <c r="T565" s="697" t="s">
        <v>771</v>
      </c>
      <c r="U565" s="375" t="s">
        <v>4350</v>
      </c>
      <c r="V565" s="723">
        <v>58.81</v>
      </c>
      <c r="W565" s="723">
        <v>1.48</v>
      </c>
      <c r="X565" s="723">
        <v>1.61</v>
      </c>
      <c r="Y565" s="723" t="s">
        <v>773</v>
      </c>
      <c r="Z565" s="382" t="s">
        <v>927</v>
      </c>
      <c r="AA565" s="372">
        <v>1158.5606871</v>
      </c>
      <c r="AB565" s="372">
        <v>1248.8096714000001</v>
      </c>
      <c r="AC565" s="372">
        <v>1442.9572734000001</v>
      </c>
      <c r="AD565" s="372">
        <v>1599.0428910000001</v>
      </c>
      <c r="AE565" s="372">
        <v>7060</v>
      </c>
      <c r="AF565" s="372">
        <v>0</v>
      </c>
      <c r="AG565" s="372">
        <v>0</v>
      </c>
      <c r="AH565" s="372">
        <v>0</v>
      </c>
    </row>
    <row r="566" spans="1:34">
      <c r="A566" s="372" t="s">
        <v>4351</v>
      </c>
      <c r="B566" s="373" t="s">
        <v>4352</v>
      </c>
      <c r="C566" s="372" t="s">
        <v>4353</v>
      </c>
      <c r="D566" s="374">
        <v>1159110017303</v>
      </c>
      <c r="E566" s="372" t="s">
        <v>4354</v>
      </c>
      <c r="F566" s="375" t="s">
        <v>4355</v>
      </c>
      <c r="G566" s="375" t="s">
        <v>4355</v>
      </c>
      <c r="H566" s="375" t="s">
        <v>1337</v>
      </c>
      <c r="I566" s="375" t="s">
        <v>862</v>
      </c>
      <c r="J566" s="375">
        <v>207569.66068</v>
      </c>
      <c r="K566" s="375">
        <v>18524.91273</v>
      </c>
      <c r="L566" s="375">
        <v>-9927.2747299999992</v>
      </c>
      <c r="M566" s="375">
        <v>352262.08876000001</v>
      </c>
      <c r="N566" s="372">
        <v>0.86</v>
      </c>
      <c r="O566" s="704">
        <v>56.309788219852173</v>
      </c>
      <c r="P566" s="375" t="s">
        <v>622</v>
      </c>
      <c r="Q566" s="375" t="s">
        <v>622</v>
      </c>
      <c r="R566" s="696">
        <v>20020611</v>
      </c>
      <c r="S566" s="375" t="s">
        <v>4356</v>
      </c>
      <c r="T566" s="697" t="s">
        <v>771</v>
      </c>
      <c r="U566" s="375" t="s">
        <v>4357</v>
      </c>
      <c r="V566" s="723">
        <v>9.4</v>
      </c>
      <c r="W566" s="723">
        <v>0.77</v>
      </c>
      <c r="X566" s="723">
        <v>1.36</v>
      </c>
      <c r="Y566" s="723" t="s">
        <v>773</v>
      </c>
      <c r="Z566" s="382" t="s">
        <v>927</v>
      </c>
      <c r="AA566" s="372">
        <v>2085.6653941999998</v>
      </c>
      <c r="AB566" s="372">
        <v>2464.1162054000001</v>
      </c>
      <c r="AC566" s="372">
        <v>2376.1665352</v>
      </c>
      <c r="AD566" s="372">
        <v>2209.5919961999998</v>
      </c>
      <c r="AE566" s="372">
        <v>2692</v>
      </c>
      <c r="AF566" s="372">
        <v>2885</v>
      </c>
      <c r="AG566" s="372">
        <v>0</v>
      </c>
      <c r="AH566" s="372">
        <v>0</v>
      </c>
    </row>
    <row r="567" spans="1:34">
      <c r="A567" s="372" t="s">
        <v>4358</v>
      </c>
      <c r="B567" s="373" t="s">
        <v>4359</v>
      </c>
      <c r="C567" s="372" t="s">
        <v>4360</v>
      </c>
      <c r="D567" s="374">
        <v>2301110056969</v>
      </c>
      <c r="E567" s="372" t="s">
        <v>4361</v>
      </c>
      <c r="F567" s="375" t="s">
        <v>3236</v>
      </c>
      <c r="G567" s="375" t="s">
        <v>3236</v>
      </c>
      <c r="H567" s="375" t="s">
        <v>861</v>
      </c>
      <c r="I567" s="375" t="s">
        <v>862</v>
      </c>
      <c r="J567" s="375">
        <v>212460.25150000001</v>
      </c>
      <c r="K567" s="375">
        <v>5225.0040399999998</v>
      </c>
      <c r="L567" s="375">
        <v>2425.7732000000001</v>
      </c>
      <c r="M567" s="375">
        <v>436821.83682999999</v>
      </c>
      <c r="N567" s="372">
        <v>0.91400000000000003</v>
      </c>
      <c r="O567" s="704">
        <v>128.50922728745655</v>
      </c>
      <c r="P567" s="375" t="s">
        <v>622</v>
      </c>
      <c r="Q567" s="375" t="s">
        <v>622</v>
      </c>
      <c r="R567" s="696">
        <v>20051014</v>
      </c>
      <c r="S567" s="375" t="s">
        <v>4362</v>
      </c>
      <c r="T567" s="697">
        <v>0.20900000000000002</v>
      </c>
      <c r="U567" s="372" t="s">
        <v>4363</v>
      </c>
      <c r="V567" s="723">
        <v>29.07</v>
      </c>
      <c r="W567" s="723">
        <v>0.74</v>
      </c>
      <c r="X567" s="723">
        <v>1.07</v>
      </c>
      <c r="Y567" s="723">
        <v>68.319999999999993</v>
      </c>
      <c r="Z567" s="382" t="s">
        <v>927</v>
      </c>
      <c r="AA567" s="372">
        <v>552.3407866</v>
      </c>
      <c r="AB567" s="372">
        <v>927.23328719999995</v>
      </c>
      <c r="AC567" s="372">
        <v>1644.0124777000001</v>
      </c>
      <c r="AD567" s="372">
        <v>1444.529759</v>
      </c>
      <c r="AE567" s="372">
        <v>2399.54</v>
      </c>
      <c r="AF567" s="372">
        <v>2607.2800000000002</v>
      </c>
      <c r="AG567" s="372">
        <v>0</v>
      </c>
      <c r="AH567" s="372">
        <v>0</v>
      </c>
    </row>
    <row r="568" spans="1:34">
      <c r="A568" s="372" t="s">
        <v>4364</v>
      </c>
      <c r="B568" s="373" t="s">
        <v>4365</v>
      </c>
      <c r="C568" s="372" t="s">
        <v>15992</v>
      </c>
      <c r="D568" s="374">
        <v>1348110068248</v>
      </c>
      <c r="E568" s="372" t="s">
        <v>15993</v>
      </c>
      <c r="F568" s="375" t="s">
        <v>1185</v>
      </c>
      <c r="G568" s="375" t="s">
        <v>1186</v>
      </c>
      <c r="H568" s="375" t="s">
        <v>861</v>
      </c>
      <c r="I568" s="375" t="s">
        <v>862</v>
      </c>
      <c r="J568" s="375">
        <v>40975.70996</v>
      </c>
      <c r="K568" s="375">
        <v>-11386.500620000001</v>
      </c>
      <c r="L568" s="375">
        <v>-10865.872579999999</v>
      </c>
      <c r="M568" s="375">
        <v>120514.21347</v>
      </c>
      <c r="N568" s="372">
        <v>0.92500000000000004</v>
      </c>
      <c r="O568" s="704">
        <v>8.9301284730193498</v>
      </c>
      <c r="P568" s="375" t="s">
        <v>622</v>
      </c>
      <c r="Q568" s="375" t="s">
        <v>622</v>
      </c>
      <c r="R568" s="696">
        <v>20180823</v>
      </c>
      <c r="S568" s="372" t="s">
        <v>4366</v>
      </c>
      <c r="T568" s="697" t="s">
        <v>771</v>
      </c>
      <c r="U568" s="375" t="s">
        <v>4367</v>
      </c>
      <c r="V568" s="723" t="s">
        <v>773</v>
      </c>
      <c r="W568" s="723">
        <v>1.64</v>
      </c>
      <c r="X568" s="723">
        <v>5.74</v>
      </c>
      <c r="Y568" s="723" t="s">
        <v>773</v>
      </c>
      <c r="Z568" s="382">
        <v>0.63739072756430848</v>
      </c>
      <c r="AA568" s="372">
        <v>930.30435629999999</v>
      </c>
      <c r="AB568" s="372">
        <v>1780.5400916999999</v>
      </c>
      <c r="AC568" s="372">
        <v>1413.8525824999999</v>
      </c>
      <c r="AD568" s="372">
        <v>260.0855133</v>
      </c>
      <c r="AE568" s="372">
        <v>682</v>
      </c>
      <c r="AF568" s="372">
        <v>989.33</v>
      </c>
      <c r="AG568" s="372">
        <v>1869.5</v>
      </c>
      <c r="AH568" s="372">
        <v>0</v>
      </c>
    </row>
    <row r="569" spans="1:34">
      <c r="A569" s="372" t="s">
        <v>4368</v>
      </c>
      <c r="B569" s="373" t="s">
        <v>4369</v>
      </c>
      <c r="C569" s="372" t="s">
        <v>4370</v>
      </c>
      <c r="D569" s="374">
        <v>1348110178873</v>
      </c>
      <c r="E569" s="372" t="s">
        <v>4371</v>
      </c>
      <c r="F569" s="372" t="s">
        <v>16100</v>
      </c>
      <c r="G569" s="375" t="s">
        <v>16103</v>
      </c>
      <c r="H569" s="375" t="s">
        <v>861</v>
      </c>
      <c r="I569" s="375" t="s">
        <v>862</v>
      </c>
      <c r="J569" s="375">
        <v>489434.88727000001</v>
      </c>
      <c r="K569" s="375">
        <v>30842.726999999999</v>
      </c>
      <c r="L569" s="375">
        <v>20906.373800000001</v>
      </c>
      <c r="M569" s="375">
        <v>347720.97892000002</v>
      </c>
      <c r="N569" s="372">
        <v>1.1299999999999999</v>
      </c>
      <c r="O569" s="704">
        <v>144.48512488885424</v>
      </c>
      <c r="P569" s="375" t="s">
        <v>622</v>
      </c>
      <c r="Q569" s="375" t="s">
        <v>622</v>
      </c>
      <c r="R569" s="696">
        <v>20170927</v>
      </c>
      <c r="S569" s="375" t="s">
        <v>4372</v>
      </c>
      <c r="T569" s="697">
        <v>0.23100000000000001</v>
      </c>
      <c r="U569" s="372" t="s">
        <v>4373</v>
      </c>
      <c r="V569" s="723">
        <v>8.1199999999999992</v>
      </c>
      <c r="W569" s="723">
        <v>1.22</v>
      </c>
      <c r="X569" s="723">
        <v>0.87</v>
      </c>
      <c r="Y569" s="723">
        <v>23.17</v>
      </c>
      <c r="Z569" s="382">
        <v>0.14317851925729652</v>
      </c>
      <c r="AA569" s="372">
        <v>2800.6829031000002</v>
      </c>
      <c r="AB569" s="372">
        <v>3662.5341887999998</v>
      </c>
      <c r="AC569" s="372">
        <v>4778.2468968000003</v>
      </c>
      <c r="AD569" s="372">
        <v>5398.5198157000004</v>
      </c>
      <c r="AE569" s="372">
        <v>5717.5</v>
      </c>
      <c r="AF569" s="372">
        <v>7354.5</v>
      </c>
      <c r="AG569" s="372">
        <v>9220</v>
      </c>
      <c r="AH569" s="372">
        <v>0</v>
      </c>
    </row>
    <row r="570" spans="1:34">
      <c r="A570" s="372" t="s">
        <v>4374</v>
      </c>
      <c r="B570" s="373" t="s">
        <v>4375</v>
      </c>
      <c r="C570" s="372" t="s">
        <v>4376</v>
      </c>
      <c r="D570" s="374">
        <v>1801110045559</v>
      </c>
      <c r="E570" s="372" t="s">
        <v>4377</v>
      </c>
      <c r="F570" s="375" t="s">
        <v>2485</v>
      </c>
      <c r="G570" s="375" t="s">
        <v>2486</v>
      </c>
      <c r="H570" s="375" t="s">
        <v>861</v>
      </c>
      <c r="I570" s="375" t="s">
        <v>862</v>
      </c>
      <c r="J570" s="375">
        <v>271997.20582999999</v>
      </c>
      <c r="K570" s="375">
        <v>37742.248290000003</v>
      </c>
      <c r="L570" s="375">
        <v>50471.969530000002</v>
      </c>
      <c r="M570" s="375">
        <v>599897.12529999996</v>
      </c>
      <c r="N570" s="372">
        <v>0.754</v>
      </c>
      <c r="O570" s="704">
        <v>0.8944170432614813</v>
      </c>
      <c r="P570" s="375" t="s">
        <v>622</v>
      </c>
      <c r="Q570" s="375" t="s">
        <v>622</v>
      </c>
      <c r="R570" s="696">
        <v>19940831</v>
      </c>
      <c r="S570" s="375" t="s">
        <v>4378</v>
      </c>
      <c r="T570" s="697">
        <v>0.23100000000000001</v>
      </c>
      <c r="U570" s="372" t="s">
        <v>4379</v>
      </c>
      <c r="V570" s="723">
        <v>8.5299999999999994</v>
      </c>
      <c r="W570" s="723">
        <v>0.64</v>
      </c>
      <c r="X570" s="723">
        <v>1.33</v>
      </c>
      <c r="Y570" s="723">
        <v>8.9700000000000006</v>
      </c>
      <c r="Z570" s="382">
        <v>-1.0213145589543782E-4</v>
      </c>
      <c r="AA570" s="372">
        <v>1884.0425835999999</v>
      </c>
      <c r="AB570" s="372">
        <v>1851.4791327</v>
      </c>
      <c r="AC570" s="372">
        <v>2497.4267418999998</v>
      </c>
      <c r="AD570" s="372">
        <v>3120.6746809000001</v>
      </c>
      <c r="AE570" s="372">
        <v>2820.2</v>
      </c>
      <c r="AF570" s="372">
        <v>2991.8</v>
      </c>
      <c r="AG570" s="372">
        <v>3119.4</v>
      </c>
      <c r="AH570" s="372">
        <v>0</v>
      </c>
    </row>
    <row r="571" spans="1:34">
      <c r="A571" s="372" t="s">
        <v>4380</v>
      </c>
      <c r="B571" s="373" t="s">
        <v>4381</v>
      </c>
      <c r="C571" s="372" t="s">
        <v>4382</v>
      </c>
      <c r="D571" s="374">
        <v>1101113085598</v>
      </c>
      <c r="E571" s="372" t="s">
        <v>4383</v>
      </c>
      <c r="F571" s="372" t="s">
        <v>1357</v>
      </c>
      <c r="G571" s="375" t="s">
        <v>1357</v>
      </c>
      <c r="H571" s="375" t="s">
        <v>861</v>
      </c>
      <c r="I571" s="375" t="s">
        <v>862</v>
      </c>
      <c r="J571" s="375">
        <v>83206.004809999999</v>
      </c>
      <c r="K571" s="375">
        <v>-1457.6257900000001</v>
      </c>
      <c r="L571" s="375">
        <v>-2043.6587199999999</v>
      </c>
      <c r="M571" s="375">
        <v>207159.64671</v>
      </c>
      <c r="N571" s="372">
        <v>1.345</v>
      </c>
      <c r="O571" s="704">
        <v>18.63044561730322</v>
      </c>
      <c r="P571" s="375" t="s">
        <v>622</v>
      </c>
      <c r="Q571" s="372" t="s">
        <v>622</v>
      </c>
      <c r="R571" s="696">
        <v>20130701</v>
      </c>
      <c r="S571" s="375" t="s">
        <v>4384</v>
      </c>
      <c r="T571" s="697" t="s">
        <v>771</v>
      </c>
      <c r="U571" s="375" t="s">
        <v>4385</v>
      </c>
      <c r="V571" s="723">
        <v>366.58</v>
      </c>
      <c r="W571" s="723">
        <v>3.86</v>
      </c>
      <c r="X571" s="723">
        <v>8.19</v>
      </c>
      <c r="Y571" s="723" t="s">
        <v>773</v>
      </c>
      <c r="Z571" s="382" t="s">
        <v>927</v>
      </c>
      <c r="AA571" s="372">
        <v>923.19592450000005</v>
      </c>
      <c r="AB571" s="372">
        <v>774.43553589999999</v>
      </c>
      <c r="AC571" s="372">
        <v>605.22326099999998</v>
      </c>
      <c r="AD571" s="372">
        <v>514.55287299999998</v>
      </c>
      <c r="AE571" s="372">
        <v>1390</v>
      </c>
      <c r="AF571" s="372">
        <v>5177</v>
      </c>
      <c r="AG571" s="372">
        <v>0</v>
      </c>
      <c r="AH571" s="372">
        <v>0</v>
      </c>
    </row>
    <row r="572" spans="1:34">
      <c r="A572" s="372" t="s">
        <v>4386</v>
      </c>
      <c r="B572" s="373" t="s">
        <v>4387</v>
      </c>
      <c r="C572" s="372" t="s">
        <v>4388</v>
      </c>
      <c r="D572" s="374">
        <v>1243110025472</v>
      </c>
      <c r="E572" s="372" t="s">
        <v>4389</v>
      </c>
      <c r="F572" s="372" t="s">
        <v>1836</v>
      </c>
      <c r="G572" s="375" t="s">
        <v>1836</v>
      </c>
      <c r="H572" s="375" t="s">
        <v>3099</v>
      </c>
      <c r="I572" s="375" t="s">
        <v>862</v>
      </c>
      <c r="J572" s="375">
        <v>9939.9410000000007</v>
      </c>
      <c r="K572" s="375">
        <v>-24667.936399999999</v>
      </c>
      <c r="L572" s="375">
        <v>-23861.536530000001</v>
      </c>
      <c r="M572" s="375">
        <v>19315.0324</v>
      </c>
      <c r="N572" s="372">
        <v>0.85099999999999998</v>
      </c>
      <c r="O572" s="704">
        <v>3.1448661783579808</v>
      </c>
      <c r="P572" s="375" t="s">
        <v>622</v>
      </c>
      <c r="Q572" s="372" t="s">
        <v>16116</v>
      </c>
      <c r="R572" s="696">
        <v>20010703</v>
      </c>
      <c r="S572" s="375" t="s">
        <v>4390</v>
      </c>
      <c r="T572" s="697" t="s">
        <v>771</v>
      </c>
      <c r="U572" s="375" t="s">
        <v>4391</v>
      </c>
      <c r="V572" s="723" t="s">
        <v>773</v>
      </c>
      <c r="W572" s="723">
        <v>14</v>
      </c>
      <c r="X572" s="723">
        <v>27.42</v>
      </c>
      <c r="Y572" s="723" t="s">
        <v>773</v>
      </c>
      <c r="Z572" s="382" t="s">
        <v>927</v>
      </c>
      <c r="AA572" s="372">
        <v>101.2180604</v>
      </c>
      <c r="AB572" s="372">
        <v>79.260182400000005</v>
      </c>
      <c r="AC572" s="372">
        <v>63.023366799999998</v>
      </c>
      <c r="AD572" s="372">
        <v>58.270907600000001</v>
      </c>
      <c r="AE572" s="372">
        <v>0</v>
      </c>
      <c r="AF572" s="372">
        <v>0</v>
      </c>
      <c r="AG572" s="372">
        <v>0</v>
      </c>
      <c r="AH572" s="372">
        <v>0</v>
      </c>
    </row>
    <row r="573" spans="1:34">
      <c r="A573" s="372" t="s">
        <v>4392</v>
      </c>
      <c r="B573" s="373" t="s">
        <v>4393</v>
      </c>
      <c r="C573" s="372" t="s">
        <v>4394</v>
      </c>
      <c r="D573" s="374">
        <v>1311110028116</v>
      </c>
      <c r="E573" s="372" t="s">
        <v>4395</v>
      </c>
      <c r="F573" s="375" t="s">
        <v>1357</v>
      </c>
      <c r="G573" s="375" t="s">
        <v>1357</v>
      </c>
      <c r="H573" s="375" t="s">
        <v>861</v>
      </c>
      <c r="I573" s="375" t="s">
        <v>862</v>
      </c>
      <c r="J573" s="375">
        <v>596587.65806000005</v>
      </c>
      <c r="K573" s="375">
        <v>46458.97913</v>
      </c>
      <c r="L573" s="375">
        <v>25608.47697</v>
      </c>
      <c r="M573" s="375">
        <v>209352.41870000001</v>
      </c>
      <c r="N573" s="372">
        <v>1.131</v>
      </c>
      <c r="O573" s="704">
        <v>99.894586111585525</v>
      </c>
      <c r="P573" s="375" t="s">
        <v>622</v>
      </c>
      <c r="Q573" s="375" t="s">
        <v>622</v>
      </c>
      <c r="R573" s="696">
        <v>20070117</v>
      </c>
      <c r="S573" s="375" t="s">
        <v>4396</v>
      </c>
      <c r="T573" s="697">
        <v>0.23100000000000001</v>
      </c>
      <c r="U573" s="375" t="s">
        <v>4397</v>
      </c>
      <c r="V573" s="723">
        <v>7.3</v>
      </c>
      <c r="W573" s="723">
        <v>1.76</v>
      </c>
      <c r="X573" s="723">
        <v>0.6</v>
      </c>
      <c r="Y573" s="723">
        <v>16.23</v>
      </c>
      <c r="Z573" s="382">
        <v>7.9950813754007255E-2</v>
      </c>
      <c r="AA573" s="372">
        <v>5300.2368393999996</v>
      </c>
      <c r="AB573" s="372">
        <v>5633.8150770000002</v>
      </c>
      <c r="AC573" s="372">
        <v>6209.6339385000001</v>
      </c>
      <c r="AD573" s="372">
        <v>5422.5679628999997</v>
      </c>
      <c r="AE573" s="372">
        <v>6288.5</v>
      </c>
      <c r="AF573" s="372">
        <v>6925</v>
      </c>
      <c r="AG573" s="372">
        <v>7376</v>
      </c>
      <c r="AH573" s="372">
        <v>0</v>
      </c>
    </row>
    <row r="574" spans="1:34">
      <c r="A574" s="372" t="s">
        <v>4398</v>
      </c>
      <c r="B574" s="373" t="s">
        <v>4399</v>
      </c>
      <c r="C574" s="372" t="s">
        <v>4400</v>
      </c>
      <c r="D574" s="374">
        <v>1101113525750</v>
      </c>
      <c r="E574" s="372" t="s">
        <v>4401</v>
      </c>
      <c r="F574" s="375" t="s">
        <v>769</v>
      </c>
      <c r="G574" s="375" t="s">
        <v>769</v>
      </c>
      <c r="H574" s="375" t="s">
        <v>753</v>
      </c>
      <c r="I574" s="375" t="s">
        <v>754</v>
      </c>
      <c r="J574" s="375">
        <v>235319.83971</v>
      </c>
      <c r="K574" s="375">
        <v>-21731.980970000001</v>
      </c>
      <c r="L574" s="375">
        <v>-24332.255369999999</v>
      </c>
      <c r="M574" s="375">
        <v>348016.20817</v>
      </c>
      <c r="N574" s="372">
        <v>0.85099999999999998</v>
      </c>
      <c r="O574" s="704">
        <v>26.863906027407491</v>
      </c>
      <c r="P574" s="375" t="s">
        <v>622</v>
      </c>
      <c r="Q574" s="375" t="s">
        <v>622</v>
      </c>
      <c r="R574" s="696">
        <v>20061016</v>
      </c>
      <c r="S574" s="375" t="s">
        <v>1657</v>
      </c>
      <c r="T574" s="697" t="s">
        <v>771</v>
      </c>
      <c r="U574" s="372" t="s">
        <v>15858</v>
      </c>
      <c r="V574" s="723" t="s">
        <v>773</v>
      </c>
      <c r="W574" s="723">
        <v>0.57999999999999996</v>
      </c>
      <c r="X574" s="723">
        <v>0.85</v>
      </c>
      <c r="Y574" s="723" t="s">
        <v>773</v>
      </c>
      <c r="Z574" s="382" t="s">
        <v>927</v>
      </c>
      <c r="AA574" s="372">
        <v>2010.4648087</v>
      </c>
      <c r="AB574" s="372">
        <v>2674.7259107999998</v>
      </c>
      <c r="AC574" s="372">
        <v>2561.7126259000001</v>
      </c>
      <c r="AD574" s="372">
        <v>2069.3526013999999</v>
      </c>
      <c r="AE574" s="372">
        <v>3360</v>
      </c>
      <c r="AF574" s="372">
        <v>0</v>
      </c>
      <c r="AG574" s="372">
        <v>0</v>
      </c>
      <c r="AH574" s="372">
        <v>0</v>
      </c>
    </row>
    <row r="575" spans="1:34">
      <c r="A575" s="372" t="s">
        <v>4402</v>
      </c>
      <c r="B575" s="373" t="s">
        <v>4403</v>
      </c>
      <c r="C575" s="372" t="s">
        <v>4404</v>
      </c>
      <c r="D575" s="374">
        <v>1101113909839</v>
      </c>
      <c r="E575" s="372" t="s">
        <v>4405</v>
      </c>
      <c r="F575" s="372" t="s">
        <v>2032</v>
      </c>
      <c r="G575" s="375" t="s">
        <v>4406</v>
      </c>
      <c r="H575" s="375" t="s">
        <v>1531</v>
      </c>
      <c r="I575" s="375" t="s">
        <v>862</v>
      </c>
      <c r="J575" s="375">
        <v>50562.825340000003</v>
      </c>
      <c r="K575" s="375">
        <v>-21498.13061</v>
      </c>
      <c r="L575" s="375">
        <v>-22164.255969999998</v>
      </c>
      <c r="M575" s="375">
        <v>83288.034820000001</v>
      </c>
      <c r="N575" s="372">
        <v>0.97699999999999998</v>
      </c>
      <c r="O575" s="704">
        <v>6.4243128700340364</v>
      </c>
      <c r="P575" s="375" t="s">
        <v>622</v>
      </c>
      <c r="Q575" s="375" t="s">
        <v>622</v>
      </c>
      <c r="R575" s="696">
        <v>20210324</v>
      </c>
      <c r="S575" s="375" t="s">
        <v>4407</v>
      </c>
      <c r="T575" s="697" t="s">
        <v>771</v>
      </c>
      <c r="U575" s="375" t="s">
        <v>4408</v>
      </c>
      <c r="V575" s="723" t="s">
        <v>773</v>
      </c>
      <c r="W575" s="723">
        <v>2.33</v>
      </c>
      <c r="X575" s="723">
        <v>3.75</v>
      </c>
      <c r="Y575" s="723" t="s">
        <v>773</v>
      </c>
      <c r="Z575" s="382" t="s">
        <v>927</v>
      </c>
      <c r="AA575" s="372">
        <v>202.2310741</v>
      </c>
      <c r="AB575" s="372">
        <v>331.57055209999999</v>
      </c>
      <c r="AC575" s="372">
        <v>406.19850150000002</v>
      </c>
      <c r="AD575" s="372">
        <v>423.09465920000002</v>
      </c>
      <c r="AE575" s="372">
        <v>744</v>
      </c>
      <c r="AF575" s="372">
        <v>0</v>
      </c>
      <c r="AG575" s="372">
        <v>0</v>
      </c>
      <c r="AH575" s="372">
        <v>0</v>
      </c>
    </row>
    <row r="576" spans="1:34">
      <c r="A576" s="372" t="s">
        <v>4409</v>
      </c>
      <c r="B576" s="373" t="s">
        <v>4410</v>
      </c>
      <c r="C576" s="372" t="s">
        <v>4411</v>
      </c>
      <c r="D576" s="374">
        <v>1101110163115</v>
      </c>
      <c r="E576" s="372" t="s">
        <v>4412</v>
      </c>
      <c r="F576" s="372" t="s">
        <v>2259</v>
      </c>
      <c r="G576" s="375" t="s">
        <v>2259</v>
      </c>
      <c r="H576" s="375" t="s">
        <v>1386</v>
      </c>
      <c r="I576" s="375" t="s">
        <v>4413</v>
      </c>
      <c r="J576" s="375">
        <v>2560912.8807100002</v>
      </c>
      <c r="K576" s="375">
        <v>27061.024829999998</v>
      </c>
      <c r="L576" s="375">
        <v>30528.218990000001</v>
      </c>
      <c r="M576" s="375">
        <v>1040377.8642</v>
      </c>
      <c r="N576" s="372" t="s">
        <v>1026</v>
      </c>
      <c r="O576" s="704" t="e">
        <v>#DIV/0!</v>
      </c>
      <c r="P576" s="375" t="s">
        <v>622</v>
      </c>
      <c r="Q576" s="375" t="s">
        <v>622</v>
      </c>
      <c r="R576" s="696">
        <v>19771222</v>
      </c>
      <c r="S576" s="375" t="e">
        <v>#N/A</v>
      </c>
      <c r="T576" s="697">
        <v>0.23100000000000001</v>
      </c>
      <c r="U576" s="375" t="s">
        <v>4414</v>
      </c>
      <c r="V576" s="723">
        <v>0</v>
      </c>
      <c r="W576" s="723">
        <v>0</v>
      </c>
      <c r="X576" s="723">
        <v>0</v>
      </c>
      <c r="Y576" s="723">
        <v>0</v>
      </c>
      <c r="Z576" s="382" t="s">
        <v>927</v>
      </c>
      <c r="AA576" s="372">
        <v>17346.373837700001</v>
      </c>
      <c r="AB576" s="372">
        <v>20103.443227899999</v>
      </c>
      <c r="AC576" s="372">
        <v>19624.1933479</v>
      </c>
      <c r="AD576" s="372">
        <v>24300.330423899999</v>
      </c>
      <c r="AE576" s="372">
        <v>0</v>
      </c>
      <c r="AF576" s="372">
        <v>0</v>
      </c>
      <c r="AG576" s="372">
        <v>0</v>
      </c>
      <c r="AH576" s="372">
        <v>0</v>
      </c>
    </row>
    <row r="577" spans="1:34">
      <c r="A577" s="372" t="s">
        <v>4415</v>
      </c>
      <c r="B577" s="373" t="s">
        <v>4416</v>
      </c>
      <c r="C577" s="372" t="s">
        <v>4417</v>
      </c>
      <c r="D577" s="374">
        <v>1101111710527</v>
      </c>
      <c r="E577" s="372" t="s">
        <v>4418</v>
      </c>
      <c r="F577" s="375" t="s">
        <v>853</v>
      </c>
      <c r="G577" s="375" t="s">
        <v>4419</v>
      </c>
      <c r="H577" s="375" t="s">
        <v>895</v>
      </c>
      <c r="I577" s="375" t="s">
        <v>862</v>
      </c>
      <c r="J577" s="375">
        <v>0</v>
      </c>
      <c r="K577" s="375">
        <v>0</v>
      </c>
      <c r="L577" s="375">
        <v>0</v>
      </c>
      <c r="M577" s="375">
        <v>0</v>
      </c>
      <c r="N577" s="372">
        <v>0.85299999999999998</v>
      </c>
      <c r="O577" s="704" t="s">
        <v>16301</v>
      </c>
      <c r="P577" s="375" t="s">
        <v>622</v>
      </c>
      <c r="Q577" s="372" t="s">
        <v>622</v>
      </c>
      <c r="R577" s="696">
        <v>20190315</v>
      </c>
      <c r="S577" s="372" t="s">
        <v>4420</v>
      </c>
      <c r="T577" s="697" t="s">
        <v>771</v>
      </c>
      <c r="U577" s="375" t="s">
        <v>4421</v>
      </c>
      <c r="V577" s="723">
        <v>0</v>
      </c>
      <c r="W577" s="723">
        <v>0</v>
      </c>
      <c r="X577" s="723">
        <v>0</v>
      </c>
      <c r="Y577" s="723">
        <v>0</v>
      </c>
      <c r="Z577" s="382" t="s">
        <v>927</v>
      </c>
      <c r="AA577" s="372">
        <v>1280.8332361</v>
      </c>
      <c r="AB577" s="372">
        <v>2748.2505498999999</v>
      </c>
      <c r="AC577" s="372">
        <v>2179.6257609999998</v>
      </c>
      <c r="AD577" s="372">
        <v>2170.4663199000001</v>
      </c>
      <c r="AE577" s="372">
        <v>2434</v>
      </c>
      <c r="AF577" s="372">
        <v>0</v>
      </c>
      <c r="AG577" s="372">
        <v>0</v>
      </c>
      <c r="AH577" s="372">
        <v>0</v>
      </c>
    </row>
    <row r="578" spans="1:34">
      <c r="A578" s="372" t="s">
        <v>4422</v>
      </c>
      <c r="B578" s="373" t="s">
        <v>4423</v>
      </c>
      <c r="C578" s="372" t="s">
        <v>4424</v>
      </c>
      <c r="D578" s="374">
        <v>1101110103955</v>
      </c>
      <c r="E578" s="372" t="s">
        <v>4425</v>
      </c>
      <c r="F578" s="372" t="s">
        <v>1323</v>
      </c>
      <c r="G578" s="375" t="s">
        <v>16106</v>
      </c>
      <c r="H578" s="375" t="s">
        <v>784</v>
      </c>
      <c r="I578" s="375" t="s">
        <v>754</v>
      </c>
      <c r="J578" s="375">
        <v>593944.89595000003</v>
      </c>
      <c r="K578" s="375">
        <v>31455.398580000001</v>
      </c>
      <c r="L578" s="375">
        <v>19154.511879999998</v>
      </c>
      <c r="M578" s="375">
        <v>289708.66394</v>
      </c>
      <c r="N578" s="372">
        <v>0.34399999999999997</v>
      </c>
      <c r="O578" s="704">
        <v>61.687576846659873</v>
      </c>
      <c r="P578" s="375" t="s">
        <v>622</v>
      </c>
      <c r="Q578" s="375" t="s">
        <v>622</v>
      </c>
      <c r="R578" s="696">
        <v>19991215</v>
      </c>
      <c r="S578" s="375" t="s">
        <v>4426</v>
      </c>
      <c r="T578" s="697">
        <v>0.20900000000000002</v>
      </c>
      <c r="U578" s="375" t="s">
        <v>4427</v>
      </c>
      <c r="V578" s="723">
        <v>8.9499999999999993</v>
      </c>
      <c r="W578" s="723">
        <v>1.1200000000000001</v>
      </c>
      <c r="X578" s="723">
        <v>0.55000000000000004</v>
      </c>
      <c r="Y578" s="723">
        <v>20.52</v>
      </c>
      <c r="Z578" s="382">
        <v>8.1898610928281768E-2</v>
      </c>
      <c r="AA578" s="372">
        <v>3085.0101586000001</v>
      </c>
      <c r="AB578" s="372">
        <v>3541.7643515999998</v>
      </c>
      <c r="AC578" s="372">
        <v>4788.8465636000001</v>
      </c>
      <c r="AD578" s="372">
        <v>5269.5204506</v>
      </c>
      <c r="AE578" s="372">
        <v>6185.33</v>
      </c>
      <c r="AF578" s="372">
        <v>6714</v>
      </c>
      <c r="AG578" s="372">
        <v>7219.67</v>
      </c>
      <c r="AH578" s="372">
        <v>0</v>
      </c>
    </row>
    <row r="579" spans="1:34">
      <c r="A579" s="372" t="s">
        <v>4428</v>
      </c>
      <c r="B579" s="373" t="s">
        <v>4429</v>
      </c>
      <c r="C579" s="372" t="s">
        <v>4430</v>
      </c>
      <c r="D579" s="374">
        <v>1101110426688</v>
      </c>
      <c r="E579" s="372" t="s">
        <v>4431</v>
      </c>
      <c r="F579" s="375" t="s">
        <v>4266</v>
      </c>
      <c r="G579" s="375" t="s">
        <v>4267</v>
      </c>
      <c r="H579" s="375" t="s">
        <v>1337</v>
      </c>
      <c r="I579" s="375" t="s">
        <v>862</v>
      </c>
      <c r="J579" s="375">
        <v>800131.80799999996</v>
      </c>
      <c r="K579" s="375">
        <v>39810.580999999998</v>
      </c>
      <c r="L579" s="375">
        <v>59138.879999999997</v>
      </c>
      <c r="M579" s="375">
        <v>310794.24800000002</v>
      </c>
      <c r="N579" s="372">
        <v>0.71399999999999997</v>
      </c>
      <c r="O579" s="704">
        <v>7.1132173453685459</v>
      </c>
      <c r="P579" s="375" t="s">
        <v>622</v>
      </c>
      <c r="Q579" s="375" t="s">
        <v>622</v>
      </c>
      <c r="R579" s="696">
        <v>19980120</v>
      </c>
      <c r="S579" s="375" t="s">
        <v>4432</v>
      </c>
      <c r="T579" s="697">
        <v>0.23100000000000001</v>
      </c>
      <c r="U579" s="372" t="s">
        <v>4433</v>
      </c>
      <c r="V579" s="723">
        <v>6.06</v>
      </c>
      <c r="W579" s="723">
        <v>0.96</v>
      </c>
      <c r="X579" s="723">
        <v>0.39</v>
      </c>
      <c r="Y579" s="723">
        <v>7.23</v>
      </c>
      <c r="Z579" s="382" t="s">
        <v>927</v>
      </c>
      <c r="AA579" s="372">
        <v>4952.3645900000001</v>
      </c>
      <c r="AB579" s="372">
        <v>5402.4381899999998</v>
      </c>
      <c r="AC579" s="372">
        <v>5954.5048100000004</v>
      </c>
      <c r="AD579" s="372">
        <v>7251.1819599999999</v>
      </c>
      <c r="AE579" s="372">
        <v>0</v>
      </c>
      <c r="AF579" s="372">
        <v>0</v>
      </c>
      <c r="AG579" s="372">
        <v>0</v>
      </c>
      <c r="AH579" s="372">
        <v>0</v>
      </c>
    </row>
    <row r="580" spans="1:34">
      <c r="A580" s="372" t="s">
        <v>4434</v>
      </c>
      <c r="B580" s="373" t="s">
        <v>4435</v>
      </c>
      <c r="C580" s="372" t="s">
        <v>4436</v>
      </c>
      <c r="D580" s="374">
        <v>1243110041444</v>
      </c>
      <c r="E580" s="372" t="s">
        <v>4437</v>
      </c>
      <c r="F580" s="375" t="s">
        <v>1185</v>
      </c>
      <c r="G580" s="375" t="s">
        <v>1186</v>
      </c>
      <c r="H580" s="375" t="s">
        <v>861</v>
      </c>
      <c r="I580" s="375" t="s">
        <v>862</v>
      </c>
      <c r="J580" s="375">
        <v>88767.040720000005</v>
      </c>
      <c r="K580" s="375">
        <v>-3535.23875</v>
      </c>
      <c r="L580" s="375">
        <v>-4182.8157799999999</v>
      </c>
      <c r="M580" s="375">
        <v>62560.2114</v>
      </c>
      <c r="N580" s="372">
        <v>1.026</v>
      </c>
      <c r="O580" s="704">
        <v>16.529547119540354</v>
      </c>
      <c r="P580" s="375" t="s">
        <v>622</v>
      </c>
      <c r="Q580" s="372" t="s">
        <v>622</v>
      </c>
      <c r="R580" s="696">
        <v>20061108</v>
      </c>
      <c r="S580" s="375" t="s">
        <v>4438</v>
      </c>
      <c r="T580" s="697" t="s">
        <v>771</v>
      </c>
      <c r="U580" s="375" t="s">
        <v>4439</v>
      </c>
      <c r="V580" s="723" t="s">
        <v>773</v>
      </c>
      <c r="W580" s="723">
        <v>2.4500000000000002</v>
      </c>
      <c r="X580" s="723">
        <v>1.78</v>
      </c>
      <c r="Y580" s="723" t="s">
        <v>773</v>
      </c>
      <c r="Z580" s="382" t="s">
        <v>927</v>
      </c>
      <c r="AA580" s="372">
        <v>638.26078140000004</v>
      </c>
      <c r="AB580" s="372">
        <v>771.80373940000004</v>
      </c>
      <c r="AC580" s="372">
        <v>729.31360640000003</v>
      </c>
      <c r="AD580" s="372">
        <v>956.50538589999996</v>
      </c>
      <c r="AE580" s="372">
        <v>0</v>
      </c>
      <c r="AF580" s="372">
        <v>0</v>
      </c>
      <c r="AG580" s="372">
        <v>0</v>
      </c>
      <c r="AH580" s="372">
        <v>0</v>
      </c>
    </row>
    <row r="581" spans="1:34">
      <c r="A581" s="372" t="s">
        <v>4440</v>
      </c>
      <c r="B581" s="373" t="s">
        <v>4441</v>
      </c>
      <c r="C581" s="372" t="s">
        <v>4442</v>
      </c>
      <c r="D581" s="374">
        <v>1358110232363</v>
      </c>
      <c r="E581" s="372" t="s">
        <v>4443</v>
      </c>
      <c r="F581" s="375" t="s">
        <v>1116</v>
      </c>
      <c r="G581" s="375" t="s">
        <v>1336</v>
      </c>
      <c r="H581" s="375" t="s">
        <v>1337</v>
      </c>
      <c r="I581" s="375" t="s">
        <v>862</v>
      </c>
      <c r="J581" s="375">
        <v>0</v>
      </c>
      <c r="K581" s="375">
        <v>-24646.373769999998</v>
      </c>
      <c r="L581" s="375">
        <v>-23306.459220000001</v>
      </c>
      <c r="M581" s="375">
        <v>56218.422400000003</v>
      </c>
      <c r="N581" s="372">
        <v>1.4630000000000001</v>
      </c>
      <c r="O581" s="704">
        <v>4.5297288203107637</v>
      </c>
      <c r="P581" s="375" t="s">
        <v>622</v>
      </c>
      <c r="Q581" s="375" t="s">
        <v>622</v>
      </c>
      <c r="R581" s="696">
        <v>20191219</v>
      </c>
      <c r="S581" s="375" t="s">
        <v>4444</v>
      </c>
      <c r="T581" s="697" t="s">
        <v>771</v>
      </c>
      <c r="U581" s="375" t="s">
        <v>4445</v>
      </c>
      <c r="V581" s="723" t="s">
        <v>773</v>
      </c>
      <c r="W581" s="723">
        <v>3.63</v>
      </c>
      <c r="X581" s="723">
        <v>0</v>
      </c>
      <c r="Y581" s="723" t="s">
        <v>773</v>
      </c>
      <c r="Z581" s="382" t="s">
        <v>773</v>
      </c>
      <c r="AA581" s="372">
        <v>0</v>
      </c>
      <c r="AB581" s="372">
        <v>0</v>
      </c>
      <c r="AC581" s="372">
        <v>0</v>
      </c>
      <c r="AD581" s="372">
        <v>0</v>
      </c>
      <c r="AE581" s="372">
        <v>0</v>
      </c>
      <c r="AF581" s="372">
        <v>0</v>
      </c>
      <c r="AG581" s="372">
        <v>0</v>
      </c>
      <c r="AH581" s="372">
        <v>0</v>
      </c>
    </row>
    <row r="582" spans="1:34">
      <c r="A582" s="372" t="s">
        <v>4446</v>
      </c>
      <c r="B582" s="373" t="s">
        <v>4447</v>
      </c>
      <c r="C582" s="372" t="s">
        <v>4448</v>
      </c>
      <c r="D582" s="374">
        <v>1101110513633</v>
      </c>
      <c r="E582" s="372" t="s">
        <v>4449</v>
      </c>
      <c r="F582" s="375" t="s">
        <v>2075</v>
      </c>
      <c r="G582" s="375" t="s">
        <v>2075</v>
      </c>
      <c r="H582" s="375" t="s">
        <v>861</v>
      </c>
      <c r="I582" s="375" t="s">
        <v>862</v>
      </c>
      <c r="J582" s="375">
        <v>277741.68385999999</v>
      </c>
      <c r="K582" s="375">
        <v>109982.14676</v>
      </c>
      <c r="L582" s="375">
        <v>113414.89171</v>
      </c>
      <c r="M582" s="375">
        <v>186178.66774</v>
      </c>
      <c r="N582" s="372">
        <v>0.97899999999999998</v>
      </c>
      <c r="O582" s="704">
        <v>6.2850217418856963E-2</v>
      </c>
      <c r="P582" s="375" t="s">
        <v>622</v>
      </c>
      <c r="Q582" s="372" t="s">
        <v>622</v>
      </c>
      <c r="R582" s="696">
        <v>19970818</v>
      </c>
      <c r="S582" s="372" t="s">
        <v>4450</v>
      </c>
      <c r="T582" s="697">
        <v>0.23100000000000001</v>
      </c>
      <c r="U582" s="372" t="s">
        <v>4451</v>
      </c>
      <c r="V582" s="723">
        <v>0</v>
      </c>
      <c r="W582" s="723">
        <v>0</v>
      </c>
      <c r="X582" s="723">
        <v>0</v>
      </c>
      <c r="Y582" s="723">
        <v>0</v>
      </c>
      <c r="Z582" s="382" t="s">
        <v>927</v>
      </c>
      <c r="AA582" s="372">
        <v>441.95774540000002</v>
      </c>
      <c r="AB582" s="372">
        <v>487.83124670000001</v>
      </c>
      <c r="AC582" s="372">
        <v>860.61155910000002</v>
      </c>
      <c r="AD582" s="372">
        <v>1839.4114483000001</v>
      </c>
      <c r="AE582" s="372">
        <v>0</v>
      </c>
      <c r="AF582" s="372">
        <v>0</v>
      </c>
      <c r="AG582" s="372">
        <v>0</v>
      </c>
      <c r="AH582" s="372">
        <v>0</v>
      </c>
    </row>
    <row r="583" spans="1:34">
      <c r="A583" s="372" t="s">
        <v>4452</v>
      </c>
      <c r="B583" s="373" t="s">
        <v>4453</v>
      </c>
      <c r="C583" s="372" t="s">
        <v>4454</v>
      </c>
      <c r="D583" s="374">
        <v>1101110169874</v>
      </c>
      <c r="E583" s="372" t="s">
        <v>4455</v>
      </c>
      <c r="F583" s="375" t="s">
        <v>2103</v>
      </c>
      <c r="G583" s="375" t="s">
        <v>2103</v>
      </c>
      <c r="H583" s="375" t="s">
        <v>895</v>
      </c>
      <c r="I583" s="375" t="s">
        <v>862</v>
      </c>
      <c r="J583" s="375">
        <v>0</v>
      </c>
      <c r="K583" s="375">
        <v>0</v>
      </c>
      <c r="L583" s="375">
        <v>0</v>
      </c>
      <c r="M583" s="375">
        <v>0</v>
      </c>
      <c r="N583" s="372">
        <v>1.1040000000000001</v>
      </c>
      <c r="O583" s="704" t="s">
        <v>16301</v>
      </c>
      <c r="P583" s="375" t="s">
        <v>622</v>
      </c>
      <c r="Q583" s="375" t="s">
        <v>622</v>
      </c>
      <c r="R583" s="696">
        <v>20181121</v>
      </c>
      <c r="S583" s="375">
        <v>0</v>
      </c>
      <c r="T583" s="697" t="s">
        <v>771</v>
      </c>
      <c r="U583" s="372" t="s">
        <v>4456</v>
      </c>
      <c r="V583" s="723">
        <v>0</v>
      </c>
      <c r="W583" s="723">
        <v>0</v>
      </c>
      <c r="X583" s="723">
        <v>0</v>
      </c>
      <c r="Y583" s="723">
        <v>0</v>
      </c>
      <c r="Z583" s="382" t="s">
        <v>927</v>
      </c>
      <c r="AA583" s="372">
        <v>755.23394050000002</v>
      </c>
      <c r="AB583" s="372">
        <v>660.46516099999997</v>
      </c>
      <c r="AC583" s="372">
        <v>205.29485099999999</v>
      </c>
      <c r="AD583" s="372">
        <v>333.71925119999997</v>
      </c>
      <c r="AE583" s="372">
        <v>0</v>
      </c>
      <c r="AF583" s="372">
        <v>0</v>
      </c>
      <c r="AG583" s="372">
        <v>0</v>
      </c>
      <c r="AH583" s="372">
        <v>0</v>
      </c>
    </row>
    <row r="584" spans="1:34">
      <c r="A584" s="372" t="s">
        <v>4457</v>
      </c>
      <c r="B584" s="373" t="s">
        <v>4458</v>
      </c>
      <c r="C584" s="372" t="s">
        <v>4459</v>
      </c>
      <c r="D584" s="374">
        <v>1101110015556</v>
      </c>
      <c r="E584" s="372" t="s">
        <v>4460</v>
      </c>
      <c r="F584" s="375" t="s">
        <v>2007</v>
      </c>
      <c r="G584" s="375" t="s">
        <v>2007</v>
      </c>
      <c r="H584" s="375" t="s">
        <v>792</v>
      </c>
      <c r="I584" s="375" t="s">
        <v>754</v>
      </c>
      <c r="J584" s="375">
        <v>1214478.6273399999</v>
      </c>
      <c r="K584" s="375">
        <v>38944.815240000004</v>
      </c>
      <c r="L584" s="375">
        <v>36074.468930000003</v>
      </c>
      <c r="M584" s="375">
        <v>692049.47829999996</v>
      </c>
      <c r="N584" s="372">
        <v>1.2609999999999999</v>
      </c>
      <c r="O584" s="704">
        <v>112.42887671383713</v>
      </c>
      <c r="P584" s="375" t="s">
        <v>622</v>
      </c>
      <c r="Q584" s="372" t="s">
        <v>622</v>
      </c>
      <c r="R584" s="696">
        <v>19770622</v>
      </c>
      <c r="S584" s="375" t="s">
        <v>16303</v>
      </c>
      <c r="T584" s="697">
        <v>0.23100000000000001</v>
      </c>
      <c r="U584" s="375" t="s">
        <v>4461</v>
      </c>
      <c r="V584" s="723">
        <v>7.11</v>
      </c>
      <c r="W584" s="723">
        <v>0.49</v>
      </c>
      <c r="X584" s="723">
        <v>0.21</v>
      </c>
      <c r="Y584" s="723">
        <v>19.03</v>
      </c>
      <c r="Z584" s="382">
        <v>0.12088271082646895</v>
      </c>
      <c r="AA584" s="372">
        <v>8612.3095967000008</v>
      </c>
      <c r="AB584" s="372">
        <v>8622.2279687999999</v>
      </c>
      <c r="AC584" s="372">
        <v>10244.504987800001</v>
      </c>
      <c r="AD584" s="372">
        <v>11067.5686219</v>
      </c>
      <c r="AE584" s="372">
        <v>12574</v>
      </c>
      <c r="AF584" s="372">
        <v>14130</v>
      </c>
      <c r="AG584" s="372">
        <v>17470</v>
      </c>
      <c r="AH584" s="372">
        <v>0</v>
      </c>
    </row>
    <row r="585" spans="1:34">
      <c r="A585" s="372" t="s">
        <v>4462</v>
      </c>
      <c r="B585" s="373" t="s">
        <v>4463</v>
      </c>
      <c r="C585" s="372" t="s">
        <v>4464</v>
      </c>
      <c r="D585" s="374">
        <v>1845110003290</v>
      </c>
      <c r="E585" s="372" t="s">
        <v>4465</v>
      </c>
      <c r="F585" s="375" t="s">
        <v>2124</v>
      </c>
      <c r="G585" s="375" t="s">
        <v>4466</v>
      </c>
      <c r="H585" s="375" t="s">
        <v>861</v>
      </c>
      <c r="I585" s="375" t="s">
        <v>862</v>
      </c>
      <c r="J585" s="375">
        <v>112560.32371</v>
      </c>
      <c r="K585" s="375">
        <v>-47053.32447</v>
      </c>
      <c r="L585" s="375">
        <v>-73210.287030000007</v>
      </c>
      <c r="M585" s="375">
        <v>213140.88211999999</v>
      </c>
      <c r="N585" s="372">
        <v>0.65200000000000002</v>
      </c>
      <c r="O585" s="704">
        <v>35.213625815059949</v>
      </c>
      <c r="P585" s="375" t="s">
        <v>622</v>
      </c>
      <c r="Q585" s="375" t="s">
        <v>622</v>
      </c>
      <c r="R585" s="696">
        <v>20000627</v>
      </c>
      <c r="S585" s="375" t="s">
        <v>4467</v>
      </c>
      <c r="T585" s="697" t="s">
        <v>771</v>
      </c>
      <c r="U585" s="372" t="s">
        <v>4468</v>
      </c>
      <c r="V585" s="723" t="s">
        <v>773</v>
      </c>
      <c r="W585" s="723">
        <v>1.07</v>
      </c>
      <c r="X585" s="723">
        <v>2.29</v>
      </c>
      <c r="Y585" s="723" t="s">
        <v>773</v>
      </c>
      <c r="Z585" s="382">
        <v>6.163498108181642E-2</v>
      </c>
      <c r="AA585" s="372">
        <v>1200.5630595</v>
      </c>
      <c r="AB585" s="372">
        <v>1500.3723708</v>
      </c>
      <c r="AC585" s="372">
        <v>1313.0634674999999</v>
      </c>
      <c r="AD585" s="372">
        <v>1558.1789263999999</v>
      </c>
      <c r="AE585" s="372">
        <v>1187</v>
      </c>
      <c r="AF585" s="372">
        <v>1566.25</v>
      </c>
      <c r="AG585" s="372">
        <v>1979.33</v>
      </c>
      <c r="AH585" s="372">
        <v>2460</v>
      </c>
    </row>
    <row r="586" spans="1:34">
      <c r="A586" s="372" t="s">
        <v>4469</v>
      </c>
      <c r="B586" s="373" t="s">
        <v>4470</v>
      </c>
      <c r="C586" s="372" t="s">
        <v>4471</v>
      </c>
      <c r="D586" s="374">
        <v>1311110126936</v>
      </c>
      <c r="E586" s="372" t="s">
        <v>4472</v>
      </c>
      <c r="F586" s="372" t="s">
        <v>1185</v>
      </c>
      <c r="G586" s="375" t="s">
        <v>1186</v>
      </c>
      <c r="H586" s="375" t="s">
        <v>861</v>
      </c>
      <c r="I586" s="375" t="s">
        <v>862</v>
      </c>
      <c r="J586" s="375">
        <v>88566.761570000002</v>
      </c>
      <c r="K586" s="375">
        <v>-4943.1140599999999</v>
      </c>
      <c r="L586" s="375">
        <v>-9371.3574900000003</v>
      </c>
      <c r="M586" s="375">
        <v>28556.483459999999</v>
      </c>
      <c r="N586" s="372">
        <v>1.3280000000000001</v>
      </c>
      <c r="O586" s="704">
        <v>26.938680622485911</v>
      </c>
      <c r="P586" s="375" t="s">
        <v>622</v>
      </c>
      <c r="Q586" s="372" t="s">
        <v>622</v>
      </c>
      <c r="R586" s="696">
        <v>20181129</v>
      </c>
      <c r="S586" s="372" t="s">
        <v>4473</v>
      </c>
      <c r="T586" s="697" t="s">
        <v>771</v>
      </c>
      <c r="U586" s="372" t="s">
        <v>4474</v>
      </c>
      <c r="V586" s="723" t="s">
        <v>773</v>
      </c>
      <c r="W586" s="723">
        <v>5.28</v>
      </c>
      <c r="X586" s="723">
        <v>1.74</v>
      </c>
      <c r="Y586" s="723" t="s">
        <v>773</v>
      </c>
      <c r="Z586" s="382" t="s">
        <v>927</v>
      </c>
      <c r="AA586" s="372">
        <v>663.56725349999999</v>
      </c>
      <c r="AB586" s="372">
        <v>441.23037870000002</v>
      </c>
      <c r="AC586" s="372">
        <v>567.29389189999995</v>
      </c>
      <c r="AD586" s="372">
        <v>667.16568310000002</v>
      </c>
      <c r="AE586" s="372">
        <v>892</v>
      </c>
      <c r="AF586" s="372">
        <v>1586</v>
      </c>
      <c r="AG586" s="372">
        <v>0</v>
      </c>
      <c r="AH586" s="372">
        <v>0</v>
      </c>
    </row>
    <row r="587" spans="1:34">
      <c r="A587" s="372" t="s">
        <v>4475</v>
      </c>
      <c r="B587" s="373" t="s">
        <v>4476</v>
      </c>
      <c r="C587" s="372" t="s">
        <v>4477</v>
      </c>
      <c r="D587" s="374">
        <v>1812110024485</v>
      </c>
      <c r="E587" s="372" t="s">
        <v>4478</v>
      </c>
      <c r="F587" s="375" t="s">
        <v>16114</v>
      </c>
      <c r="G587" s="375" t="s">
        <v>16114</v>
      </c>
      <c r="H587" s="375">
        <v>0</v>
      </c>
      <c r="I587" s="375" t="s">
        <v>862</v>
      </c>
      <c r="J587" s="375">
        <v>80608.307509999999</v>
      </c>
      <c r="K587" s="375">
        <v>33249.837489999998</v>
      </c>
      <c r="L587" s="375">
        <v>35367.390209999998</v>
      </c>
      <c r="M587" s="375">
        <v>177523.07209999999</v>
      </c>
      <c r="N587" s="372">
        <v>0.53900000000000003</v>
      </c>
      <c r="O587" s="704">
        <v>7.6956588673170883</v>
      </c>
      <c r="P587" s="375" t="s">
        <v>622</v>
      </c>
      <c r="Q587" s="372" t="s">
        <v>622</v>
      </c>
      <c r="R587" s="696">
        <v>20040616</v>
      </c>
      <c r="S587" s="372" t="s">
        <v>4479</v>
      </c>
      <c r="T587" s="697">
        <v>0.23100000000000001</v>
      </c>
      <c r="U587" s="372" t="s">
        <v>4480</v>
      </c>
      <c r="V587" s="723">
        <v>0</v>
      </c>
      <c r="W587" s="723">
        <v>0</v>
      </c>
      <c r="X587" s="723">
        <v>0</v>
      </c>
      <c r="Y587" s="723">
        <v>0</v>
      </c>
      <c r="Z587" s="382" t="s">
        <v>927</v>
      </c>
      <c r="AA587" s="372">
        <v>708.29816440000002</v>
      </c>
      <c r="AB587" s="372">
        <v>740.94721440000001</v>
      </c>
      <c r="AC587" s="372">
        <v>902.86420510000005</v>
      </c>
      <c r="AD587" s="372">
        <v>787.63725499999998</v>
      </c>
      <c r="AE587" s="372">
        <v>0</v>
      </c>
      <c r="AF587" s="372">
        <v>0</v>
      </c>
      <c r="AG587" s="372">
        <v>0</v>
      </c>
      <c r="AH587" s="372">
        <v>0</v>
      </c>
    </row>
    <row r="588" spans="1:34">
      <c r="A588" s="372" t="s">
        <v>4481</v>
      </c>
      <c r="B588" s="373" t="s">
        <v>4482</v>
      </c>
      <c r="C588" s="372" t="s">
        <v>4483</v>
      </c>
      <c r="D588" s="374">
        <v>1311110065514</v>
      </c>
      <c r="E588" s="372" t="s">
        <v>4484</v>
      </c>
      <c r="F588" s="372" t="s">
        <v>1185</v>
      </c>
      <c r="G588" s="375" t="s">
        <v>3115</v>
      </c>
      <c r="H588" s="375" t="s">
        <v>861</v>
      </c>
      <c r="I588" s="375" t="s">
        <v>862</v>
      </c>
      <c r="J588" s="375">
        <v>102798.97463</v>
      </c>
      <c r="K588" s="375">
        <v>9342.9608599999992</v>
      </c>
      <c r="L588" s="375">
        <v>18935.139070000001</v>
      </c>
      <c r="M588" s="375">
        <v>229301.67008000001</v>
      </c>
      <c r="N588" s="372">
        <v>0.70699999999999996</v>
      </c>
      <c r="O588" s="704">
        <v>4.4480564386812969</v>
      </c>
      <c r="P588" s="375" t="s">
        <v>622</v>
      </c>
      <c r="Q588" s="375" t="s">
        <v>622</v>
      </c>
      <c r="R588" s="696">
        <v>20200622</v>
      </c>
      <c r="S588" s="375" t="s">
        <v>4485</v>
      </c>
      <c r="T588" s="697">
        <v>0.20900000000000002</v>
      </c>
      <c r="U588" s="372" t="s">
        <v>15859</v>
      </c>
      <c r="V588" s="723">
        <v>30.44</v>
      </c>
      <c r="W588" s="723">
        <v>1.41</v>
      </c>
      <c r="X588" s="723">
        <v>3.14</v>
      </c>
      <c r="Y588" s="723">
        <v>21.59</v>
      </c>
      <c r="Z588" s="382" t="s">
        <v>927</v>
      </c>
      <c r="AA588" s="372">
        <v>210.8235962</v>
      </c>
      <c r="AB588" s="372">
        <v>467.73127249999999</v>
      </c>
      <c r="AC588" s="372">
        <v>1876.0028004999999</v>
      </c>
      <c r="AD588" s="372">
        <v>961.70053719999999</v>
      </c>
      <c r="AE588" s="372">
        <v>1437</v>
      </c>
      <c r="AF588" s="372">
        <v>0</v>
      </c>
      <c r="AG588" s="372">
        <v>0</v>
      </c>
      <c r="AH588" s="372">
        <v>0</v>
      </c>
    </row>
    <row r="589" spans="1:34">
      <c r="A589" s="372" t="s">
        <v>4486</v>
      </c>
      <c r="B589" s="373" t="s">
        <v>4487</v>
      </c>
      <c r="C589" s="372" t="s">
        <v>4488</v>
      </c>
      <c r="D589" s="374">
        <v>1101110738637</v>
      </c>
      <c r="E589" s="372" t="s">
        <v>4489</v>
      </c>
      <c r="F589" s="372" t="s">
        <v>4490</v>
      </c>
      <c r="G589" s="375" t="s">
        <v>4490</v>
      </c>
      <c r="H589" s="375" t="s">
        <v>861</v>
      </c>
      <c r="I589" s="375" t="s">
        <v>862</v>
      </c>
      <c r="J589" s="375">
        <v>798855.04408000002</v>
      </c>
      <c r="K589" s="375">
        <v>103365.22864</v>
      </c>
      <c r="L589" s="375">
        <v>65572.21488</v>
      </c>
      <c r="M589" s="375">
        <v>738217.45669000002</v>
      </c>
      <c r="N589" s="372">
        <v>0.83799999999999997</v>
      </c>
      <c r="O589" s="704">
        <v>167.98162437212997</v>
      </c>
      <c r="P589" s="375" t="s">
        <v>622</v>
      </c>
      <c r="Q589" s="372" t="s">
        <v>622</v>
      </c>
      <c r="R589" s="696">
        <v>20010130</v>
      </c>
      <c r="S589" s="372" t="s">
        <v>16074</v>
      </c>
      <c r="T589" s="697">
        <v>0.23100000000000001</v>
      </c>
      <c r="U589" s="372" t="s">
        <v>4491</v>
      </c>
      <c r="V589" s="723">
        <v>4.51</v>
      </c>
      <c r="W589" s="723">
        <v>0.45</v>
      </c>
      <c r="X589" s="723">
        <v>0.41</v>
      </c>
      <c r="Y589" s="723">
        <v>6.57</v>
      </c>
      <c r="Z589" s="382">
        <v>1.4629332513724114E-2</v>
      </c>
      <c r="AA589" s="372">
        <v>5431.5158030000002</v>
      </c>
      <c r="AB589" s="372">
        <v>5689.8771098999996</v>
      </c>
      <c r="AC589" s="372">
        <v>7211.1558788000002</v>
      </c>
      <c r="AD589" s="372">
        <v>8237.2944391000001</v>
      </c>
      <c r="AE589" s="372">
        <v>8020</v>
      </c>
      <c r="AF589" s="372">
        <v>8200</v>
      </c>
      <c r="AG589" s="372">
        <v>8730</v>
      </c>
      <c r="AH589" s="372">
        <v>0</v>
      </c>
    </row>
    <row r="590" spans="1:34">
      <c r="A590" s="372" t="s">
        <v>4492</v>
      </c>
      <c r="B590" s="373" t="s">
        <v>4493</v>
      </c>
      <c r="C590" s="372" t="s">
        <v>4494</v>
      </c>
      <c r="D590" s="374">
        <v>1311110126192</v>
      </c>
      <c r="E590" s="372" t="s">
        <v>4495</v>
      </c>
      <c r="F590" s="375" t="s">
        <v>1275</v>
      </c>
      <c r="G590" s="375" t="s">
        <v>1275</v>
      </c>
      <c r="H590" s="375" t="s">
        <v>861</v>
      </c>
      <c r="I590" s="375" t="s">
        <v>862</v>
      </c>
      <c r="J590" s="375">
        <v>441796.72876000003</v>
      </c>
      <c r="K590" s="375">
        <v>23026.61594</v>
      </c>
      <c r="L590" s="375">
        <v>26206.341059999999</v>
      </c>
      <c r="M590" s="375">
        <v>158272.3676</v>
      </c>
      <c r="N590" s="372">
        <v>0.751</v>
      </c>
      <c r="O590" s="704">
        <v>16.318806507990569</v>
      </c>
      <c r="P590" s="375" t="s">
        <v>622</v>
      </c>
      <c r="Q590" s="375" t="s">
        <v>622</v>
      </c>
      <c r="R590" s="696">
        <v>20151112</v>
      </c>
      <c r="S590" s="375" t="s">
        <v>4496</v>
      </c>
      <c r="T590" s="697">
        <v>0.23100000000000001</v>
      </c>
      <c r="U590" s="372" t="s">
        <v>4497</v>
      </c>
      <c r="V590" s="723">
        <v>5.38</v>
      </c>
      <c r="W590" s="723">
        <v>1.27</v>
      </c>
      <c r="X590" s="723">
        <v>0.49</v>
      </c>
      <c r="Y590" s="723">
        <v>10.220000000000001</v>
      </c>
      <c r="Z590" s="382" t="s">
        <v>927</v>
      </c>
      <c r="AA590" s="372">
        <v>5117.5613542999999</v>
      </c>
      <c r="AB590" s="372">
        <v>5029.0288774000001</v>
      </c>
      <c r="AC590" s="372">
        <v>5193.4298123999997</v>
      </c>
      <c r="AD590" s="372">
        <v>3656.0917666</v>
      </c>
      <c r="AE590" s="372">
        <v>4330</v>
      </c>
      <c r="AF590" s="372">
        <v>5080</v>
      </c>
      <c r="AG590" s="372">
        <v>0</v>
      </c>
      <c r="AH590" s="372">
        <v>0</v>
      </c>
    </row>
    <row r="591" spans="1:34">
      <c r="A591" s="372" t="s">
        <v>4498</v>
      </c>
      <c r="B591" s="373" t="s">
        <v>4499</v>
      </c>
      <c r="C591" s="372" t="s">
        <v>4500</v>
      </c>
      <c r="D591" s="374">
        <v>1601110002313</v>
      </c>
      <c r="E591" s="372" t="s">
        <v>4501</v>
      </c>
      <c r="F591" s="372" t="s">
        <v>2116</v>
      </c>
      <c r="G591" s="375" t="s">
        <v>2117</v>
      </c>
      <c r="H591" s="375" t="s">
        <v>812</v>
      </c>
      <c r="I591" s="375" t="s">
        <v>754</v>
      </c>
      <c r="J591" s="375">
        <v>632585.96351999999</v>
      </c>
      <c r="K591" s="375">
        <v>38244.128349999999</v>
      </c>
      <c r="L591" s="375">
        <v>22935.26251</v>
      </c>
      <c r="M591" s="375">
        <v>368732.01929000003</v>
      </c>
      <c r="N591" s="372">
        <v>0.70499999999999996</v>
      </c>
      <c r="O591" s="704">
        <v>177.67529548895766</v>
      </c>
      <c r="P591" s="375" t="s">
        <v>622</v>
      </c>
      <c r="Q591" s="375" t="s">
        <v>622</v>
      </c>
      <c r="R591" s="696">
        <v>19720317</v>
      </c>
      <c r="S591" s="375" t="s">
        <v>4502</v>
      </c>
      <c r="T591" s="697">
        <v>0.23100000000000001</v>
      </c>
      <c r="U591" s="375" t="s">
        <v>4503</v>
      </c>
      <c r="V591" s="723">
        <v>7.01</v>
      </c>
      <c r="W591" s="723">
        <v>0.82</v>
      </c>
      <c r="X591" s="723">
        <v>0.37</v>
      </c>
      <c r="Y591" s="723">
        <v>15.65</v>
      </c>
      <c r="Z591" s="382" t="s">
        <v>927</v>
      </c>
      <c r="AA591" s="372">
        <v>4952.6547162999996</v>
      </c>
      <c r="AB591" s="372">
        <v>5055.8603075999999</v>
      </c>
      <c r="AC591" s="372">
        <v>6454.1212605000001</v>
      </c>
      <c r="AD591" s="372">
        <v>5911.8656007</v>
      </c>
      <c r="AE591" s="372">
        <v>0</v>
      </c>
      <c r="AF591" s="372">
        <v>0</v>
      </c>
      <c r="AG591" s="372">
        <v>0</v>
      </c>
      <c r="AH591" s="372">
        <v>0</v>
      </c>
    </row>
    <row r="592" spans="1:34">
      <c r="A592" s="372" t="s">
        <v>4504</v>
      </c>
      <c r="B592" s="373" t="s">
        <v>4505</v>
      </c>
      <c r="C592" s="372" t="s">
        <v>4506</v>
      </c>
      <c r="D592" s="374">
        <v>1201110038209</v>
      </c>
      <c r="E592" s="372" t="s">
        <v>4507</v>
      </c>
      <c r="F592" s="372" t="s">
        <v>2511</v>
      </c>
      <c r="G592" s="375" t="s">
        <v>2511</v>
      </c>
      <c r="H592" s="375" t="s">
        <v>861</v>
      </c>
      <c r="I592" s="375" t="s">
        <v>862</v>
      </c>
      <c r="J592" s="375">
        <v>172912.3088</v>
      </c>
      <c r="K592" s="375">
        <v>6375.4003599999996</v>
      </c>
      <c r="L592" s="375">
        <v>8413.1416700000009</v>
      </c>
      <c r="M592" s="375">
        <v>188536.68669999999</v>
      </c>
      <c r="N592" s="372">
        <v>0.98399999999999999</v>
      </c>
      <c r="O592" s="704">
        <v>34.851744014901882</v>
      </c>
      <c r="P592" s="375" t="s">
        <v>622</v>
      </c>
      <c r="Q592" s="372" t="s">
        <v>622</v>
      </c>
      <c r="R592" s="696">
        <v>20110721</v>
      </c>
      <c r="S592" s="372" t="s">
        <v>4508</v>
      </c>
      <c r="T592" s="697">
        <v>0.20900000000000002</v>
      </c>
      <c r="U592" s="372" t="s">
        <v>4509</v>
      </c>
      <c r="V592" s="723">
        <v>20.71</v>
      </c>
      <c r="W592" s="723">
        <v>1.87</v>
      </c>
      <c r="X592" s="723">
        <v>2.09</v>
      </c>
      <c r="Y592" s="723">
        <v>65.2</v>
      </c>
      <c r="Z592" s="382">
        <v>7.7630798778734134E-2</v>
      </c>
      <c r="AA592" s="372">
        <v>1533.4740671</v>
      </c>
      <c r="AB592" s="372">
        <v>1784.8053167</v>
      </c>
      <c r="AC592" s="372">
        <v>1811.5550317</v>
      </c>
      <c r="AD592" s="372">
        <v>1835.9914739999999</v>
      </c>
      <c r="AE592" s="372">
        <v>1740</v>
      </c>
      <c r="AF592" s="372">
        <v>1916</v>
      </c>
      <c r="AG592" s="372">
        <v>2476</v>
      </c>
      <c r="AH592" s="372">
        <v>3083</v>
      </c>
    </row>
    <row r="593" spans="1:34">
      <c r="A593" s="372" t="s">
        <v>4510</v>
      </c>
      <c r="B593" s="373" t="s">
        <v>4511</v>
      </c>
      <c r="C593" s="372" t="s">
        <v>4512</v>
      </c>
      <c r="D593" s="374">
        <v>1101110609771</v>
      </c>
      <c r="E593" s="372" t="s">
        <v>4513</v>
      </c>
      <c r="F593" s="375" t="s">
        <v>2441</v>
      </c>
      <c r="G593" s="375" t="s">
        <v>2441</v>
      </c>
      <c r="H593" s="375" t="s">
        <v>1337</v>
      </c>
      <c r="I593" s="375" t="s">
        <v>862</v>
      </c>
      <c r="J593" s="375">
        <v>248103.08152000001</v>
      </c>
      <c r="K593" s="375">
        <v>1973.5995399999999</v>
      </c>
      <c r="L593" s="375">
        <v>4438.5235899999998</v>
      </c>
      <c r="M593" s="375">
        <v>66421.416169999997</v>
      </c>
      <c r="N593" s="372">
        <v>0.51600000000000001</v>
      </c>
      <c r="O593" s="704">
        <v>16.84297639960263</v>
      </c>
      <c r="P593" s="375" t="s">
        <v>622</v>
      </c>
      <c r="Q593" s="372" t="s">
        <v>622</v>
      </c>
      <c r="R593" s="696">
        <v>20050726</v>
      </c>
      <c r="S593" s="375" t="s">
        <v>4514</v>
      </c>
      <c r="T593" s="697">
        <v>0.20900000000000002</v>
      </c>
      <c r="U593" s="375" t="s">
        <v>4515</v>
      </c>
      <c r="V593" s="723">
        <v>33.4</v>
      </c>
      <c r="W593" s="723">
        <v>2.0299999999999998</v>
      </c>
      <c r="X593" s="723">
        <v>0.81</v>
      </c>
      <c r="Y593" s="723">
        <v>31.64</v>
      </c>
      <c r="Z593" s="382">
        <v>0.1556529813741232</v>
      </c>
      <c r="AA593" s="372">
        <v>542.43693759999996</v>
      </c>
      <c r="AB593" s="372">
        <v>137.6035157</v>
      </c>
      <c r="AC593" s="372">
        <v>294.49596989999998</v>
      </c>
      <c r="AD593" s="372">
        <v>1785.8486743999999</v>
      </c>
      <c r="AE593" s="372">
        <v>2467.8000000000002</v>
      </c>
      <c r="AF593" s="372">
        <v>2840.25</v>
      </c>
      <c r="AG593" s="372">
        <v>3185.33</v>
      </c>
      <c r="AH593" s="372">
        <v>0</v>
      </c>
    </row>
    <row r="594" spans="1:34">
      <c r="A594" s="372" t="s">
        <v>4516</v>
      </c>
      <c r="B594" s="373" t="s">
        <v>4517</v>
      </c>
      <c r="C594" s="372" t="s">
        <v>4518</v>
      </c>
      <c r="D594" s="374">
        <v>1101110210859</v>
      </c>
      <c r="E594" s="372" t="s">
        <v>4519</v>
      </c>
      <c r="F594" s="375" t="s">
        <v>975</v>
      </c>
      <c r="G594" s="375" t="s">
        <v>976</v>
      </c>
      <c r="H594" s="375" t="s">
        <v>817</v>
      </c>
      <c r="I594" s="375" t="s">
        <v>754</v>
      </c>
      <c r="J594" s="375">
        <v>548079.96336000005</v>
      </c>
      <c r="K594" s="375">
        <v>25166.838489999998</v>
      </c>
      <c r="L594" s="375">
        <v>78410.91231</v>
      </c>
      <c r="M594" s="375">
        <v>386391.77872</v>
      </c>
      <c r="N594" s="372">
        <v>0.91700000000000004</v>
      </c>
      <c r="O594" s="704">
        <v>100.34465935492088</v>
      </c>
      <c r="P594" s="375" t="s">
        <v>622</v>
      </c>
      <c r="Q594" s="375" t="s">
        <v>622</v>
      </c>
      <c r="R594" s="696">
        <v>19930106</v>
      </c>
      <c r="S594" s="375" t="s">
        <v>4520</v>
      </c>
      <c r="T594" s="697">
        <v>0.23100000000000001</v>
      </c>
      <c r="U594" s="375" t="s">
        <v>4521</v>
      </c>
      <c r="V594" s="723">
        <v>15.91</v>
      </c>
      <c r="W594" s="723">
        <v>0.7</v>
      </c>
      <c r="X594" s="723">
        <v>0.53</v>
      </c>
      <c r="Y594" s="723">
        <v>4.3600000000000003</v>
      </c>
      <c r="Z594" s="382" t="s">
        <v>927</v>
      </c>
      <c r="AA594" s="372">
        <v>2724.4584006</v>
      </c>
      <c r="AB594" s="372">
        <v>3269.1460492000001</v>
      </c>
      <c r="AC594" s="372">
        <v>4013.4550214999999</v>
      </c>
      <c r="AD594" s="372">
        <v>4585.8386280000004</v>
      </c>
      <c r="AE594" s="372">
        <v>0</v>
      </c>
      <c r="AF594" s="372">
        <v>0</v>
      </c>
      <c r="AG594" s="372">
        <v>0</v>
      </c>
      <c r="AH594" s="372">
        <v>0</v>
      </c>
    </row>
    <row r="595" spans="1:34">
      <c r="A595" s="372" t="s">
        <v>4522</v>
      </c>
      <c r="B595" s="373" t="s">
        <v>4523</v>
      </c>
      <c r="C595" s="372" t="s">
        <v>4524</v>
      </c>
      <c r="D595" s="374">
        <v>1243110004252</v>
      </c>
      <c r="E595" s="372" t="s">
        <v>4525</v>
      </c>
      <c r="F595" s="375" t="s">
        <v>1764</v>
      </c>
      <c r="G595" s="375" t="s">
        <v>2238</v>
      </c>
      <c r="H595" s="375" t="s">
        <v>826</v>
      </c>
      <c r="I595" s="375" t="s">
        <v>754</v>
      </c>
      <c r="J595" s="375">
        <v>637903.89390999998</v>
      </c>
      <c r="K595" s="375">
        <v>34485.422789999997</v>
      </c>
      <c r="L595" s="375">
        <v>22151.60572</v>
      </c>
      <c r="M595" s="375">
        <v>496377.98054999998</v>
      </c>
      <c r="N595" s="372">
        <v>0.69699999999999995</v>
      </c>
      <c r="O595" s="704">
        <v>255.06294192035872</v>
      </c>
      <c r="P595" s="375" t="s">
        <v>622</v>
      </c>
      <c r="Q595" s="375" t="s">
        <v>622</v>
      </c>
      <c r="R595" s="696">
        <v>19900327</v>
      </c>
      <c r="S595" s="375" t="s">
        <v>4526</v>
      </c>
      <c r="T595" s="697">
        <v>0.23100000000000001</v>
      </c>
      <c r="U595" s="375" t="s">
        <v>4527</v>
      </c>
      <c r="V595" s="723">
        <v>8.7100000000000009</v>
      </c>
      <c r="W595" s="723">
        <v>0.43</v>
      </c>
      <c r="X595" s="723">
        <v>0.31</v>
      </c>
      <c r="Y595" s="723">
        <v>16.04</v>
      </c>
      <c r="Z595" s="382">
        <v>6.0590023469199394E-2</v>
      </c>
      <c r="AA595" s="372">
        <v>5530.1215364999998</v>
      </c>
      <c r="AB595" s="372">
        <v>5967.3315199999997</v>
      </c>
      <c r="AC595" s="372">
        <v>6349.6607901999996</v>
      </c>
      <c r="AD595" s="372">
        <v>5945.6715120999997</v>
      </c>
      <c r="AE595" s="372">
        <v>6499</v>
      </c>
      <c r="AF595" s="372">
        <v>7018</v>
      </c>
      <c r="AG595" s="372">
        <v>7523</v>
      </c>
      <c r="AH595" s="372">
        <v>7951</v>
      </c>
    </row>
    <row r="596" spans="1:34">
      <c r="A596" s="372" t="s">
        <v>4528</v>
      </c>
      <c r="B596" s="373" t="s">
        <v>4529</v>
      </c>
      <c r="C596" s="372" t="s">
        <v>4530</v>
      </c>
      <c r="D596" s="374">
        <v>1101112663436</v>
      </c>
      <c r="E596" s="372" t="s">
        <v>4531</v>
      </c>
      <c r="F596" s="375" t="s">
        <v>1656</v>
      </c>
      <c r="G596" s="375" t="s">
        <v>1656</v>
      </c>
      <c r="H596" s="375" t="s">
        <v>861</v>
      </c>
      <c r="I596" s="375" t="s">
        <v>862</v>
      </c>
      <c r="J596" s="375">
        <v>159081.44967</v>
      </c>
      <c r="K596" s="375">
        <v>11420.832</v>
      </c>
      <c r="L596" s="375">
        <v>8716.7992200000008</v>
      </c>
      <c r="M596" s="375">
        <v>64727.156569999999</v>
      </c>
      <c r="N596" s="372">
        <v>0.49399999999999999</v>
      </c>
      <c r="O596" s="704">
        <v>2.2293245778542619</v>
      </c>
      <c r="P596" s="375" t="s">
        <v>622</v>
      </c>
      <c r="Q596" s="375" t="s">
        <v>622</v>
      </c>
      <c r="R596" s="696">
        <v>20101105</v>
      </c>
      <c r="S596" s="375" t="s">
        <v>4532</v>
      </c>
      <c r="T596" s="697">
        <v>0.20900000000000002</v>
      </c>
      <c r="U596" s="375" t="s">
        <v>4533</v>
      </c>
      <c r="V596" s="723">
        <v>0</v>
      </c>
      <c r="W596" s="723">
        <v>0</v>
      </c>
      <c r="X596" s="723">
        <v>0</v>
      </c>
      <c r="Y596" s="723">
        <v>0</v>
      </c>
      <c r="Z596" s="382" t="s">
        <v>927</v>
      </c>
      <c r="AA596" s="372">
        <v>1009.5553748999999</v>
      </c>
      <c r="AB596" s="372">
        <v>483.82080500000001</v>
      </c>
      <c r="AC596" s="372">
        <v>432.91922790000001</v>
      </c>
      <c r="AD596" s="372">
        <v>714.66090069999996</v>
      </c>
      <c r="AE596" s="372">
        <v>0</v>
      </c>
      <c r="AF596" s="372">
        <v>0</v>
      </c>
      <c r="AG596" s="372">
        <v>0</v>
      </c>
      <c r="AH596" s="372">
        <v>0</v>
      </c>
    </row>
    <row r="597" spans="1:34">
      <c r="A597" s="372" t="s">
        <v>4534</v>
      </c>
      <c r="B597" s="373" t="s">
        <v>4535</v>
      </c>
      <c r="C597" s="372" t="s">
        <v>4536</v>
      </c>
      <c r="D597" s="374">
        <v>1348110400341</v>
      </c>
      <c r="E597" s="372" t="s">
        <v>4537</v>
      </c>
      <c r="F597" s="372" t="s">
        <v>1185</v>
      </c>
      <c r="G597" s="375" t="s">
        <v>3115</v>
      </c>
      <c r="H597" s="375" t="s">
        <v>861</v>
      </c>
      <c r="I597" s="375" t="s">
        <v>862</v>
      </c>
      <c r="J597" s="375">
        <v>512269.37914999999</v>
      </c>
      <c r="K597" s="375">
        <v>54892.3024</v>
      </c>
      <c r="L597" s="375">
        <v>66882.763250000004</v>
      </c>
      <c r="M597" s="375">
        <v>327051.57214</v>
      </c>
      <c r="N597" s="372">
        <v>0.89200000000000002</v>
      </c>
      <c r="O597" s="704">
        <v>40.506170156899174</v>
      </c>
      <c r="P597" s="375" t="s">
        <v>622</v>
      </c>
      <c r="Q597" s="375" t="s">
        <v>622</v>
      </c>
      <c r="R597" s="696">
        <v>20170407</v>
      </c>
      <c r="S597" s="375" t="s">
        <v>4538</v>
      </c>
      <c r="T597" s="697">
        <v>0.23100000000000001</v>
      </c>
      <c r="U597" s="372" t="s">
        <v>4539</v>
      </c>
      <c r="V597" s="723">
        <v>4.8899999999999997</v>
      </c>
      <c r="W597" s="723">
        <v>0.9</v>
      </c>
      <c r="X597" s="723">
        <v>0.57999999999999996</v>
      </c>
      <c r="Y597" s="723">
        <v>5.64</v>
      </c>
      <c r="Z597" s="382">
        <v>3.9425029795297828E-2</v>
      </c>
      <c r="AA597" s="372">
        <v>5917.9535261000001</v>
      </c>
      <c r="AB597" s="372">
        <v>5287.4097033999997</v>
      </c>
      <c r="AC597" s="372">
        <v>4866.0763618000001</v>
      </c>
      <c r="AD597" s="372">
        <v>5335.7925042999996</v>
      </c>
      <c r="AE597" s="372">
        <v>5180.67</v>
      </c>
      <c r="AF597" s="372">
        <v>5696.67</v>
      </c>
      <c r="AG597" s="372">
        <v>6228.33</v>
      </c>
      <c r="AH597" s="372">
        <v>0</v>
      </c>
    </row>
    <row r="598" spans="1:34">
      <c r="A598" s="372" t="s">
        <v>4540</v>
      </c>
      <c r="B598" s="373" t="s">
        <v>4541</v>
      </c>
      <c r="C598" s="372" t="s">
        <v>4542</v>
      </c>
      <c r="D598" s="374">
        <v>1101115671171</v>
      </c>
      <c r="E598" s="372" t="s">
        <v>4543</v>
      </c>
      <c r="F598" s="372" t="s">
        <v>1370</v>
      </c>
      <c r="G598" s="375" t="s">
        <v>1370</v>
      </c>
      <c r="H598" s="375" t="s">
        <v>861</v>
      </c>
      <c r="I598" s="375" t="s">
        <v>862</v>
      </c>
      <c r="J598" s="375">
        <v>118319.08532</v>
      </c>
      <c r="K598" s="375">
        <v>9992.9085500000001</v>
      </c>
      <c r="L598" s="375">
        <v>55462.982660000001</v>
      </c>
      <c r="M598" s="375">
        <v>424466.62566999998</v>
      </c>
      <c r="N598" s="372">
        <v>1.1100000000000001</v>
      </c>
      <c r="O598" s="704">
        <v>3.8221804882724553</v>
      </c>
      <c r="P598" s="375" t="s">
        <v>622</v>
      </c>
      <c r="Q598" s="375" t="s">
        <v>622</v>
      </c>
      <c r="R598" s="696">
        <v>20150618</v>
      </c>
      <c r="S598" s="375" t="s">
        <v>2505</v>
      </c>
      <c r="T598" s="697">
        <v>0.23100000000000001</v>
      </c>
      <c r="U598" s="372" t="s">
        <v>4544</v>
      </c>
      <c r="V598" s="723">
        <v>14.77</v>
      </c>
      <c r="W598" s="723">
        <v>0.6</v>
      </c>
      <c r="X598" s="723">
        <v>2.27</v>
      </c>
      <c r="Y598" s="723">
        <v>5.05</v>
      </c>
      <c r="Z598" s="382" t="s">
        <v>927</v>
      </c>
      <c r="AA598" s="372">
        <v>196.3970406</v>
      </c>
      <c r="AB598" s="372">
        <v>202.87078199999999</v>
      </c>
      <c r="AC598" s="372">
        <v>294.670973</v>
      </c>
      <c r="AD598" s="372">
        <v>997.46932809999998</v>
      </c>
      <c r="AE598" s="372">
        <v>0</v>
      </c>
      <c r="AF598" s="372">
        <v>0</v>
      </c>
      <c r="AG598" s="372">
        <v>0</v>
      </c>
      <c r="AH598" s="372">
        <v>0</v>
      </c>
    </row>
    <row r="599" spans="1:34">
      <c r="A599" s="372" t="s">
        <v>4545</v>
      </c>
      <c r="B599" s="373" t="s">
        <v>4546</v>
      </c>
      <c r="C599" s="372" t="s">
        <v>4547</v>
      </c>
      <c r="D599" s="374">
        <v>2201110000819</v>
      </c>
      <c r="E599" s="372" t="s">
        <v>4548</v>
      </c>
      <c r="F599" s="372" t="s">
        <v>922</v>
      </c>
      <c r="G599" s="375" t="s">
        <v>923</v>
      </c>
      <c r="H599" s="375" t="s">
        <v>924</v>
      </c>
      <c r="I599" s="375" t="s">
        <v>754</v>
      </c>
      <c r="J599" s="375">
        <v>0</v>
      </c>
      <c r="K599" s="375">
        <v>0</v>
      </c>
      <c r="L599" s="375">
        <v>0</v>
      </c>
      <c r="M599" s="375">
        <v>0</v>
      </c>
      <c r="N599" s="372">
        <v>0.751</v>
      </c>
      <c r="O599" s="704" t="s">
        <v>16301</v>
      </c>
      <c r="P599" s="375" t="s">
        <v>622</v>
      </c>
      <c r="Q599" s="375" t="s">
        <v>622</v>
      </c>
      <c r="R599" s="696">
        <v>19721228</v>
      </c>
      <c r="S599" s="372" t="s">
        <v>4549</v>
      </c>
      <c r="T599" s="697" t="s">
        <v>771</v>
      </c>
      <c r="U599" s="375" t="s">
        <v>4550</v>
      </c>
      <c r="V599" s="723">
        <v>0</v>
      </c>
      <c r="W599" s="723">
        <v>0</v>
      </c>
      <c r="X599" s="723">
        <v>0</v>
      </c>
      <c r="Y599" s="723">
        <v>0</v>
      </c>
      <c r="Z599" s="382" t="s">
        <v>927</v>
      </c>
      <c r="AA599" s="372">
        <v>1827.39</v>
      </c>
      <c r="AB599" s="372">
        <v>1840.53</v>
      </c>
      <c r="AC599" s="372">
        <v>2549.6999999999998</v>
      </c>
      <c r="AD599" s="372">
        <v>3398.67</v>
      </c>
      <c r="AE599" s="372">
        <v>0</v>
      </c>
      <c r="AF599" s="372">
        <v>0</v>
      </c>
      <c r="AG599" s="372">
        <v>0</v>
      </c>
      <c r="AH599" s="372">
        <v>0</v>
      </c>
    </row>
    <row r="600" spans="1:34">
      <c r="A600" s="372" t="s">
        <v>4551</v>
      </c>
      <c r="B600" s="373" t="s">
        <v>4552</v>
      </c>
      <c r="C600" s="372" t="s">
        <v>4553</v>
      </c>
      <c r="D600" s="374">
        <v>1801110058742</v>
      </c>
      <c r="E600" s="372" t="s">
        <v>4554</v>
      </c>
      <c r="F600" s="375" t="s">
        <v>1323</v>
      </c>
      <c r="G600" s="375" t="s">
        <v>16106</v>
      </c>
      <c r="H600" s="375" t="s">
        <v>861</v>
      </c>
      <c r="I600" s="375" t="s">
        <v>862</v>
      </c>
      <c r="J600" s="375">
        <v>129613.60311</v>
      </c>
      <c r="K600" s="375">
        <v>-26882.13394</v>
      </c>
      <c r="L600" s="375">
        <v>-32946.027719999998</v>
      </c>
      <c r="M600" s="375">
        <v>170233.56594</v>
      </c>
      <c r="N600" s="372">
        <v>1.302</v>
      </c>
      <c r="O600" s="704">
        <v>10.859646362194027</v>
      </c>
      <c r="P600" s="375" t="s">
        <v>622</v>
      </c>
      <c r="Q600" s="372" t="s">
        <v>622</v>
      </c>
      <c r="R600" s="696">
        <v>20010803</v>
      </c>
      <c r="S600" s="372" t="s">
        <v>4555</v>
      </c>
      <c r="T600" s="697" t="s">
        <v>771</v>
      </c>
      <c r="U600" s="372" t="s">
        <v>4556</v>
      </c>
      <c r="V600" s="723" t="s">
        <v>773</v>
      </c>
      <c r="W600" s="723">
        <v>4.34</v>
      </c>
      <c r="X600" s="723">
        <v>6.03</v>
      </c>
      <c r="Y600" s="723" t="s">
        <v>773</v>
      </c>
      <c r="Z600" s="382">
        <v>0.12264924116321874</v>
      </c>
      <c r="AA600" s="372">
        <v>1329.7638658000001</v>
      </c>
      <c r="AB600" s="372">
        <v>1343.9927925</v>
      </c>
      <c r="AC600" s="372">
        <v>1566.7702446999999</v>
      </c>
      <c r="AD600" s="372">
        <v>1548.2477550999999</v>
      </c>
      <c r="AE600" s="372">
        <v>1438</v>
      </c>
      <c r="AF600" s="372">
        <v>1916</v>
      </c>
      <c r="AG600" s="372">
        <v>2459.33</v>
      </c>
      <c r="AH600" s="372">
        <v>2514</v>
      </c>
    </row>
    <row r="601" spans="1:34">
      <c r="A601" s="372" t="s">
        <v>4557</v>
      </c>
      <c r="B601" s="373" t="s">
        <v>4558</v>
      </c>
      <c r="C601" s="372" t="s">
        <v>4559</v>
      </c>
      <c r="D601" s="374">
        <v>1101116390770</v>
      </c>
      <c r="E601" s="372" t="s">
        <v>4560</v>
      </c>
      <c r="F601" s="375" t="s">
        <v>16111</v>
      </c>
      <c r="G601" s="375" t="s">
        <v>16111</v>
      </c>
      <c r="H601" s="375" t="s">
        <v>861</v>
      </c>
      <c r="I601" s="375" t="s">
        <v>862</v>
      </c>
      <c r="J601" s="375">
        <v>1792447.39258</v>
      </c>
      <c r="K601" s="375">
        <v>74882.594419999994</v>
      </c>
      <c r="L601" s="375">
        <v>72524.728640000001</v>
      </c>
      <c r="M601" s="375">
        <v>568357.28060000006</v>
      </c>
      <c r="N601" s="372">
        <v>0.46800000000000003</v>
      </c>
      <c r="O601" s="704">
        <v>78.840792864894681</v>
      </c>
      <c r="P601" s="375" t="s">
        <v>622</v>
      </c>
      <c r="Q601" s="375" t="s">
        <v>622</v>
      </c>
      <c r="R601" s="696">
        <v>20170605</v>
      </c>
      <c r="S601" s="375" t="s">
        <v>4561</v>
      </c>
      <c r="T601" s="697">
        <v>0.23100000000000001</v>
      </c>
      <c r="U601" s="375" t="s">
        <v>4562</v>
      </c>
      <c r="V601" s="723">
        <v>2.6</v>
      </c>
      <c r="W601" s="723">
        <v>0.51</v>
      </c>
      <c r="X601" s="723">
        <v>0.17</v>
      </c>
      <c r="Y601" s="723">
        <v>5.82</v>
      </c>
      <c r="Z601" s="382">
        <v>2.1679936506237896E-2</v>
      </c>
      <c r="AA601" s="372">
        <v>14630.9581855</v>
      </c>
      <c r="AB601" s="372">
        <v>15518.6954671</v>
      </c>
      <c r="AC601" s="372">
        <v>16856.4402992</v>
      </c>
      <c r="AD601" s="372">
        <v>17829.792155899999</v>
      </c>
      <c r="AE601" s="372">
        <v>18312</v>
      </c>
      <c r="AF601" s="372">
        <v>18862</v>
      </c>
      <c r="AG601" s="372">
        <v>19427</v>
      </c>
      <c r="AH601" s="372">
        <v>0</v>
      </c>
    </row>
    <row r="602" spans="1:34">
      <c r="A602" s="372" t="s">
        <v>4563</v>
      </c>
      <c r="B602" s="373" t="s">
        <v>4564</v>
      </c>
      <c r="C602" s="372" t="s">
        <v>4565</v>
      </c>
      <c r="D602" s="374">
        <v>1311110251395</v>
      </c>
      <c r="E602" s="372" t="s">
        <v>4566</v>
      </c>
      <c r="F602" s="375" t="s">
        <v>1116</v>
      </c>
      <c r="G602" s="375" t="s">
        <v>1336</v>
      </c>
      <c r="H602" s="375" t="s">
        <v>1337</v>
      </c>
      <c r="I602" s="375" t="s">
        <v>862</v>
      </c>
      <c r="J602" s="375">
        <v>6185.7272599999997</v>
      </c>
      <c r="K602" s="375">
        <v>-11845.082549999999</v>
      </c>
      <c r="L602" s="375">
        <v>-16475.888040000002</v>
      </c>
      <c r="M602" s="375">
        <v>58503.193800000001</v>
      </c>
      <c r="N602" s="372">
        <v>0.64100000000000001</v>
      </c>
      <c r="O602" s="704">
        <v>7.9492331178565756</v>
      </c>
      <c r="P602" s="375" t="s">
        <v>622</v>
      </c>
      <c r="Q602" s="372" t="s">
        <v>622</v>
      </c>
      <c r="R602" s="696">
        <v>20181122</v>
      </c>
      <c r="S602" s="372" t="s">
        <v>4567</v>
      </c>
      <c r="T602" s="697" t="s">
        <v>771</v>
      </c>
      <c r="U602" s="372" t="s">
        <v>4568</v>
      </c>
      <c r="V602" s="723" t="s">
        <v>773</v>
      </c>
      <c r="W602" s="723">
        <v>2.61</v>
      </c>
      <c r="X602" s="723">
        <v>24.39</v>
      </c>
      <c r="Y602" s="723" t="s">
        <v>773</v>
      </c>
      <c r="Z602" s="382" t="s">
        <v>927</v>
      </c>
      <c r="AA602" s="372">
        <v>4.1385072999999997</v>
      </c>
      <c r="AB602" s="372">
        <v>3.4784562999999999</v>
      </c>
      <c r="AC602" s="372">
        <v>7.6077744000000003</v>
      </c>
      <c r="AD602" s="372">
        <v>31.843607500000001</v>
      </c>
      <c r="AE602" s="372">
        <v>112</v>
      </c>
      <c r="AF602" s="372">
        <v>192</v>
      </c>
      <c r="AG602" s="372">
        <v>0</v>
      </c>
      <c r="AH602" s="372">
        <v>0</v>
      </c>
    </row>
    <row r="603" spans="1:34">
      <c r="A603" s="372" t="s">
        <v>4569</v>
      </c>
      <c r="B603" s="373" t="s">
        <v>4570</v>
      </c>
      <c r="C603" s="372" t="s">
        <v>4571</v>
      </c>
      <c r="D603" s="374">
        <v>1501110267365</v>
      </c>
      <c r="E603" s="372" t="s">
        <v>4572</v>
      </c>
      <c r="F603" s="375" t="s">
        <v>2718</v>
      </c>
      <c r="G603" s="375" t="s">
        <v>2718</v>
      </c>
      <c r="H603" s="375" t="s">
        <v>1337</v>
      </c>
      <c r="I603" s="375" t="s">
        <v>862</v>
      </c>
      <c r="J603" s="375">
        <v>129119.64436999999</v>
      </c>
      <c r="K603" s="375">
        <v>-4663.5344100000002</v>
      </c>
      <c r="L603" s="375">
        <v>-43190.301480000002</v>
      </c>
      <c r="M603" s="375">
        <v>174948.43302999999</v>
      </c>
      <c r="N603" s="372">
        <v>1.325</v>
      </c>
      <c r="O603" s="704">
        <v>89.844735714906349</v>
      </c>
      <c r="P603" s="375" t="s">
        <v>622</v>
      </c>
      <c r="Q603" s="375" t="s">
        <v>622</v>
      </c>
      <c r="R603" s="696">
        <v>20201117</v>
      </c>
      <c r="S603" s="375" t="s">
        <v>4573</v>
      </c>
      <c r="T603" s="697" t="s">
        <v>771</v>
      </c>
      <c r="U603" s="375" t="s">
        <v>4574</v>
      </c>
      <c r="V603" s="723">
        <v>0</v>
      </c>
      <c r="W603" s="723">
        <v>0</v>
      </c>
      <c r="X603" s="723">
        <v>0</v>
      </c>
      <c r="Y603" s="723">
        <v>0</v>
      </c>
      <c r="Z603" s="382" t="s">
        <v>927</v>
      </c>
      <c r="AA603" s="372">
        <v>678.44759239999996</v>
      </c>
      <c r="AB603" s="372">
        <v>1142.0689417999999</v>
      </c>
      <c r="AC603" s="372">
        <v>1538.6120519000001</v>
      </c>
      <c r="AD603" s="372">
        <v>1260.8938740999999</v>
      </c>
      <c r="AE603" s="372">
        <v>0</v>
      </c>
      <c r="AF603" s="372">
        <v>0</v>
      </c>
      <c r="AG603" s="372">
        <v>0</v>
      </c>
      <c r="AH603" s="372">
        <v>0</v>
      </c>
    </row>
    <row r="604" spans="1:34">
      <c r="A604" s="372" t="s">
        <v>4575</v>
      </c>
      <c r="B604" s="373" t="s">
        <v>4576</v>
      </c>
      <c r="C604" s="372" t="s">
        <v>4577</v>
      </c>
      <c r="D604" s="374">
        <v>1101111948277</v>
      </c>
      <c r="E604" s="372" t="s">
        <v>4578</v>
      </c>
      <c r="F604" s="372" t="s">
        <v>16101</v>
      </c>
      <c r="G604" s="375" t="s">
        <v>16101</v>
      </c>
      <c r="H604" s="375" t="s">
        <v>861</v>
      </c>
      <c r="I604" s="375" t="s">
        <v>862</v>
      </c>
      <c r="J604" s="375">
        <v>147976.98378000001</v>
      </c>
      <c r="K604" s="375">
        <v>-27058.70248</v>
      </c>
      <c r="L604" s="375">
        <v>-89743.544219999996</v>
      </c>
      <c r="M604" s="375">
        <v>113049.96017000001</v>
      </c>
      <c r="N604" s="372">
        <v>0.626</v>
      </c>
      <c r="O604" s="704">
        <v>48.015825669075014</v>
      </c>
      <c r="P604" s="375" t="s">
        <v>622</v>
      </c>
      <c r="Q604" s="375" t="s">
        <v>622</v>
      </c>
      <c r="R604" s="696">
        <v>20090407</v>
      </c>
      <c r="S604" s="375" t="s">
        <v>4579</v>
      </c>
      <c r="T604" s="697" t="s">
        <v>771</v>
      </c>
      <c r="U604" s="375" t="s">
        <v>4580</v>
      </c>
      <c r="V604" s="723" t="s">
        <v>773</v>
      </c>
      <c r="W604" s="723">
        <v>2.02</v>
      </c>
      <c r="X604" s="723">
        <v>1.46</v>
      </c>
      <c r="Y604" s="723" t="s">
        <v>773</v>
      </c>
      <c r="Z604" s="382" t="s">
        <v>927</v>
      </c>
      <c r="AA604" s="372">
        <v>1294.1291759000001</v>
      </c>
      <c r="AB604" s="372">
        <v>1654.8531035999999</v>
      </c>
      <c r="AC604" s="372">
        <v>1615.8378963</v>
      </c>
      <c r="AD604" s="372">
        <v>1246.3903455</v>
      </c>
      <c r="AE604" s="372">
        <v>0</v>
      </c>
      <c r="AF604" s="372">
        <v>0</v>
      </c>
      <c r="AG604" s="372">
        <v>0</v>
      </c>
      <c r="AH604" s="372">
        <v>0</v>
      </c>
    </row>
    <row r="605" spans="1:34">
      <c r="A605" s="372" t="s">
        <v>4581</v>
      </c>
      <c r="B605" s="373" t="s">
        <v>4582</v>
      </c>
      <c r="C605" s="372" t="s">
        <v>4583</v>
      </c>
      <c r="D605" s="374">
        <v>1101112743866</v>
      </c>
      <c r="E605" s="372" t="s">
        <v>4584</v>
      </c>
      <c r="F605" s="375" t="s">
        <v>1696</v>
      </c>
      <c r="G605" s="375" t="s">
        <v>1696</v>
      </c>
      <c r="H605" s="375" t="s">
        <v>1337</v>
      </c>
      <c r="I605" s="375" t="s">
        <v>862</v>
      </c>
      <c r="J605" s="375">
        <v>348326.86285999999</v>
      </c>
      <c r="K605" s="375">
        <v>50324.888509999997</v>
      </c>
      <c r="L605" s="375">
        <v>52461.414409999998</v>
      </c>
      <c r="M605" s="375">
        <v>278391.84198000003</v>
      </c>
      <c r="N605" s="372">
        <v>0.60899999999999999</v>
      </c>
      <c r="O605" s="704">
        <v>7.8745005279630309</v>
      </c>
      <c r="P605" s="375" t="s">
        <v>622</v>
      </c>
      <c r="Q605" s="375" t="s">
        <v>622</v>
      </c>
      <c r="R605" s="696">
        <v>20160808</v>
      </c>
      <c r="S605" s="375" t="s">
        <v>4585</v>
      </c>
      <c r="T605" s="697">
        <v>0.23100000000000001</v>
      </c>
      <c r="U605" s="375" t="s">
        <v>4586</v>
      </c>
      <c r="V605" s="723">
        <v>6.5</v>
      </c>
      <c r="W605" s="723">
        <v>1.42</v>
      </c>
      <c r="X605" s="723">
        <v>0.99</v>
      </c>
      <c r="Y605" s="723">
        <v>11.09</v>
      </c>
      <c r="Z605" s="382">
        <v>5.7228121839359103E-2</v>
      </c>
      <c r="AA605" s="372">
        <v>1770.3075558</v>
      </c>
      <c r="AB605" s="372">
        <v>2296.6247595999998</v>
      </c>
      <c r="AC605" s="372">
        <v>3527.5616097000002</v>
      </c>
      <c r="AD605" s="372">
        <v>3504.7774512000001</v>
      </c>
      <c r="AE605" s="372">
        <v>3597</v>
      </c>
      <c r="AF605" s="372">
        <v>3974.2</v>
      </c>
      <c r="AG605" s="372">
        <v>4378.6000000000004</v>
      </c>
      <c r="AH605" s="372">
        <v>0</v>
      </c>
    </row>
    <row r="606" spans="1:34">
      <c r="A606" s="372" t="s">
        <v>4587</v>
      </c>
      <c r="B606" s="373" t="s">
        <v>4588</v>
      </c>
      <c r="C606" s="372" t="s">
        <v>4589</v>
      </c>
      <c r="D606" s="374">
        <v>1350110115846</v>
      </c>
      <c r="E606" s="372" t="s">
        <v>4590</v>
      </c>
      <c r="F606" s="372" t="s">
        <v>1249</v>
      </c>
      <c r="G606" s="375" t="s">
        <v>1249</v>
      </c>
      <c r="H606" s="375" t="s">
        <v>861</v>
      </c>
      <c r="I606" s="375" t="s">
        <v>862</v>
      </c>
      <c r="J606" s="375">
        <v>94363.88725</v>
      </c>
      <c r="K606" s="375">
        <v>-463.54309000000001</v>
      </c>
      <c r="L606" s="375">
        <v>3878.4662899999998</v>
      </c>
      <c r="M606" s="375">
        <v>196029.73801</v>
      </c>
      <c r="N606" s="372">
        <v>0.90700000000000003</v>
      </c>
      <c r="O606" s="704">
        <v>26.341767218510302</v>
      </c>
      <c r="P606" s="375" t="s">
        <v>622</v>
      </c>
      <c r="Q606" s="375" t="s">
        <v>622</v>
      </c>
      <c r="R606" s="696">
        <v>20010829</v>
      </c>
      <c r="S606" s="375" t="s">
        <v>1344</v>
      </c>
      <c r="T606" s="697">
        <v>0.20900000000000002</v>
      </c>
      <c r="U606" s="375" t="s">
        <v>4591</v>
      </c>
      <c r="V606" s="723">
        <v>110.62</v>
      </c>
      <c r="W606" s="723">
        <v>1.54</v>
      </c>
      <c r="X606" s="723">
        <v>3.21</v>
      </c>
      <c r="Y606" s="723">
        <v>104.6</v>
      </c>
      <c r="Z606" s="382" t="s">
        <v>927</v>
      </c>
      <c r="AA606" s="372">
        <v>644.59891270000003</v>
      </c>
      <c r="AB606" s="372">
        <v>694.75495569999998</v>
      </c>
      <c r="AC606" s="372">
        <v>821.97409660000005</v>
      </c>
      <c r="AD606" s="372">
        <v>939.06675099999995</v>
      </c>
      <c r="AE606" s="372">
        <v>0</v>
      </c>
      <c r="AF606" s="372">
        <v>0</v>
      </c>
      <c r="AG606" s="372">
        <v>0</v>
      </c>
      <c r="AH606" s="372">
        <v>0</v>
      </c>
    </row>
    <row r="607" spans="1:34">
      <c r="A607" s="372" t="s">
        <v>4592</v>
      </c>
      <c r="B607" s="373" t="s">
        <v>4593</v>
      </c>
      <c r="C607" s="372" t="s">
        <v>4594</v>
      </c>
      <c r="D607" s="374">
        <v>1801110029321</v>
      </c>
      <c r="E607" s="372" t="s">
        <v>4595</v>
      </c>
      <c r="F607" s="375" t="s">
        <v>3218</v>
      </c>
      <c r="G607" s="375" t="s">
        <v>3218</v>
      </c>
      <c r="H607" s="375" t="s">
        <v>861</v>
      </c>
      <c r="I607" s="375" t="s">
        <v>862</v>
      </c>
      <c r="J607" s="375">
        <v>188066.22020000001</v>
      </c>
      <c r="K607" s="375">
        <v>54902.302259999997</v>
      </c>
      <c r="L607" s="375">
        <v>61625.856180000002</v>
      </c>
      <c r="M607" s="375">
        <v>419125.39513000002</v>
      </c>
      <c r="N607" s="372">
        <v>0.56399999999999995</v>
      </c>
      <c r="O607" s="704">
        <v>0</v>
      </c>
      <c r="P607" s="375" t="s">
        <v>622</v>
      </c>
      <c r="Q607" s="375" t="s">
        <v>622</v>
      </c>
      <c r="R607" s="696">
        <v>19891208</v>
      </c>
      <c r="S607" s="375" t="s">
        <v>4596</v>
      </c>
      <c r="T607" s="697">
        <v>0.23100000000000001</v>
      </c>
      <c r="U607" s="375" t="s">
        <v>4597</v>
      </c>
      <c r="V607" s="723">
        <v>5.48</v>
      </c>
      <c r="W607" s="723">
        <v>0.74</v>
      </c>
      <c r="X607" s="723">
        <v>1.72</v>
      </c>
      <c r="Y607" s="723">
        <v>7.08</v>
      </c>
      <c r="Z607" s="382">
        <v>8.7038725657564431E-3</v>
      </c>
      <c r="AA607" s="372">
        <v>1381.9221456</v>
      </c>
      <c r="AB607" s="372">
        <v>1467.3857192</v>
      </c>
      <c r="AC607" s="372">
        <v>1828.5109141</v>
      </c>
      <c r="AD607" s="372">
        <v>1888.3913791</v>
      </c>
      <c r="AE607" s="372">
        <v>1872.5</v>
      </c>
      <c r="AF607" s="372">
        <v>1866</v>
      </c>
      <c r="AG607" s="372">
        <v>1955</v>
      </c>
      <c r="AH607" s="372">
        <v>0</v>
      </c>
    </row>
    <row r="608" spans="1:34">
      <c r="A608" s="372" t="s">
        <v>4598</v>
      </c>
      <c r="B608" s="373" t="s">
        <v>4599</v>
      </c>
      <c r="C608" s="372" t="s">
        <v>4600</v>
      </c>
      <c r="D608" s="374">
        <v>1313110038864</v>
      </c>
      <c r="E608" s="372" t="s">
        <v>4601</v>
      </c>
      <c r="F608" s="375" t="s">
        <v>1185</v>
      </c>
      <c r="G608" s="375" t="s">
        <v>1186</v>
      </c>
      <c r="H608" s="375" t="s">
        <v>861</v>
      </c>
      <c r="I608" s="375" t="s">
        <v>862</v>
      </c>
      <c r="J608" s="375">
        <v>335889.72349</v>
      </c>
      <c r="K608" s="375">
        <v>61923.905180000002</v>
      </c>
      <c r="L608" s="375">
        <v>63231.414340000003</v>
      </c>
      <c r="M608" s="375">
        <v>265877.99154999998</v>
      </c>
      <c r="N608" s="372">
        <v>1.423</v>
      </c>
      <c r="O608" s="704">
        <v>4.8283289465845884</v>
      </c>
      <c r="P608" s="375" t="s">
        <v>622</v>
      </c>
      <c r="Q608" s="375" t="s">
        <v>622</v>
      </c>
      <c r="R608" s="696">
        <v>20060201</v>
      </c>
      <c r="S608" s="375" t="s">
        <v>4602</v>
      </c>
      <c r="T608" s="697">
        <v>0.23100000000000001</v>
      </c>
      <c r="U608" s="375" t="s">
        <v>4603</v>
      </c>
      <c r="V608" s="723">
        <v>4.8499999999999996</v>
      </c>
      <c r="W608" s="723">
        <v>1.2</v>
      </c>
      <c r="X608" s="723">
        <v>0.93</v>
      </c>
      <c r="Y608" s="723">
        <v>6.67</v>
      </c>
      <c r="Z608" s="382" t="s">
        <v>927</v>
      </c>
      <c r="AA608" s="372">
        <v>1668.8049801</v>
      </c>
      <c r="AB608" s="372">
        <v>3044.8749591000001</v>
      </c>
      <c r="AC608" s="372">
        <v>3128.4780639000001</v>
      </c>
      <c r="AD608" s="372">
        <v>2792.1539545000001</v>
      </c>
      <c r="AE608" s="372">
        <v>3100</v>
      </c>
      <c r="AF608" s="372">
        <v>3850</v>
      </c>
      <c r="AG608" s="372">
        <v>0</v>
      </c>
      <c r="AH608" s="372">
        <v>0</v>
      </c>
    </row>
    <row r="609" spans="1:34">
      <c r="A609" s="372" t="s">
        <v>4604</v>
      </c>
      <c r="B609" s="373" t="s">
        <v>4605</v>
      </c>
      <c r="C609" s="372" t="s">
        <v>4606</v>
      </c>
      <c r="D609" s="374">
        <v>1101112727141</v>
      </c>
      <c r="E609" s="372" t="s">
        <v>4607</v>
      </c>
      <c r="F609" s="375" t="s">
        <v>1323</v>
      </c>
      <c r="G609" s="375" t="s">
        <v>16106</v>
      </c>
      <c r="H609" s="375" t="s">
        <v>861</v>
      </c>
      <c r="I609" s="375" t="s">
        <v>862</v>
      </c>
      <c r="J609" s="375">
        <v>161140.90938999999</v>
      </c>
      <c r="K609" s="375">
        <v>38212.316509999997</v>
      </c>
      <c r="L609" s="375">
        <v>38217.149039999997</v>
      </c>
      <c r="M609" s="375">
        <v>217070.30428000001</v>
      </c>
      <c r="N609" s="372">
        <v>0.35699999999999998</v>
      </c>
      <c r="O609" s="704">
        <v>0.56037158790477437</v>
      </c>
      <c r="P609" s="375" t="s">
        <v>622</v>
      </c>
      <c r="Q609" s="372" t="s">
        <v>622</v>
      </c>
      <c r="R609" s="696">
        <v>20141226</v>
      </c>
      <c r="S609" s="372" t="s">
        <v>4608</v>
      </c>
      <c r="T609" s="697">
        <v>0.23100000000000001</v>
      </c>
      <c r="U609" s="372" t="s">
        <v>4609</v>
      </c>
      <c r="V609" s="723">
        <v>0</v>
      </c>
      <c r="W609" s="723">
        <v>0</v>
      </c>
      <c r="X609" s="723">
        <v>0</v>
      </c>
      <c r="Y609" s="723">
        <v>0</v>
      </c>
      <c r="Z609" s="382">
        <v>0.1073950248784421</v>
      </c>
      <c r="AA609" s="372">
        <v>984.80868090000001</v>
      </c>
      <c r="AB609" s="372">
        <v>1109.9235403</v>
      </c>
      <c r="AC609" s="372">
        <v>1231.7278985999999</v>
      </c>
      <c r="AD609" s="372">
        <v>1522.7380856</v>
      </c>
      <c r="AE609" s="372">
        <v>1783</v>
      </c>
      <c r="AF609" s="372">
        <v>2021</v>
      </c>
      <c r="AG609" s="372">
        <v>2290</v>
      </c>
      <c r="AH609" s="372">
        <v>0</v>
      </c>
    </row>
    <row r="610" spans="1:34">
      <c r="A610" s="372" t="s">
        <v>4610</v>
      </c>
      <c r="B610" s="373" t="s">
        <v>4611</v>
      </c>
      <c r="C610" s="372" t="s">
        <v>4612</v>
      </c>
      <c r="D610" s="374">
        <v>1760110007234</v>
      </c>
      <c r="E610" s="372" t="s">
        <v>4613</v>
      </c>
      <c r="F610" s="375" t="s">
        <v>1276</v>
      </c>
      <c r="G610" s="375" t="s">
        <v>1452</v>
      </c>
      <c r="H610" s="375" t="s">
        <v>861</v>
      </c>
      <c r="I610" s="375" t="s">
        <v>862</v>
      </c>
      <c r="J610" s="375">
        <v>298041.13191</v>
      </c>
      <c r="K610" s="375">
        <v>21331.701990000001</v>
      </c>
      <c r="L610" s="375">
        <v>15000.373020000001</v>
      </c>
      <c r="M610" s="375">
        <v>253568.00727</v>
      </c>
      <c r="N610" s="372">
        <v>0.88400000000000001</v>
      </c>
      <c r="O610" s="704">
        <v>22.896945900525953</v>
      </c>
      <c r="P610" s="375" t="s">
        <v>622</v>
      </c>
      <c r="Q610" s="375" t="s">
        <v>622</v>
      </c>
      <c r="R610" s="696">
        <v>20020517</v>
      </c>
      <c r="S610" s="375" t="s">
        <v>4614</v>
      </c>
      <c r="T610" s="697">
        <v>0.20900000000000002</v>
      </c>
      <c r="U610" s="372" t="s">
        <v>4615</v>
      </c>
      <c r="V610" s="723">
        <v>5.95</v>
      </c>
      <c r="W610" s="723">
        <v>0.86</v>
      </c>
      <c r="X610" s="723">
        <v>0.8</v>
      </c>
      <c r="Y610" s="723">
        <v>20.72</v>
      </c>
      <c r="Z610" s="382">
        <v>0.10274181412593753</v>
      </c>
      <c r="AA610" s="372">
        <v>1850.0155999999999</v>
      </c>
      <c r="AB610" s="372">
        <v>3398.4278810000001</v>
      </c>
      <c r="AC610" s="372">
        <v>3360.9844493999999</v>
      </c>
      <c r="AD610" s="372">
        <v>3635.7209899999998</v>
      </c>
      <c r="AE610" s="372">
        <v>3542</v>
      </c>
      <c r="AF610" s="372">
        <v>4720.83</v>
      </c>
      <c r="AG610" s="372">
        <v>5376.33</v>
      </c>
      <c r="AH610" s="372">
        <v>0</v>
      </c>
    </row>
    <row r="611" spans="1:34">
      <c r="A611" s="372" t="s">
        <v>4616</v>
      </c>
      <c r="B611" s="373" t="s">
        <v>4617</v>
      </c>
      <c r="C611" s="372" t="s">
        <v>4618</v>
      </c>
      <c r="D611" s="374">
        <v>1801110003268</v>
      </c>
      <c r="E611" s="372" t="s">
        <v>4619</v>
      </c>
      <c r="F611" s="375" t="s">
        <v>811</v>
      </c>
      <c r="G611" s="375" t="s">
        <v>811</v>
      </c>
      <c r="H611" s="375" t="s">
        <v>812</v>
      </c>
      <c r="I611" s="375" t="s">
        <v>754</v>
      </c>
      <c r="J611" s="375">
        <v>1238865.24095</v>
      </c>
      <c r="K611" s="375">
        <v>33970.88768</v>
      </c>
      <c r="L611" s="375">
        <v>62259.428590000003</v>
      </c>
      <c r="M611" s="375">
        <v>891626.97542999999</v>
      </c>
      <c r="N611" s="372">
        <v>0.63300000000000001</v>
      </c>
      <c r="O611" s="704">
        <v>12.031045727205637</v>
      </c>
      <c r="P611" s="375" t="s">
        <v>622</v>
      </c>
      <c r="Q611" s="375" t="s">
        <v>622</v>
      </c>
      <c r="R611" s="696">
        <v>20051031</v>
      </c>
      <c r="S611" s="375" t="s">
        <v>4620</v>
      </c>
      <c r="T611" s="697">
        <v>0.23100000000000001</v>
      </c>
      <c r="U611" s="375" t="s">
        <v>4621</v>
      </c>
      <c r="V611" s="723">
        <v>6.17</v>
      </c>
      <c r="W611" s="723">
        <v>0.35</v>
      </c>
      <c r="X611" s="723">
        <v>0.25</v>
      </c>
      <c r="Y611" s="723">
        <v>5.33</v>
      </c>
      <c r="Z611" s="382">
        <v>-2.8193012043141952E-2</v>
      </c>
      <c r="AA611" s="372">
        <v>10961.348152</v>
      </c>
      <c r="AB611" s="372">
        <v>20303.052935700001</v>
      </c>
      <c r="AC611" s="372">
        <v>21416.163017399998</v>
      </c>
      <c r="AD611" s="372">
        <v>14478.3202643</v>
      </c>
      <c r="AE611" s="372">
        <v>12108.5</v>
      </c>
      <c r="AF611" s="372">
        <v>12584.75</v>
      </c>
      <c r="AG611" s="372">
        <v>12913.33</v>
      </c>
      <c r="AH611" s="372">
        <v>0</v>
      </c>
    </row>
    <row r="612" spans="1:34">
      <c r="A612" s="372" t="s">
        <v>4622</v>
      </c>
      <c r="B612" s="373" t="s">
        <v>4623</v>
      </c>
      <c r="C612" s="372" t="s">
        <v>4624</v>
      </c>
      <c r="D612" s="374">
        <v>1244110002907</v>
      </c>
      <c r="E612" s="372" t="s">
        <v>4625</v>
      </c>
      <c r="F612" s="375" t="s">
        <v>893</v>
      </c>
      <c r="G612" s="375" t="s">
        <v>894</v>
      </c>
      <c r="H612" s="375" t="s">
        <v>855</v>
      </c>
      <c r="I612" s="375" t="s">
        <v>754</v>
      </c>
      <c r="J612" s="375">
        <v>1767704.51159</v>
      </c>
      <c r="K612" s="375">
        <v>214807.06865999999</v>
      </c>
      <c r="L612" s="375">
        <v>225751.15701</v>
      </c>
      <c r="M612" s="375">
        <v>2052726.7997699999</v>
      </c>
      <c r="N612" s="372">
        <v>0.64200000000000002</v>
      </c>
      <c r="O612" s="704">
        <v>1.418730896390886</v>
      </c>
      <c r="P612" s="375" t="s">
        <v>622</v>
      </c>
      <c r="Q612" s="372" t="s">
        <v>622</v>
      </c>
      <c r="R612" s="696">
        <v>20000303</v>
      </c>
      <c r="S612" s="372" t="s">
        <v>4626</v>
      </c>
      <c r="T612" s="697">
        <v>0.23100000000000001</v>
      </c>
      <c r="U612" s="375" t="s">
        <v>4627</v>
      </c>
      <c r="V612" s="723">
        <v>4.76</v>
      </c>
      <c r="W612" s="723">
        <v>0.3</v>
      </c>
      <c r="X612" s="723">
        <v>0.21</v>
      </c>
      <c r="Y612" s="723">
        <v>3.17</v>
      </c>
      <c r="Z612" s="382">
        <v>3.0404781955203353E-2</v>
      </c>
      <c r="AA612" s="372">
        <v>14357.546991900001</v>
      </c>
      <c r="AB612" s="372">
        <v>14040.720985</v>
      </c>
      <c r="AC612" s="372">
        <v>16295.209247700001</v>
      </c>
      <c r="AD612" s="372">
        <v>18957.1505941</v>
      </c>
      <c r="AE612" s="372">
        <v>18420</v>
      </c>
      <c r="AF612" s="372">
        <v>19870</v>
      </c>
      <c r="AG612" s="372">
        <v>21370</v>
      </c>
      <c r="AH612" s="372">
        <v>0</v>
      </c>
    </row>
    <row r="613" spans="1:34">
      <c r="A613" s="372" t="s">
        <v>4628</v>
      </c>
      <c r="B613" s="373" t="s">
        <v>4629</v>
      </c>
      <c r="C613" s="372" t="s">
        <v>4630</v>
      </c>
      <c r="D613" s="374">
        <v>1101111786057</v>
      </c>
      <c r="E613" s="372" t="s">
        <v>4631</v>
      </c>
      <c r="F613" s="375" t="s">
        <v>2124</v>
      </c>
      <c r="G613" s="375" t="s">
        <v>2124</v>
      </c>
      <c r="H613" s="375" t="s">
        <v>861</v>
      </c>
      <c r="I613" s="375" t="s">
        <v>862</v>
      </c>
      <c r="J613" s="375">
        <v>4570.84908</v>
      </c>
      <c r="K613" s="375">
        <v>-1865.2000599999999</v>
      </c>
      <c r="L613" s="375">
        <v>-1242.5328500000001</v>
      </c>
      <c r="M613" s="375">
        <v>42752.271540000002</v>
      </c>
      <c r="N613" s="372">
        <v>0.91800000000000004</v>
      </c>
      <c r="O613" s="704">
        <v>6.9134777682305405E-4</v>
      </c>
      <c r="P613" s="375" t="s">
        <v>622</v>
      </c>
      <c r="Q613" s="375" t="s">
        <v>622</v>
      </c>
      <c r="R613" s="696">
        <v>20210317</v>
      </c>
      <c r="S613" s="375" t="s">
        <v>4632</v>
      </c>
      <c r="T613" s="697" t="s">
        <v>771</v>
      </c>
      <c r="U613" s="372" t="s">
        <v>4633</v>
      </c>
      <c r="V613" s="723">
        <v>0</v>
      </c>
      <c r="W613" s="723">
        <v>0</v>
      </c>
      <c r="X613" s="723">
        <v>0</v>
      </c>
      <c r="Y613" s="723">
        <v>0</v>
      </c>
      <c r="Z613" s="382" t="s">
        <v>927</v>
      </c>
      <c r="AA613" s="372">
        <v>36.709954500000002</v>
      </c>
      <c r="AB613" s="372">
        <v>37.632505799999997</v>
      </c>
      <c r="AC613" s="372">
        <v>122.1042593</v>
      </c>
      <c r="AD613" s="372">
        <v>40.886937500000002</v>
      </c>
      <c r="AE613" s="372">
        <v>0</v>
      </c>
      <c r="AF613" s="372">
        <v>0</v>
      </c>
      <c r="AG613" s="372">
        <v>0</v>
      </c>
      <c r="AH613" s="372">
        <v>0</v>
      </c>
    </row>
    <row r="614" spans="1:34">
      <c r="A614" s="372" t="s">
        <v>4634</v>
      </c>
      <c r="B614" s="373" t="s">
        <v>4635</v>
      </c>
      <c r="C614" s="372" t="s">
        <v>4636</v>
      </c>
      <c r="D614" s="374">
        <v>1101110134372</v>
      </c>
      <c r="E614" s="372" t="s">
        <v>4637</v>
      </c>
      <c r="F614" s="372" t="s">
        <v>4638</v>
      </c>
      <c r="G614" s="375" t="s">
        <v>4638</v>
      </c>
      <c r="H614" s="375" t="s">
        <v>861</v>
      </c>
      <c r="I614" s="375" t="s">
        <v>862</v>
      </c>
      <c r="J614" s="375">
        <v>54530.639799999997</v>
      </c>
      <c r="K614" s="375">
        <v>3034.1878200000001</v>
      </c>
      <c r="L614" s="375">
        <v>13215.951709999999</v>
      </c>
      <c r="M614" s="375">
        <v>71290.111910000007</v>
      </c>
      <c r="N614" s="372">
        <v>0.60299999999999998</v>
      </c>
      <c r="O614" s="704">
        <v>14.703846724209471</v>
      </c>
      <c r="P614" s="375" t="s">
        <v>622</v>
      </c>
      <c r="Q614" s="372" t="s">
        <v>622</v>
      </c>
      <c r="R614" s="696">
        <v>20011026</v>
      </c>
      <c r="S614" s="372" t="s">
        <v>4639</v>
      </c>
      <c r="T614" s="697">
        <v>0.20900000000000002</v>
      </c>
      <c r="U614" s="372" t="s">
        <v>4640</v>
      </c>
      <c r="V614" s="723">
        <v>49.63</v>
      </c>
      <c r="W614" s="723">
        <v>4.0199999999999996</v>
      </c>
      <c r="X614" s="723">
        <v>5.25</v>
      </c>
      <c r="Y614" s="723">
        <v>25.22</v>
      </c>
      <c r="Z614" s="382" t="s">
        <v>927</v>
      </c>
      <c r="AA614" s="372">
        <v>371.60448880000001</v>
      </c>
      <c r="AB614" s="372">
        <v>358.47403530000003</v>
      </c>
      <c r="AC614" s="372">
        <v>398.0051785</v>
      </c>
      <c r="AD614" s="372">
        <v>426.47034860000002</v>
      </c>
      <c r="AE614" s="372">
        <v>0</v>
      </c>
      <c r="AF614" s="372">
        <v>0</v>
      </c>
      <c r="AG614" s="372">
        <v>0</v>
      </c>
      <c r="AH614" s="372">
        <v>0</v>
      </c>
    </row>
    <row r="615" spans="1:34">
      <c r="A615" s="372" t="s">
        <v>4641</v>
      </c>
      <c r="B615" s="373" t="s">
        <v>4642</v>
      </c>
      <c r="C615" s="372" t="s">
        <v>4643</v>
      </c>
      <c r="D615" s="374">
        <v>1101110301632</v>
      </c>
      <c r="E615" s="372" t="s">
        <v>4644</v>
      </c>
      <c r="F615" s="372" t="s">
        <v>1370</v>
      </c>
      <c r="G615" s="375" t="s">
        <v>1370</v>
      </c>
      <c r="H615" s="375" t="s">
        <v>861</v>
      </c>
      <c r="I615" s="375" t="s">
        <v>862</v>
      </c>
      <c r="J615" s="375">
        <v>50171.69814</v>
      </c>
      <c r="K615" s="375">
        <v>-5564.0327299999999</v>
      </c>
      <c r="L615" s="375">
        <v>-5859.7076699999998</v>
      </c>
      <c r="M615" s="375">
        <v>71505.203840000002</v>
      </c>
      <c r="N615" s="372">
        <v>0.76</v>
      </c>
      <c r="O615" s="704">
        <v>4.6639300364620562</v>
      </c>
      <c r="P615" s="375" t="s">
        <v>622</v>
      </c>
      <c r="Q615" s="372" t="s">
        <v>622</v>
      </c>
      <c r="R615" s="696">
        <v>20200723</v>
      </c>
      <c r="S615" s="372" t="s">
        <v>4645</v>
      </c>
      <c r="T615" s="697" t="s">
        <v>771</v>
      </c>
      <c r="U615" s="372" t="s">
        <v>4646</v>
      </c>
      <c r="V615" s="723" t="s">
        <v>773</v>
      </c>
      <c r="W615" s="723">
        <v>2.68</v>
      </c>
      <c r="X615" s="723">
        <v>3.77</v>
      </c>
      <c r="Y615" s="723" t="s">
        <v>773</v>
      </c>
      <c r="Z615" s="382" t="s">
        <v>927</v>
      </c>
      <c r="AA615" s="372">
        <v>216.57771030000001</v>
      </c>
      <c r="AB615" s="372">
        <v>267.62790109999997</v>
      </c>
      <c r="AC615" s="372">
        <v>303.13561770000001</v>
      </c>
      <c r="AD615" s="372">
        <v>308.28903120000001</v>
      </c>
      <c r="AE615" s="372">
        <v>570</v>
      </c>
      <c r="AF615" s="372">
        <v>810</v>
      </c>
      <c r="AG615" s="372">
        <v>0</v>
      </c>
      <c r="AH615" s="372">
        <v>0</v>
      </c>
    </row>
    <row r="616" spans="1:34">
      <c r="A616" s="372" t="s">
        <v>4647</v>
      </c>
      <c r="B616" s="373" t="s">
        <v>4648</v>
      </c>
      <c r="C616" s="372" t="s">
        <v>4649</v>
      </c>
      <c r="D616" s="374">
        <v>1942110000183</v>
      </c>
      <c r="E616" s="372" t="s">
        <v>4649</v>
      </c>
      <c r="F616" s="375" t="s">
        <v>1743</v>
      </c>
      <c r="G616" s="375" t="s">
        <v>1743</v>
      </c>
      <c r="H616" s="375" t="s">
        <v>846</v>
      </c>
      <c r="I616" s="375" t="s">
        <v>754</v>
      </c>
      <c r="J616" s="375">
        <v>918794</v>
      </c>
      <c r="K616" s="375">
        <v>-7678</v>
      </c>
      <c r="L616" s="375">
        <v>-35314</v>
      </c>
      <c r="M616" s="375">
        <v>131854</v>
      </c>
      <c r="N616" s="372">
        <v>0.91700000000000004</v>
      </c>
      <c r="O616" s="704">
        <v>192.39161366315392</v>
      </c>
      <c r="P616" s="375" t="s">
        <v>622</v>
      </c>
      <c r="Q616" s="375" t="s">
        <v>622</v>
      </c>
      <c r="R616" s="696">
        <v>19900912</v>
      </c>
      <c r="S616" s="375" t="s">
        <v>4650</v>
      </c>
      <c r="T616" s="697" t="s">
        <v>771</v>
      </c>
      <c r="U616" s="375" t="s">
        <v>4651</v>
      </c>
      <c r="V616" s="723">
        <v>161.72999999999999</v>
      </c>
      <c r="W616" s="723">
        <v>2.4700000000000002</v>
      </c>
      <c r="X616" s="723">
        <v>0.18</v>
      </c>
      <c r="Y616" s="723" t="s">
        <v>773</v>
      </c>
      <c r="Z616" s="382" t="s">
        <v>927</v>
      </c>
      <c r="AA616" s="372">
        <v>9755.67</v>
      </c>
      <c r="AB616" s="372">
        <v>9255.09</v>
      </c>
      <c r="AC616" s="372">
        <v>9725.7099999999991</v>
      </c>
      <c r="AD616" s="372">
        <v>9037.7199999999993</v>
      </c>
      <c r="AE616" s="372">
        <v>0</v>
      </c>
      <c r="AF616" s="372">
        <v>0</v>
      </c>
      <c r="AG616" s="372">
        <v>0</v>
      </c>
      <c r="AH616" s="372">
        <v>0</v>
      </c>
    </row>
    <row r="617" spans="1:34">
      <c r="A617" s="372" t="s">
        <v>4652</v>
      </c>
      <c r="B617" s="373" t="s">
        <v>4653</v>
      </c>
      <c r="C617" s="372" t="s">
        <v>4654</v>
      </c>
      <c r="D617" s="374">
        <v>1101112462002</v>
      </c>
      <c r="E617" s="372" t="s">
        <v>4655</v>
      </c>
      <c r="F617" s="375" t="s">
        <v>1370</v>
      </c>
      <c r="G617" s="375" t="s">
        <v>1370</v>
      </c>
      <c r="H617" s="375" t="s">
        <v>861</v>
      </c>
      <c r="I617" s="375" t="s">
        <v>862</v>
      </c>
      <c r="J617" s="375">
        <v>88372.997709999996</v>
      </c>
      <c r="K617" s="375">
        <v>8966.3406300000006</v>
      </c>
      <c r="L617" s="375">
        <v>12980.51873</v>
      </c>
      <c r="M617" s="375">
        <v>98488.03357</v>
      </c>
      <c r="N617" s="372" t="s">
        <v>1026</v>
      </c>
      <c r="O617" s="704">
        <v>12.039931391081454</v>
      </c>
      <c r="P617" s="375" t="s">
        <v>622</v>
      </c>
      <c r="Q617" s="372" t="s">
        <v>622</v>
      </c>
      <c r="R617" s="696">
        <v>20230428</v>
      </c>
      <c r="S617" s="372" t="s">
        <v>4656</v>
      </c>
      <c r="T617" s="697">
        <v>0.20900000000000002</v>
      </c>
      <c r="U617" s="375" t="s">
        <v>4657</v>
      </c>
      <c r="V617" s="723">
        <v>26.54</v>
      </c>
      <c r="W617" s="723">
        <v>3.61</v>
      </c>
      <c r="X617" s="723">
        <v>3.57</v>
      </c>
      <c r="Y617" s="723">
        <v>24.41</v>
      </c>
      <c r="Z617" s="382" t="s">
        <v>927</v>
      </c>
      <c r="AA617" s="372">
        <v>317.08636330000002</v>
      </c>
      <c r="AB617" s="372">
        <v>369.17053320000002</v>
      </c>
      <c r="AC617" s="372">
        <v>434.23820899999998</v>
      </c>
      <c r="AD617" s="372">
        <v>632.89972379999995</v>
      </c>
      <c r="AE617" s="372">
        <v>981</v>
      </c>
      <c r="AF617" s="372">
        <v>1147</v>
      </c>
      <c r="AG617" s="372">
        <v>0</v>
      </c>
      <c r="AH617" s="372">
        <v>0</v>
      </c>
    </row>
    <row r="618" spans="1:34">
      <c r="A618" s="372" t="s">
        <v>4658</v>
      </c>
      <c r="B618" s="373" t="s">
        <v>4659</v>
      </c>
      <c r="C618" s="372" t="s">
        <v>4660</v>
      </c>
      <c r="D618" s="374">
        <v>1350110103601</v>
      </c>
      <c r="E618" s="372" t="s">
        <v>4661</v>
      </c>
      <c r="F618" s="375" t="s">
        <v>998</v>
      </c>
      <c r="G618" s="375" t="s">
        <v>999</v>
      </c>
      <c r="H618" s="375" t="s">
        <v>861</v>
      </c>
      <c r="I618" s="375" t="s">
        <v>862</v>
      </c>
      <c r="J618" s="375">
        <v>190043.13954999999</v>
      </c>
      <c r="K618" s="375">
        <v>17239.300200000001</v>
      </c>
      <c r="L618" s="375">
        <v>15250.76611</v>
      </c>
      <c r="M618" s="375">
        <v>97513.751269999993</v>
      </c>
      <c r="N618" s="372">
        <v>1.218</v>
      </c>
      <c r="O618" s="704">
        <v>20.652932040249265</v>
      </c>
      <c r="P618" s="375" t="s">
        <v>622</v>
      </c>
      <c r="Q618" s="375" t="s">
        <v>622</v>
      </c>
      <c r="R618" s="696">
        <v>20060117</v>
      </c>
      <c r="S618" s="375" t="s">
        <v>4662</v>
      </c>
      <c r="T618" s="697">
        <v>0.20900000000000002</v>
      </c>
      <c r="U618" s="375" t="s">
        <v>4663</v>
      </c>
      <c r="V618" s="723">
        <v>6.51</v>
      </c>
      <c r="W618" s="723">
        <v>1.6</v>
      </c>
      <c r="X618" s="723">
        <v>0.82</v>
      </c>
      <c r="Y618" s="723">
        <v>11.66</v>
      </c>
      <c r="Z618" s="382">
        <v>5.0273131839607244E-2</v>
      </c>
      <c r="AA618" s="372">
        <v>1486.0152141000001</v>
      </c>
      <c r="AB618" s="372">
        <v>1716.6420212999999</v>
      </c>
      <c r="AC618" s="372">
        <v>2602.9670805000001</v>
      </c>
      <c r="AD618" s="372">
        <v>1951.0647956</v>
      </c>
      <c r="AE618" s="372">
        <v>1923</v>
      </c>
      <c r="AF618" s="372">
        <v>2118</v>
      </c>
      <c r="AG618" s="372">
        <v>2374</v>
      </c>
      <c r="AH618" s="372">
        <v>0</v>
      </c>
    </row>
    <row r="619" spans="1:34">
      <c r="A619" s="372" t="s">
        <v>4664</v>
      </c>
      <c r="B619" s="373" t="s">
        <v>4665</v>
      </c>
      <c r="C619" s="372" t="s">
        <v>4666</v>
      </c>
      <c r="D619" s="374">
        <v>1801110036425</v>
      </c>
      <c r="E619" s="372" t="s">
        <v>4667</v>
      </c>
      <c r="F619" s="375" t="s">
        <v>2485</v>
      </c>
      <c r="G619" s="375" t="s">
        <v>4668</v>
      </c>
      <c r="H619" s="375" t="s">
        <v>861</v>
      </c>
      <c r="I619" s="375" t="s">
        <v>862</v>
      </c>
      <c r="J619" s="375">
        <v>232820.77483000001</v>
      </c>
      <c r="K619" s="375">
        <v>45200.702360000003</v>
      </c>
      <c r="L619" s="375">
        <v>49417.334710000003</v>
      </c>
      <c r="M619" s="375">
        <v>516988.96359</v>
      </c>
      <c r="N619" s="372">
        <v>0.55500000000000005</v>
      </c>
      <c r="O619" s="704">
        <v>0.64065182373236385</v>
      </c>
      <c r="P619" s="375" t="s">
        <v>622</v>
      </c>
      <c r="Q619" s="375" t="s">
        <v>622</v>
      </c>
      <c r="R619" s="696">
        <v>20010109</v>
      </c>
      <c r="S619" s="375" t="s">
        <v>4596</v>
      </c>
      <c r="T619" s="697">
        <v>0.23100000000000001</v>
      </c>
      <c r="U619" s="372" t="s">
        <v>4669</v>
      </c>
      <c r="V619" s="723">
        <v>8</v>
      </c>
      <c r="W619" s="723">
        <v>0.72</v>
      </c>
      <c r="X619" s="723">
        <v>1.7</v>
      </c>
      <c r="Y619" s="723">
        <v>10.14</v>
      </c>
      <c r="Z619" s="382">
        <v>3.7038211381132058E-2</v>
      </c>
      <c r="AA619" s="372">
        <v>1807.5508219000001</v>
      </c>
      <c r="AB619" s="372">
        <v>1369.2176512000001</v>
      </c>
      <c r="AC619" s="372">
        <v>2440.2554547</v>
      </c>
      <c r="AD619" s="372">
        <v>2546.9290704</v>
      </c>
      <c r="AE619" s="372">
        <v>2398</v>
      </c>
      <c r="AF619" s="372">
        <v>2721.75</v>
      </c>
      <c r="AG619" s="372">
        <v>2945.75</v>
      </c>
      <c r="AH619" s="372">
        <v>0</v>
      </c>
    </row>
    <row r="620" spans="1:34">
      <c r="A620" s="372" t="s">
        <v>4670</v>
      </c>
      <c r="B620" s="373" t="s">
        <v>4671</v>
      </c>
      <c r="C620" s="372" t="s">
        <v>16275</v>
      </c>
      <c r="D620" s="374">
        <v>1942110048381</v>
      </c>
      <c r="E620" s="372" t="s">
        <v>16276</v>
      </c>
      <c r="F620" s="375" t="s">
        <v>1041</v>
      </c>
      <c r="G620" s="375" t="s">
        <v>1042</v>
      </c>
      <c r="H620" s="375" t="s">
        <v>1043</v>
      </c>
      <c r="I620" s="375" t="s">
        <v>754</v>
      </c>
      <c r="J620" s="375">
        <v>307807.56475000002</v>
      </c>
      <c r="K620" s="375">
        <v>30066.80284</v>
      </c>
      <c r="L620" s="375">
        <v>37222.276160000001</v>
      </c>
      <c r="M620" s="375">
        <v>293090.04754</v>
      </c>
      <c r="N620" s="372">
        <v>0.66900000000000004</v>
      </c>
      <c r="O620" s="704">
        <v>0.66526687095020409</v>
      </c>
      <c r="P620" s="375" t="s">
        <v>622</v>
      </c>
      <c r="Q620" s="375" t="s">
        <v>622</v>
      </c>
      <c r="R620" s="696">
        <v>20090515</v>
      </c>
      <c r="S620" s="375" t="s">
        <v>4672</v>
      </c>
      <c r="T620" s="697">
        <v>0.23100000000000001</v>
      </c>
      <c r="U620" s="375" t="s">
        <v>4673</v>
      </c>
      <c r="V620" s="723">
        <v>19.489999999999998</v>
      </c>
      <c r="W620" s="723">
        <v>2.21</v>
      </c>
      <c r="X620" s="723">
        <v>1.83</v>
      </c>
      <c r="Y620" s="723">
        <v>10.88</v>
      </c>
      <c r="Z620" s="382">
        <v>0.11077596432746883</v>
      </c>
      <c r="AA620" s="372">
        <v>2479.5983375000001</v>
      </c>
      <c r="AB620" s="372">
        <v>1374.0381844000001</v>
      </c>
      <c r="AC620" s="372">
        <v>1774.6063300000001</v>
      </c>
      <c r="AD620" s="372">
        <v>2450.2079082</v>
      </c>
      <c r="AE620" s="372">
        <v>3080.67</v>
      </c>
      <c r="AF620" s="372">
        <v>3445</v>
      </c>
      <c r="AG620" s="372">
        <v>3730</v>
      </c>
      <c r="AH620" s="372">
        <v>0</v>
      </c>
    </row>
    <row r="621" spans="1:34">
      <c r="A621" s="372" t="s">
        <v>4674</v>
      </c>
      <c r="B621" s="373" t="s">
        <v>4675</v>
      </c>
      <c r="C621" s="372" t="s">
        <v>4676</v>
      </c>
      <c r="D621" s="374">
        <v>1211110088451</v>
      </c>
      <c r="E621" s="372" t="s">
        <v>4677</v>
      </c>
      <c r="F621" s="375" t="s">
        <v>2842</v>
      </c>
      <c r="G621" s="375" t="s">
        <v>4678</v>
      </c>
      <c r="H621" s="375" t="s">
        <v>861</v>
      </c>
      <c r="I621" s="375" t="s">
        <v>862</v>
      </c>
      <c r="J621" s="375">
        <v>320331.88533999998</v>
      </c>
      <c r="K621" s="375">
        <v>43597.039080000002</v>
      </c>
      <c r="L621" s="375">
        <v>41508.41229</v>
      </c>
      <c r="M621" s="375">
        <v>307283.69715000002</v>
      </c>
      <c r="N621" s="372">
        <v>0.46300000000000002</v>
      </c>
      <c r="O621" s="704">
        <v>6.3975240164106912</v>
      </c>
      <c r="P621" s="375" t="s">
        <v>622</v>
      </c>
      <c r="Q621" s="372" t="s">
        <v>622</v>
      </c>
      <c r="R621" s="696">
        <v>20190704</v>
      </c>
      <c r="S621" s="372" t="s">
        <v>4679</v>
      </c>
      <c r="T621" s="697">
        <v>0.23100000000000001</v>
      </c>
      <c r="U621" s="372" t="s">
        <v>4680</v>
      </c>
      <c r="V621" s="723">
        <v>8.69</v>
      </c>
      <c r="W621" s="723">
        <v>1.72</v>
      </c>
      <c r="X621" s="723">
        <v>1.36</v>
      </c>
      <c r="Y621" s="723">
        <v>15.95</v>
      </c>
      <c r="Z621" s="382">
        <v>0.10964733880592914</v>
      </c>
      <c r="AA621" s="372">
        <v>1967.9677342</v>
      </c>
      <c r="AB621" s="372">
        <v>2220.2918355000002</v>
      </c>
      <c r="AC621" s="372">
        <v>2366.4300423</v>
      </c>
      <c r="AD621" s="372">
        <v>2844.8125245000001</v>
      </c>
      <c r="AE621" s="372">
        <v>3325</v>
      </c>
      <c r="AF621" s="372">
        <v>3775</v>
      </c>
      <c r="AG621" s="372">
        <v>4313.1400000000003</v>
      </c>
      <c r="AH621" s="372">
        <v>4522</v>
      </c>
    </row>
    <row r="622" spans="1:34">
      <c r="A622" s="372" t="s">
        <v>4681</v>
      </c>
      <c r="B622" s="373" t="s">
        <v>4682</v>
      </c>
      <c r="C622" s="372" t="s">
        <v>4683</v>
      </c>
      <c r="D622" s="374">
        <v>1101111228364</v>
      </c>
      <c r="E622" s="372" t="s">
        <v>4684</v>
      </c>
      <c r="F622" s="372" t="s">
        <v>845</v>
      </c>
      <c r="G622" s="375" t="s">
        <v>845</v>
      </c>
      <c r="H622" s="375" t="s">
        <v>3099</v>
      </c>
      <c r="I622" s="375" t="s">
        <v>862</v>
      </c>
      <c r="J622" s="375">
        <v>478589.45944000001</v>
      </c>
      <c r="K622" s="375">
        <v>11467.72955</v>
      </c>
      <c r="L622" s="375">
        <v>8293.9453400000002</v>
      </c>
      <c r="M622" s="375">
        <v>85434.109939999995</v>
      </c>
      <c r="N622" s="372">
        <v>1.964</v>
      </c>
      <c r="O622" s="704">
        <v>17.929835382560082</v>
      </c>
      <c r="P622" s="375" t="s">
        <v>622</v>
      </c>
      <c r="Q622" s="372" t="s">
        <v>622</v>
      </c>
      <c r="R622" s="696">
        <v>20230127</v>
      </c>
      <c r="S622" s="372" t="s">
        <v>4685</v>
      </c>
      <c r="T622" s="697">
        <v>0.20900000000000002</v>
      </c>
      <c r="U622" s="372" t="s">
        <v>4686</v>
      </c>
      <c r="V622" s="723">
        <v>21.71</v>
      </c>
      <c r="W622" s="723">
        <v>2.65</v>
      </c>
      <c r="X622" s="723">
        <v>0.47</v>
      </c>
      <c r="Y622" s="723">
        <v>33.44</v>
      </c>
      <c r="Z622" s="382">
        <v>9.0496054232128254E-2</v>
      </c>
      <c r="AA622" s="372">
        <v>2182.9575</v>
      </c>
      <c r="AB622" s="372">
        <v>3280.4644699999999</v>
      </c>
      <c r="AC622" s="372">
        <v>5501.5269477000002</v>
      </c>
      <c r="AD622" s="372">
        <v>3805.104585</v>
      </c>
      <c r="AE622" s="372">
        <v>4799</v>
      </c>
      <c r="AF622" s="372">
        <v>4994</v>
      </c>
      <c r="AG622" s="372">
        <v>5381</v>
      </c>
      <c r="AH622" s="372">
        <v>0</v>
      </c>
    </row>
    <row r="623" spans="1:34">
      <c r="A623" s="372" t="s">
        <v>4687</v>
      </c>
      <c r="B623" s="373" t="s">
        <v>4688</v>
      </c>
      <c r="C623" s="372" t="s">
        <v>4689</v>
      </c>
      <c r="D623" s="374">
        <v>1753110000762</v>
      </c>
      <c r="E623" s="372" t="s">
        <v>4690</v>
      </c>
      <c r="F623" s="375" t="s">
        <v>1276</v>
      </c>
      <c r="G623" s="375" t="s">
        <v>1452</v>
      </c>
      <c r="H623" s="375" t="s">
        <v>861</v>
      </c>
      <c r="I623" s="375" t="s">
        <v>862</v>
      </c>
      <c r="J623" s="375">
        <v>202578.93642000001</v>
      </c>
      <c r="K623" s="375">
        <v>7342.0461100000002</v>
      </c>
      <c r="L623" s="375">
        <v>-102426.09711</v>
      </c>
      <c r="M623" s="375">
        <v>137779.82092999999</v>
      </c>
      <c r="N623" s="372">
        <v>1.2210000000000001</v>
      </c>
      <c r="O623" s="704">
        <v>54.712185197365351</v>
      </c>
      <c r="P623" s="375" t="s">
        <v>622</v>
      </c>
      <c r="Q623" s="375" t="s">
        <v>622</v>
      </c>
      <c r="R623" s="696">
        <v>20020927</v>
      </c>
      <c r="S623" s="375" t="s">
        <v>4691</v>
      </c>
      <c r="T623" s="697" t="s">
        <v>771</v>
      </c>
      <c r="U623" s="372" t="s">
        <v>4692</v>
      </c>
      <c r="V623" s="723">
        <v>21.66</v>
      </c>
      <c r="W623" s="723">
        <v>1.35</v>
      </c>
      <c r="X623" s="723">
        <v>0.89</v>
      </c>
      <c r="Y623" s="723" t="s">
        <v>773</v>
      </c>
      <c r="Z623" s="382" t="s">
        <v>927</v>
      </c>
      <c r="AA623" s="372">
        <v>1630.0587691999999</v>
      </c>
      <c r="AB623" s="372">
        <v>1920.4743338999999</v>
      </c>
      <c r="AC623" s="372">
        <v>2186.6696265</v>
      </c>
      <c r="AD623" s="372">
        <v>2017.0154617999999</v>
      </c>
      <c r="AE623" s="372">
        <v>0</v>
      </c>
      <c r="AF623" s="372">
        <v>0</v>
      </c>
      <c r="AG623" s="372">
        <v>0</v>
      </c>
      <c r="AH623" s="372">
        <v>0</v>
      </c>
    </row>
    <row r="624" spans="1:34">
      <c r="A624" s="372" t="s">
        <v>4693</v>
      </c>
      <c r="B624" s="373" t="s">
        <v>4694</v>
      </c>
      <c r="C624" s="372" t="s">
        <v>4695</v>
      </c>
      <c r="D624" s="374">
        <v>1345110084018</v>
      </c>
      <c r="E624" s="372" t="s">
        <v>4696</v>
      </c>
      <c r="F624" s="375" t="s">
        <v>2054</v>
      </c>
      <c r="G624" s="375" t="s">
        <v>4697</v>
      </c>
      <c r="H624" s="375" t="s">
        <v>861</v>
      </c>
      <c r="I624" s="375" t="s">
        <v>862</v>
      </c>
      <c r="J624" s="375">
        <v>112545.71279000001</v>
      </c>
      <c r="K624" s="375">
        <v>-22074.851409999999</v>
      </c>
      <c r="L624" s="375">
        <v>-33664.729890000002</v>
      </c>
      <c r="M624" s="375">
        <v>109263.65334</v>
      </c>
      <c r="N624" s="372">
        <v>0.96799999999999997</v>
      </c>
      <c r="O624" s="704">
        <v>77.945603473478073</v>
      </c>
      <c r="P624" s="375" t="s">
        <v>622</v>
      </c>
      <c r="Q624" s="372" t="s">
        <v>622</v>
      </c>
      <c r="R624" s="696">
        <v>20190808</v>
      </c>
      <c r="S624" s="375" t="s">
        <v>4698</v>
      </c>
      <c r="T624" s="697" t="s">
        <v>771</v>
      </c>
      <c r="U624" s="375" t="s">
        <v>4699</v>
      </c>
      <c r="V624" s="723" t="s">
        <v>773</v>
      </c>
      <c r="W624" s="723">
        <v>1.25</v>
      </c>
      <c r="X624" s="723">
        <v>1.18</v>
      </c>
      <c r="Y624" s="723" t="s">
        <v>773</v>
      </c>
      <c r="Z624" s="382">
        <v>-4.9757103509986411E-3</v>
      </c>
      <c r="AA624" s="372">
        <v>552.04787490000001</v>
      </c>
      <c r="AB624" s="372">
        <v>903.36176990000001</v>
      </c>
      <c r="AC624" s="372">
        <v>1289.9785403999999</v>
      </c>
      <c r="AD624" s="372">
        <v>1458.8186522999999</v>
      </c>
      <c r="AE624" s="372">
        <v>1177</v>
      </c>
      <c r="AF624" s="372">
        <v>1444</v>
      </c>
      <c r="AG624" s="372">
        <v>1430</v>
      </c>
      <c r="AH624" s="372">
        <v>0</v>
      </c>
    </row>
    <row r="625" spans="1:34">
      <c r="A625" s="372" t="s">
        <v>4700</v>
      </c>
      <c r="B625" s="373" t="s">
        <v>4701</v>
      </c>
      <c r="C625" s="372" t="s">
        <v>4702</v>
      </c>
      <c r="D625" s="374">
        <v>1801110073922</v>
      </c>
      <c r="E625" s="372" t="s">
        <v>4703</v>
      </c>
      <c r="F625" s="375" t="s">
        <v>4704</v>
      </c>
      <c r="G625" s="375" t="s">
        <v>4705</v>
      </c>
      <c r="H625" s="375" t="s">
        <v>861</v>
      </c>
      <c r="I625" s="375" t="s">
        <v>862</v>
      </c>
      <c r="J625" s="375">
        <v>383514.81005999999</v>
      </c>
      <c r="K625" s="375">
        <v>27622.842820000002</v>
      </c>
      <c r="L625" s="375">
        <v>23102.708330000001</v>
      </c>
      <c r="M625" s="375">
        <v>528790.38340000005</v>
      </c>
      <c r="N625" s="372">
        <v>0.67100000000000004</v>
      </c>
      <c r="O625" s="704">
        <v>42.695894704608001</v>
      </c>
      <c r="P625" s="375" t="s">
        <v>622</v>
      </c>
      <c r="Q625" s="375" t="s">
        <v>622</v>
      </c>
      <c r="R625" s="696">
        <v>20011106</v>
      </c>
      <c r="S625" s="375" t="s">
        <v>4706</v>
      </c>
      <c r="T625" s="697">
        <v>0.23100000000000001</v>
      </c>
      <c r="U625" s="372" t="s">
        <v>4707</v>
      </c>
      <c r="V625" s="723">
        <v>0</v>
      </c>
      <c r="W625" s="723">
        <v>0</v>
      </c>
      <c r="X625" s="723">
        <v>0</v>
      </c>
      <c r="Y625" s="723">
        <v>0</v>
      </c>
      <c r="Z625" s="382" t="s">
        <v>927</v>
      </c>
      <c r="AA625" s="372">
        <v>3444.0368539999999</v>
      </c>
      <c r="AB625" s="372">
        <v>3223.3164667000001</v>
      </c>
      <c r="AC625" s="372">
        <v>3938.6635642000001</v>
      </c>
      <c r="AD625" s="372">
        <v>4437.6009645000004</v>
      </c>
      <c r="AE625" s="372">
        <v>0</v>
      </c>
      <c r="AF625" s="372">
        <v>0</v>
      </c>
      <c r="AG625" s="372">
        <v>0</v>
      </c>
      <c r="AH625" s="372">
        <v>0</v>
      </c>
    </row>
    <row r="626" spans="1:34">
      <c r="A626" s="372" t="s">
        <v>4708</v>
      </c>
      <c r="B626" s="373" t="s">
        <v>4709</v>
      </c>
      <c r="C626" s="372" t="s">
        <v>4710</v>
      </c>
      <c r="D626" s="374">
        <v>1346110012744</v>
      </c>
      <c r="E626" s="372" t="s">
        <v>4711</v>
      </c>
      <c r="F626" s="375" t="s">
        <v>3236</v>
      </c>
      <c r="G626" s="375" t="s">
        <v>3236</v>
      </c>
      <c r="H626" s="375" t="s">
        <v>861</v>
      </c>
      <c r="I626" s="375" t="s">
        <v>862</v>
      </c>
      <c r="J626" s="375">
        <v>502592.74303999997</v>
      </c>
      <c r="K626" s="375">
        <v>83042.758140000005</v>
      </c>
      <c r="L626" s="375">
        <v>65362.464059999998</v>
      </c>
      <c r="M626" s="375">
        <v>423812.49686999997</v>
      </c>
      <c r="N626" s="372">
        <v>1.5129999999999999</v>
      </c>
      <c r="O626" s="704">
        <v>126.46043285934761</v>
      </c>
      <c r="P626" s="375" t="s">
        <v>622</v>
      </c>
      <c r="Q626" s="375" t="s">
        <v>622</v>
      </c>
      <c r="R626" s="696">
        <v>20020111</v>
      </c>
      <c r="S626" s="375" t="s">
        <v>4712</v>
      </c>
      <c r="T626" s="697">
        <v>0.23100000000000001</v>
      </c>
      <c r="U626" s="375" t="s">
        <v>4713</v>
      </c>
      <c r="V626" s="723">
        <v>6.06</v>
      </c>
      <c r="W626" s="723">
        <v>2.86</v>
      </c>
      <c r="X626" s="723">
        <v>0.67</v>
      </c>
      <c r="Y626" s="723">
        <v>18.73</v>
      </c>
      <c r="Z626" s="382" t="s">
        <v>927</v>
      </c>
      <c r="AA626" s="372">
        <v>2808.9905456000001</v>
      </c>
      <c r="AB626" s="372">
        <v>3654.9068060999998</v>
      </c>
      <c r="AC626" s="372">
        <v>4148.3226924999999</v>
      </c>
      <c r="AD626" s="372">
        <v>3873.4094279000001</v>
      </c>
      <c r="AE626" s="372">
        <v>0</v>
      </c>
      <c r="AF626" s="372">
        <v>0</v>
      </c>
      <c r="AG626" s="372">
        <v>0</v>
      </c>
      <c r="AH626" s="372">
        <v>0</v>
      </c>
    </row>
    <row r="627" spans="1:34">
      <c r="A627" s="372" t="s">
        <v>4714</v>
      </c>
      <c r="B627" s="373" t="s">
        <v>4715</v>
      </c>
      <c r="C627" s="372" t="s">
        <v>4716</v>
      </c>
      <c r="D627" s="374">
        <v>1101111655393</v>
      </c>
      <c r="E627" s="372" t="s">
        <v>4717</v>
      </c>
      <c r="F627" s="375" t="s">
        <v>1290</v>
      </c>
      <c r="G627" s="375" t="s">
        <v>1290</v>
      </c>
      <c r="H627" s="375" t="s">
        <v>861</v>
      </c>
      <c r="I627" s="375" t="s">
        <v>862</v>
      </c>
      <c r="J627" s="375">
        <v>92120.988140000001</v>
      </c>
      <c r="K627" s="375">
        <v>1255.0887600000001</v>
      </c>
      <c r="L627" s="375">
        <v>927.67038000000002</v>
      </c>
      <c r="M627" s="375">
        <v>89759.609589999993</v>
      </c>
      <c r="N627" s="372">
        <v>0.96299999999999997</v>
      </c>
      <c r="O627" s="704">
        <v>9.2392792413066388E-2</v>
      </c>
      <c r="P627" s="375" t="s">
        <v>622</v>
      </c>
      <c r="Q627" s="375" t="s">
        <v>622</v>
      </c>
      <c r="R627" s="696">
        <v>20111017</v>
      </c>
      <c r="S627" s="372" t="s">
        <v>4718</v>
      </c>
      <c r="T627" s="697">
        <v>0.20900000000000002</v>
      </c>
      <c r="U627" s="375" t="s">
        <v>4719</v>
      </c>
      <c r="V627" s="723">
        <v>84.44</v>
      </c>
      <c r="W627" s="723">
        <v>2.5</v>
      </c>
      <c r="X627" s="723">
        <v>2.4300000000000002</v>
      </c>
      <c r="Y627" s="723">
        <v>268.33999999999997</v>
      </c>
      <c r="Z627" s="382" t="s">
        <v>927</v>
      </c>
      <c r="AA627" s="372">
        <v>1320.0909907</v>
      </c>
      <c r="AB627" s="372">
        <v>1424.6502364999999</v>
      </c>
      <c r="AC627" s="372">
        <v>1432.4021846000001</v>
      </c>
      <c r="AD627" s="372">
        <v>1026.7915614000001</v>
      </c>
      <c r="AE627" s="372">
        <v>0</v>
      </c>
      <c r="AF627" s="372">
        <v>0</v>
      </c>
      <c r="AG627" s="372">
        <v>0</v>
      </c>
      <c r="AH627" s="372">
        <v>0</v>
      </c>
    </row>
    <row r="628" spans="1:34">
      <c r="A628" s="372" t="s">
        <v>4720</v>
      </c>
      <c r="B628" s="373" t="s">
        <v>4721</v>
      </c>
      <c r="C628" s="372" t="s">
        <v>4722</v>
      </c>
      <c r="D628" s="374">
        <v>1101110028955</v>
      </c>
      <c r="E628" s="372" t="s">
        <v>4723</v>
      </c>
      <c r="F628" s="375" t="s">
        <v>1249</v>
      </c>
      <c r="G628" s="375" t="s">
        <v>1249</v>
      </c>
      <c r="H628" s="375" t="s">
        <v>784</v>
      </c>
      <c r="I628" s="375" t="s">
        <v>754</v>
      </c>
      <c r="J628" s="375">
        <v>955299.80400999996</v>
      </c>
      <c r="K628" s="375">
        <v>30914.8007</v>
      </c>
      <c r="L628" s="375">
        <v>47345.317940000001</v>
      </c>
      <c r="M628" s="375">
        <v>846032.28515999997</v>
      </c>
      <c r="N628" s="372">
        <v>0.59599999999999997</v>
      </c>
      <c r="O628" s="704">
        <v>191.94940304143381</v>
      </c>
      <c r="P628" s="375" t="s">
        <v>622</v>
      </c>
      <c r="Q628" s="375" t="s">
        <v>622</v>
      </c>
      <c r="R628" s="696">
        <v>19760630</v>
      </c>
      <c r="S628" s="375" t="s">
        <v>4724</v>
      </c>
      <c r="T628" s="697">
        <v>0.23100000000000001</v>
      </c>
      <c r="U628" s="372" t="s">
        <v>4725</v>
      </c>
      <c r="V628" s="723">
        <v>12.71</v>
      </c>
      <c r="W628" s="723">
        <v>0.49</v>
      </c>
      <c r="X628" s="723">
        <v>0.31</v>
      </c>
      <c r="Y628" s="723">
        <v>7.06</v>
      </c>
      <c r="Z628" s="382">
        <v>4.9661327642528397E-2</v>
      </c>
      <c r="AA628" s="372">
        <v>8581.1878073999997</v>
      </c>
      <c r="AB628" s="372">
        <v>9259.7507640999993</v>
      </c>
      <c r="AC628" s="372">
        <v>9089.6276412999996</v>
      </c>
      <c r="AD628" s="372">
        <v>8797.8076994000003</v>
      </c>
      <c r="AE628" s="372">
        <v>9685</v>
      </c>
      <c r="AF628" s="372">
        <v>10169</v>
      </c>
      <c r="AG628" s="372">
        <v>10680</v>
      </c>
      <c r="AH628" s="372">
        <v>0</v>
      </c>
    </row>
    <row r="629" spans="1:34">
      <c r="A629" s="372" t="s">
        <v>4726</v>
      </c>
      <c r="B629" s="373" t="s">
        <v>4727</v>
      </c>
      <c r="C629" s="372" t="s">
        <v>4728</v>
      </c>
      <c r="D629" s="374">
        <v>1311110047356</v>
      </c>
      <c r="E629" s="372" t="s">
        <v>4729</v>
      </c>
      <c r="F629" s="375" t="s">
        <v>1185</v>
      </c>
      <c r="G629" s="375" t="s">
        <v>1186</v>
      </c>
      <c r="H629" s="375" t="s">
        <v>861</v>
      </c>
      <c r="I629" s="375" t="s">
        <v>862</v>
      </c>
      <c r="J629" s="375">
        <v>73228.503020000004</v>
      </c>
      <c r="K629" s="375">
        <v>-20437.29189</v>
      </c>
      <c r="L629" s="375">
        <v>-22878.154320000001</v>
      </c>
      <c r="M629" s="375">
        <v>129580.03473</v>
      </c>
      <c r="N629" s="372">
        <v>0.97399999999999998</v>
      </c>
      <c r="O629" s="704">
        <v>9.622584380524577</v>
      </c>
      <c r="P629" s="375" t="s">
        <v>622</v>
      </c>
      <c r="Q629" s="372" t="s">
        <v>622</v>
      </c>
      <c r="R629" s="696">
        <v>20061205</v>
      </c>
      <c r="S629" s="372" t="s">
        <v>4730</v>
      </c>
      <c r="T629" s="697" t="s">
        <v>771</v>
      </c>
      <c r="U629" s="372" t="s">
        <v>4731</v>
      </c>
      <c r="V629" s="723" t="s">
        <v>773</v>
      </c>
      <c r="W629" s="723">
        <v>1.47</v>
      </c>
      <c r="X629" s="723">
        <v>2.7</v>
      </c>
      <c r="Y629" s="723" t="s">
        <v>773</v>
      </c>
      <c r="Z629" s="382" t="s">
        <v>927</v>
      </c>
      <c r="AA629" s="372">
        <v>1234.7226249</v>
      </c>
      <c r="AB629" s="372">
        <v>1145.785296</v>
      </c>
      <c r="AC629" s="372">
        <v>1237.7996654000001</v>
      </c>
      <c r="AD629" s="372">
        <v>1677.6930972</v>
      </c>
      <c r="AE629" s="372">
        <v>1454</v>
      </c>
      <c r="AF629" s="372">
        <v>0</v>
      </c>
      <c r="AG629" s="372">
        <v>0</v>
      </c>
      <c r="AH629" s="372">
        <v>0</v>
      </c>
    </row>
    <row r="630" spans="1:34">
      <c r="A630" s="372" t="s">
        <v>4732</v>
      </c>
      <c r="B630" s="373" t="s">
        <v>4733</v>
      </c>
      <c r="C630" s="372" t="s">
        <v>4734</v>
      </c>
      <c r="D630" s="374">
        <v>1101111144297</v>
      </c>
      <c r="E630" s="372" t="s">
        <v>4735</v>
      </c>
      <c r="F630" s="375" t="s">
        <v>4736</v>
      </c>
      <c r="G630" s="375" t="s">
        <v>4737</v>
      </c>
      <c r="H630" s="375" t="s">
        <v>817</v>
      </c>
      <c r="I630" s="375" t="s">
        <v>754</v>
      </c>
      <c r="J630" s="375">
        <v>1211455.65173</v>
      </c>
      <c r="K630" s="375">
        <v>27505.139060000001</v>
      </c>
      <c r="L630" s="375">
        <v>-60017.282740000002</v>
      </c>
      <c r="M630" s="375">
        <v>564923.60317999998</v>
      </c>
      <c r="N630" s="372">
        <v>0.67</v>
      </c>
      <c r="O630" s="704">
        <v>267.20648347447587</v>
      </c>
      <c r="P630" s="375" t="s">
        <v>622</v>
      </c>
      <c r="Q630" s="375" t="s">
        <v>622</v>
      </c>
      <c r="R630" s="696">
        <v>20121109</v>
      </c>
      <c r="S630" s="375" t="s">
        <v>4738</v>
      </c>
      <c r="T630" s="697" t="s">
        <v>771</v>
      </c>
      <c r="U630" s="372" t="s">
        <v>4739</v>
      </c>
      <c r="V630" s="723">
        <v>3.65</v>
      </c>
      <c r="W630" s="723">
        <v>0.37</v>
      </c>
      <c r="X630" s="723">
        <v>0.17</v>
      </c>
      <c r="Y630" s="723" t="s">
        <v>773</v>
      </c>
      <c r="Z630" s="382">
        <v>4.1902298333513777E-3</v>
      </c>
      <c r="AA630" s="372">
        <v>10579.3469563</v>
      </c>
      <c r="AB630" s="372">
        <v>10801.322809200001</v>
      </c>
      <c r="AC630" s="372">
        <v>11678.6799799</v>
      </c>
      <c r="AD630" s="372">
        <v>11902.5744884</v>
      </c>
      <c r="AE630" s="372">
        <v>11658.17</v>
      </c>
      <c r="AF630" s="372">
        <v>11920.17</v>
      </c>
      <c r="AG630" s="372">
        <v>12103.33</v>
      </c>
      <c r="AH630" s="372">
        <v>0</v>
      </c>
    </row>
    <row r="631" spans="1:34">
      <c r="A631" s="372" t="s">
        <v>4740</v>
      </c>
      <c r="B631" s="373" t="s">
        <v>4741</v>
      </c>
      <c r="C631" s="372" t="s">
        <v>4742</v>
      </c>
      <c r="D631" s="374">
        <v>1801110083442</v>
      </c>
      <c r="E631" s="372" t="s">
        <v>4743</v>
      </c>
      <c r="F631" s="372" t="s">
        <v>1828</v>
      </c>
      <c r="G631" s="375" t="s">
        <v>1829</v>
      </c>
      <c r="H631" s="375" t="s">
        <v>3099</v>
      </c>
      <c r="I631" s="375" t="s">
        <v>862</v>
      </c>
      <c r="J631" s="375">
        <v>3162853.9826799999</v>
      </c>
      <c r="K631" s="375">
        <v>93201.870330000005</v>
      </c>
      <c r="L631" s="375">
        <v>34537.278810000003</v>
      </c>
      <c r="M631" s="375">
        <v>372402.30544000003</v>
      </c>
      <c r="N631" s="372">
        <v>0.72799999999999998</v>
      </c>
      <c r="O631" s="704">
        <v>209.81707712453161</v>
      </c>
      <c r="P631" s="375" t="s">
        <v>622</v>
      </c>
      <c r="Q631" s="375" t="s">
        <v>622</v>
      </c>
      <c r="R631" s="696">
        <v>20010724</v>
      </c>
      <c r="S631" s="375" t="s">
        <v>4744</v>
      </c>
      <c r="T631" s="697">
        <v>0.23100000000000001</v>
      </c>
      <c r="U631" s="372" t="s">
        <v>4745</v>
      </c>
      <c r="V631" s="723">
        <v>4</v>
      </c>
      <c r="W631" s="723">
        <v>0.78</v>
      </c>
      <c r="X631" s="723">
        <v>7.0000000000000007E-2</v>
      </c>
      <c r="Y631" s="723">
        <v>11.71</v>
      </c>
      <c r="Z631" s="382">
        <v>4.4322994647202352E-2</v>
      </c>
      <c r="AA631" s="372">
        <v>24785.2872771</v>
      </c>
      <c r="AB631" s="372">
        <v>22914.339793499999</v>
      </c>
      <c r="AC631" s="372">
        <v>27476.916517199999</v>
      </c>
      <c r="AD631" s="372">
        <v>30742.422867500001</v>
      </c>
      <c r="AE631" s="372">
        <v>32210.22</v>
      </c>
      <c r="AF631" s="372">
        <v>34326.949999999997</v>
      </c>
      <c r="AG631" s="372">
        <v>36566</v>
      </c>
      <c r="AH631" s="372">
        <v>0</v>
      </c>
    </row>
    <row r="632" spans="1:34">
      <c r="A632" s="372" t="s">
        <v>4746</v>
      </c>
      <c r="B632" s="373" t="s">
        <v>4747</v>
      </c>
      <c r="C632" s="372" t="s">
        <v>4748</v>
      </c>
      <c r="D632" s="374">
        <v>2301110060126</v>
      </c>
      <c r="E632" s="372" t="s">
        <v>4749</v>
      </c>
      <c r="F632" s="375" t="s">
        <v>1136</v>
      </c>
      <c r="G632" s="375" t="s">
        <v>3128</v>
      </c>
      <c r="H632" s="375" t="s">
        <v>792</v>
      </c>
      <c r="I632" s="375" t="s">
        <v>754</v>
      </c>
      <c r="J632" s="375">
        <v>351683.57344000001</v>
      </c>
      <c r="K632" s="375">
        <v>38275.820749999999</v>
      </c>
      <c r="L632" s="375">
        <v>30718.94931</v>
      </c>
      <c r="M632" s="375">
        <v>232932.40526999999</v>
      </c>
      <c r="N632" s="372">
        <v>0.58699999999999997</v>
      </c>
      <c r="O632" s="704">
        <v>71.917680231312204</v>
      </c>
      <c r="P632" s="375" t="s">
        <v>622</v>
      </c>
      <c r="Q632" s="372" t="s">
        <v>622</v>
      </c>
      <c r="R632" s="696">
        <v>20151130</v>
      </c>
      <c r="S632" s="372" t="s">
        <v>4750</v>
      </c>
      <c r="T632" s="697">
        <v>0.23100000000000001</v>
      </c>
      <c r="U632" s="372" t="s">
        <v>4751</v>
      </c>
      <c r="V632" s="723">
        <v>14.28</v>
      </c>
      <c r="W632" s="723">
        <v>2.39</v>
      </c>
      <c r="X632" s="723">
        <v>1.19</v>
      </c>
      <c r="Y632" s="723">
        <v>116.78</v>
      </c>
      <c r="Z632" s="382">
        <v>7.0884764211077034E-2</v>
      </c>
      <c r="AA632" s="372">
        <v>2855.6470869</v>
      </c>
      <c r="AB632" s="372">
        <v>2503.8085130999998</v>
      </c>
      <c r="AC632" s="372">
        <v>4100.5366657000004</v>
      </c>
      <c r="AD632" s="372">
        <v>3847.9644585000001</v>
      </c>
      <c r="AE632" s="372">
        <v>3916.2</v>
      </c>
      <c r="AF632" s="372">
        <v>4456.6000000000004</v>
      </c>
      <c r="AG632" s="372">
        <v>5060.6000000000004</v>
      </c>
      <c r="AH632" s="372">
        <v>9400</v>
      </c>
    </row>
    <row r="633" spans="1:34">
      <c r="A633" s="372" t="s">
        <v>4752</v>
      </c>
      <c r="B633" s="373" t="s">
        <v>4753</v>
      </c>
      <c r="C633" s="372" t="s">
        <v>15860</v>
      </c>
      <c r="D633" s="374">
        <v>1101110039019</v>
      </c>
      <c r="E633" s="372" t="s">
        <v>15861</v>
      </c>
      <c r="F633" s="375" t="s">
        <v>1323</v>
      </c>
      <c r="G633" s="375" t="s">
        <v>16106</v>
      </c>
      <c r="H633" s="375" t="s">
        <v>784</v>
      </c>
      <c r="I633" s="375" t="s">
        <v>754</v>
      </c>
      <c r="J633" s="375">
        <v>74169.946849999993</v>
      </c>
      <c r="K633" s="375">
        <v>-6724.5410199999997</v>
      </c>
      <c r="L633" s="375">
        <v>-12681.324979999999</v>
      </c>
      <c r="M633" s="375">
        <v>381044.14088000002</v>
      </c>
      <c r="N633" s="372">
        <v>0.79400000000000004</v>
      </c>
      <c r="O633" s="704">
        <v>0.17431801091466786</v>
      </c>
      <c r="P633" s="375" t="s">
        <v>622</v>
      </c>
      <c r="Q633" s="372" t="s">
        <v>622</v>
      </c>
      <c r="R633" s="696">
        <v>19850114</v>
      </c>
      <c r="S633" s="372" t="s">
        <v>4754</v>
      </c>
      <c r="T633" s="697" t="s">
        <v>771</v>
      </c>
      <c r="U633" s="372" t="s">
        <v>4755</v>
      </c>
      <c r="V633" s="723">
        <v>0</v>
      </c>
      <c r="W633" s="723">
        <v>0</v>
      </c>
      <c r="X633" s="723">
        <v>0</v>
      </c>
      <c r="Y633" s="723">
        <v>0</v>
      </c>
      <c r="Z633" s="382" t="s">
        <v>927</v>
      </c>
      <c r="AA633" s="372">
        <v>406.00732249999999</v>
      </c>
      <c r="AB633" s="372">
        <v>420.8983581</v>
      </c>
      <c r="AC633" s="372">
        <v>612.47846530000004</v>
      </c>
      <c r="AD633" s="372">
        <v>780.53232119999996</v>
      </c>
      <c r="AE633" s="372">
        <v>0</v>
      </c>
      <c r="AF633" s="372">
        <v>0</v>
      </c>
      <c r="AG633" s="372">
        <v>0</v>
      </c>
      <c r="AH633" s="372">
        <v>0</v>
      </c>
    </row>
    <row r="634" spans="1:34">
      <c r="A634" s="372" t="s">
        <v>4756</v>
      </c>
      <c r="B634" s="373" t="s">
        <v>4757</v>
      </c>
      <c r="C634" s="372" t="s">
        <v>4758</v>
      </c>
      <c r="D634" s="374">
        <v>1348110048183</v>
      </c>
      <c r="E634" s="372" t="s">
        <v>4759</v>
      </c>
      <c r="F634" s="372" t="s">
        <v>1185</v>
      </c>
      <c r="G634" s="375" t="s">
        <v>1186</v>
      </c>
      <c r="H634" s="375" t="s">
        <v>861</v>
      </c>
      <c r="I634" s="375" t="s">
        <v>862</v>
      </c>
      <c r="J634" s="375">
        <v>101204.0399</v>
      </c>
      <c r="K634" s="375">
        <v>10603.140359999999</v>
      </c>
      <c r="L634" s="375">
        <v>-7895.1842900000001</v>
      </c>
      <c r="M634" s="375">
        <v>118395.07816</v>
      </c>
      <c r="N634" s="372">
        <v>0.93799999999999994</v>
      </c>
      <c r="O634" s="704">
        <v>12.015765811664581</v>
      </c>
      <c r="P634" s="375" t="s">
        <v>622</v>
      </c>
      <c r="Q634" s="375" t="s">
        <v>622</v>
      </c>
      <c r="R634" s="696">
        <v>20141229</v>
      </c>
      <c r="S634" s="375" t="s">
        <v>4760</v>
      </c>
      <c r="T634" s="697" t="s">
        <v>771</v>
      </c>
      <c r="U634" s="375" t="s">
        <v>4761</v>
      </c>
      <c r="V634" s="723">
        <v>22.74</v>
      </c>
      <c r="W634" s="723">
        <v>2.71</v>
      </c>
      <c r="X634" s="723">
        <v>3.32</v>
      </c>
      <c r="Y634" s="723" t="s">
        <v>773</v>
      </c>
      <c r="Z634" s="382" t="s">
        <v>927</v>
      </c>
      <c r="AA634" s="372">
        <v>660.89641040000004</v>
      </c>
      <c r="AB634" s="372">
        <v>724.05194959999994</v>
      </c>
      <c r="AC634" s="372">
        <v>759.9376072</v>
      </c>
      <c r="AD634" s="372">
        <v>798.08251210000003</v>
      </c>
      <c r="AE634" s="372">
        <v>0</v>
      </c>
      <c r="AF634" s="372">
        <v>0</v>
      </c>
      <c r="AG634" s="372">
        <v>0</v>
      </c>
      <c r="AH634" s="372">
        <v>0</v>
      </c>
    </row>
    <row r="635" spans="1:34">
      <c r="A635" s="372" t="s">
        <v>4762</v>
      </c>
      <c r="B635" s="373" t="s">
        <v>4763</v>
      </c>
      <c r="C635" s="372" t="s">
        <v>4764</v>
      </c>
      <c r="D635" s="374">
        <v>1101112819005</v>
      </c>
      <c r="E635" s="372" t="s">
        <v>4765</v>
      </c>
      <c r="F635" s="375" t="s">
        <v>893</v>
      </c>
      <c r="G635" s="375" t="s">
        <v>894</v>
      </c>
      <c r="H635" s="375" t="s">
        <v>855</v>
      </c>
      <c r="I635" s="375" t="s">
        <v>754</v>
      </c>
      <c r="J635" s="375">
        <v>860380.72846000001</v>
      </c>
      <c r="K635" s="375">
        <v>98714.260519999996</v>
      </c>
      <c r="L635" s="375">
        <v>96565.390299999999</v>
      </c>
      <c r="M635" s="375">
        <v>1192788.6183</v>
      </c>
      <c r="N635" s="372">
        <v>0.59899999999999998</v>
      </c>
      <c r="O635" s="704">
        <v>47.068240592856355</v>
      </c>
      <c r="P635" s="375" t="s">
        <v>622</v>
      </c>
      <c r="Q635" s="375" t="s">
        <v>622</v>
      </c>
      <c r="R635" s="696">
        <v>20030730</v>
      </c>
      <c r="S635" s="375" t="s">
        <v>4766</v>
      </c>
      <c r="T635" s="697">
        <v>0.23100000000000001</v>
      </c>
      <c r="U635" s="375" t="s">
        <v>4767</v>
      </c>
      <c r="V635" s="723">
        <v>3.29</v>
      </c>
      <c r="W635" s="723">
        <v>0.26</v>
      </c>
      <c r="X635" s="723">
        <v>0.36</v>
      </c>
      <c r="Y635" s="723">
        <v>3.58</v>
      </c>
      <c r="Z635" s="382" t="s">
        <v>927</v>
      </c>
      <c r="AA635" s="372">
        <v>5835.7473358999996</v>
      </c>
      <c r="AB635" s="372">
        <v>6414.9558562000002</v>
      </c>
      <c r="AC635" s="372">
        <v>6745.7920139999997</v>
      </c>
      <c r="AD635" s="372">
        <v>7694.9637179000001</v>
      </c>
      <c r="AE635" s="372">
        <v>0</v>
      </c>
      <c r="AF635" s="372">
        <v>0</v>
      </c>
      <c r="AG635" s="372">
        <v>0</v>
      </c>
      <c r="AH635" s="372">
        <v>0</v>
      </c>
    </row>
    <row r="636" spans="1:34">
      <c r="A636" s="372" t="s">
        <v>4768</v>
      </c>
      <c r="B636" s="373" t="s">
        <v>4769</v>
      </c>
      <c r="C636" s="372" t="s">
        <v>4770</v>
      </c>
      <c r="D636" s="374">
        <v>1101110360399</v>
      </c>
      <c r="E636" s="372" t="s">
        <v>4771</v>
      </c>
      <c r="F636" s="375" t="s">
        <v>1591</v>
      </c>
      <c r="G636" s="375" t="s">
        <v>1591</v>
      </c>
      <c r="H636" s="375" t="s">
        <v>946</v>
      </c>
      <c r="I636" s="375" t="s">
        <v>754</v>
      </c>
      <c r="J636" s="375">
        <v>1726339.41603</v>
      </c>
      <c r="K636" s="375">
        <v>-5042.2398599999997</v>
      </c>
      <c r="L636" s="375">
        <v>30227.473139999998</v>
      </c>
      <c r="M636" s="375">
        <v>1088407.0419699999</v>
      </c>
      <c r="N636" s="372">
        <v>0.86</v>
      </c>
      <c r="O636" s="704">
        <v>25.336472963321761</v>
      </c>
      <c r="P636" s="375" t="s">
        <v>622</v>
      </c>
      <c r="Q636" s="375" t="s">
        <v>622</v>
      </c>
      <c r="R636" s="696">
        <v>19950818</v>
      </c>
      <c r="S636" s="375" t="s">
        <v>4772</v>
      </c>
      <c r="T636" s="697">
        <v>0.23100000000000001</v>
      </c>
      <c r="U636" s="372" t="s">
        <v>4773</v>
      </c>
      <c r="V636" s="723">
        <v>7.88</v>
      </c>
      <c r="W636" s="723">
        <v>0.24</v>
      </c>
      <c r="X636" s="723">
        <v>0.16</v>
      </c>
      <c r="Y636" s="723">
        <v>8.89</v>
      </c>
      <c r="Z636" s="382" t="s">
        <v>927</v>
      </c>
      <c r="AA636" s="372">
        <v>12807.1087603</v>
      </c>
      <c r="AB636" s="372">
        <v>12778.444765</v>
      </c>
      <c r="AC636" s="372">
        <v>17244.5200429</v>
      </c>
      <c r="AD636" s="372">
        <v>17174.231896699999</v>
      </c>
      <c r="AE636" s="372">
        <v>14480</v>
      </c>
      <c r="AF636" s="372">
        <v>0</v>
      </c>
      <c r="AG636" s="372">
        <v>0</v>
      </c>
      <c r="AH636" s="372">
        <v>0</v>
      </c>
    </row>
    <row r="637" spans="1:34">
      <c r="A637" s="372" t="s">
        <v>4774</v>
      </c>
      <c r="B637" s="373" t="s">
        <v>4775</v>
      </c>
      <c r="C637" s="372" t="s">
        <v>4776</v>
      </c>
      <c r="D637" s="374">
        <v>1401110050944</v>
      </c>
      <c r="E637" s="372" t="s">
        <v>4777</v>
      </c>
      <c r="F637" s="375" t="s">
        <v>1116</v>
      </c>
      <c r="G637" s="375" t="s">
        <v>1336</v>
      </c>
      <c r="H637" s="375" t="s">
        <v>1337</v>
      </c>
      <c r="I637" s="375" t="s">
        <v>862</v>
      </c>
      <c r="J637" s="375">
        <v>20712</v>
      </c>
      <c r="K637" s="375">
        <v>10566.854020000001</v>
      </c>
      <c r="L637" s="375">
        <v>7589.8125399999999</v>
      </c>
      <c r="M637" s="375">
        <v>74097.94313</v>
      </c>
      <c r="N637" s="372">
        <v>1.2250000000000001</v>
      </c>
      <c r="O637" s="704">
        <v>1.4280009977973576</v>
      </c>
      <c r="P637" s="375" t="s">
        <v>622</v>
      </c>
      <c r="Q637" s="375" t="s">
        <v>622</v>
      </c>
      <c r="R637" s="696">
        <v>20220728</v>
      </c>
      <c r="S637" s="375" t="s">
        <v>4778</v>
      </c>
      <c r="T637" s="697">
        <v>0.20900000000000002</v>
      </c>
      <c r="U637" s="375" t="s">
        <v>4779</v>
      </c>
      <c r="V637" s="723">
        <v>0</v>
      </c>
      <c r="W637" s="723">
        <v>0</v>
      </c>
      <c r="X637" s="723">
        <v>0</v>
      </c>
      <c r="Y637" s="723">
        <v>0</v>
      </c>
      <c r="Z637" s="382" t="s">
        <v>773</v>
      </c>
      <c r="AA637" s="372">
        <v>0</v>
      </c>
      <c r="AB637" s="372">
        <v>233.95944</v>
      </c>
      <c r="AC637" s="372">
        <v>2</v>
      </c>
      <c r="AD637" s="372">
        <v>0</v>
      </c>
      <c r="AE637" s="372">
        <v>0</v>
      </c>
      <c r="AF637" s="372">
        <v>0</v>
      </c>
      <c r="AG637" s="372">
        <v>0</v>
      </c>
      <c r="AH637" s="372">
        <v>0</v>
      </c>
    </row>
    <row r="638" spans="1:34">
      <c r="A638" s="372" t="s">
        <v>4780</v>
      </c>
      <c r="B638" s="373" t="s">
        <v>4781</v>
      </c>
      <c r="C638" s="372" t="s">
        <v>4782</v>
      </c>
      <c r="D638" s="374">
        <v>0</v>
      </c>
      <c r="E638" s="372" t="s">
        <v>4783</v>
      </c>
      <c r="F638" s="372" t="s">
        <v>1055</v>
      </c>
      <c r="G638" s="375" t="s">
        <v>16104</v>
      </c>
      <c r="H638" s="375">
        <v>0</v>
      </c>
      <c r="I638" s="375" t="s">
        <v>862</v>
      </c>
      <c r="J638" s="375">
        <v>123059.32799999999</v>
      </c>
      <c r="K638" s="375">
        <v>-22268.337</v>
      </c>
      <c r="L638" s="375">
        <v>-13416.109</v>
      </c>
      <c r="M638" s="375">
        <v>604278.14800000004</v>
      </c>
      <c r="N638" s="372">
        <v>0.7</v>
      </c>
      <c r="O638" s="704">
        <v>28.980602867281519</v>
      </c>
      <c r="P638" s="375" t="s">
        <v>622</v>
      </c>
      <c r="Q638" s="375" t="s">
        <v>622</v>
      </c>
      <c r="R638" s="696">
        <v>20130530</v>
      </c>
      <c r="S638" s="375" t="s">
        <v>4784</v>
      </c>
      <c r="T638" s="697" t="s">
        <v>771</v>
      </c>
      <c r="U638" s="375" t="s">
        <v>4785</v>
      </c>
      <c r="V638" s="723" t="s">
        <v>773</v>
      </c>
      <c r="W638" s="723">
        <v>0.38</v>
      </c>
      <c r="X638" s="723">
        <v>1.95</v>
      </c>
      <c r="Y638" s="723" t="s">
        <v>773</v>
      </c>
      <c r="Z638" s="382" t="s">
        <v>927</v>
      </c>
      <c r="AA638" s="372">
        <v>1217.9738</v>
      </c>
      <c r="AB638" s="372">
        <v>5051.1169499999996</v>
      </c>
      <c r="AC638" s="372">
        <v>10338.630939999999</v>
      </c>
      <c r="AD638" s="372">
        <v>3486.43147</v>
      </c>
      <c r="AE638" s="372">
        <v>0</v>
      </c>
      <c r="AF638" s="372">
        <v>0</v>
      </c>
      <c r="AG638" s="372">
        <v>0</v>
      </c>
      <c r="AH638" s="372">
        <v>0</v>
      </c>
    </row>
    <row r="639" spans="1:34">
      <c r="A639" s="372" t="s">
        <v>4786</v>
      </c>
      <c r="B639" s="373" t="s">
        <v>4787</v>
      </c>
      <c r="C639" s="372" t="s">
        <v>4788</v>
      </c>
      <c r="D639" s="374">
        <v>1101110822026</v>
      </c>
      <c r="E639" s="372" t="s">
        <v>4789</v>
      </c>
      <c r="F639" s="375" t="s">
        <v>1069</v>
      </c>
      <c r="G639" s="375" t="s">
        <v>1069</v>
      </c>
      <c r="H639" s="375" t="s">
        <v>3099</v>
      </c>
      <c r="I639" s="375" t="s">
        <v>862</v>
      </c>
      <c r="J639" s="375">
        <v>427456.22139999998</v>
      </c>
      <c r="K639" s="375">
        <v>21723.991819999999</v>
      </c>
      <c r="L639" s="375">
        <v>20678.23389</v>
      </c>
      <c r="M639" s="375">
        <v>257780.21554</v>
      </c>
      <c r="N639" s="372">
        <v>0.81399999999999995</v>
      </c>
      <c r="O639" s="704">
        <v>2.6394607746959062</v>
      </c>
      <c r="P639" s="375" t="s">
        <v>622</v>
      </c>
      <c r="Q639" s="375" t="s">
        <v>622</v>
      </c>
      <c r="R639" s="696">
        <v>19991222</v>
      </c>
      <c r="S639" s="375" t="s">
        <v>4790</v>
      </c>
      <c r="T639" s="697">
        <v>0.23100000000000001</v>
      </c>
      <c r="U639" s="372" t="s">
        <v>4791</v>
      </c>
      <c r="V639" s="723">
        <v>0</v>
      </c>
      <c r="W639" s="723">
        <v>0</v>
      </c>
      <c r="X639" s="723">
        <v>0</v>
      </c>
      <c r="Y639" s="723">
        <v>0</v>
      </c>
      <c r="Z639" s="382" t="s">
        <v>927</v>
      </c>
      <c r="AA639" s="372">
        <v>3493.1394117</v>
      </c>
      <c r="AB639" s="372">
        <v>4236.6428941000004</v>
      </c>
      <c r="AC639" s="372">
        <v>4641.6729023999997</v>
      </c>
      <c r="AD639" s="372">
        <v>4304.4719143000002</v>
      </c>
      <c r="AE639" s="372">
        <v>0</v>
      </c>
      <c r="AF639" s="372">
        <v>0</v>
      </c>
      <c r="AG639" s="372">
        <v>0</v>
      </c>
      <c r="AH639" s="372">
        <v>0</v>
      </c>
    </row>
    <row r="640" spans="1:34">
      <c r="A640" s="372" t="s">
        <v>4792</v>
      </c>
      <c r="B640" s="373" t="s">
        <v>4793</v>
      </c>
      <c r="C640" s="372" t="s">
        <v>4794</v>
      </c>
      <c r="D640" s="374">
        <v>1746110006492</v>
      </c>
      <c r="E640" s="372" t="s">
        <v>4795</v>
      </c>
      <c r="F640" s="372" t="s">
        <v>2089</v>
      </c>
      <c r="G640" s="375" t="s">
        <v>2089</v>
      </c>
      <c r="H640" s="375" t="s">
        <v>812</v>
      </c>
      <c r="I640" s="375" t="s">
        <v>754</v>
      </c>
      <c r="J640" s="375">
        <v>1206024.48484</v>
      </c>
      <c r="K640" s="375">
        <v>43891.381119999998</v>
      </c>
      <c r="L640" s="375">
        <v>35522.432240000002</v>
      </c>
      <c r="M640" s="375">
        <v>374987.79544000002</v>
      </c>
      <c r="N640" s="372">
        <v>1.415</v>
      </c>
      <c r="O640" s="704">
        <v>18.111039346708754</v>
      </c>
      <c r="P640" s="375" t="s">
        <v>622</v>
      </c>
      <c r="Q640" s="375" t="s">
        <v>622</v>
      </c>
      <c r="R640" s="696">
        <v>20020816</v>
      </c>
      <c r="S640" s="375" t="s">
        <v>4796</v>
      </c>
      <c r="T640" s="697">
        <v>0.23100000000000001</v>
      </c>
      <c r="U640" s="375" t="s">
        <v>15862</v>
      </c>
      <c r="V640" s="723">
        <v>4.34</v>
      </c>
      <c r="W640" s="723">
        <v>0.65</v>
      </c>
      <c r="X640" s="723">
        <v>0.2</v>
      </c>
      <c r="Y640" s="723">
        <v>8.8800000000000008</v>
      </c>
      <c r="Z640" s="382">
        <v>1.590025908574777E-2</v>
      </c>
      <c r="AA640" s="372">
        <v>9073.1945759999999</v>
      </c>
      <c r="AB640" s="372">
        <v>13472.7353872</v>
      </c>
      <c r="AC640" s="372">
        <v>12021.207387500001</v>
      </c>
      <c r="AD640" s="372">
        <v>11585.3957968</v>
      </c>
      <c r="AE640" s="372">
        <v>12160</v>
      </c>
      <c r="AF640" s="372">
        <v>11950</v>
      </c>
      <c r="AG640" s="372">
        <v>12340</v>
      </c>
      <c r="AH640" s="372">
        <v>0</v>
      </c>
    </row>
    <row r="641" spans="1:34">
      <c r="A641" s="372" t="s">
        <v>4797</v>
      </c>
      <c r="B641" s="373" t="s">
        <v>4798</v>
      </c>
      <c r="C641" s="372" t="s">
        <v>4799</v>
      </c>
      <c r="D641" s="374">
        <v>1101110042278</v>
      </c>
      <c r="E641" s="372" t="s">
        <v>4800</v>
      </c>
      <c r="F641" s="375" t="s">
        <v>4801</v>
      </c>
      <c r="G641" s="375" t="s">
        <v>4802</v>
      </c>
      <c r="H641" s="375" t="s">
        <v>1316</v>
      </c>
      <c r="I641" s="375" t="s">
        <v>754</v>
      </c>
      <c r="J641" s="375">
        <v>2321346.74211</v>
      </c>
      <c r="K641" s="375">
        <v>151643.20053</v>
      </c>
      <c r="L641" s="375">
        <v>147800.16850999999</v>
      </c>
      <c r="M641" s="375">
        <v>855145.87902999995</v>
      </c>
      <c r="N641" s="372">
        <v>1.016</v>
      </c>
      <c r="O641" s="704">
        <v>199.7245578708617</v>
      </c>
      <c r="P641" s="375" t="s">
        <v>622</v>
      </c>
      <c r="Q641" s="375" t="s">
        <v>622</v>
      </c>
      <c r="R641" s="696">
        <v>19760916</v>
      </c>
      <c r="S641" s="375" t="s">
        <v>4803</v>
      </c>
      <c r="T641" s="697">
        <v>0.23100000000000001</v>
      </c>
      <c r="U641" s="372" t="s">
        <v>15863</v>
      </c>
      <c r="V641" s="723">
        <v>6.05</v>
      </c>
      <c r="W641" s="723">
        <v>0.65</v>
      </c>
      <c r="X641" s="723">
        <v>0.21</v>
      </c>
      <c r="Y641" s="723">
        <v>4.55</v>
      </c>
      <c r="Z641" s="382">
        <v>8.3504585892981931E-2</v>
      </c>
      <c r="AA641" s="372">
        <v>17181.040621700002</v>
      </c>
      <c r="AB641" s="372">
        <v>18136.947429200001</v>
      </c>
      <c r="AC641" s="372">
        <v>20187.526986699999</v>
      </c>
      <c r="AD641" s="372">
        <v>20630.746556800001</v>
      </c>
      <c r="AE641" s="372">
        <v>26118.5</v>
      </c>
      <c r="AF641" s="372">
        <v>26696</v>
      </c>
      <c r="AG641" s="372">
        <v>28434</v>
      </c>
      <c r="AH641" s="372">
        <v>0</v>
      </c>
    </row>
    <row r="642" spans="1:34">
      <c r="A642" s="372" t="s">
        <v>4804</v>
      </c>
      <c r="B642" s="373" t="s">
        <v>4805</v>
      </c>
      <c r="C642" s="372" t="s">
        <v>4806</v>
      </c>
      <c r="D642" s="374">
        <v>1342110058902</v>
      </c>
      <c r="E642" s="372" t="s">
        <v>4807</v>
      </c>
      <c r="F642" s="375" t="s">
        <v>3236</v>
      </c>
      <c r="G642" s="375" t="s">
        <v>3236</v>
      </c>
      <c r="H642" s="375" t="s">
        <v>861</v>
      </c>
      <c r="I642" s="375" t="s">
        <v>862</v>
      </c>
      <c r="J642" s="375">
        <v>74445.964529999997</v>
      </c>
      <c r="K642" s="375">
        <v>559.30962</v>
      </c>
      <c r="L642" s="375">
        <v>-1250.02575</v>
      </c>
      <c r="M642" s="375">
        <v>74947.621239999993</v>
      </c>
      <c r="N642" s="372">
        <v>0.996</v>
      </c>
      <c r="O642" s="704">
        <v>45.826539647003827</v>
      </c>
      <c r="P642" s="375" t="s">
        <v>622</v>
      </c>
      <c r="Q642" s="372" t="s">
        <v>622</v>
      </c>
      <c r="R642" s="696">
        <v>20220303</v>
      </c>
      <c r="S642" s="372" t="s">
        <v>4808</v>
      </c>
      <c r="T642" s="697" t="s">
        <v>771</v>
      </c>
      <c r="U642" s="375" t="s">
        <v>4809</v>
      </c>
      <c r="V642" s="723">
        <v>31.24</v>
      </c>
      <c r="W642" s="723">
        <v>2.36</v>
      </c>
      <c r="X642" s="723">
        <v>2.36</v>
      </c>
      <c r="Y642" s="723">
        <v>130.96</v>
      </c>
      <c r="Z642" s="382">
        <v>0.20250841812836229</v>
      </c>
      <c r="AA642" s="372">
        <v>473.43439999999998</v>
      </c>
      <c r="AB642" s="372">
        <v>642.78026360000001</v>
      </c>
      <c r="AC642" s="372">
        <v>820.50451299999997</v>
      </c>
      <c r="AD642" s="372">
        <v>653.1204285</v>
      </c>
      <c r="AE642" s="372">
        <v>821.25</v>
      </c>
      <c r="AF642" s="372">
        <v>1030</v>
      </c>
      <c r="AG642" s="372">
        <v>1365.67</v>
      </c>
      <c r="AH642" s="372">
        <v>1600</v>
      </c>
    </row>
    <row r="643" spans="1:34">
      <c r="A643" s="372" t="s">
        <v>4810</v>
      </c>
      <c r="B643" s="373" t="s">
        <v>4811</v>
      </c>
      <c r="C643" s="372" t="s">
        <v>4812</v>
      </c>
      <c r="D643" s="374">
        <v>1101110037112</v>
      </c>
      <c r="E643" s="372" t="s">
        <v>4813</v>
      </c>
      <c r="F643" s="375" t="s">
        <v>1262</v>
      </c>
      <c r="G643" s="375" t="s">
        <v>1263</v>
      </c>
      <c r="H643" s="375" t="s">
        <v>1264</v>
      </c>
      <c r="I643" s="375" t="s">
        <v>754</v>
      </c>
      <c r="J643" s="375">
        <v>0</v>
      </c>
      <c r="K643" s="375">
        <v>0</v>
      </c>
      <c r="L643" s="375">
        <v>0</v>
      </c>
      <c r="M643" s="375">
        <v>0</v>
      </c>
      <c r="N643" s="372">
        <v>0.873</v>
      </c>
      <c r="O643" s="704" t="s">
        <v>16301</v>
      </c>
      <c r="P643" s="375" t="s">
        <v>622</v>
      </c>
      <c r="Q643" s="375" t="s">
        <v>622</v>
      </c>
      <c r="R643" s="696">
        <v>19860920</v>
      </c>
      <c r="S643" s="375" t="s">
        <v>4814</v>
      </c>
      <c r="T643" s="697" t="s">
        <v>771</v>
      </c>
      <c r="U643" s="375" t="s">
        <v>4815</v>
      </c>
      <c r="V643" s="723">
        <v>0</v>
      </c>
      <c r="W643" s="723">
        <v>0</v>
      </c>
      <c r="X643" s="723">
        <v>0</v>
      </c>
      <c r="Y643" s="723">
        <v>0</v>
      </c>
      <c r="Z643" s="382" t="s">
        <v>927</v>
      </c>
      <c r="AA643" s="372">
        <v>2371.5841814</v>
      </c>
      <c r="AB643" s="372">
        <v>3400.4232889</v>
      </c>
      <c r="AC643" s="372">
        <v>2867.1507000000001</v>
      </c>
      <c r="AD643" s="372">
        <v>2622.6247459000001</v>
      </c>
      <c r="AE643" s="372">
        <v>0</v>
      </c>
      <c r="AF643" s="372">
        <v>0</v>
      </c>
      <c r="AG643" s="372">
        <v>0</v>
      </c>
      <c r="AH643" s="372">
        <v>0</v>
      </c>
    </row>
    <row r="644" spans="1:34">
      <c r="A644" s="372" t="s">
        <v>4816</v>
      </c>
      <c r="B644" s="373" t="s">
        <v>4817</v>
      </c>
      <c r="C644" s="372" t="s">
        <v>4818</v>
      </c>
      <c r="D644" s="374">
        <v>2842110063231</v>
      </c>
      <c r="E644" s="372" t="s">
        <v>4819</v>
      </c>
      <c r="F644" s="375" t="s">
        <v>1116</v>
      </c>
      <c r="G644" s="375" t="s">
        <v>1336</v>
      </c>
      <c r="H644" s="375" t="s">
        <v>1337</v>
      </c>
      <c r="I644" s="375" t="s">
        <v>862</v>
      </c>
      <c r="J644" s="375">
        <v>56755.208200000001</v>
      </c>
      <c r="K644" s="375">
        <v>-8168.0418499999996</v>
      </c>
      <c r="L644" s="375">
        <v>-5367.5760499999997</v>
      </c>
      <c r="M644" s="375">
        <v>120189.94770999999</v>
      </c>
      <c r="N644" s="372">
        <v>1.147</v>
      </c>
      <c r="O644" s="704">
        <v>19.951602954272296</v>
      </c>
      <c r="P644" s="375" t="s">
        <v>622</v>
      </c>
      <c r="Q644" s="372" t="s">
        <v>622</v>
      </c>
      <c r="R644" s="696">
        <v>20191127</v>
      </c>
      <c r="S644" s="375" t="s">
        <v>4820</v>
      </c>
      <c r="T644" s="697" t="s">
        <v>771</v>
      </c>
      <c r="U644" s="375" t="s">
        <v>15864</v>
      </c>
      <c r="V644" s="723" t="s">
        <v>773</v>
      </c>
      <c r="W644" s="723">
        <v>1.65</v>
      </c>
      <c r="X644" s="723">
        <v>3.6</v>
      </c>
      <c r="Y644" s="723" t="s">
        <v>773</v>
      </c>
      <c r="Z644" s="382" t="s">
        <v>927</v>
      </c>
      <c r="AA644" s="372">
        <v>585.19826409999996</v>
      </c>
      <c r="AB644" s="372">
        <v>644.03026839999995</v>
      </c>
      <c r="AC644" s="372">
        <v>862.77023440000005</v>
      </c>
      <c r="AD644" s="372">
        <v>528.14062369999999</v>
      </c>
      <c r="AE644" s="372">
        <v>0</v>
      </c>
      <c r="AF644" s="372">
        <v>0</v>
      </c>
      <c r="AG644" s="372">
        <v>0</v>
      </c>
      <c r="AH644" s="372">
        <v>0</v>
      </c>
    </row>
    <row r="645" spans="1:34">
      <c r="A645" s="372" t="s">
        <v>4821</v>
      </c>
      <c r="B645" s="373" t="s">
        <v>4822</v>
      </c>
      <c r="C645" s="372" t="s">
        <v>4823</v>
      </c>
      <c r="D645" s="374">
        <v>1801110002591</v>
      </c>
      <c r="E645" s="372" t="s">
        <v>4824</v>
      </c>
      <c r="F645" s="375" t="s">
        <v>4825</v>
      </c>
      <c r="G645" s="375" t="s">
        <v>4826</v>
      </c>
      <c r="H645" s="375" t="s">
        <v>826</v>
      </c>
      <c r="I645" s="375" t="s">
        <v>754</v>
      </c>
      <c r="J645" s="375">
        <v>330847.81991000002</v>
      </c>
      <c r="K645" s="375">
        <v>44526.512560000003</v>
      </c>
      <c r="L645" s="375">
        <v>48999.560649999999</v>
      </c>
      <c r="M645" s="375">
        <v>123086.20316</v>
      </c>
      <c r="N645" s="372">
        <v>0.42899999999999999</v>
      </c>
      <c r="O645" s="704">
        <v>0.29062649097815763</v>
      </c>
      <c r="P645" s="375" t="s">
        <v>622</v>
      </c>
      <c r="Q645" s="375" t="s">
        <v>622</v>
      </c>
      <c r="R645" s="696">
        <v>19880810</v>
      </c>
      <c r="S645" s="375" t="s">
        <v>4827</v>
      </c>
      <c r="T645" s="697">
        <v>0.23100000000000001</v>
      </c>
      <c r="U645" s="372" t="s">
        <v>4828</v>
      </c>
      <c r="V645" s="723">
        <v>0</v>
      </c>
      <c r="W645" s="723">
        <v>0</v>
      </c>
      <c r="X645" s="723">
        <v>0</v>
      </c>
      <c r="Y645" s="723">
        <v>0</v>
      </c>
      <c r="Z645" s="382" t="s">
        <v>927</v>
      </c>
      <c r="AA645" s="372">
        <v>2003.3494694999999</v>
      </c>
      <c r="AB645" s="372">
        <v>2413.8807443000001</v>
      </c>
      <c r="AC645" s="372">
        <v>3016.421992</v>
      </c>
      <c r="AD645" s="372">
        <v>3204.8620500000002</v>
      </c>
      <c r="AE645" s="372">
        <v>0</v>
      </c>
      <c r="AF645" s="372">
        <v>0</v>
      </c>
      <c r="AG645" s="372">
        <v>0</v>
      </c>
      <c r="AH645" s="372">
        <v>0</v>
      </c>
    </row>
    <row r="646" spans="1:34">
      <c r="A646" s="372" t="s">
        <v>4829</v>
      </c>
      <c r="B646" s="373" t="s">
        <v>4830</v>
      </c>
      <c r="C646" s="372" t="s">
        <v>4831</v>
      </c>
      <c r="D646" s="374">
        <v>1201110018368</v>
      </c>
      <c r="E646" s="372" t="s">
        <v>4832</v>
      </c>
      <c r="F646" s="375" t="s">
        <v>4833</v>
      </c>
      <c r="G646" s="375" t="s">
        <v>4833</v>
      </c>
      <c r="H646" s="375" t="s">
        <v>1316</v>
      </c>
      <c r="I646" s="375" t="s">
        <v>754</v>
      </c>
      <c r="J646" s="375">
        <v>1362141.172</v>
      </c>
      <c r="K646" s="375">
        <v>46099.523000000001</v>
      </c>
      <c r="L646" s="375">
        <v>38880.938000000002</v>
      </c>
      <c r="M646" s="375">
        <v>563454.26300000004</v>
      </c>
      <c r="N646" s="372">
        <v>0.83299999999999996</v>
      </c>
      <c r="O646" s="704">
        <v>164.43195462919874</v>
      </c>
      <c r="P646" s="375" t="s">
        <v>622</v>
      </c>
      <c r="Q646" s="375" t="s">
        <v>622</v>
      </c>
      <c r="R646" s="696">
        <v>19681227</v>
      </c>
      <c r="S646" s="375" t="s">
        <v>4834</v>
      </c>
      <c r="T646" s="697">
        <v>0.23100000000000001</v>
      </c>
      <c r="U646" s="372" t="s">
        <v>4835</v>
      </c>
      <c r="V646" s="723">
        <v>7.97</v>
      </c>
      <c r="W646" s="723">
        <v>0.5</v>
      </c>
      <c r="X646" s="723">
        <v>0.21</v>
      </c>
      <c r="Y646" s="723">
        <v>11.69</v>
      </c>
      <c r="Z646" s="382" t="s">
        <v>927</v>
      </c>
      <c r="AA646" s="372">
        <v>12144.52231</v>
      </c>
      <c r="AB646" s="372">
        <v>12613.493329999999</v>
      </c>
      <c r="AC646" s="372">
        <v>13780.75519</v>
      </c>
      <c r="AD646" s="372">
        <v>13323.49884</v>
      </c>
      <c r="AE646" s="372">
        <v>0</v>
      </c>
      <c r="AF646" s="372">
        <v>0</v>
      </c>
      <c r="AG646" s="372">
        <v>0</v>
      </c>
      <c r="AH646" s="372">
        <v>0</v>
      </c>
    </row>
    <row r="647" spans="1:34">
      <c r="A647" s="372" t="s">
        <v>4836</v>
      </c>
      <c r="B647" s="373" t="s">
        <v>4837</v>
      </c>
      <c r="C647" s="372" t="s">
        <v>4838</v>
      </c>
      <c r="D647" s="374">
        <v>1101110582547</v>
      </c>
      <c r="E647" s="372" t="s">
        <v>4839</v>
      </c>
      <c r="F647" s="372" t="s">
        <v>3011</v>
      </c>
      <c r="G647" s="375" t="s">
        <v>3011</v>
      </c>
      <c r="H647" s="375" t="s">
        <v>1337</v>
      </c>
      <c r="I647" s="375" t="s">
        <v>862</v>
      </c>
      <c r="J647" s="375">
        <v>1199484.1470000001</v>
      </c>
      <c r="K647" s="375">
        <v>100697.46673</v>
      </c>
      <c r="L647" s="375">
        <v>110089.32562</v>
      </c>
      <c r="M647" s="375">
        <v>581332.17712000001</v>
      </c>
      <c r="N647" s="372">
        <v>0.65700000000000003</v>
      </c>
      <c r="O647" s="704">
        <v>0</v>
      </c>
      <c r="P647" s="375" t="s">
        <v>622</v>
      </c>
      <c r="Q647" s="372" t="s">
        <v>622</v>
      </c>
      <c r="R647" s="696">
        <v>20000829</v>
      </c>
      <c r="S647" s="372" t="s">
        <v>4840</v>
      </c>
      <c r="T647" s="697">
        <v>0.23100000000000001</v>
      </c>
      <c r="U647" s="372" t="s">
        <v>4841</v>
      </c>
      <c r="V647" s="723">
        <v>2.82</v>
      </c>
      <c r="W647" s="723">
        <v>0.53</v>
      </c>
      <c r="X647" s="723">
        <v>0.27</v>
      </c>
      <c r="Y647" s="723">
        <v>3.66</v>
      </c>
      <c r="Z647" s="382" t="s">
        <v>927</v>
      </c>
      <c r="AA647" s="372">
        <v>7584.6656118000001</v>
      </c>
      <c r="AB647" s="372">
        <v>8910.3185878999993</v>
      </c>
      <c r="AC647" s="372">
        <v>11628.9266358</v>
      </c>
      <c r="AD647" s="372">
        <v>10261.667237400001</v>
      </c>
      <c r="AE647" s="372">
        <v>0</v>
      </c>
      <c r="AF647" s="372">
        <v>0</v>
      </c>
      <c r="AG647" s="372">
        <v>0</v>
      </c>
      <c r="AH647" s="372">
        <v>0</v>
      </c>
    </row>
    <row r="648" spans="1:34">
      <c r="A648" s="372" t="s">
        <v>4842</v>
      </c>
      <c r="B648" s="373" t="s">
        <v>4843</v>
      </c>
      <c r="C648" s="372" t="s">
        <v>4844</v>
      </c>
      <c r="D648" s="374">
        <v>1101110335912</v>
      </c>
      <c r="E648" s="372" t="s">
        <v>4845</v>
      </c>
      <c r="F648" s="372" t="s">
        <v>4846</v>
      </c>
      <c r="G648" s="375" t="s">
        <v>16117</v>
      </c>
      <c r="H648" s="375" t="s">
        <v>4847</v>
      </c>
      <c r="I648" s="375" t="s">
        <v>862</v>
      </c>
      <c r="J648" s="375">
        <v>1533019.9497499999</v>
      </c>
      <c r="K648" s="375">
        <v>272325.73498000001</v>
      </c>
      <c r="L648" s="375">
        <v>196759.33942</v>
      </c>
      <c r="M648" s="375">
        <v>946521.63538999995</v>
      </c>
      <c r="N648" s="372">
        <v>0.70599999999999996</v>
      </c>
      <c r="O648" s="704">
        <v>44.004553024683759</v>
      </c>
      <c r="P648" s="375" t="s">
        <v>622</v>
      </c>
      <c r="Q648" s="375" t="s">
        <v>622</v>
      </c>
      <c r="R648" s="696">
        <v>19991222</v>
      </c>
      <c r="S648" s="375" t="s">
        <v>4848</v>
      </c>
      <c r="T648" s="697">
        <v>0.23100000000000001</v>
      </c>
      <c r="U648" s="372" t="s">
        <v>4849</v>
      </c>
      <c r="V648" s="723">
        <v>1.23</v>
      </c>
      <c r="W648" s="723">
        <v>0.36</v>
      </c>
      <c r="X648" s="723">
        <v>0.23</v>
      </c>
      <c r="Y648" s="723">
        <v>2.1800000000000002</v>
      </c>
      <c r="Z648" s="382" t="s">
        <v>927</v>
      </c>
      <c r="AA648" s="372">
        <v>12783.1308025</v>
      </c>
      <c r="AB648" s="372">
        <v>13299.6071569</v>
      </c>
      <c r="AC648" s="372">
        <v>14376.689885399999</v>
      </c>
      <c r="AD648" s="372">
        <v>14419.077504299999</v>
      </c>
      <c r="AE648" s="372">
        <v>0</v>
      </c>
      <c r="AF648" s="372">
        <v>0</v>
      </c>
      <c r="AG648" s="372">
        <v>0</v>
      </c>
      <c r="AH648" s="372">
        <v>0</v>
      </c>
    </row>
    <row r="649" spans="1:34">
      <c r="A649" s="372" t="s">
        <v>4850</v>
      </c>
      <c r="B649" s="373" t="s">
        <v>4851</v>
      </c>
      <c r="C649" s="372" t="s">
        <v>4852</v>
      </c>
      <c r="D649" s="374">
        <v>1341110067418</v>
      </c>
      <c r="E649" s="372" t="s">
        <v>4853</v>
      </c>
      <c r="F649" s="375" t="s">
        <v>16100</v>
      </c>
      <c r="G649" s="375" t="s">
        <v>16100</v>
      </c>
      <c r="H649" s="375" t="s">
        <v>861</v>
      </c>
      <c r="I649" s="375" t="s">
        <v>862</v>
      </c>
      <c r="J649" s="375">
        <v>60447.058649999999</v>
      </c>
      <c r="K649" s="375">
        <v>-443.00488000000001</v>
      </c>
      <c r="L649" s="375">
        <v>-6137.9974700000002</v>
      </c>
      <c r="M649" s="375">
        <v>91998.245339999994</v>
      </c>
      <c r="N649" s="372">
        <v>1.097</v>
      </c>
      <c r="O649" s="704">
        <v>41.785790057270496</v>
      </c>
      <c r="P649" s="375" t="s">
        <v>622</v>
      </c>
      <c r="Q649" s="375" t="s">
        <v>622</v>
      </c>
      <c r="R649" s="696">
        <v>20130701</v>
      </c>
      <c r="S649" s="375" t="s">
        <v>4854</v>
      </c>
      <c r="T649" s="697" t="s">
        <v>771</v>
      </c>
      <c r="U649" s="375" t="s">
        <v>4855</v>
      </c>
      <c r="V649" s="723">
        <v>59.14</v>
      </c>
      <c r="W649" s="723">
        <v>2.4300000000000002</v>
      </c>
      <c r="X649" s="723">
        <v>3.9</v>
      </c>
      <c r="Y649" s="723" t="s">
        <v>773</v>
      </c>
      <c r="Z649" s="382">
        <v>0.21858516266222106</v>
      </c>
      <c r="AA649" s="372">
        <v>466.90215449999999</v>
      </c>
      <c r="AB649" s="372">
        <v>489.58076349999999</v>
      </c>
      <c r="AC649" s="372">
        <v>706.56753549999996</v>
      </c>
      <c r="AD649" s="372">
        <v>549.64094320000004</v>
      </c>
      <c r="AE649" s="372">
        <v>619.5</v>
      </c>
      <c r="AF649" s="372">
        <v>832</v>
      </c>
      <c r="AG649" s="372">
        <v>1212</v>
      </c>
      <c r="AH649" s="372">
        <v>1277</v>
      </c>
    </row>
    <row r="650" spans="1:34">
      <c r="A650" s="372" t="s">
        <v>4856</v>
      </c>
      <c r="B650" s="373" t="s">
        <v>4857</v>
      </c>
      <c r="C650" s="372" t="s">
        <v>4858</v>
      </c>
      <c r="D650" s="374">
        <v>1101110111867</v>
      </c>
      <c r="E650" s="372" t="s">
        <v>4859</v>
      </c>
      <c r="F650" s="375" t="s">
        <v>1466</v>
      </c>
      <c r="G650" s="375" t="s">
        <v>1467</v>
      </c>
      <c r="H650" s="375" t="s">
        <v>1468</v>
      </c>
      <c r="I650" s="375" t="s">
        <v>754</v>
      </c>
      <c r="J650" s="375">
        <v>503765.74891000002</v>
      </c>
      <c r="K650" s="375">
        <v>74120.177060000002</v>
      </c>
      <c r="L650" s="375">
        <v>68809.652010000005</v>
      </c>
      <c r="M650" s="375">
        <v>426842.78005</v>
      </c>
      <c r="N650" s="372">
        <v>0.71</v>
      </c>
      <c r="O650" s="704">
        <v>146.31986165630912</v>
      </c>
      <c r="P650" s="375" t="s">
        <v>622</v>
      </c>
      <c r="Q650" s="372" t="s">
        <v>622</v>
      </c>
      <c r="R650" s="696">
        <v>19751226</v>
      </c>
      <c r="S650" s="372" t="s">
        <v>4860</v>
      </c>
      <c r="T650" s="697">
        <v>0.23100000000000001</v>
      </c>
      <c r="U650" s="372" t="s">
        <v>4861</v>
      </c>
      <c r="V650" s="723">
        <v>0</v>
      </c>
      <c r="W650" s="723">
        <v>0</v>
      </c>
      <c r="X650" s="723">
        <v>0</v>
      </c>
      <c r="Y650" s="723">
        <v>0</v>
      </c>
      <c r="Z650" s="382" t="s">
        <v>927</v>
      </c>
      <c r="AA650" s="372">
        <v>3342.6770351</v>
      </c>
      <c r="AB650" s="372">
        <v>3969.8354718999999</v>
      </c>
      <c r="AC650" s="372">
        <v>4711.5017356999997</v>
      </c>
      <c r="AD650" s="372">
        <v>5046.7127646999998</v>
      </c>
      <c r="AE650" s="372">
        <v>0</v>
      </c>
      <c r="AF650" s="372">
        <v>0</v>
      </c>
      <c r="AG650" s="372">
        <v>0</v>
      </c>
      <c r="AH650" s="372">
        <v>0</v>
      </c>
    </row>
    <row r="651" spans="1:34">
      <c r="A651" s="372" t="s">
        <v>4862</v>
      </c>
      <c r="B651" s="373" t="s">
        <v>4863</v>
      </c>
      <c r="C651" s="372" t="s">
        <v>4864</v>
      </c>
      <c r="D651" s="374">
        <v>1801110602507</v>
      </c>
      <c r="E651" s="372" t="s">
        <v>4865</v>
      </c>
      <c r="F651" s="375" t="s">
        <v>1384</v>
      </c>
      <c r="G651" s="375" t="s">
        <v>1385</v>
      </c>
      <c r="H651" s="375" t="s">
        <v>1386</v>
      </c>
      <c r="I651" s="375" t="s">
        <v>754</v>
      </c>
      <c r="J651" s="375">
        <v>2171306</v>
      </c>
      <c r="K651" s="375">
        <v>23662</v>
      </c>
      <c r="L651" s="375">
        <v>23473</v>
      </c>
      <c r="M651" s="375">
        <v>365656</v>
      </c>
      <c r="N651" s="372">
        <v>0.66</v>
      </c>
      <c r="O651" s="704">
        <v>293.1239844369814</v>
      </c>
      <c r="P651" s="375" t="s">
        <v>622</v>
      </c>
      <c r="Q651" s="375" t="s">
        <v>622</v>
      </c>
      <c r="R651" s="696">
        <v>20070831</v>
      </c>
      <c r="S651" s="375" t="s">
        <v>4866</v>
      </c>
      <c r="T651" s="697">
        <v>0.23100000000000001</v>
      </c>
      <c r="U651" s="372" t="s">
        <v>15865</v>
      </c>
      <c r="V651" s="723">
        <v>10.37</v>
      </c>
      <c r="W651" s="723">
        <v>0.6</v>
      </c>
      <c r="X651" s="723">
        <v>0.1</v>
      </c>
      <c r="Y651" s="723">
        <v>11.41</v>
      </c>
      <c r="Z651" s="382" t="s">
        <v>927</v>
      </c>
      <c r="AA651" s="372">
        <v>16958.150000000001</v>
      </c>
      <c r="AB651" s="372">
        <v>17065.32</v>
      </c>
      <c r="AC651" s="372">
        <v>17881.63</v>
      </c>
      <c r="AD651" s="372">
        <v>21620.73</v>
      </c>
      <c r="AE651" s="372">
        <v>0</v>
      </c>
      <c r="AF651" s="372">
        <v>0</v>
      </c>
      <c r="AG651" s="372">
        <v>0</v>
      </c>
      <c r="AH651" s="372">
        <v>0</v>
      </c>
    </row>
    <row r="652" spans="1:34">
      <c r="A652" s="372" t="s">
        <v>4867</v>
      </c>
      <c r="B652" s="373" t="s">
        <v>4868</v>
      </c>
      <c r="C652" s="372" t="s">
        <v>4869</v>
      </c>
      <c r="D652" s="374">
        <v>1101114324127</v>
      </c>
      <c r="E652" s="372" t="s">
        <v>4870</v>
      </c>
      <c r="F652" s="372" t="s">
        <v>4871</v>
      </c>
      <c r="G652" s="375" t="s">
        <v>16118</v>
      </c>
      <c r="H652" s="375" t="s">
        <v>861</v>
      </c>
      <c r="I652" s="375" t="s">
        <v>862</v>
      </c>
      <c r="J652" s="375">
        <v>365306.48102000001</v>
      </c>
      <c r="K652" s="375">
        <v>41923.86967</v>
      </c>
      <c r="L652" s="375">
        <v>48166.292350000003</v>
      </c>
      <c r="M652" s="375">
        <v>289448.52834000002</v>
      </c>
      <c r="N652" s="372">
        <v>0.96299999999999997</v>
      </c>
      <c r="O652" s="704">
        <v>1.7076715546567434</v>
      </c>
      <c r="P652" s="375" t="s">
        <v>622</v>
      </c>
      <c r="Q652" s="375" t="s">
        <v>622</v>
      </c>
      <c r="R652" s="696">
        <v>20100910</v>
      </c>
      <c r="S652" s="375" t="s">
        <v>4872</v>
      </c>
      <c r="T652" s="697">
        <v>0.23100000000000001</v>
      </c>
      <c r="U652" s="372" t="s">
        <v>4873</v>
      </c>
      <c r="V652" s="723">
        <v>6.55</v>
      </c>
      <c r="W652" s="723">
        <v>0.92</v>
      </c>
      <c r="X652" s="723">
        <v>0.73</v>
      </c>
      <c r="Y652" s="723">
        <v>7.05</v>
      </c>
      <c r="Z652" s="382">
        <v>3.5187070428119194E-2</v>
      </c>
      <c r="AA652" s="372">
        <v>1831.9791963</v>
      </c>
      <c r="AB652" s="372">
        <v>2728.9632507000001</v>
      </c>
      <c r="AC652" s="372">
        <v>1976.7798427</v>
      </c>
      <c r="AD652" s="372">
        <v>3482.8145104</v>
      </c>
      <c r="AE652" s="372">
        <v>3397.5</v>
      </c>
      <c r="AF652" s="372">
        <v>3462.33</v>
      </c>
      <c r="AG652" s="372">
        <v>3999.5</v>
      </c>
      <c r="AH652" s="372">
        <v>0</v>
      </c>
    </row>
    <row r="653" spans="1:34">
      <c r="A653" s="372" t="s">
        <v>4874</v>
      </c>
      <c r="B653" s="373" t="s">
        <v>4875</v>
      </c>
      <c r="C653" s="372" t="s">
        <v>4876</v>
      </c>
      <c r="D653" s="374">
        <v>1348110109828</v>
      </c>
      <c r="E653" s="372" t="s">
        <v>4877</v>
      </c>
      <c r="F653" s="375" t="s">
        <v>1185</v>
      </c>
      <c r="G653" s="375" t="s">
        <v>1185</v>
      </c>
      <c r="H653" s="375" t="s">
        <v>861</v>
      </c>
      <c r="I653" s="375" t="s">
        <v>862</v>
      </c>
      <c r="J653" s="375">
        <v>146211.4363</v>
      </c>
      <c r="K653" s="375">
        <v>18198.700690000001</v>
      </c>
      <c r="L653" s="375">
        <v>24145.069619999998</v>
      </c>
      <c r="M653" s="375">
        <v>178486.35800000001</v>
      </c>
      <c r="N653" s="372">
        <v>0.96799999999999997</v>
      </c>
      <c r="O653" s="704">
        <v>18.005209635624183</v>
      </c>
      <c r="P653" s="375" t="s">
        <v>622</v>
      </c>
      <c r="Q653" s="375" t="s">
        <v>622</v>
      </c>
      <c r="R653" s="696">
        <v>20130207</v>
      </c>
      <c r="S653" s="375" t="s">
        <v>4878</v>
      </c>
      <c r="T653" s="697">
        <v>0.23100000000000001</v>
      </c>
      <c r="U653" s="375" t="s">
        <v>15866</v>
      </c>
      <c r="V653" s="723">
        <v>9.1</v>
      </c>
      <c r="W653" s="723">
        <v>1.31</v>
      </c>
      <c r="X653" s="723">
        <v>1.69</v>
      </c>
      <c r="Y653" s="723">
        <v>11.89</v>
      </c>
      <c r="Z653" s="382">
        <v>0.12653225751450292</v>
      </c>
      <c r="AA653" s="372">
        <v>1462.6504600000001</v>
      </c>
      <c r="AB653" s="372">
        <v>1636.6740066</v>
      </c>
      <c r="AC653" s="372">
        <v>1639.1236452000001</v>
      </c>
      <c r="AD653" s="372">
        <v>1239.3272787999999</v>
      </c>
      <c r="AE653" s="372">
        <v>1596</v>
      </c>
      <c r="AF653" s="372">
        <v>1777</v>
      </c>
      <c r="AG653" s="372">
        <v>1996</v>
      </c>
      <c r="AH653" s="372">
        <v>0</v>
      </c>
    </row>
    <row r="654" spans="1:34">
      <c r="A654" s="372" t="s">
        <v>4879</v>
      </c>
      <c r="B654" s="373" t="s">
        <v>4880</v>
      </c>
      <c r="C654" s="372" t="s">
        <v>4881</v>
      </c>
      <c r="D654" s="374">
        <v>1101110703210</v>
      </c>
      <c r="E654" s="372" t="s">
        <v>4882</v>
      </c>
      <c r="F654" s="375" t="s">
        <v>2184</v>
      </c>
      <c r="G654" s="375" t="s">
        <v>4883</v>
      </c>
      <c r="H654" s="375" t="s">
        <v>2056</v>
      </c>
      <c r="I654" s="375" t="s">
        <v>754</v>
      </c>
      <c r="J654" s="375">
        <v>717310.94574999996</v>
      </c>
      <c r="K654" s="375">
        <v>4069.0049300000001</v>
      </c>
      <c r="L654" s="375">
        <v>17258.50793</v>
      </c>
      <c r="M654" s="375">
        <v>846436.01650999999</v>
      </c>
      <c r="N654" s="372">
        <v>0.89500000000000002</v>
      </c>
      <c r="O654" s="704">
        <v>15.076294902684092</v>
      </c>
      <c r="P654" s="375" t="s">
        <v>622</v>
      </c>
      <c r="Q654" s="372" t="s">
        <v>622</v>
      </c>
      <c r="R654" s="696">
        <v>19960902</v>
      </c>
      <c r="S654" s="372" t="s">
        <v>4884</v>
      </c>
      <c r="T654" s="697">
        <v>0.20900000000000002</v>
      </c>
      <c r="U654" s="375" t="s">
        <v>4885</v>
      </c>
      <c r="V654" s="723">
        <v>14.45</v>
      </c>
      <c r="W654" s="723">
        <v>0.36</v>
      </c>
      <c r="X654" s="723">
        <v>0.39</v>
      </c>
      <c r="Y654" s="723">
        <v>23</v>
      </c>
      <c r="Z654" s="382" t="s">
        <v>927</v>
      </c>
      <c r="AA654" s="372">
        <v>5763.659267</v>
      </c>
      <c r="AB654" s="372">
        <v>5537.6339452000002</v>
      </c>
      <c r="AC654" s="372">
        <v>8579.7365525000005</v>
      </c>
      <c r="AD654" s="372">
        <v>7270.2221877000002</v>
      </c>
      <c r="AE654" s="372">
        <v>0</v>
      </c>
      <c r="AF654" s="372">
        <v>0</v>
      </c>
      <c r="AG654" s="372">
        <v>0</v>
      </c>
      <c r="AH654" s="372">
        <v>0</v>
      </c>
    </row>
    <row r="655" spans="1:34">
      <c r="A655" s="372" t="s">
        <v>4886</v>
      </c>
      <c r="B655" s="373" t="s">
        <v>4887</v>
      </c>
      <c r="C655" s="372" t="s">
        <v>4888</v>
      </c>
      <c r="D655" s="374">
        <v>1101115633585</v>
      </c>
      <c r="E655" s="372" t="s">
        <v>4889</v>
      </c>
      <c r="F655" s="375" t="s">
        <v>1750</v>
      </c>
      <c r="G655" s="375" t="s">
        <v>1750</v>
      </c>
      <c r="H655" s="375" t="s">
        <v>861</v>
      </c>
      <c r="I655" s="375" t="s">
        <v>862</v>
      </c>
      <c r="J655" s="375">
        <v>93301.736940000003</v>
      </c>
      <c r="K655" s="375">
        <v>-12177.41209</v>
      </c>
      <c r="L655" s="375">
        <v>-19122.980619999998</v>
      </c>
      <c r="M655" s="375">
        <v>78229.772679999995</v>
      </c>
      <c r="N655" s="372">
        <v>1.1359999999999999</v>
      </c>
      <c r="O655" s="704">
        <v>33.523799176696016</v>
      </c>
      <c r="P655" s="375" t="s">
        <v>622</v>
      </c>
      <c r="Q655" s="372" t="s">
        <v>622</v>
      </c>
      <c r="R655" s="696">
        <v>20150420</v>
      </c>
      <c r="S655" s="372" t="s">
        <v>4890</v>
      </c>
      <c r="T655" s="697" t="s">
        <v>771</v>
      </c>
      <c r="U655" s="372" t="s">
        <v>4891</v>
      </c>
      <c r="V655" s="723" t="s">
        <v>773</v>
      </c>
      <c r="W655" s="723">
        <v>2.87</v>
      </c>
      <c r="X655" s="723">
        <v>2.4</v>
      </c>
      <c r="Y655" s="723" t="s">
        <v>773</v>
      </c>
      <c r="Z655" s="382" t="s">
        <v>927</v>
      </c>
      <c r="AA655" s="372">
        <v>552.68488879999995</v>
      </c>
      <c r="AB655" s="372">
        <v>702.77277240000001</v>
      </c>
      <c r="AC655" s="372">
        <v>894.81004310000003</v>
      </c>
      <c r="AD655" s="372">
        <v>924.38893329999996</v>
      </c>
      <c r="AE655" s="372">
        <v>1081</v>
      </c>
      <c r="AF655" s="372">
        <v>1450</v>
      </c>
      <c r="AG655" s="372">
        <v>0</v>
      </c>
      <c r="AH655" s="372">
        <v>0</v>
      </c>
    </row>
    <row r="656" spans="1:34">
      <c r="A656" s="372" t="s">
        <v>4892</v>
      </c>
      <c r="B656" s="373" t="s">
        <v>4893</v>
      </c>
      <c r="C656" s="372" t="s">
        <v>4894</v>
      </c>
      <c r="D656" s="374">
        <v>2849110065613</v>
      </c>
      <c r="E656" s="372" t="s">
        <v>4895</v>
      </c>
      <c r="F656" s="375" t="s">
        <v>4896</v>
      </c>
      <c r="G656" s="375" t="s">
        <v>4896</v>
      </c>
      <c r="H656" s="375" t="s">
        <v>817</v>
      </c>
      <c r="I656" s="375" t="s">
        <v>754</v>
      </c>
      <c r="J656" s="375">
        <v>871335.58730999997</v>
      </c>
      <c r="K656" s="375">
        <v>8899.0271499999999</v>
      </c>
      <c r="L656" s="375">
        <v>-36701.336009999999</v>
      </c>
      <c r="M656" s="375">
        <v>323731.14935000002</v>
      </c>
      <c r="N656" s="372">
        <v>0.89100000000000001</v>
      </c>
      <c r="O656" s="704">
        <v>86.822118552201758</v>
      </c>
      <c r="P656" s="375" t="s">
        <v>622</v>
      </c>
      <c r="Q656" s="375" t="s">
        <v>622</v>
      </c>
      <c r="R656" s="696">
        <v>20070531</v>
      </c>
      <c r="S656" s="375" t="s">
        <v>4897</v>
      </c>
      <c r="T656" s="697" t="s">
        <v>771</v>
      </c>
      <c r="U656" s="372" t="s">
        <v>4898</v>
      </c>
      <c r="V656" s="723">
        <v>4.41</v>
      </c>
      <c r="W656" s="723">
        <v>0.64</v>
      </c>
      <c r="X656" s="723">
        <v>0.23</v>
      </c>
      <c r="Y656" s="723" t="s">
        <v>773</v>
      </c>
      <c r="Z656" s="382">
        <v>1.2446229293881839E-2</v>
      </c>
      <c r="AA656" s="372">
        <v>6461.3558685999997</v>
      </c>
      <c r="AB656" s="372">
        <v>8138.7593219999999</v>
      </c>
      <c r="AC656" s="372">
        <v>9332.8459640000001</v>
      </c>
      <c r="AD656" s="372">
        <v>8900.5455916999999</v>
      </c>
      <c r="AE656" s="372">
        <v>8839</v>
      </c>
      <c r="AF656" s="372">
        <v>9141.5</v>
      </c>
      <c r="AG656" s="372">
        <v>9352</v>
      </c>
      <c r="AH656" s="372">
        <v>0</v>
      </c>
    </row>
    <row r="657" spans="1:34">
      <c r="A657" s="372" t="s">
        <v>4899</v>
      </c>
      <c r="B657" s="373" t="s">
        <v>4900</v>
      </c>
      <c r="C657" s="372" t="s">
        <v>4901</v>
      </c>
      <c r="D657" s="374">
        <v>1345110004412</v>
      </c>
      <c r="E657" s="372" t="s">
        <v>4902</v>
      </c>
      <c r="F657" s="372" t="s">
        <v>1275</v>
      </c>
      <c r="G657" s="375" t="s">
        <v>1275</v>
      </c>
      <c r="H657" s="375" t="s">
        <v>861</v>
      </c>
      <c r="I657" s="375" t="s">
        <v>862</v>
      </c>
      <c r="J657" s="375">
        <v>1178869.83393</v>
      </c>
      <c r="K657" s="375">
        <v>48775.893889999999</v>
      </c>
      <c r="L657" s="375">
        <v>-51693.358939999998</v>
      </c>
      <c r="M657" s="375">
        <v>918306.59031999996</v>
      </c>
      <c r="N657" s="372">
        <v>0.99199999999999999</v>
      </c>
      <c r="O657" s="704">
        <v>237.81752777116424</v>
      </c>
      <c r="P657" s="375" t="s">
        <v>622</v>
      </c>
      <c r="Q657" s="372" t="s">
        <v>622</v>
      </c>
      <c r="R657" s="696">
        <v>19971110</v>
      </c>
      <c r="S657" s="375" t="s">
        <v>4903</v>
      </c>
      <c r="T657" s="697" t="s">
        <v>771</v>
      </c>
      <c r="U657" s="375" t="s">
        <v>4904</v>
      </c>
      <c r="V657" s="723">
        <v>16.05</v>
      </c>
      <c r="W657" s="723">
        <v>0.5</v>
      </c>
      <c r="X657" s="723">
        <v>0.15</v>
      </c>
      <c r="Y657" s="723" t="s">
        <v>773</v>
      </c>
      <c r="Z657" s="382" t="s">
        <v>927</v>
      </c>
      <c r="AA657" s="372">
        <v>8757.5946722999997</v>
      </c>
      <c r="AB657" s="372">
        <v>9580.2551702000001</v>
      </c>
      <c r="AC657" s="372">
        <v>10232.0967566</v>
      </c>
      <c r="AD657" s="372">
        <v>11169.7465753</v>
      </c>
      <c r="AE657" s="372">
        <v>12000</v>
      </c>
      <c r="AF657" s="372">
        <v>0</v>
      </c>
      <c r="AG657" s="372">
        <v>0</v>
      </c>
      <c r="AH657" s="372">
        <v>0</v>
      </c>
    </row>
    <row r="658" spans="1:34">
      <c r="A658" s="372" t="s">
        <v>4905</v>
      </c>
      <c r="B658" s="373" t="s">
        <v>4906</v>
      </c>
      <c r="C658" s="372" t="s">
        <v>4907</v>
      </c>
      <c r="D658" s="374">
        <v>1101110400202</v>
      </c>
      <c r="E658" s="372" t="s">
        <v>4908</v>
      </c>
      <c r="F658" s="372" t="s">
        <v>1249</v>
      </c>
      <c r="G658" s="375" t="s">
        <v>1249</v>
      </c>
      <c r="H658" s="375" t="s">
        <v>861</v>
      </c>
      <c r="I658" s="375" t="s">
        <v>862</v>
      </c>
      <c r="J658" s="375">
        <v>811008.12499000004</v>
      </c>
      <c r="K658" s="375">
        <v>91749.058650000006</v>
      </c>
      <c r="L658" s="375">
        <v>96541.415550000005</v>
      </c>
      <c r="M658" s="375">
        <v>948798.95551</v>
      </c>
      <c r="N658" s="372">
        <v>0.94</v>
      </c>
      <c r="O658" s="704">
        <v>66.404176033239708</v>
      </c>
      <c r="P658" s="375" t="s">
        <v>622</v>
      </c>
      <c r="Q658" s="372" t="s">
        <v>622</v>
      </c>
      <c r="R658" s="696">
        <v>20061219</v>
      </c>
      <c r="S658" s="372" t="s">
        <v>4909</v>
      </c>
      <c r="T658" s="697">
        <v>0.23100000000000001</v>
      </c>
      <c r="U658" s="372" t="s">
        <v>4910</v>
      </c>
      <c r="V658" s="723">
        <v>6.49</v>
      </c>
      <c r="W658" s="723">
        <v>0.77</v>
      </c>
      <c r="X658" s="723">
        <v>0.51</v>
      </c>
      <c r="Y658" s="723">
        <v>11.24</v>
      </c>
      <c r="Z658" s="382" t="s">
        <v>927</v>
      </c>
      <c r="AA658" s="372">
        <v>5230.4773660000001</v>
      </c>
      <c r="AB658" s="372">
        <v>5746.4769472999997</v>
      </c>
      <c r="AC658" s="372">
        <v>6643.6471819999997</v>
      </c>
      <c r="AD658" s="372">
        <v>7583.7966058000002</v>
      </c>
      <c r="AE658" s="372">
        <v>0</v>
      </c>
      <c r="AF658" s="372">
        <v>0</v>
      </c>
      <c r="AG658" s="372">
        <v>0</v>
      </c>
      <c r="AH658" s="372">
        <v>0</v>
      </c>
    </row>
    <row r="659" spans="1:34">
      <c r="A659" s="372" t="s">
        <v>4911</v>
      </c>
      <c r="B659" s="373" t="s">
        <v>4912</v>
      </c>
      <c r="C659" s="372" t="s">
        <v>4913</v>
      </c>
      <c r="D659" s="374">
        <v>1942110094318</v>
      </c>
      <c r="E659" s="372" t="s">
        <v>4914</v>
      </c>
      <c r="F659" s="372" t="s">
        <v>811</v>
      </c>
      <c r="G659" s="375" t="s">
        <v>811</v>
      </c>
      <c r="H659" s="375" t="s">
        <v>812</v>
      </c>
      <c r="I659" s="375" t="s">
        <v>754</v>
      </c>
      <c r="J659" s="375">
        <v>672308.19212000002</v>
      </c>
      <c r="K659" s="375">
        <v>21025.272369999999</v>
      </c>
      <c r="L659" s="375">
        <v>41558.114600000001</v>
      </c>
      <c r="M659" s="375">
        <v>793900.67925000004</v>
      </c>
      <c r="N659" s="372">
        <v>0.68400000000000005</v>
      </c>
      <c r="O659" s="704">
        <v>0</v>
      </c>
      <c r="P659" s="375" t="s">
        <v>622</v>
      </c>
      <c r="Q659" s="372" t="s">
        <v>622</v>
      </c>
      <c r="R659" s="696">
        <v>20080929</v>
      </c>
      <c r="S659" s="372" t="s">
        <v>4915</v>
      </c>
      <c r="T659" s="697">
        <v>0.23100000000000001</v>
      </c>
      <c r="U659" s="372" t="s">
        <v>4916</v>
      </c>
      <c r="V659" s="723">
        <v>0</v>
      </c>
      <c r="W659" s="723">
        <v>0</v>
      </c>
      <c r="X659" s="723">
        <v>0</v>
      </c>
      <c r="Y659" s="723">
        <v>0</v>
      </c>
      <c r="Z659" s="382" t="s">
        <v>927</v>
      </c>
      <c r="AA659" s="372">
        <v>6333.8216390999996</v>
      </c>
      <c r="AB659" s="372">
        <v>8866.5013343999999</v>
      </c>
      <c r="AC659" s="372">
        <v>10641.765094</v>
      </c>
      <c r="AD659" s="372">
        <v>9050.9586302000007</v>
      </c>
      <c r="AE659" s="372">
        <v>0</v>
      </c>
      <c r="AF659" s="372">
        <v>0</v>
      </c>
      <c r="AG659" s="372">
        <v>0</v>
      </c>
      <c r="AH659" s="372">
        <v>0</v>
      </c>
    </row>
    <row r="660" spans="1:34">
      <c r="A660" s="372" t="s">
        <v>4917</v>
      </c>
      <c r="B660" s="373" t="s">
        <v>4918</v>
      </c>
      <c r="C660" s="372" t="s">
        <v>4919</v>
      </c>
      <c r="D660" s="374">
        <v>1101110048143</v>
      </c>
      <c r="E660" s="372" t="s">
        <v>4920</v>
      </c>
      <c r="F660" s="375" t="s">
        <v>1249</v>
      </c>
      <c r="G660" s="375" t="s">
        <v>1249</v>
      </c>
      <c r="H660" s="375" t="s">
        <v>784</v>
      </c>
      <c r="I660" s="375" t="s">
        <v>754</v>
      </c>
      <c r="J660" s="375">
        <v>149842.14697999999</v>
      </c>
      <c r="K660" s="375">
        <v>4048.34328</v>
      </c>
      <c r="L660" s="375">
        <v>1336.0736300000001</v>
      </c>
      <c r="M660" s="375">
        <v>247399.94553</v>
      </c>
      <c r="N660" s="372">
        <v>0.79200000000000004</v>
      </c>
      <c r="O660" s="704">
        <v>51.06604810759292</v>
      </c>
      <c r="P660" s="375" t="s">
        <v>622</v>
      </c>
      <c r="Q660" s="372" t="s">
        <v>622</v>
      </c>
      <c r="R660" s="696">
        <v>20100610</v>
      </c>
      <c r="S660" s="375" t="s">
        <v>4921</v>
      </c>
      <c r="T660" s="697">
        <v>0.20900000000000002</v>
      </c>
      <c r="U660" s="372" t="s">
        <v>4922</v>
      </c>
      <c r="V660" s="723">
        <v>49.48</v>
      </c>
      <c r="W660" s="723">
        <v>1.02</v>
      </c>
      <c r="X660" s="723">
        <v>1.72</v>
      </c>
      <c r="Y660" s="723">
        <v>419.25</v>
      </c>
      <c r="Z660" s="382" t="s">
        <v>927</v>
      </c>
      <c r="AA660" s="372">
        <v>1300.3415319000001</v>
      </c>
      <c r="AB660" s="372">
        <v>1428.0136754</v>
      </c>
      <c r="AC660" s="372">
        <v>1540.3883926000001</v>
      </c>
      <c r="AD660" s="372">
        <v>1510.7114391</v>
      </c>
      <c r="AE660" s="372">
        <v>0</v>
      </c>
      <c r="AF660" s="372">
        <v>0</v>
      </c>
      <c r="AG660" s="372">
        <v>0</v>
      </c>
      <c r="AH660" s="372">
        <v>0</v>
      </c>
    </row>
    <row r="661" spans="1:34">
      <c r="A661" s="372" t="s">
        <v>4923</v>
      </c>
      <c r="B661" s="373" t="s">
        <v>4924</v>
      </c>
      <c r="C661" s="372" t="s">
        <v>4925</v>
      </c>
      <c r="D661" s="374">
        <v>1101116868529</v>
      </c>
      <c r="E661" s="372" t="s">
        <v>4926</v>
      </c>
      <c r="F661" s="375" t="s">
        <v>1249</v>
      </c>
      <c r="G661" s="375" t="s">
        <v>1249</v>
      </c>
      <c r="H661" s="375" t="s">
        <v>861</v>
      </c>
      <c r="I661" s="375" t="s">
        <v>862</v>
      </c>
      <c r="J661" s="375">
        <v>134440.89494999999</v>
      </c>
      <c r="K661" s="375">
        <v>1940.68434</v>
      </c>
      <c r="L661" s="375">
        <v>4342.0973999999997</v>
      </c>
      <c r="M661" s="375">
        <v>99545.369709999999</v>
      </c>
      <c r="N661" s="372">
        <v>0.78100000000000003</v>
      </c>
      <c r="O661" s="704">
        <v>37.906775660500017</v>
      </c>
      <c r="P661" s="375" t="s">
        <v>622</v>
      </c>
      <c r="Q661" s="375" t="s">
        <v>622</v>
      </c>
      <c r="R661" s="696">
        <v>20181219</v>
      </c>
      <c r="S661" s="375" t="s">
        <v>2850</v>
      </c>
      <c r="T661" s="697">
        <v>0.20900000000000002</v>
      </c>
      <c r="U661" s="372" t="s">
        <v>4927</v>
      </c>
      <c r="V661" s="723">
        <v>32.090000000000003</v>
      </c>
      <c r="W661" s="723">
        <v>2.16</v>
      </c>
      <c r="X661" s="723">
        <v>1.59</v>
      </c>
      <c r="Y661" s="723">
        <v>32.42</v>
      </c>
      <c r="Z661" s="382" t="s">
        <v>927</v>
      </c>
      <c r="AA661" s="372">
        <v>806.23075679999999</v>
      </c>
      <c r="AB661" s="372">
        <v>853.5422049</v>
      </c>
      <c r="AC661" s="372">
        <v>1037.1082796999999</v>
      </c>
      <c r="AD661" s="372">
        <v>1219.978854</v>
      </c>
      <c r="AE661" s="372">
        <v>0</v>
      </c>
      <c r="AF661" s="372">
        <v>0</v>
      </c>
      <c r="AG661" s="372">
        <v>0</v>
      </c>
      <c r="AH661" s="372">
        <v>0</v>
      </c>
    </row>
    <row r="662" spans="1:34">
      <c r="A662" s="372" t="s">
        <v>4928</v>
      </c>
      <c r="B662" s="373" t="s">
        <v>4929</v>
      </c>
      <c r="C662" s="372" t="s">
        <v>4930</v>
      </c>
      <c r="D662" s="374">
        <v>1101110088652</v>
      </c>
      <c r="E662" s="372" t="s">
        <v>4931</v>
      </c>
      <c r="F662" s="375" t="s">
        <v>1323</v>
      </c>
      <c r="G662" s="375" t="s">
        <v>16106</v>
      </c>
      <c r="H662" s="375" t="s">
        <v>784</v>
      </c>
      <c r="I662" s="375" t="s">
        <v>754</v>
      </c>
      <c r="J662" s="375">
        <v>301056.53927000001</v>
      </c>
      <c r="K662" s="375">
        <v>29875.928459999999</v>
      </c>
      <c r="L662" s="375">
        <v>44168.103009999999</v>
      </c>
      <c r="M662" s="375">
        <v>282530.00575000001</v>
      </c>
      <c r="N662" s="372">
        <v>0.623</v>
      </c>
      <c r="O662" s="704">
        <v>46.315522509863158</v>
      </c>
      <c r="P662" s="375" t="s">
        <v>622</v>
      </c>
      <c r="Q662" s="375" t="s">
        <v>622</v>
      </c>
      <c r="R662" s="696">
        <v>19880618</v>
      </c>
      <c r="S662" s="375" t="s">
        <v>4932</v>
      </c>
      <c r="T662" s="697">
        <v>0.23100000000000001</v>
      </c>
      <c r="U662" s="375" t="s">
        <v>4933</v>
      </c>
      <c r="V662" s="723">
        <v>0</v>
      </c>
      <c r="W662" s="723">
        <v>0</v>
      </c>
      <c r="X662" s="723">
        <v>0</v>
      </c>
      <c r="Y662" s="723">
        <v>0</v>
      </c>
      <c r="Z662" s="382" t="s">
        <v>927</v>
      </c>
      <c r="AA662" s="372">
        <v>2351.6488949</v>
      </c>
      <c r="AB662" s="372">
        <v>2500.7035549000002</v>
      </c>
      <c r="AC662" s="372">
        <v>2740.3180845000002</v>
      </c>
      <c r="AD662" s="372">
        <v>2921.2853372999998</v>
      </c>
      <c r="AE662" s="372">
        <v>0</v>
      </c>
      <c r="AF662" s="372">
        <v>0</v>
      </c>
      <c r="AG662" s="372">
        <v>0</v>
      </c>
      <c r="AH662" s="372">
        <v>0</v>
      </c>
    </row>
    <row r="663" spans="1:34">
      <c r="A663" s="372" t="s">
        <v>4934</v>
      </c>
      <c r="B663" s="373" t="s">
        <v>4935</v>
      </c>
      <c r="C663" s="372" t="s">
        <v>4936</v>
      </c>
      <c r="D663" s="374">
        <v>1101110085583</v>
      </c>
      <c r="E663" s="372" t="s">
        <v>4937</v>
      </c>
      <c r="F663" s="375" t="s">
        <v>2747</v>
      </c>
      <c r="G663" s="375" t="s">
        <v>2748</v>
      </c>
      <c r="H663" s="375" t="s">
        <v>861</v>
      </c>
      <c r="I663" s="375" t="s">
        <v>862</v>
      </c>
      <c r="J663" s="375">
        <v>814842.50826000003</v>
      </c>
      <c r="K663" s="375">
        <v>18958.60009</v>
      </c>
      <c r="L663" s="375">
        <v>-1114.62454</v>
      </c>
      <c r="M663" s="375">
        <v>530656.86141000001</v>
      </c>
      <c r="N663" s="372">
        <v>1.2529999999999999</v>
      </c>
      <c r="O663" s="704">
        <v>86.778988181831664</v>
      </c>
      <c r="P663" s="375" t="s">
        <v>622</v>
      </c>
      <c r="Q663" s="375" t="s">
        <v>622</v>
      </c>
      <c r="R663" s="696">
        <v>19990623</v>
      </c>
      <c r="S663" s="375" t="s">
        <v>4938</v>
      </c>
      <c r="T663" s="697" t="s">
        <v>771</v>
      </c>
      <c r="U663" s="375" t="s">
        <v>4939</v>
      </c>
      <c r="V663" s="723">
        <v>22.49</v>
      </c>
      <c r="W663" s="723">
        <v>0.92</v>
      </c>
      <c r="X663" s="723">
        <v>0.45</v>
      </c>
      <c r="Y663" s="723">
        <v>27.05</v>
      </c>
      <c r="Z663" s="382">
        <v>2.5735981356789894E-2</v>
      </c>
      <c r="AA663" s="372">
        <v>5782.4973657</v>
      </c>
      <c r="AB663" s="372">
        <v>7291.3554539999996</v>
      </c>
      <c r="AC663" s="372">
        <v>8605.2953448000007</v>
      </c>
      <c r="AD663" s="372">
        <v>7570.1007191999997</v>
      </c>
      <c r="AE663" s="372">
        <v>7360</v>
      </c>
      <c r="AF663" s="372">
        <v>7710</v>
      </c>
      <c r="AG663" s="372">
        <v>8380</v>
      </c>
      <c r="AH663" s="372">
        <v>0</v>
      </c>
    </row>
    <row r="664" spans="1:34">
      <c r="A664" s="372" t="s">
        <v>4940</v>
      </c>
      <c r="B664" s="373" t="s">
        <v>4941</v>
      </c>
      <c r="C664" s="372" t="s">
        <v>4942</v>
      </c>
      <c r="D664" s="374">
        <v>1311110104403</v>
      </c>
      <c r="E664" s="372" t="s">
        <v>4943</v>
      </c>
      <c r="F664" s="375" t="s">
        <v>1962</v>
      </c>
      <c r="G664" s="375" t="s">
        <v>1962</v>
      </c>
      <c r="H664" s="375" t="s">
        <v>861</v>
      </c>
      <c r="I664" s="375" t="s">
        <v>862</v>
      </c>
      <c r="J664" s="375">
        <v>51295.096120000002</v>
      </c>
      <c r="K664" s="375">
        <v>498.38447000000002</v>
      </c>
      <c r="L664" s="375">
        <v>988.80533000000003</v>
      </c>
      <c r="M664" s="375">
        <v>58942.345990000002</v>
      </c>
      <c r="N664" s="372">
        <v>1.4410000000000001</v>
      </c>
      <c r="O664" s="704">
        <v>8.1159743920420855</v>
      </c>
      <c r="P664" s="375" t="s">
        <v>622</v>
      </c>
      <c r="Q664" s="375" t="s">
        <v>622</v>
      </c>
      <c r="R664" s="696">
        <v>20210224</v>
      </c>
      <c r="S664" s="375" t="s">
        <v>4944</v>
      </c>
      <c r="T664" s="697">
        <v>0.20900000000000002</v>
      </c>
      <c r="U664" s="375" t="s">
        <v>4945</v>
      </c>
      <c r="V664" s="723">
        <v>43.34</v>
      </c>
      <c r="W664" s="723">
        <v>2.65</v>
      </c>
      <c r="X664" s="723">
        <v>3.21</v>
      </c>
      <c r="Y664" s="723">
        <v>127.93</v>
      </c>
      <c r="Z664" s="382">
        <v>0.18737780877581112</v>
      </c>
      <c r="AA664" s="372">
        <v>175.3728753</v>
      </c>
      <c r="AB664" s="372">
        <v>395.3035592</v>
      </c>
      <c r="AC664" s="372">
        <v>353.98202859999998</v>
      </c>
      <c r="AD664" s="372">
        <v>455.2949855</v>
      </c>
      <c r="AE664" s="372">
        <v>525</v>
      </c>
      <c r="AF664" s="372">
        <v>685</v>
      </c>
      <c r="AG664" s="372">
        <v>905</v>
      </c>
      <c r="AH664" s="372">
        <v>0</v>
      </c>
    </row>
    <row r="665" spans="1:34">
      <c r="A665" s="372" t="s">
        <v>4946</v>
      </c>
      <c r="B665" s="373" t="s">
        <v>4947</v>
      </c>
      <c r="C665" s="372" t="s">
        <v>4948</v>
      </c>
      <c r="D665" s="374">
        <v>1347110002553</v>
      </c>
      <c r="E665" s="372" t="s">
        <v>4949</v>
      </c>
      <c r="F665" s="375" t="s">
        <v>4950</v>
      </c>
      <c r="G665" s="375" t="s">
        <v>4950</v>
      </c>
      <c r="H665" s="375" t="s">
        <v>968</v>
      </c>
      <c r="I665" s="375" t="s">
        <v>754</v>
      </c>
      <c r="J665" s="375">
        <v>913537.71377999999</v>
      </c>
      <c r="K665" s="375">
        <v>-19723.627909999999</v>
      </c>
      <c r="L665" s="375">
        <v>-47645.675799999997</v>
      </c>
      <c r="M665" s="375">
        <v>609745.06314999994</v>
      </c>
      <c r="N665" s="372">
        <v>0.73399999999999999</v>
      </c>
      <c r="O665" s="704">
        <v>57.38984742240639</v>
      </c>
      <c r="P665" s="375" t="s">
        <v>622</v>
      </c>
      <c r="Q665" s="375" t="s">
        <v>622</v>
      </c>
      <c r="R665" s="696">
        <v>19890530</v>
      </c>
      <c r="S665" s="375" t="s">
        <v>4951</v>
      </c>
      <c r="T665" s="697" t="s">
        <v>771</v>
      </c>
      <c r="U665" s="372" t="s">
        <v>4952</v>
      </c>
      <c r="V665" s="723">
        <v>23.82</v>
      </c>
      <c r="W665" s="723">
        <v>0.64</v>
      </c>
      <c r="X665" s="723">
        <v>0.44</v>
      </c>
      <c r="Y665" s="723" t="s">
        <v>773</v>
      </c>
      <c r="Z665" s="382">
        <v>4.2317617483870196E-2</v>
      </c>
      <c r="AA665" s="372">
        <v>9895.2478195000003</v>
      </c>
      <c r="AB665" s="372">
        <v>11238.4309397</v>
      </c>
      <c r="AC665" s="372">
        <v>11596.056602799999</v>
      </c>
      <c r="AD665" s="372">
        <v>9522.8292612000005</v>
      </c>
      <c r="AE665" s="372">
        <v>9630</v>
      </c>
      <c r="AF665" s="372">
        <v>10360</v>
      </c>
      <c r="AG665" s="372">
        <v>11240</v>
      </c>
      <c r="AH665" s="372">
        <v>0</v>
      </c>
    </row>
    <row r="666" spans="1:34">
      <c r="A666" s="372" t="s">
        <v>4953</v>
      </c>
      <c r="B666" s="373" t="s">
        <v>4954</v>
      </c>
      <c r="C666" s="372" t="s">
        <v>4955</v>
      </c>
      <c r="D666" s="374">
        <v>1344110059857</v>
      </c>
      <c r="E666" s="372" t="s">
        <v>4956</v>
      </c>
      <c r="F666" s="375" t="s">
        <v>2718</v>
      </c>
      <c r="G666" s="375" t="s">
        <v>3024</v>
      </c>
      <c r="H666" s="375" t="s">
        <v>1337</v>
      </c>
      <c r="I666" s="375" t="s">
        <v>862</v>
      </c>
      <c r="J666" s="375">
        <v>57712.494530000004</v>
      </c>
      <c r="K666" s="375">
        <v>1036.7969800000001</v>
      </c>
      <c r="L666" s="375">
        <v>1425.6482699999999</v>
      </c>
      <c r="M666" s="375">
        <v>93050.514169999995</v>
      </c>
      <c r="N666" s="372">
        <v>0.50800000000000001</v>
      </c>
      <c r="O666" s="704">
        <v>14.801687200488958</v>
      </c>
      <c r="P666" s="375" t="s">
        <v>622</v>
      </c>
      <c r="Q666" s="372" t="s">
        <v>622</v>
      </c>
      <c r="R666" s="696">
        <v>20221102</v>
      </c>
      <c r="S666" s="372" t="s">
        <v>4957</v>
      </c>
      <c r="T666" s="697">
        <v>0.20900000000000002</v>
      </c>
      <c r="U666" s="372" t="s">
        <v>4958</v>
      </c>
      <c r="V666" s="723">
        <v>15.58</v>
      </c>
      <c r="W666" s="723">
        <v>1.76</v>
      </c>
      <c r="X666" s="723">
        <v>3.06</v>
      </c>
      <c r="Y666" s="723">
        <v>117.58</v>
      </c>
      <c r="Z666" s="382">
        <v>0.18155856836767392</v>
      </c>
      <c r="AA666" s="372">
        <v>546.56760550000001</v>
      </c>
      <c r="AB666" s="372">
        <v>719.04717840000001</v>
      </c>
      <c r="AC666" s="372">
        <v>596.28906229999996</v>
      </c>
      <c r="AD666" s="372">
        <v>532.56955740000001</v>
      </c>
      <c r="AE666" s="372">
        <v>693.5</v>
      </c>
      <c r="AF666" s="372">
        <v>860</v>
      </c>
      <c r="AG666" s="372">
        <v>1038</v>
      </c>
      <c r="AH666" s="372">
        <v>0</v>
      </c>
    </row>
    <row r="667" spans="1:34">
      <c r="A667" s="372" t="s">
        <v>4959</v>
      </c>
      <c r="B667" s="373" t="s">
        <v>4960</v>
      </c>
      <c r="C667" s="372" t="s">
        <v>4961</v>
      </c>
      <c r="D667" s="374">
        <v>1311110002772</v>
      </c>
      <c r="E667" s="372" t="s">
        <v>4962</v>
      </c>
      <c r="F667" s="375" t="s">
        <v>4191</v>
      </c>
      <c r="G667" s="375" t="s">
        <v>4192</v>
      </c>
      <c r="H667" s="375" t="s">
        <v>861</v>
      </c>
      <c r="I667" s="375" t="s">
        <v>862</v>
      </c>
      <c r="J667" s="375">
        <v>323160.04077000002</v>
      </c>
      <c r="K667" s="375">
        <v>67322.806410000005</v>
      </c>
      <c r="L667" s="375">
        <v>81838.940170000002</v>
      </c>
      <c r="M667" s="375">
        <v>685804.35488</v>
      </c>
      <c r="N667" s="372">
        <v>0.47099999999999997</v>
      </c>
      <c r="O667" s="704">
        <v>0.31596268863319954</v>
      </c>
      <c r="P667" s="375" t="s">
        <v>622</v>
      </c>
      <c r="Q667" s="372" t="s">
        <v>622</v>
      </c>
      <c r="R667" s="696">
        <v>19960426</v>
      </c>
      <c r="S667" s="375" t="s">
        <v>4963</v>
      </c>
      <c r="T667" s="697">
        <v>0.23100000000000001</v>
      </c>
      <c r="U667" s="375" t="s">
        <v>4964</v>
      </c>
      <c r="V667" s="723">
        <v>3.9</v>
      </c>
      <c r="W667" s="723">
        <v>0.45</v>
      </c>
      <c r="X667" s="723">
        <v>0.95</v>
      </c>
      <c r="Y667" s="723">
        <v>4.91</v>
      </c>
      <c r="Z667" s="382" t="s">
        <v>927</v>
      </c>
      <c r="AA667" s="372">
        <v>2894.9851456000001</v>
      </c>
      <c r="AB667" s="372">
        <v>3463.7476145999999</v>
      </c>
      <c r="AC667" s="372">
        <v>3462.409161</v>
      </c>
      <c r="AD667" s="372">
        <v>3064.1450049</v>
      </c>
      <c r="AE667" s="372">
        <v>0</v>
      </c>
      <c r="AF667" s="372">
        <v>0</v>
      </c>
      <c r="AG667" s="372">
        <v>0</v>
      </c>
      <c r="AH667" s="372">
        <v>0</v>
      </c>
    </row>
    <row r="668" spans="1:34">
      <c r="A668" s="372" t="s">
        <v>4965</v>
      </c>
      <c r="B668" s="373" t="s">
        <v>4966</v>
      </c>
      <c r="C668" s="372" t="s">
        <v>4967</v>
      </c>
      <c r="D668" s="374">
        <v>1942110050823</v>
      </c>
      <c r="E668" s="372" t="s">
        <v>4968</v>
      </c>
      <c r="F668" s="372" t="s">
        <v>2116</v>
      </c>
      <c r="G668" s="375" t="s">
        <v>2117</v>
      </c>
      <c r="H668" s="375" t="s">
        <v>861</v>
      </c>
      <c r="I668" s="375" t="s">
        <v>862</v>
      </c>
      <c r="J668" s="375">
        <v>166896.5441</v>
      </c>
      <c r="K668" s="375">
        <v>-991.20435999999995</v>
      </c>
      <c r="L668" s="375">
        <v>-4809.8405899999998</v>
      </c>
      <c r="M668" s="375">
        <v>150620.47248999999</v>
      </c>
      <c r="N668" s="372" t="s">
        <v>1026</v>
      </c>
      <c r="O668" s="704">
        <v>81.372720069994926</v>
      </c>
      <c r="P668" s="375" t="s">
        <v>622</v>
      </c>
      <c r="Q668" s="372" t="s">
        <v>622</v>
      </c>
      <c r="R668" s="696">
        <v>20230630</v>
      </c>
      <c r="S668" s="375" t="s">
        <v>4969</v>
      </c>
      <c r="T668" s="697" t="s">
        <v>771</v>
      </c>
      <c r="U668" s="375" t="s">
        <v>4970</v>
      </c>
      <c r="V668" s="723">
        <v>62.63</v>
      </c>
      <c r="W668" s="723">
        <v>1.48</v>
      </c>
      <c r="X668" s="723">
        <v>1.23</v>
      </c>
      <c r="Y668" s="723">
        <v>554.08000000000004</v>
      </c>
      <c r="Z668" s="382" t="s">
        <v>927</v>
      </c>
      <c r="AA668" s="372">
        <v>745.05121859999997</v>
      </c>
      <c r="AB668" s="372">
        <v>828.18902290000005</v>
      </c>
      <c r="AC668" s="372">
        <v>1567.5494332000001</v>
      </c>
      <c r="AD668" s="372">
        <v>2160.2472802000002</v>
      </c>
      <c r="AE668" s="372">
        <v>3505</v>
      </c>
      <c r="AF668" s="372">
        <v>4391</v>
      </c>
      <c r="AG668" s="372">
        <v>0</v>
      </c>
      <c r="AH668" s="372">
        <v>0</v>
      </c>
    </row>
    <row r="669" spans="1:34">
      <c r="A669" s="372" t="s">
        <v>4971</v>
      </c>
      <c r="B669" s="373" t="s">
        <v>4972</v>
      </c>
      <c r="C669" s="372" t="s">
        <v>4973</v>
      </c>
      <c r="D669" s="374">
        <v>1615110044697</v>
      </c>
      <c r="E669" s="372" t="s">
        <v>4974</v>
      </c>
      <c r="F669" s="375" t="s">
        <v>1185</v>
      </c>
      <c r="G669" s="375" t="s">
        <v>1186</v>
      </c>
      <c r="H669" s="375" t="s">
        <v>861</v>
      </c>
      <c r="I669" s="375" t="s">
        <v>862</v>
      </c>
      <c r="J669" s="375">
        <v>146754.96622999999</v>
      </c>
      <c r="K669" s="375">
        <v>6606.5865999999996</v>
      </c>
      <c r="L669" s="375">
        <v>7798.9125199999999</v>
      </c>
      <c r="M669" s="375">
        <v>152131.33936000001</v>
      </c>
      <c r="N669" s="372">
        <v>1.375</v>
      </c>
      <c r="O669" s="704">
        <v>17.211549007411627</v>
      </c>
      <c r="P669" s="375" t="s">
        <v>622</v>
      </c>
      <c r="Q669" s="375" t="s">
        <v>622</v>
      </c>
      <c r="R669" s="696">
        <v>20050124</v>
      </c>
      <c r="S669" s="375" t="s">
        <v>4975</v>
      </c>
      <c r="T669" s="697">
        <v>0.20900000000000002</v>
      </c>
      <c r="U669" s="372" t="s">
        <v>4976</v>
      </c>
      <c r="V669" s="723">
        <v>19.57</v>
      </c>
      <c r="W669" s="723">
        <v>1.2</v>
      </c>
      <c r="X669" s="723">
        <v>1.25</v>
      </c>
      <c r="Y669" s="723">
        <v>23.61</v>
      </c>
      <c r="Z669" s="382" t="s">
        <v>927</v>
      </c>
      <c r="AA669" s="372">
        <v>230.16088429999999</v>
      </c>
      <c r="AB669" s="372">
        <v>422.57960100000003</v>
      </c>
      <c r="AC669" s="372">
        <v>501.56594619999998</v>
      </c>
      <c r="AD669" s="372">
        <v>1273.5369599000001</v>
      </c>
      <c r="AE669" s="372">
        <v>1432</v>
      </c>
      <c r="AF669" s="372">
        <v>0</v>
      </c>
      <c r="AG669" s="372">
        <v>0</v>
      </c>
      <c r="AH669" s="372">
        <v>0</v>
      </c>
    </row>
    <row r="670" spans="1:34">
      <c r="A670" s="372" t="s">
        <v>4977</v>
      </c>
      <c r="B670" s="373" t="s">
        <v>4978</v>
      </c>
      <c r="C670" s="372" t="s">
        <v>4979</v>
      </c>
      <c r="D670" s="374">
        <v>1713110007259</v>
      </c>
      <c r="E670" s="372" t="s">
        <v>4980</v>
      </c>
      <c r="F670" s="375" t="s">
        <v>1764</v>
      </c>
      <c r="G670" s="375" t="s">
        <v>1764</v>
      </c>
      <c r="H670" s="375" t="s">
        <v>861</v>
      </c>
      <c r="I670" s="375" t="s">
        <v>862</v>
      </c>
      <c r="J670" s="375">
        <v>31878.403040000001</v>
      </c>
      <c r="K670" s="375">
        <v>-7135.1404199999997</v>
      </c>
      <c r="L670" s="375">
        <v>-11437.893169999999</v>
      </c>
      <c r="M670" s="375">
        <v>54371.928970000001</v>
      </c>
      <c r="N670" s="372">
        <v>1.3169999999999999</v>
      </c>
      <c r="O670" s="704">
        <v>36.828178027075957</v>
      </c>
      <c r="P670" s="375" t="s">
        <v>622</v>
      </c>
      <c r="Q670" s="375" t="s">
        <v>622</v>
      </c>
      <c r="R670" s="696">
        <v>20220804</v>
      </c>
      <c r="S670" s="375" t="s">
        <v>4981</v>
      </c>
      <c r="T670" s="697" t="s">
        <v>771</v>
      </c>
      <c r="U670" s="375" t="s">
        <v>4982</v>
      </c>
      <c r="V670" s="723">
        <v>0</v>
      </c>
      <c r="W670" s="723">
        <v>0</v>
      </c>
      <c r="X670" s="723">
        <v>0</v>
      </c>
      <c r="Y670" s="723">
        <v>0</v>
      </c>
      <c r="Z670" s="382" t="s">
        <v>927</v>
      </c>
      <c r="AA670" s="372">
        <v>209.670131</v>
      </c>
      <c r="AB670" s="372">
        <v>333.88663650000001</v>
      </c>
      <c r="AC670" s="372">
        <v>481.261709</v>
      </c>
      <c r="AD670" s="372">
        <v>459.90061259999999</v>
      </c>
      <c r="AE670" s="372">
        <v>0</v>
      </c>
      <c r="AF670" s="372">
        <v>0</v>
      </c>
      <c r="AG670" s="372">
        <v>0</v>
      </c>
      <c r="AH670" s="372">
        <v>0</v>
      </c>
    </row>
    <row r="671" spans="1:34">
      <c r="A671" s="372" t="s">
        <v>4983</v>
      </c>
      <c r="B671" s="373" t="s">
        <v>4984</v>
      </c>
      <c r="C671" s="372" t="s">
        <v>15867</v>
      </c>
      <c r="D671" s="374">
        <v>1647110001591</v>
      </c>
      <c r="E671" s="372" t="s">
        <v>15868</v>
      </c>
      <c r="F671" s="375" t="s">
        <v>893</v>
      </c>
      <c r="G671" s="375" t="s">
        <v>894</v>
      </c>
      <c r="H671" s="375" t="s">
        <v>855</v>
      </c>
      <c r="I671" s="375" t="s">
        <v>754</v>
      </c>
      <c r="J671" s="375">
        <v>678845.88800000004</v>
      </c>
      <c r="K671" s="375">
        <v>17459.442449999999</v>
      </c>
      <c r="L671" s="375">
        <v>7094.9333399999996</v>
      </c>
      <c r="M671" s="375">
        <v>822708.71290000004</v>
      </c>
      <c r="N671" s="372">
        <v>0.54200000000000004</v>
      </c>
      <c r="O671" s="704">
        <v>154.66058242085012</v>
      </c>
      <c r="P671" s="375" t="s">
        <v>622</v>
      </c>
      <c r="Q671" s="375" t="s">
        <v>622</v>
      </c>
      <c r="R671" s="696">
        <v>19961024</v>
      </c>
      <c r="S671" s="375" t="s">
        <v>4985</v>
      </c>
      <c r="T671" s="697">
        <v>0.20900000000000002</v>
      </c>
      <c r="U671" s="372" t="s">
        <v>15869</v>
      </c>
      <c r="V671" s="723">
        <v>18.63</v>
      </c>
      <c r="W671" s="723">
        <v>0.44</v>
      </c>
      <c r="X671" s="723">
        <v>0.41</v>
      </c>
      <c r="Y671" s="723" t="s">
        <v>773</v>
      </c>
      <c r="Z671" s="382" t="s">
        <v>927</v>
      </c>
      <c r="AA671" s="372">
        <v>6754.8024634000003</v>
      </c>
      <c r="AB671" s="372">
        <v>6740.0600211999999</v>
      </c>
      <c r="AC671" s="372">
        <v>6498.7956875</v>
      </c>
      <c r="AD671" s="372">
        <v>6372.7432258999997</v>
      </c>
      <c r="AE671" s="372">
        <v>0</v>
      </c>
      <c r="AF671" s="372">
        <v>0</v>
      </c>
      <c r="AG671" s="372">
        <v>0</v>
      </c>
      <c r="AH671" s="372">
        <v>0</v>
      </c>
    </row>
    <row r="672" spans="1:34">
      <c r="A672" s="372" t="s">
        <v>4986</v>
      </c>
      <c r="B672" s="373" t="s">
        <v>4987</v>
      </c>
      <c r="C672" s="372" t="s">
        <v>4988</v>
      </c>
      <c r="D672" s="374">
        <v>1101111435810</v>
      </c>
      <c r="E672" s="372" t="s">
        <v>4989</v>
      </c>
      <c r="F672" s="375" t="s">
        <v>1370</v>
      </c>
      <c r="G672" s="375" t="s">
        <v>1370</v>
      </c>
      <c r="H672" s="375" t="s">
        <v>861</v>
      </c>
      <c r="I672" s="375" t="s">
        <v>862</v>
      </c>
      <c r="J672" s="375">
        <v>275639.46432999999</v>
      </c>
      <c r="K672" s="375">
        <v>5912.4860399999998</v>
      </c>
      <c r="L672" s="375">
        <v>-21364.95534</v>
      </c>
      <c r="M672" s="375">
        <v>290803.28713999997</v>
      </c>
      <c r="N672" s="372">
        <v>0.999</v>
      </c>
      <c r="O672" s="704">
        <v>136.5480349609085</v>
      </c>
      <c r="P672" s="375" t="s">
        <v>622</v>
      </c>
      <c r="Q672" s="375" t="s">
        <v>622</v>
      </c>
      <c r="R672" s="696">
        <v>20040721</v>
      </c>
      <c r="S672" s="375" t="s">
        <v>4990</v>
      </c>
      <c r="T672" s="697" t="s">
        <v>771</v>
      </c>
      <c r="U672" s="375" t="s">
        <v>4991</v>
      </c>
      <c r="V672" s="723">
        <v>27.36</v>
      </c>
      <c r="W672" s="723">
        <v>0.77</v>
      </c>
      <c r="X672" s="723">
        <v>0.83</v>
      </c>
      <c r="Y672" s="723" t="s">
        <v>773</v>
      </c>
      <c r="Z672" s="382" t="s">
        <v>927</v>
      </c>
      <c r="AA672" s="372">
        <v>2294.1819681000002</v>
      </c>
      <c r="AB672" s="372">
        <v>2855.5012167</v>
      </c>
      <c r="AC672" s="372">
        <v>2949.4828275999998</v>
      </c>
      <c r="AD672" s="372">
        <v>2954.6823410000002</v>
      </c>
      <c r="AE672" s="372">
        <v>3784</v>
      </c>
      <c r="AF672" s="372">
        <v>0</v>
      </c>
      <c r="AG672" s="372">
        <v>0</v>
      </c>
      <c r="AH672" s="372">
        <v>0</v>
      </c>
    </row>
    <row r="673" spans="1:34">
      <c r="A673" s="372" t="s">
        <v>4992</v>
      </c>
      <c r="B673" s="373" t="s">
        <v>4993</v>
      </c>
      <c r="C673" s="372" t="s">
        <v>4994</v>
      </c>
      <c r="D673" s="374">
        <v>1101110008600</v>
      </c>
      <c r="E673" s="372" t="s">
        <v>4995</v>
      </c>
      <c r="F673" s="375" t="s">
        <v>824</v>
      </c>
      <c r="G673" s="375" t="s">
        <v>825</v>
      </c>
      <c r="H673" s="375" t="s">
        <v>826</v>
      </c>
      <c r="I673" s="375" t="s">
        <v>754</v>
      </c>
      <c r="J673" s="375">
        <v>1840456.5201600001</v>
      </c>
      <c r="K673" s="375">
        <v>-47789.569409999996</v>
      </c>
      <c r="L673" s="375">
        <v>-67214.388550000003</v>
      </c>
      <c r="M673" s="375">
        <v>227643.86222000001</v>
      </c>
      <c r="N673" s="372">
        <v>1.3680000000000001</v>
      </c>
      <c r="O673" s="704">
        <v>271.71656005950416</v>
      </c>
      <c r="P673" s="375" t="s">
        <v>622</v>
      </c>
      <c r="Q673" s="375" t="s">
        <v>622</v>
      </c>
      <c r="R673" s="696">
        <v>19880428</v>
      </c>
      <c r="S673" s="375" t="s">
        <v>4996</v>
      </c>
      <c r="T673" s="697" t="s">
        <v>771</v>
      </c>
      <c r="U673" s="375" t="s">
        <v>4997</v>
      </c>
      <c r="V673" s="723" t="s">
        <v>773</v>
      </c>
      <c r="W673" s="723">
        <v>1.47</v>
      </c>
      <c r="X673" s="723">
        <v>0.11</v>
      </c>
      <c r="Y673" s="723" t="s">
        <v>773</v>
      </c>
      <c r="Z673" s="382" t="s">
        <v>927</v>
      </c>
      <c r="AA673" s="372">
        <v>13132.9520698</v>
      </c>
      <c r="AB673" s="372">
        <v>17033.371160300001</v>
      </c>
      <c r="AC673" s="372">
        <v>20017.857942400002</v>
      </c>
      <c r="AD673" s="372">
        <v>19954.884534199999</v>
      </c>
      <c r="AE673" s="372">
        <v>25960</v>
      </c>
      <c r="AF673" s="372">
        <v>0</v>
      </c>
      <c r="AG673" s="372">
        <v>0</v>
      </c>
      <c r="AH673" s="372">
        <v>0</v>
      </c>
    </row>
    <row r="674" spans="1:34">
      <c r="A674" s="372" t="s">
        <v>4998</v>
      </c>
      <c r="B674" s="373" t="s">
        <v>4999</v>
      </c>
      <c r="C674" s="372" t="s">
        <v>5000</v>
      </c>
      <c r="D674" s="374">
        <v>1101110077283</v>
      </c>
      <c r="E674" s="372" t="s">
        <v>5001</v>
      </c>
      <c r="F674" s="375" t="s">
        <v>2485</v>
      </c>
      <c r="G674" s="375" t="s">
        <v>2486</v>
      </c>
      <c r="H674" s="375" t="s">
        <v>812</v>
      </c>
      <c r="I674" s="375" t="s">
        <v>754</v>
      </c>
      <c r="J674" s="375">
        <v>718905.39197</v>
      </c>
      <c r="K674" s="375">
        <v>-11938.95657</v>
      </c>
      <c r="L674" s="375">
        <v>-6973.5803900000001</v>
      </c>
      <c r="M674" s="375">
        <v>1102185.46906</v>
      </c>
      <c r="N674" s="372">
        <v>1.0189999999999999</v>
      </c>
      <c r="O674" s="704">
        <v>58.787762349929238</v>
      </c>
      <c r="P674" s="375" t="s">
        <v>622</v>
      </c>
      <c r="Q674" s="372" t="s">
        <v>622</v>
      </c>
      <c r="R674" s="696">
        <v>19730629</v>
      </c>
      <c r="S674" s="372" t="s">
        <v>5002</v>
      </c>
      <c r="T674" s="697" t="s">
        <v>771</v>
      </c>
      <c r="U674" s="372" t="s">
        <v>5003</v>
      </c>
      <c r="V674" s="723">
        <v>105.52</v>
      </c>
      <c r="W674" s="723">
        <v>0.21</v>
      </c>
      <c r="X674" s="723">
        <v>0.33</v>
      </c>
      <c r="Y674" s="723" t="s">
        <v>773</v>
      </c>
      <c r="Z674" s="382" t="s">
        <v>927</v>
      </c>
      <c r="AA674" s="372">
        <v>3656.1312062000002</v>
      </c>
      <c r="AB674" s="372">
        <v>6165.0552230000003</v>
      </c>
      <c r="AC674" s="372">
        <v>10309.234667000001</v>
      </c>
      <c r="AD674" s="372">
        <v>7648.4170002999999</v>
      </c>
      <c r="AE674" s="372">
        <v>0</v>
      </c>
      <c r="AF674" s="372">
        <v>0</v>
      </c>
      <c r="AG674" s="372">
        <v>0</v>
      </c>
      <c r="AH674" s="372">
        <v>0</v>
      </c>
    </row>
    <row r="675" spans="1:34">
      <c r="A675" s="372" t="s">
        <v>5004</v>
      </c>
      <c r="B675" s="373" t="s">
        <v>5005</v>
      </c>
      <c r="C675" s="372" t="s">
        <v>5006</v>
      </c>
      <c r="D675" s="374">
        <v>0</v>
      </c>
      <c r="E675" s="372" t="s">
        <v>5007</v>
      </c>
      <c r="F675" s="375" t="s">
        <v>1357</v>
      </c>
      <c r="G675" s="375" t="s">
        <v>1357</v>
      </c>
      <c r="H675" s="375">
        <v>0</v>
      </c>
      <c r="I675" s="375" t="s">
        <v>862</v>
      </c>
      <c r="J675" s="375">
        <v>197015.01</v>
      </c>
      <c r="K675" s="375">
        <v>23001.504000000001</v>
      </c>
      <c r="L675" s="375">
        <v>21993.637999999999</v>
      </c>
      <c r="M675" s="375">
        <v>126558.12</v>
      </c>
      <c r="N675" s="372">
        <v>0.23499999999999999</v>
      </c>
      <c r="O675" s="704">
        <v>13.62462616224872</v>
      </c>
      <c r="P675" s="375" t="s">
        <v>622</v>
      </c>
      <c r="Q675" s="375" t="s">
        <v>622</v>
      </c>
      <c r="R675" s="696">
        <v>20161014</v>
      </c>
      <c r="S675" s="375" t="s">
        <v>5008</v>
      </c>
      <c r="T675" s="697">
        <v>0.23100000000000001</v>
      </c>
      <c r="U675" s="372" t="s">
        <v>5009</v>
      </c>
      <c r="V675" s="723">
        <v>9.48</v>
      </c>
      <c r="W675" s="723">
        <v>2.0499999999999998</v>
      </c>
      <c r="X675" s="723">
        <v>1.32</v>
      </c>
      <c r="Y675" s="723">
        <v>17.440000000000001</v>
      </c>
      <c r="Z675" s="382">
        <v>8.5639720011430054E-2</v>
      </c>
      <c r="AA675" s="372">
        <v>1371.6812199999999</v>
      </c>
      <c r="AB675" s="372">
        <v>1608.1644100000001</v>
      </c>
      <c r="AC675" s="372">
        <v>1515.0876599999999</v>
      </c>
      <c r="AD675" s="372">
        <v>2067.8409900000001</v>
      </c>
      <c r="AE675" s="372">
        <v>2236</v>
      </c>
      <c r="AF675" s="372">
        <v>2530.5</v>
      </c>
      <c r="AG675" s="372">
        <v>2872.5</v>
      </c>
      <c r="AH675" s="372">
        <v>0</v>
      </c>
    </row>
    <row r="676" spans="1:34">
      <c r="A676" s="372" t="s">
        <v>5010</v>
      </c>
      <c r="B676" s="373" t="s">
        <v>5011</v>
      </c>
      <c r="C676" s="372" t="s">
        <v>5012</v>
      </c>
      <c r="D676" s="374">
        <v>1345110059821</v>
      </c>
      <c r="E676" s="372" t="s">
        <v>5013</v>
      </c>
      <c r="F676" s="375" t="s">
        <v>1116</v>
      </c>
      <c r="G676" s="375" t="s">
        <v>1336</v>
      </c>
      <c r="H676" s="375" t="s">
        <v>1337</v>
      </c>
      <c r="I676" s="375" t="s">
        <v>862</v>
      </c>
      <c r="J676" s="375">
        <v>85816.66502</v>
      </c>
      <c r="K676" s="375">
        <v>-22695.98878</v>
      </c>
      <c r="L676" s="375">
        <v>-24998.048930000001</v>
      </c>
      <c r="M676" s="375">
        <v>218634.12726000001</v>
      </c>
      <c r="N676" s="372">
        <v>0.82499999999999996</v>
      </c>
      <c r="O676" s="704">
        <v>18.570386346650778</v>
      </c>
      <c r="P676" s="375" t="s">
        <v>622</v>
      </c>
      <c r="Q676" s="372" t="s">
        <v>622</v>
      </c>
      <c r="R676" s="696">
        <v>20130701</v>
      </c>
      <c r="S676" s="372" t="s">
        <v>5014</v>
      </c>
      <c r="T676" s="697" t="s">
        <v>771</v>
      </c>
      <c r="U676" s="372" t="s">
        <v>5015</v>
      </c>
      <c r="V676" s="723" t="s">
        <v>773</v>
      </c>
      <c r="W676" s="723">
        <v>1.1299999999999999</v>
      </c>
      <c r="X676" s="723">
        <v>2.88</v>
      </c>
      <c r="Y676" s="723" t="s">
        <v>773</v>
      </c>
      <c r="Z676" s="382">
        <v>0.26574794434897475</v>
      </c>
      <c r="AA676" s="372">
        <v>1194.7805381999999</v>
      </c>
      <c r="AB676" s="372">
        <v>2024.0736360999999</v>
      </c>
      <c r="AC676" s="372">
        <v>1447.7274563000001</v>
      </c>
      <c r="AD676" s="372">
        <v>731.26594639999996</v>
      </c>
      <c r="AE676" s="372">
        <v>918</v>
      </c>
      <c r="AF676" s="372">
        <v>1274</v>
      </c>
      <c r="AG676" s="372">
        <v>1877</v>
      </c>
      <c r="AH676" s="372">
        <v>0</v>
      </c>
    </row>
    <row r="677" spans="1:34">
      <c r="A677" s="372" t="s">
        <v>5016</v>
      </c>
      <c r="B677" s="373" t="s">
        <v>5017</v>
      </c>
      <c r="C677" s="372" t="s">
        <v>5018</v>
      </c>
      <c r="D677" s="374">
        <v>1101116770188</v>
      </c>
      <c r="E677" s="372" t="s">
        <v>5019</v>
      </c>
      <c r="F677" s="372" t="s">
        <v>1303</v>
      </c>
      <c r="G677" s="375" t="s">
        <v>1303</v>
      </c>
      <c r="H677" s="375" t="s">
        <v>826</v>
      </c>
      <c r="I677" s="375" t="s">
        <v>754</v>
      </c>
      <c r="J677" s="375">
        <v>2919673.9569299999</v>
      </c>
      <c r="K677" s="375">
        <v>-149184.26070000001</v>
      </c>
      <c r="L677" s="375">
        <v>-337753.47321000003</v>
      </c>
      <c r="M677" s="375">
        <v>32499.12213</v>
      </c>
      <c r="N677" s="372">
        <v>1.1910000000000001</v>
      </c>
      <c r="O677" s="704">
        <v>1746.7012539158823</v>
      </c>
      <c r="P677" s="375" t="s">
        <v>622</v>
      </c>
      <c r="Q677" s="372" t="s">
        <v>622</v>
      </c>
      <c r="R677" s="696">
        <v>20180713</v>
      </c>
      <c r="S677" s="372" t="s">
        <v>771</v>
      </c>
      <c r="T677" s="697" t="s">
        <v>771</v>
      </c>
      <c r="U677" s="372" t="s">
        <v>5020</v>
      </c>
      <c r="V677" s="723">
        <v>43.37</v>
      </c>
      <c r="W677" s="723">
        <v>5.3</v>
      </c>
      <c r="X677" s="723">
        <v>0.06</v>
      </c>
      <c r="Y677" s="723" t="s">
        <v>773</v>
      </c>
      <c r="Z677" s="382">
        <v>2.5046858645133119E-2</v>
      </c>
      <c r="AA677" s="372">
        <v>18171.8998049</v>
      </c>
      <c r="AB677" s="372">
        <v>25199.652850400002</v>
      </c>
      <c r="AC677" s="372">
        <v>28785.581805900001</v>
      </c>
      <c r="AD677" s="372">
        <v>27916.2936653</v>
      </c>
      <c r="AE677" s="372">
        <v>29620</v>
      </c>
      <c r="AF677" s="372">
        <v>29660</v>
      </c>
      <c r="AG677" s="372">
        <v>30820</v>
      </c>
      <c r="AH677" s="372">
        <v>0</v>
      </c>
    </row>
    <row r="678" spans="1:34">
      <c r="A678" s="372" t="s">
        <v>5021</v>
      </c>
      <c r="B678" s="373" t="s">
        <v>5022</v>
      </c>
      <c r="C678" s="372" t="s">
        <v>5023</v>
      </c>
      <c r="D678" s="374">
        <v>1101111775894</v>
      </c>
      <c r="E678" s="372" t="s">
        <v>5024</v>
      </c>
      <c r="F678" s="375" t="s">
        <v>2124</v>
      </c>
      <c r="G678" s="375" t="s">
        <v>4231</v>
      </c>
      <c r="H678" s="375" t="s">
        <v>861</v>
      </c>
      <c r="I678" s="375" t="s">
        <v>862</v>
      </c>
      <c r="J678" s="375">
        <v>225639.91013</v>
      </c>
      <c r="K678" s="375">
        <v>22299.24467</v>
      </c>
      <c r="L678" s="375">
        <v>18231.696639999998</v>
      </c>
      <c r="M678" s="375">
        <v>226736.41227999999</v>
      </c>
      <c r="N678" s="372">
        <v>0.58899999999999997</v>
      </c>
      <c r="O678" s="704">
        <v>31.268035679235588</v>
      </c>
      <c r="P678" s="375" t="s">
        <v>622</v>
      </c>
      <c r="Q678" s="372" t="s">
        <v>622</v>
      </c>
      <c r="R678" s="696">
        <v>20090410</v>
      </c>
      <c r="S678" s="372" t="s">
        <v>5025</v>
      </c>
      <c r="T678" s="697">
        <v>0.20900000000000002</v>
      </c>
      <c r="U678" s="372" t="s">
        <v>5026</v>
      </c>
      <c r="V678" s="723">
        <v>9.14</v>
      </c>
      <c r="W678" s="723">
        <v>1.07</v>
      </c>
      <c r="X678" s="723">
        <v>1.19</v>
      </c>
      <c r="Y678" s="723">
        <v>15.98</v>
      </c>
      <c r="Z678" s="382">
        <v>6.3092140584144252E-2</v>
      </c>
      <c r="AA678" s="372">
        <v>1602.6384315</v>
      </c>
      <c r="AB678" s="372">
        <v>1931.3935652</v>
      </c>
      <c r="AC678" s="372">
        <v>2379.2881261000002</v>
      </c>
      <c r="AD678" s="372">
        <v>2202.5053855000001</v>
      </c>
      <c r="AE678" s="372">
        <v>2339.8000000000002</v>
      </c>
      <c r="AF678" s="372">
        <v>2560.6</v>
      </c>
      <c r="AG678" s="372">
        <v>2813.2</v>
      </c>
      <c r="AH678" s="372">
        <v>0</v>
      </c>
    </row>
    <row r="679" spans="1:34">
      <c r="A679" s="372" t="s">
        <v>5027</v>
      </c>
      <c r="B679" s="373" t="s">
        <v>5028</v>
      </c>
      <c r="C679" s="372" t="s">
        <v>5029</v>
      </c>
      <c r="D679" s="374">
        <v>1701110005042</v>
      </c>
      <c r="E679" s="372" t="s">
        <v>5030</v>
      </c>
      <c r="F679" s="375" t="s">
        <v>2116</v>
      </c>
      <c r="G679" s="375" t="s">
        <v>2117</v>
      </c>
      <c r="H679" s="375" t="s">
        <v>812</v>
      </c>
      <c r="I679" s="375" t="s">
        <v>754</v>
      </c>
      <c r="J679" s="375">
        <v>294339.20452999999</v>
      </c>
      <c r="K679" s="375">
        <v>5311.5047699999996</v>
      </c>
      <c r="L679" s="375">
        <v>13900.521280000001</v>
      </c>
      <c r="M679" s="375">
        <v>319680.20406000002</v>
      </c>
      <c r="N679" s="372">
        <v>0.73099999999999998</v>
      </c>
      <c r="O679" s="704">
        <v>8.6000405806079865</v>
      </c>
      <c r="P679" s="375" t="s">
        <v>622</v>
      </c>
      <c r="Q679" s="375" t="s">
        <v>622</v>
      </c>
      <c r="R679" s="696">
        <v>19780522</v>
      </c>
      <c r="S679" s="375" t="s">
        <v>5031</v>
      </c>
      <c r="T679" s="697">
        <v>0.20900000000000002</v>
      </c>
      <c r="U679" s="375" t="s">
        <v>5032</v>
      </c>
      <c r="V679" s="723">
        <v>20.37</v>
      </c>
      <c r="W679" s="723">
        <v>0.56999999999999995</v>
      </c>
      <c r="X679" s="723">
        <v>0.62</v>
      </c>
      <c r="Y679" s="723">
        <v>15.7</v>
      </c>
      <c r="Z679" s="382" t="s">
        <v>927</v>
      </c>
      <c r="AA679" s="372">
        <v>2684.7478599000001</v>
      </c>
      <c r="AB679" s="372">
        <v>2303.4353658999999</v>
      </c>
      <c r="AC679" s="372">
        <v>2557.4029996999998</v>
      </c>
      <c r="AD679" s="372">
        <v>3104.9918750000002</v>
      </c>
      <c r="AE679" s="372">
        <v>0</v>
      </c>
      <c r="AF679" s="372">
        <v>0</v>
      </c>
      <c r="AG679" s="372">
        <v>0</v>
      </c>
      <c r="AH679" s="372">
        <v>0</v>
      </c>
    </row>
    <row r="680" spans="1:34">
      <c r="A680" s="372" t="s">
        <v>5033</v>
      </c>
      <c r="B680" s="373" t="s">
        <v>5034</v>
      </c>
      <c r="C680" s="372" t="s">
        <v>5035</v>
      </c>
      <c r="D680" s="374">
        <v>1101112125262</v>
      </c>
      <c r="E680" s="372" t="s">
        <v>5036</v>
      </c>
      <c r="F680" s="375" t="s">
        <v>1743</v>
      </c>
      <c r="G680" s="375" t="s">
        <v>1743</v>
      </c>
      <c r="H680" s="375" t="s">
        <v>846</v>
      </c>
      <c r="I680" s="375" t="s">
        <v>754</v>
      </c>
      <c r="J680" s="375">
        <v>3427726.8851899998</v>
      </c>
      <c r="K680" s="375">
        <v>44062.244129999999</v>
      </c>
      <c r="L680" s="375">
        <v>44991.436520000003</v>
      </c>
      <c r="M680" s="375">
        <v>402238.44238000002</v>
      </c>
      <c r="N680" s="372">
        <v>0.53800000000000003</v>
      </c>
      <c r="O680" s="704">
        <v>57.715728012609389</v>
      </c>
      <c r="P680" s="375" t="s">
        <v>622</v>
      </c>
      <c r="Q680" s="375" t="s">
        <v>622</v>
      </c>
      <c r="R680" s="696">
        <v>20100730</v>
      </c>
      <c r="S680" s="375" t="s">
        <v>5037</v>
      </c>
      <c r="T680" s="697">
        <v>0.23100000000000001</v>
      </c>
      <c r="U680" s="372" t="s">
        <v>5038</v>
      </c>
      <c r="V680" s="723">
        <v>4.8600000000000003</v>
      </c>
      <c r="W680" s="723">
        <v>0.75</v>
      </c>
      <c r="X680" s="723">
        <v>0.08</v>
      </c>
      <c r="Y680" s="723">
        <v>10.65</v>
      </c>
      <c r="Z680" s="382">
        <v>5.1206240746930698E-2</v>
      </c>
      <c r="AA680" s="372">
        <v>28394.112953700002</v>
      </c>
      <c r="AB680" s="372">
        <v>31324.917795599998</v>
      </c>
      <c r="AC680" s="372">
        <v>35881.746959399999</v>
      </c>
      <c r="AD680" s="372">
        <v>34255.959973600002</v>
      </c>
      <c r="AE680" s="372">
        <v>35420</v>
      </c>
      <c r="AF680" s="372">
        <v>38950</v>
      </c>
      <c r="AG680" s="372">
        <v>41830</v>
      </c>
      <c r="AH680" s="372">
        <v>0</v>
      </c>
    </row>
    <row r="681" spans="1:34">
      <c r="A681" s="372" t="s">
        <v>5039</v>
      </c>
      <c r="B681" s="373" t="s">
        <v>5040</v>
      </c>
      <c r="C681" s="372" t="s">
        <v>5041</v>
      </c>
      <c r="D681" s="374">
        <v>1801110029438</v>
      </c>
      <c r="E681" s="372" t="s">
        <v>5042</v>
      </c>
      <c r="F681" s="375" t="s">
        <v>1849</v>
      </c>
      <c r="G681" s="375" t="s">
        <v>1850</v>
      </c>
      <c r="H681" s="375" t="s">
        <v>4847</v>
      </c>
      <c r="I681" s="375" t="s">
        <v>862</v>
      </c>
      <c r="J681" s="375">
        <v>575029.28422999999</v>
      </c>
      <c r="K681" s="375">
        <v>-7673.3468899999998</v>
      </c>
      <c r="L681" s="375">
        <v>14827.56493</v>
      </c>
      <c r="M681" s="375">
        <v>1058911.3019900001</v>
      </c>
      <c r="N681" s="372">
        <v>0.53100000000000003</v>
      </c>
      <c r="O681" s="704">
        <v>54.299749544524921</v>
      </c>
      <c r="P681" s="375" t="s">
        <v>622</v>
      </c>
      <c r="Q681" s="372" t="s">
        <v>622</v>
      </c>
      <c r="R681" s="696">
        <v>19941222</v>
      </c>
      <c r="S681" s="372" t="s">
        <v>5043</v>
      </c>
      <c r="T681" s="697">
        <v>0.20900000000000002</v>
      </c>
      <c r="U681" s="372" t="s">
        <v>5044</v>
      </c>
      <c r="V681" s="723" t="s">
        <v>773</v>
      </c>
      <c r="W681" s="723">
        <v>0.23</v>
      </c>
      <c r="X681" s="723">
        <v>0.42</v>
      </c>
      <c r="Y681" s="723">
        <v>24.9</v>
      </c>
      <c r="Z681" s="382">
        <v>-5.5160868272210783E-2</v>
      </c>
      <c r="AA681" s="372">
        <v>6306.1565831999997</v>
      </c>
      <c r="AB681" s="372">
        <v>4207.3305018999999</v>
      </c>
      <c r="AC681" s="372">
        <v>5815.0417995999996</v>
      </c>
      <c r="AD681" s="372">
        <v>7365.5742842999998</v>
      </c>
      <c r="AE681" s="372">
        <v>5280</v>
      </c>
      <c r="AF681" s="372">
        <v>4500</v>
      </c>
      <c r="AG681" s="372">
        <v>5870</v>
      </c>
      <c r="AH681" s="372">
        <v>0</v>
      </c>
    </row>
    <row r="682" spans="1:34">
      <c r="A682" s="372" t="s">
        <v>5045</v>
      </c>
      <c r="B682" s="373" t="s">
        <v>5046</v>
      </c>
      <c r="C682" s="372" t="s">
        <v>5047</v>
      </c>
      <c r="D682" s="374">
        <v>1101111892333</v>
      </c>
      <c r="E682" s="372" t="s">
        <v>5048</v>
      </c>
      <c r="F682" s="375" t="s">
        <v>1357</v>
      </c>
      <c r="G682" s="375" t="s">
        <v>1357</v>
      </c>
      <c r="H682" s="375" t="s">
        <v>861</v>
      </c>
      <c r="I682" s="375" t="s">
        <v>862</v>
      </c>
      <c r="J682" s="375">
        <v>198486.17473</v>
      </c>
      <c r="K682" s="375">
        <v>35429.387589999998</v>
      </c>
      <c r="L682" s="375">
        <v>36347.761689999999</v>
      </c>
      <c r="M682" s="375">
        <v>88726.186650000003</v>
      </c>
      <c r="N682" s="372">
        <v>0.26100000000000001</v>
      </c>
      <c r="O682" s="704">
        <v>3.1535103540519906</v>
      </c>
      <c r="P682" s="375" t="s">
        <v>622</v>
      </c>
      <c r="Q682" s="375" t="s">
        <v>622</v>
      </c>
      <c r="R682" s="696">
        <v>20211028</v>
      </c>
      <c r="S682" s="375" t="s">
        <v>5049</v>
      </c>
      <c r="T682" s="697">
        <v>0.23100000000000001</v>
      </c>
      <c r="U682" s="375" t="s">
        <v>5050</v>
      </c>
      <c r="V682" s="723">
        <v>12.17</v>
      </c>
      <c r="W682" s="723">
        <v>4.9400000000000004</v>
      </c>
      <c r="X682" s="723">
        <v>2.21</v>
      </c>
      <c r="Y682" s="723">
        <v>14.15</v>
      </c>
      <c r="Z682" s="382">
        <v>0.17688082381755876</v>
      </c>
      <c r="AA682" s="372">
        <v>792.18232509999996</v>
      </c>
      <c r="AB682" s="372">
        <v>716.18219780000004</v>
      </c>
      <c r="AC682" s="372">
        <v>853.35168950000002</v>
      </c>
      <c r="AD682" s="372">
        <v>1486.8591295000001</v>
      </c>
      <c r="AE682" s="372">
        <v>2154.67</v>
      </c>
      <c r="AF682" s="372">
        <v>2522.33</v>
      </c>
      <c r="AG682" s="372">
        <v>2852.33</v>
      </c>
      <c r="AH682" s="372">
        <v>0</v>
      </c>
    </row>
    <row r="683" spans="1:34">
      <c r="A683" s="372" t="s">
        <v>5051</v>
      </c>
      <c r="B683" s="373" t="s">
        <v>5052</v>
      </c>
      <c r="C683" s="372" t="s">
        <v>5053</v>
      </c>
      <c r="D683" s="374">
        <v>2011110000440</v>
      </c>
      <c r="E683" s="372" t="s">
        <v>5054</v>
      </c>
      <c r="F683" s="372" t="s">
        <v>5055</v>
      </c>
      <c r="G683" s="375" t="s">
        <v>5055</v>
      </c>
      <c r="H683" s="375" t="s">
        <v>1468</v>
      </c>
      <c r="I683" s="375" t="s">
        <v>754</v>
      </c>
      <c r="J683" s="375">
        <v>831998.08927999996</v>
      </c>
      <c r="K683" s="375">
        <v>51523.252959999998</v>
      </c>
      <c r="L683" s="375">
        <v>41604.907279999999</v>
      </c>
      <c r="M683" s="375">
        <v>831252.41014000005</v>
      </c>
      <c r="N683" s="372">
        <v>0.63400000000000001</v>
      </c>
      <c r="O683" s="704">
        <v>272.97690413929388</v>
      </c>
      <c r="P683" s="375" t="s">
        <v>622</v>
      </c>
      <c r="Q683" s="375" t="s">
        <v>622</v>
      </c>
      <c r="R683" s="696">
        <v>19780630</v>
      </c>
      <c r="S683" s="375" t="s">
        <v>5056</v>
      </c>
      <c r="T683" s="697">
        <v>0.23100000000000001</v>
      </c>
      <c r="U683" s="375" t="s">
        <v>5057</v>
      </c>
      <c r="V683" s="723">
        <v>11.76</v>
      </c>
      <c r="W683" s="723">
        <v>0.45</v>
      </c>
      <c r="X683" s="723">
        <v>0.31</v>
      </c>
      <c r="Y683" s="723">
        <v>160.75</v>
      </c>
      <c r="Z683" s="382" t="s">
        <v>927</v>
      </c>
      <c r="AA683" s="372">
        <v>7052.2674401000004</v>
      </c>
      <c r="AB683" s="372">
        <v>7462.9140463000003</v>
      </c>
      <c r="AC683" s="372">
        <v>7980.3961325</v>
      </c>
      <c r="AD683" s="372">
        <v>8169.0444552999998</v>
      </c>
      <c r="AE683" s="372">
        <v>0</v>
      </c>
      <c r="AF683" s="372">
        <v>0</v>
      </c>
      <c r="AG683" s="372">
        <v>0</v>
      </c>
      <c r="AH683" s="372">
        <v>0</v>
      </c>
    </row>
    <row r="684" spans="1:34">
      <c r="A684" s="372" t="s">
        <v>5058</v>
      </c>
      <c r="B684" s="373" t="s">
        <v>5059</v>
      </c>
      <c r="C684" s="372" t="s">
        <v>5060</v>
      </c>
      <c r="D684" s="374">
        <v>1350110108445</v>
      </c>
      <c r="E684" s="372" t="s">
        <v>5061</v>
      </c>
      <c r="F684" s="375" t="s">
        <v>1598</v>
      </c>
      <c r="G684" s="375" t="s">
        <v>1599</v>
      </c>
      <c r="H684" s="375" t="s">
        <v>861</v>
      </c>
      <c r="I684" s="375" t="s">
        <v>862</v>
      </c>
      <c r="J684" s="375">
        <v>12835.974179999999</v>
      </c>
      <c r="K684" s="375">
        <v>2608.26935</v>
      </c>
      <c r="L684" s="375">
        <v>3012.8324499999999</v>
      </c>
      <c r="M684" s="375">
        <v>38182.742570000002</v>
      </c>
      <c r="N684" s="372">
        <v>0.745</v>
      </c>
      <c r="O684" s="704">
        <v>0.81342002268921587</v>
      </c>
      <c r="P684" s="375" t="s">
        <v>622</v>
      </c>
      <c r="Q684" s="372" t="s">
        <v>622</v>
      </c>
      <c r="R684" s="696">
        <v>20201223</v>
      </c>
      <c r="S684" s="372" t="s">
        <v>5062</v>
      </c>
      <c r="T684" s="697">
        <v>0.20900000000000002</v>
      </c>
      <c r="U684" s="375" t="s">
        <v>5063</v>
      </c>
      <c r="V684" s="723">
        <v>71.709999999999994</v>
      </c>
      <c r="W684" s="723">
        <v>6.63</v>
      </c>
      <c r="X684" s="723">
        <v>20.100000000000001</v>
      </c>
      <c r="Y684" s="723">
        <v>74.09</v>
      </c>
      <c r="Z684" s="382" t="s">
        <v>927</v>
      </c>
      <c r="AA684" s="372">
        <v>67.227474700000002</v>
      </c>
      <c r="AB684" s="372">
        <v>90.596626400000005</v>
      </c>
      <c r="AC684" s="372">
        <v>123.45756299999999</v>
      </c>
      <c r="AD684" s="372">
        <v>121.9667104</v>
      </c>
      <c r="AE684" s="372">
        <v>0</v>
      </c>
      <c r="AF684" s="372">
        <v>0</v>
      </c>
      <c r="AG684" s="372">
        <v>0</v>
      </c>
      <c r="AH684" s="372">
        <v>0</v>
      </c>
    </row>
    <row r="685" spans="1:34">
      <c r="A685" s="372" t="s">
        <v>5064</v>
      </c>
      <c r="B685" s="373" t="s">
        <v>5065</v>
      </c>
      <c r="C685" s="372" t="s">
        <v>5066</v>
      </c>
      <c r="D685" s="374">
        <v>1101110124802</v>
      </c>
      <c r="E685" s="372" t="s">
        <v>5067</v>
      </c>
      <c r="F685" s="375" t="s">
        <v>1323</v>
      </c>
      <c r="G685" s="375" t="s">
        <v>16106</v>
      </c>
      <c r="H685" s="375" t="s">
        <v>784</v>
      </c>
      <c r="I685" s="375" t="s">
        <v>754</v>
      </c>
      <c r="J685" s="375">
        <v>364562.47051000001</v>
      </c>
      <c r="K685" s="375">
        <v>20553.26497</v>
      </c>
      <c r="L685" s="375">
        <v>2049.6499100000001</v>
      </c>
      <c r="M685" s="375">
        <v>271366.07188</v>
      </c>
      <c r="N685" s="372">
        <v>0.67800000000000005</v>
      </c>
      <c r="O685" s="704">
        <v>53.687905108947341</v>
      </c>
      <c r="P685" s="375" t="s">
        <v>622</v>
      </c>
      <c r="Q685" s="375" t="s">
        <v>622</v>
      </c>
      <c r="R685" s="696">
        <v>19740828</v>
      </c>
      <c r="S685" s="375" t="s">
        <v>5068</v>
      </c>
      <c r="T685" s="697">
        <v>0.20900000000000002</v>
      </c>
      <c r="U685" s="372" t="s">
        <v>5069</v>
      </c>
      <c r="V685" s="723">
        <v>11.9</v>
      </c>
      <c r="W685" s="723">
        <v>1.04</v>
      </c>
      <c r="X685" s="723">
        <v>0.7</v>
      </c>
      <c r="Y685" s="723" t="s">
        <v>773</v>
      </c>
      <c r="Z685" s="382" t="s">
        <v>927</v>
      </c>
      <c r="AA685" s="372">
        <v>3433.2872394999999</v>
      </c>
      <c r="AB685" s="372">
        <v>3713.4750804</v>
      </c>
      <c r="AC685" s="372">
        <v>3838.1082178000001</v>
      </c>
      <c r="AD685" s="372">
        <v>3705.3740673000002</v>
      </c>
      <c r="AE685" s="372">
        <v>0</v>
      </c>
      <c r="AF685" s="372">
        <v>0</v>
      </c>
      <c r="AG685" s="372">
        <v>0</v>
      </c>
      <c r="AH685" s="372">
        <v>0</v>
      </c>
    </row>
    <row r="686" spans="1:34">
      <c r="A686" s="372" t="s">
        <v>5070</v>
      </c>
      <c r="B686" s="373" t="s">
        <v>5071</v>
      </c>
      <c r="C686" s="372" t="s">
        <v>5072</v>
      </c>
      <c r="D686" s="374">
        <v>1243110008204</v>
      </c>
      <c r="E686" s="372" t="s">
        <v>5073</v>
      </c>
      <c r="F686" s="375" t="s">
        <v>3885</v>
      </c>
      <c r="G686" s="375" t="s">
        <v>3885</v>
      </c>
      <c r="H686" s="375" t="s">
        <v>855</v>
      </c>
      <c r="I686" s="375" t="s">
        <v>754</v>
      </c>
      <c r="J686" s="375">
        <v>104193.64645</v>
      </c>
      <c r="K686" s="375">
        <v>31732.29796</v>
      </c>
      <c r="L686" s="375">
        <v>27424.005379999999</v>
      </c>
      <c r="M686" s="375">
        <v>252030.87406</v>
      </c>
      <c r="N686" s="372">
        <v>0.61899999999999999</v>
      </c>
      <c r="O686" s="704">
        <v>0</v>
      </c>
      <c r="P686" s="375" t="s">
        <v>622</v>
      </c>
      <c r="Q686" s="375" t="s">
        <v>622</v>
      </c>
      <c r="R686" s="696">
        <v>19971125</v>
      </c>
      <c r="S686" s="372" t="s">
        <v>5074</v>
      </c>
      <c r="T686" s="697">
        <v>0.23100000000000001</v>
      </c>
      <c r="U686" s="372" t="s">
        <v>5075</v>
      </c>
      <c r="V686" s="723">
        <v>0</v>
      </c>
      <c r="W686" s="723">
        <v>1.25</v>
      </c>
      <c r="X686" s="723">
        <v>3.27</v>
      </c>
      <c r="Y686" s="723">
        <v>16.29</v>
      </c>
      <c r="Z686" s="382" t="s">
        <v>927</v>
      </c>
      <c r="AA686" s="372">
        <v>0</v>
      </c>
      <c r="AB686" s="372">
        <v>1444.4296561000001</v>
      </c>
      <c r="AC686" s="372">
        <v>604.48538370000006</v>
      </c>
      <c r="AD686" s="372">
        <v>937.60178859999996</v>
      </c>
      <c r="AE686" s="372">
        <v>0</v>
      </c>
      <c r="AF686" s="372">
        <v>0</v>
      </c>
      <c r="AG686" s="372">
        <v>0</v>
      </c>
      <c r="AH686" s="372">
        <v>0</v>
      </c>
    </row>
    <row r="687" spans="1:34">
      <c r="A687" s="372" t="s">
        <v>5076</v>
      </c>
      <c r="B687" s="373" t="s">
        <v>5077</v>
      </c>
      <c r="C687" s="372" t="s">
        <v>5078</v>
      </c>
      <c r="D687" s="374">
        <v>1101110043870</v>
      </c>
      <c r="E687" s="372" t="s">
        <v>5079</v>
      </c>
      <c r="F687" s="375" t="s">
        <v>1323</v>
      </c>
      <c r="G687" s="375" t="s">
        <v>16106</v>
      </c>
      <c r="H687" s="375" t="s">
        <v>784</v>
      </c>
      <c r="I687" s="375" t="s">
        <v>754</v>
      </c>
      <c r="J687" s="375">
        <v>428482.23216000001</v>
      </c>
      <c r="K687" s="375">
        <v>9002.5337400000008</v>
      </c>
      <c r="L687" s="375">
        <v>9819.3072200000006</v>
      </c>
      <c r="M687" s="375">
        <v>404767.55709000002</v>
      </c>
      <c r="N687" s="372">
        <v>0.68200000000000005</v>
      </c>
      <c r="O687" s="704">
        <v>37.334677898523793</v>
      </c>
      <c r="P687" s="375" t="s">
        <v>622</v>
      </c>
      <c r="Q687" s="375" t="s">
        <v>622</v>
      </c>
      <c r="R687" s="696">
        <v>19760324</v>
      </c>
      <c r="S687" s="375" t="s">
        <v>5080</v>
      </c>
      <c r="T687" s="697">
        <v>0.20900000000000002</v>
      </c>
      <c r="U687" s="375" t="s">
        <v>5081</v>
      </c>
      <c r="V687" s="723">
        <v>10.35</v>
      </c>
      <c r="W687" s="723">
        <v>0.56999999999999995</v>
      </c>
      <c r="X687" s="723">
        <v>0.51</v>
      </c>
      <c r="Y687" s="723">
        <v>28.25</v>
      </c>
      <c r="Z687" s="382" t="s">
        <v>927</v>
      </c>
      <c r="AA687" s="372">
        <v>2720.7538380000001</v>
      </c>
      <c r="AB687" s="372">
        <v>2930.1811201999999</v>
      </c>
      <c r="AC687" s="372">
        <v>3404.263273</v>
      </c>
      <c r="AD687" s="372">
        <v>3611.0856199999998</v>
      </c>
      <c r="AE687" s="372">
        <v>4073</v>
      </c>
      <c r="AF687" s="372">
        <v>4370</v>
      </c>
      <c r="AG687" s="372">
        <v>0</v>
      </c>
      <c r="AH687" s="372">
        <v>0</v>
      </c>
    </row>
    <row r="688" spans="1:34">
      <c r="A688" s="372" t="s">
        <v>5082</v>
      </c>
      <c r="B688" s="373" t="s">
        <v>5083</v>
      </c>
      <c r="C688" s="372" t="s">
        <v>5084</v>
      </c>
      <c r="D688" s="374">
        <v>1351110047419</v>
      </c>
      <c r="E688" s="372" t="s">
        <v>5085</v>
      </c>
      <c r="F688" s="375" t="s">
        <v>1962</v>
      </c>
      <c r="G688" s="375" t="s">
        <v>1962</v>
      </c>
      <c r="H688" s="375" t="s">
        <v>861</v>
      </c>
      <c r="I688" s="375" t="s">
        <v>862</v>
      </c>
      <c r="J688" s="375">
        <v>300256.49111</v>
      </c>
      <c r="K688" s="375">
        <v>14829.6808</v>
      </c>
      <c r="L688" s="375">
        <v>19571.406009999999</v>
      </c>
      <c r="M688" s="375">
        <v>286100.12011000002</v>
      </c>
      <c r="N688" s="372">
        <v>1.196</v>
      </c>
      <c r="O688" s="704">
        <v>41.556477255171401</v>
      </c>
      <c r="P688" s="375" t="s">
        <v>622</v>
      </c>
      <c r="Q688" s="372" t="s">
        <v>622</v>
      </c>
      <c r="R688" s="696">
        <v>20190805</v>
      </c>
      <c r="S688" s="372" t="s">
        <v>5086</v>
      </c>
      <c r="T688" s="697">
        <v>0.20900000000000002</v>
      </c>
      <c r="U688" s="375" t="s">
        <v>5087</v>
      </c>
      <c r="V688" s="723">
        <v>13.55</v>
      </c>
      <c r="W688" s="723">
        <v>0.94</v>
      </c>
      <c r="X688" s="723">
        <v>0.56000000000000005</v>
      </c>
      <c r="Y688" s="723">
        <v>9.16</v>
      </c>
      <c r="Z688" s="382">
        <v>2.9779249594325208E-2</v>
      </c>
      <c r="AA688" s="372">
        <v>453.54760700000003</v>
      </c>
      <c r="AB688" s="372">
        <v>1063.4989989000001</v>
      </c>
      <c r="AC688" s="372">
        <v>2011.5491632999999</v>
      </c>
      <c r="AD688" s="372">
        <v>3359.5832553</v>
      </c>
      <c r="AE688" s="372">
        <v>3065.5</v>
      </c>
      <c r="AF688" s="372">
        <v>3521.95</v>
      </c>
      <c r="AG688" s="372">
        <v>3778</v>
      </c>
      <c r="AH688" s="372">
        <v>0</v>
      </c>
    </row>
    <row r="689" spans="1:34">
      <c r="A689" s="372" t="s">
        <v>5088</v>
      </c>
      <c r="B689" s="373" t="s">
        <v>5089</v>
      </c>
      <c r="C689" s="372" t="s">
        <v>5090</v>
      </c>
      <c r="D689" s="374">
        <v>1101111905516</v>
      </c>
      <c r="E689" s="372" t="s">
        <v>5091</v>
      </c>
      <c r="F689" s="375" t="s">
        <v>1696</v>
      </c>
      <c r="G689" s="375" t="s">
        <v>1696</v>
      </c>
      <c r="H689" s="375" t="s">
        <v>1337</v>
      </c>
      <c r="I689" s="375" t="s">
        <v>862</v>
      </c>
      <c r="J689" s="375">
        <v>142926.79845999999</v>
      </c>
      <c r="K689" s="375">
        <v>21399.518690000001</v>
      </c>
      <c r="L689" s="375">
        <v>23828.926889999999</v>
      </c>
      <c r="M689" s="375">
        <v>259749.18987999999</v>
      </c>
      <c r="N689" s="372">
        <v>0.79400000000000004</v>
      </c>
      <c r="O689" s="704">
        <v>4.0843938561789441</v>
      </c>
      <c r="P689" s="375" t="s">
        <v>622</v>
      </c>
      <c r="Q689" s="375" t="s">
        <v>622</v>
      </c>
      <c r="R689" s="696">
        <v>20130717</v>
      </c>
      <c r="S689" s="375" t="s">
        <v>5092</v>
      </c>
      <c r="T689" s="697">
        <v>0.23100000000000001</v>
      </c>
      <c r="U689" s="372" t="s">
        <v>5093</v>
      </c>
      <c r="V689" s="723">
        <v>7.51</v>
      </c>
      <c r="W689" s="723">
        <v>0.81</v>
      </c>
      <c r="X689" s="723">
        <v>1.29</v>
      </c>
      <c r="Y689" s="723">
        <v>10.220000000000001</v>
      </c>
      <c r="Z689" s="382">
        <v>4.3541726953799431E-2</v>
      </c>
      <c r="AA689" s="372">
        <v>1116.410766</v>
      </c>
      <c r="AB689" s="372">
        <v>1241.6071311999999</v>
      </c>
      <c r="AC689" s="372">
        <v>1523.9354212000001</v>
      </c>
      <c r="AD689" s="372">
        <v>1467.6914018</v>
      </c>
      <c r="AE689" s="372">
        <v>1478</v>
      </c>
      <c r="AF689" s="372">
        <v>1610.6</v>
      </c>
      <c r="AG689" s="372">
        <v>1740.5</v>
      </c>
      <c r="AH689" s="372">
        <v>0</v>
      </c>
    </row>
    <row r="690" spans="1:34">
      <c r="A690" s="372" t="s">
        <v>5094</v>
      </c>
      <c r="B690" s="373" t="s">
        <v>5095</v>
      </c>
      <c r="C690" s="372" t="s">
        <v>15994</v>
      </c>
      <c r="D690" s="374">
        <v>1713110003504</v>
      </c>
      <c r="E690" s="372" t="s">
        <v>15995</v>
      </c>
      <c r="F690" s="375" t="s">
        <v>2281</v>
      </c>
      <c r="G690" s="375" t="s">
        <v>5096</v>
      </c>
      <c r="H690" s="375" t="s">
        <v>826</v>
      </c>
      <c r="I690" s="375" t="s">
        <v>754</v>
      </c>
      <c r="J690" s="375">
        <v>472660.49391999998</v>
      </c>
      <c r="K690" s="375">
        <v>37495.324000000001</v>
      </c>
      <c r="L690" s="375">
        <v>53902.708890000002</v>
      </c>
      <c r="M690" s="375">
        <v>308188.02807</v>
      </c>
      <c r="N690" s="372">
        <v>0.71499999999999997</v>
      </c>
      <c r="O690" s="704">
        <v>3.7735153299916453</v>
      </c>
      <c r="P690" s="375" t="s">
        <v>622</v>
      </c>
      <c r="Q690" s="372" t="s">
        <v>622</v>
      </c>
      <c r="R690" s="696">
        <v>20110615</v>
      </c>
      <c r="S690" s="372" t="s">
        <v>5097</v>
      </c>
      <c r="T690" s="697">
        <v>0.23100000000000001</v>
      </c>
      <c r="U690" s="375" t="s">
        <v>5098</v>
      </c>
      <c r="V690" s="723">
        <v>4.59</v>
      </c>
      <c r="W690" s="723">
        <v>0.76</v>
      </c>
      <c r="X690" s="723">
        <v>0.49</v>
      </c>
      <c r="Y690" s="723">
        <v>5.38</v>
      </c>
      <c r="Z690" s="382">
        <v>6.4780600982370817E-2</v>
      </c>
      <c r="AA690" s="372">
        <v>2951.8252634999999</v>
      </c>
      <c r="AB690" s="372">
        <v>4052.7222485000002</v>
      </c>
      <c r="AC690" s="372">
        <v>5180.7586160000001</v>
      </c>
      <c r="AD690" s="372">
        <v>4561.9806700999998</v>
      </c>
      <c r="AE690" s="372">
        <v>4902</v>
      </c>
      <c r="AF690" s="372">
        <v>5291</v>
      </c>
      <c r="AG690" s="372">
        <v>5864</v>
      </c>
      <c r="AH690" s="372">
        <v>0</v>
      </c>
    </row>
    <row r="691" spans="1:34">
      <c r="A691" s="372" t="s">
        <v>5099</v>
      </c>
      <c r="B691" s="373" t="s">
        <v>5100</v>
      </c>
      <c r="C691" s="372" t="s">
        <v>16323</v>
      </c>
      <c r="D691" s="374">
        <v>1101113805293</v>
      </c>
      <c r="E691" s="372" t="s">
        <v>5101</v>
      </c>
      <c r="F691" s="375" t="s">
        <v>1796</v>
      </c>
      <c r="G691" s="375" t="s">
        <v>1797</v>
      </c>
      <c r="H691" s="375" t="s">
        <v>861</v>
      </c>
      <c r="I691" s="375" t="s">
        <v>862</v>
      </c>
      <c r="J691" s="375">
        <v>49088.425239999997</v>
      </c>
      <c r="K691" s="375">
        <v>14167.34397</v>
      </c>
      <c r="L691" s="375">
        <v>14075.26578</v>
      </c>
      <c r="M691" s="375">
        <v>74321.377609999996</v>
      </c>
      <c r="N691" s="372">
        <v>0.747</v>
      </c>
      <c r="O691" s="704">
        <v>3.8134231088078634</v>
      </c>
      <c r="P691" s="375" t="s">
        <v>622</v>
      </c>
      <c r="Q691" s="375" t="s">
        <v>622</v>
      </c>
      <c r="R691" s="696">
        <v>20171130</v>
      </c>
      <c r="S691" s="375" t="e">
        <v>#N/A</v>
      </c>
      <c r="T691" s="697">
        <v>0.20900000000000002</v>
      </c>
      <c r="U691" s="375" t="s">
        <v>5102</v>
      </c>
      <c r="V691" s="723">
        <v>21.05</v>
      </c>
      <c r="W691" s="723">
        <v>4.92</v>
      </c>
      <c r="X691" s="723">
        <v>7.28</v>
      </c>
      <c r="Y691" s="723">
        <v>26.81</v>
      </c>
      <c r="Z691" s="382">
        <v>0.10926386874630567</v>
      </c>
      <c r="AA691" s="372">
        <v>184.29751540000001</v>
      </c>
      <c r="AB691" s="372">
        <v>335.26682399999999</v>
      </c>
      <c r="AC691" s="372">
        <v>439.14433769999999</v>
      </c>
      <c r="AD691" s="372">
        <v>510.88229130000002</v>
      </c>
      <c r="AE691" s="372">
        <v>587.5</v>
      </c>
      <c r="AF691" s="372">
        <v>675.5</v>
      </c>
      <c r="AG691" s="372">
        <v>773.5</v>
      </c>
      <c r="AH691" s="372">
        <v>0</v>
      </c>
    </row>
    <row r="692" spans="1:34">
      <c r="A692" s="372" t="s">
        <v>5103</v>
      </c>
      <c r="B692" s="373" t="s">
        <v>5104</v>
      </c>
      <c r="C692" s="372" t="s">
        <v>5105</v>
      </c>
      <c r="D692" s="374">
        <v>1101111258220</v>
      </c>
      <c r="E692" s="372" t="s">
        <v>5106</v>
      </c>
      <c r="F692" s="375" t="s">
        <v>3885</v>
      </c>
      <c r="G692" s="375" t="s">
        <v>3885</v>
      </c>
      <c r="H692" s="375" t="s">
        <v>855</v>
      </c>
      <c r="I692" s="375" t="s">
        <v>754</v>
      </c>
      <c r="J692" s="375">
        <v>0</v>
      </c>
      <c r="K692" s="375">
        <v>0</v>
      </c>
      <c r="L692" s="375">
        <v>0</v>
      </c>
      <c r="M692" s="375">
        <v>0</v>
      </c>
      <c r="N692" s="372">
        <v>0.63500000000000001</v>
      </c>
      <c r="O692" s="704" t="s">
        <v>16301</v>
      </c>
      <c r="P692" s="375" t="s">
        <v>622</v>
      </c>
      <c r="Q692" s="375" t="s">
        <v>622</v>
      </c>
      <c r="R692" s="696">
        <v>20010518</v>
      </c>
      <c r="S692" s="375" t="s">
        <v>5107</v>
      </c>
      <c r="T692" s="697" t="s">
        <v>771</v>
      </c>
      <c r="U692" s="372" t="s">
        <v>5108</v>
      </c>
      <c r="V692" s="723">
        <v>0</v>
      </c>
      <c r="W692" s="723">
        <v>0</v>
      </c>
      <c r="X692" s="723">
        <v>0</v>
      </c>
      <c r="Y692" s="723">
        <v>0</v>
      </c>
      <c r="Z692" s="382" t="s">
        <v>927</v>
      </c>
      <c r="AA692" s="372">
        <v>2374.3067758000002</v>
      </c>
      <c r="AB692" s="372">
        <v>2255.0102117000001</v>
      </c>
      <c r="AC692" s="372">
        <v>2128.5823303000002</v>
      </c>
      <c r="AD692" s="372">
        <v>2700.860827</v>
      </c>
      <c r="AE692" s="372">
        <v>1940</v>
      </c>
      <c r="AF692" s="372">
        <v>1830</v>
      </c>
      <c r="AG692" s="372">
        <v>0</v>
      </c>
      <c r="AH692" s="372">
        <v>0</v>
      </c>
    </row>
    <row r="693" spans="1:34">
      <c r="A693" s="372" t="s">
        <v>5109</v>
      </c>
      <c r="B693" s="373" t="s">
        <v>5110</v>
      </c>
      <c r="C693" s="372" t="s">
        <v>5111</v>
      </c>
      <c r="D693" s="374">
        <v>1101113224849</v>
      </c>
      <c r="E693" s="372" t="s">
        <v>5112</v>
      </c>
      <c r="F693" s="375" t="s">
        <v>975</v>
      </c>
      <c r="G693" s="375" t="s">
        <v>976</v>
      </c>
      <c r="H693" s="375" t="s">
        <v>1337</v>
      </c>
      <c r="I693" s="375" t="s">
        <v>862</v>
      </c>
      <c r="J693" s="375">
        <v>3715966.5838000001</v>
      </c>
      <c r="K693" s="375">
        <v>53971.174200000001</v>
      </c>
      <c r="L693" s="375">
        <v>24581.613509999999</v>
      </c>
      <c r="M693" s="375">
        <v>310475.19282</v>
      </c>
      <c r="N693" s="372">
        <v>0.60699999999999998</v>
      </c>
      <c r="O693" s="704">
        <v>147.1895289153197</v>
      </c>
      <c r="P693" s="375" t="s">
        <v>622</v>
      </c>
      <c r="Q693" s="375" t="s">
        <v>622</v>
      </c>
      <c r="R693" s="696">
        <v>20130701</v>
      </c>
      <c r="S693" s="375" t="s">
        <v>5113</v>
      </c>
      <c r="T693" s="697">
        <v>0.23100000000000001</v>
      </c>
      <c r="U693" s="375" t="s">
        <v>5114</v>
      </c>
      <c r="V693" s="723">
        <v>7.14</v>
      </c>
      <c r="W693" s="723">
        <v>1.86</v>
      </c>
      <c r="X693" s="723">
        <v>0.04</v>
      </c>
      <c r="Y693" s="723">
        <v>22.11</v>
      </c>
      <c r="Z693" s="382" t="s">
        <v>927</v>
      </c>
      <c r="AA693" s="372">
        <v>22750.826805799999</v>
      </c>
      <c r="AB693" s="372">
        <v>32808.8449081</v>
      </c>
      <c r="AC693" s="372">
        <v>26210.543781199998</v>
      </c>
      <c r="AD693" s="372">
        <v>28151.452013599999</v>
      </c>
      <c r="AE693" s="372">
        <v>0</v>
      </c>
      <c r="AF693" s="372">
        <v>0</v>
      </c>
      <c r="AG693" s="372">
        <v>0</v>
      </c>
      <c r="AH693" s="372">
        <v>0</v>
      </c>
    </row>
    <row r="694" spans="1:34">
      <c r="A694" s="372" t="s">
        <v>5115</v>
      </c>
      <c r="B694" s="373" t="s">
        <v>5116</v>
      </c>
      <c r="C694" s="372" t="s">
        <v>5117</v>
      </c>
      <c r="D694" s="374">
        <v>1615110001613</v>
      </c>
      <c r="E694" s="372" t="s">
        <v>5118</v>
      </c>
      <c r="F694" s="372" t="s">
        <v>5119</v>
      </c>
      <c r="G694" s="375" t="s">
        <v>5119</v>
      </c>
      <c r="H694" s="375" t="s">
        <v>1386</v>
      </c>
      <c r="I694" s="375" t="s">
        <v>754</v>
      </c>
      <c r="J694" s="375">
        <v>322142.08486</v>
      </c>
      <c r="K694" s="375">
        <v>44635.821100000001</v>
      </c>
      <c r="L694" s="375">
        <v>43033.034520000001</v>
      </c>
      <c r="M694" s="375">
        <v>513066.81711</v>
      </c>
      <c r="N694" s="372">
        <v>0.90400000000000003</v>
      </c>
      <c r="O694" s="704">
        <v>11.556208854794585</v>
      </c>
      <c r="P694" s="375" t="s">
        <v>622</v>
      </c>
      <c r="Q694" s="375" t="s">
        <v>622</v>
      </c>
      <c r="R694" s="696">
        <v>20220801</v>
      </c>
      <c r="S694" s="375" t="s">
        <v>5120</v>
      </c>
      <c r="T694" s="697">
        <v>0.23100000000000001</v>
      </c>
      <c r="U694" s="372" t="s">
        <v>5121</v>
      </c>
      <c r="V694" s="723">
        <v>5.35</v>
      </c>
      <c r="W694" s="723">
        <v>0.56999999999999995</v>
      </c>
      <c r="X694" s="723">
        <v>0.91</v>
      </c>
      <c r="Y694" s="723">
        <v>7</v>
      </c>
      <c r="Z694" s="382">
        <v>4.7514841751430836E-2</v>
      </c>
      <c r="AA694" s="372">
        <v>2638.8658005000002</v>
      </c>
      <c r="AB694" s="372">
        <v>2941.1071265</v>
      </c>
      <c r="AC694" s="372">
        <v>3035.3943792999999</v>
      </c>
      <c r="AD694" s="372">
        <v>3247.4017276999998</v>
      </c>
      <c r="AE694" s="372">
        <v>3273.75</v>
      </c>
      <c r="AF694" s="372">
        <v>3588.25</v>
      </c>
      <c r="AG694" s="372">
        <v>3910</v>
      </c>
      <c r="AH694" s="372">
        <v>0</v>
      </c>
    </row>
    <row r="695" spans="1:34">
      <c r="A695" s="372" t="s">
        <v>5122</v>
      </c>
      <c r="B695" s="373" t="s">
        <v>5123</v>
      </c>
      <c r="C695" s="372" t="s">
        <v>5124</v>
      </c>
      <c r="D695" s="374">
        <v>1101110065395</v>
      </c>
      <c r="E695" s="372" t="s">
        <v>5125</v>
      </c>
      <c r="F695" s="375" t="s">
        <v>2747</v>
      </c>
      <c r="G695" s="375" t="s">
        <v>2748</v>
      </c>
      <c r="H695" s="375" t="s">
        <v>812</v>
      </c>
      <c r="I695" s="375" t="s">
        <v>754</v>
      </c>
      <c r="J695" s="375">
        <v>830676.63083000004</v>
      </c>
      <c r="K695" s="375">
        <v>18033.761050000001</v>
      </c>
      <c r="L695" s="375">
        <v>18334.947219999998</v>
      </c>
      <c r="M695" s="375">
        <v>512614.91184000002</v>
      </c>
      <c r="N695" s="372">
        <v>0.97499999999999998</v>
      </c>
      <c r="O695" s="704">
        <v>64.152179769675627</v>
      </c>
      <c r="P695" s="375" t="s">
        <v>622</v>
      </c>
      <c r="Q695" s="372" t="s">
        <v>622</v>
      </c>
      <c r="R695" s="696">
        <v>19870324</v>
      </c>
      <c r="S695" s="372" t="s">
        <v>5126</v>
      </c>
      <c r="T695" s="697">
        <v>0.20900000000000002</v>
      </c>
      <c r="U695" s="372" t="s">
        <v>5127</v>
      </c>
      <c r="V695" s="723">
        <v>7.48</v>
      </c>
      <c r="W695" s="723">
        <v>0.43</v>
      </c>
      <c r="X695" s="723">
        <v>0.27</v>
      </c>
      <c r="Y695" s="723">
        <v>10.69</v>
      </c>
      <c r="Z695" s="382" t="s">
        <v>927</v>
      </c>
      <c r="AA695" s="372">
        <v>6802.4292273999999</v>
      </c>
      <c r="AB695" s="372">
        <v>8557.0401492000001</v>
      </c>
      <c r="AC695" s="372">
        <v>12811.571552699999</v>
      </c>
      <c r="AD695" s="372">
        <v>10453.055632199999</v>
      </c>
      <c r="AE695" s="372">
        <v>0</v>
      </c>
      <c r="AF695" s="372">
        <v>0</v>
      </c>
      <c r="AG695" s="372">
        <v>0</v>
      </c>
      <c r="AH695" s="372">
        <v>0</v>
      </c>
    </row>
    <row r="696" spans="1:34">
      <c r="A696" s="372" t="s">
        <v>5128</v>
      </c>
      <c r="B696" s="373" t="s">
        <v>5129</v>
      </c>
      <c r="C696" s="372" t="s">
        <v>5130</v>
      </c>
      <c r="D696" s="374">
        <v>1101110707674</v>
      </c>
      <c r="E696" s="372" t="s">
        <v>5131</v>
      </c>
      <c r="F696" s="372" t="s">
        <v>5132</v>
      </c>
      <c r="G696" s="375" t="s">
        <v>5133</v>
      </c>
      <c r="H696" s="375" t="s">
        <v>3099</v>
      </c>
      <c r="I696" s="375" t="s">
        <v>862</v>
      </c>
      <c r="J696" s="375">
        <v>2772181.4481600001</v>
      </c>
      <c r="K696" s="375">
        <v>64014.789830000002</v>
      </c>
      <c r="L696" s="375">
        <v>50812.185599999997</v>
      </c>
      <c r="M696" s="375">
        <v>404941.09278000001</v>
      </c>
      <c r="N696" s="372">
        <v>0.76500000000000001</v>
      </c>
      <c r="O696" s="704">
        <v>54.99017540654301</v>
      </c>
      <c r="P696" s="375" t="s">
        <v>622</v>
      </c>
      <c r="Q696" s="372" t="s">
        <v>622</v>
      </c>
      <c r="R696" s="696">
        <v>20000519</v>
      </c>
      <c r="S696" s="372" t="s">
        <v>5134</v>
      </c>
      <c r="T696" s="697">
        <v>0.23100000000000001</v>
      </c>
      <c r="U696" s="375" t="s">
        <v>5135</v>
      </c>
      <c r="V696" s="723">
        <v>6.82</v>
      </c>
      <c r="W696" s="723">
        <v>0.76</v>
      </c>
      <c r="X696" s="723">
        <v>0.11</v>
      </c>
      <c r="Y696" s="723">
        <v>5.46</v>
      </c>
      <c r="Z696" s="382" t="s">
        <v>927</v>
      </c>
      <c r="AA696" s="372">
        <v>12404.5834225</v>
      </c>
      <c r="AB696" s="372">
        <v>22319.758317</v>
      </c>
      <c r="AC696" s="372">
        <v>25443.857665</v>
      </c>
      <c r="AD696" s="372">
        <v>21450.676789900001</v>
      </c>
      <c r="AE696" s="372">
        <v>0</v>
      </c>
      <c r="AF696" s="372">
        <v>0</v>
      </c>
      <c r="AG696" s="372">
        <v>0</v>
      </c>
      <c r="AH696" s="372">
        <v>0</v>
      </c>
    </row>
    <row r="697" spans="1:34">
      <c r="A697" s="372" t="s">
        <v>5136</v>
      </c>
      <c r="B697" s="373" t="s">
        <v>5137</v>
      </c>
      <c r="C697" s="372" t="s">
        <v>5138</v>
      </c>
      <c r="D697" s="374">
        <v>1101110339542</v>
      </c>
      <c r="E697" s="372" t="s">
        <v>5139</v>
      </c>
      <c r="F697" s="375" t="s">
        <v>1323</v>
      </c>
      <c r="G697" s="375" t="s">
        <v>16106</v>
      </c>
      <c r="H697" s="375" t="s">
        <v>784</v>
      </c>
      <c r="I697" s="375" t="s">
        <v>754</v>
      </c>
      <c r="J697" s="375">
        <v>251728.77770999999</v>
      </c>
      <c r="K697" s="375">
        <v>27033.16836</v>
      </c>
      <c r="L697" s="375">
        <v>31572.05359</v>
      </c>
      <c r="M697" s="375">
        <v>374156.27768</v>
      </c>
      <c r="N697" s="372">
        <v>0.59599999999999997</v>
      </c>
      <c r="O697" s="704">
        <v>0.24581597541006253</v>
      </c>
      <c r="P697" s="375" t="s">
        <v>622</v>
      </c>
      <c r="Q697" s="372" t="s">
        <v>622</v>
      </c>
      <c r="R697" s="696">
        <v>19960703</v>
      </c>
      <c r="S697" s="375" t="s">
        <v>5140</v>
      </c>
      <c r="T697" s="697">
        <v>0.23100000000000001</v>
      </c>
      <c r="U697" s="375" t="s">
        <v>5141</v>
      </c>
      <c r="V697" s="723">
        <v>7.12</v>
      </c>
      <c r="W697" s="723">
        <v>0.65</v>
      </c>
      <c r="X697" s="723">
        <v>0.99</v>
      </c>
      <c r="Y697" s="723">
        <v>9.08</v>
      </c>
      <c r="Z697" s="382">
        <v>6.4556334452051445E-2</v>
      </c>
      <c r="AA697" s="372">
        <v>1717.0540497</v>
      </c>
      <c r="AB697" s="372">
        <v>1777.7570060999999</v>
      </c>
      <c r="AC697" s="372">
        <v>1989.3473438999999</v>
      </c>
      <c r="AD697" s="372">
        <v>2303.9357897999998</v>
      </c>
      <c r="AE697" s="372">
        <v>2582.5</v>
      </c>
      <c r="AF697" s="372">
        <v>2757</v>
      </c>
      <c r="AG697" s="372">
        <v>2959</v>
      </c>
      <c r="AH697" s="372">
        <v>0</v>
      </c>
    </row>
    <row r="698" spans="1:34">
      <c r="A698" s="372" t="s">
        <v>5142</v>
      </c>
      <c r="B698" s="373" t="s">
        <v>5143</v>
      </c>
      <c r="C698" s="372" t="s">
        <v>5144</v>
      </c>
      <c r="D698" s="374">
        <v>1101116865103</v>
      </c>
      <c r="E698" s="372" t="s">
        <v>5145</v>
      </c>
      <c r="F698" s="375" t="s">
        <v>1750</v>
      </c>
      <c r="G698" s="375" t="s">
        <v>1750</v>
      </c>
      <c r="H698" s="375" t="s">
        <v>861</v>
      </c>
      <c r="I698" s="375" t="s">
        <v>862</v>
      </c>
      <c r="J698" s="375">
        <v>5966.6994299999997</v>
      </c>
      <c r="K698" s="375">
        <v>-12199.120639999999</v>
      </c>
      <c r="L698" s="375">
        <v>-12305.121789999999</v>
      </c>
      <c r="M698" s="375">
        <v>45657.183270000001</v>
      </c>
      <c r="N698" s="372" t="s">
        <v>1026</v>
      </c>
      <c r="O698" s="704">
        <v>2.016281852341578</v>
      </c>
      <c r="P698" s="375" t="s">
        <v>622</v>
      </c>
      <c r="Q698" s="375" t="s">
        <v>622</v>
      </c>
      <c r="R698" s="696">
        <v>20230810</v>
      </c>
      <c r="S698" s="375" t="s">
        <v>5146</v>
      </c>
      <c r="T698" s="697" t="s">
        <v>771</v>
      </c>
      <c r="U698" s="375" t="s">
        <v>5147</v>
      </c>
      <c r="V698" s="723" t="s">
        <v>773</v>
      </c>
      <c r="W698" s="723">
        <v>6.52</v>
      </c>
      <c r="X698" s="723">
        <v>49.76</v>
      </c>
      <c r="Y698" s="723" t="s">
        <v>773</v>
      </c>
      <c r="Z698" s="382" t="s">
        <v>927</v>
      </c>
      <c r="AA698" s="372">
        <v>43.842405499999998</v>
      </c>
      <c r="AB698" s="372">
        <v>55.227990800000001</v>
      </c>
      <c r="AC698" s="372">
        <v>72.369778199999999</v>
      </c>
      <c r="AD698" s="372">
        <v>67.879109299999996</v>
      </c>
      <c r="AE698" s="372">
        <v>0</v>
      </c>
      <c r="AF698" s="372">
        <v>0</v>
      </c>
      <c r="AG698" s="372">
        <v>0</v>
      </c>
      <c r="AH698" s="372">
        <v>0</v>
      </c>
    </row>
    <row r="699" spans="1:34">
      <c r="A699" s="372" t="s">
        <v>5148</v>
      </c>
      <c r="B699" s="373" t="s">
        <v>5149</v>
      </c>
      <c r="C699" s="372" t="s">
        <v>5150</v>
      </c>
      <c r="D699" s="374">
        <v>1101115192036</v>
      </c>
      <c r="E699" s="372" t="s">
        <v>5151</v>
      </c>
      <c r="F699" s="375" t="s">
        <v>1075</v>
      </c>
      <c r="G699" s="375" t="s">
        <v>1530</v>
      </c>
      <c r="H699" s="375" t="s">
        <v>1531</v>
      </c>
      <c r="I699" s="375" t="s">
        <v>862</v>
      </c>
      <c r="J699" s="375">
        <v>197306.80460999999</v>
      </c>
      <c r="K699" s="375">
        <v>21313.570019999999</v>
      </c>
      <c r="L699" s="375">
        <v>24920.835060000001</v>
      </c>
      <c r="M699" s="375">
        <v>139890.62749000001</v>
      </c>
      <c r="N699" s="372">
        <v>0.59499999999999997</v>
      </c>
      <c r="O699" s="704">
        <v>17.962762449556667</v>
      </c>
      <c r="P699" s="375" t="s">
        <v>622</v>
      </c>
      <c r="Q699" s="375" t="s">
        <v>622</v>
      </c>
      <c r="R699" s="696">
        <v>20131121</v>
      </c>
      <c r="S699" s="372" t="s">
        <v>5152</v>
      </c>
      <c r="T699" s="697">
        <v>0.23100000000000001</v>
      </c>
      <c r="U699" s="372" t="s">
        <v>5153</v>
      </c>
      <c r="V699" s="723">
        <v>8.27</v>
      </c>
      <c r="W699" s="723">
        <v>1.37</v>
      </c>
      <c r="X699" s="723">
        <v>0.98</v>
      </c>
      <c r="Y699" s="723">
        <v>11.58</v>
      </c>
      <c r="Z699" s="382" t="s">
        <v>927</v>
      </c>
      <c r="AA699" s="372">
        <v>374.95538379999999</v>
      </c>
      <c r="AB699" s="372">
        <v>719.43559240000002</v>
      </c>
      <c r="AC699" s="372">
        <v>1206.3792834999999</v>
      </c>
      <c r="AD699" s="372">
        <v>1422.7217263</v>
      </c>
      <c r="AE699" s="372">
        <v>1600</v>
      </c>
      <c r="AF699" s="372">
        <v>2349</v>
      </c>
      <c r="AG699" s="372">
        <v>0</v>
      </c>
      <c r="AH699" s="372">
        <v>0</v>
      </c>
    </row>
    <row r="700" spans="1:34">
      <c r="A700" s="372" t="s">
        <v>5154</v>
      </c>
      <c r="B700" s="373" t="s">
        <v>5155</v>
      </c>
      <c r="C700" s="372" t="s">
        <v>5156</v>
      </c>
      <c r="D700" s="374">
        <v>1348110045535</v>
      </c>
      <c r="E700" s="372" t="s">
        <v>5157</v>
      </c>
      <c r="F700" s="375" t="s">
        <v>1962</v>
      </c>
      <c r="G700" s="375" t="s">
        <v>1962</v>
      </c>
      <c r="H700" s="375" t="s">
        <v>861</v>
      </c>
      <c r="I700" s="375" t="s">
        <v>862</v>
      </c>
      <c r="J700" s="375">
        <v>350541.01923999999</v>
      </c>
      <c r="K700" s="375">
        <v>-31291.571540000001</v>
      </c>
      <c r="L700" s="375">
        <v>-42748.083749999998</v>
      </c>
      <c r="M700" s="375">
        <v>79250.831200000001</v>
      </c>
      <c r="N700" s="372">
        <v>0.99</v>
      </c>
      <c r="O700" s="704">
        <v>145.14938190899255</v>
      </c>
      <c r="P700" s="375" t="s">
        <v>622</v>
      </c>
      <c r="Q700" s="375" t="s">
        <v>622</v>
      </c>
      <c r="R700" s="696">
        <v>20151207</v>
      </c>
      <c r="S700" s="375" t="s">
        <v>5158</v>
      </c>
      <c r="T700" s="697" t="s">
        <v>771</v>
      </c>
      <c r="U700" s="372" t="s">
        <v>5159</v>
      </c>
      <c r="V700" s="723" t="s">
        <v>773</v>
      </c>
      <c r="W700" s="723">
        <v>1.45</v>
      </c>
      <c r="X700" s="723">
        <v>0.44</v>
      </c>
      <c r="Y700" s="723" t="s">
        <v>773</v>
      </c>
      <c r="Z700" s="382" t="s">
        <v>927</v>
      </c>
      <c r="AA700" s="372">
        <v>666.26102730000002</v>
      </c>
      <c r="AB700" s="372">
        <v>1764.1832859000001</v>
      </c>
      <c r="AC700" s="372">
        <v>2888.4365501000002</v>
      </c>
      <c r="AD700" s="372">
        <v>3068.4017090000002</v>
      </c>
      <c r="AE700" s="372">
        <v>0</v>
      </c>
      <c r="AF700" s="372">
        <v>0</v>
      </c>
      <c r="AG700" s="372">
        <v>0</v>
      </c>
      <c r="AH700" s="372">
        <v>0</v>
      </c>
    </row>
    <row r="701" spans="1:34">
      <c r="A701" s="372" t="s">
        <v>5160</v>
      </c>
      <c r="B701" s="373" t="s">
        <v>5161</v>
      </c>
      <c r="C701" s="372" t="s">
        <v>5162</v>
      </c>
      <c r="D701" s="374">
        <v>1101110019962</v>
      </c>
      <c r="E701" s="372" t="s">
        <v>5163</v>
      </c>
      <c r="F701" s="372" t="s">
        <v>1262</v>
      </c>
      <c r="G701" s="375" t="s">
        <v>1263</v>
      </c>
      <c r="H701" s="375" t="s">
        <v>1264</v>
      </c>
      <c r="I701" s="375" t="s">
        <v>754</v>
      </c>
      <c r="J701" s="375">
        <v>0</v>
      </c>
      <c r="K701" s="375">
        <v>0</v>
      </c>
      <c r="L701" s="375">
        <v>0</v>
      </c>
      <c r="M701" s="375">
        <v>0</v>
      </c>
      <c r="N701" s="372">
        <v>0.73499999999999999</v>
      </c>
      <c r="O701" s="704" t="s">
        <v>16301</v>
      </c>
      <c r="P701" s="375" t="s">
        <v>622</v>
      </c>
      <c r="Q701" s="375" t="s">
        <v>622</v>
      </c>
      <c r="R701" s="696">
        <v>19900609</v>
      </c>
      <c r="S701" s="372" t="s">
        <v>5164</v>
      </c>
      <c r="T701" s="697" t="s">
        <v>771</v>
      </c>
      <c r="U701" s="375" t="s">
        <v>5165</v>
      </c>
      <c r="V701" s="723">
        <v>0</v>
      </c>
      <c r="W701" s="723">
        <v>0</v>
      </c>
      <c r="X701" s="723">
        <v>0</v>
      </c>
      <c r="Y701" s="723">
        <v>0</v>
      </c>
      <c r="Z701" s="382" t="s">
        <v>927</v>
      </c>
      <c r="AA701" s="372">
        <v>2764.77</v>
      </c>
      <c r="AB701" s="372">
        <v>3258.22</v>
      </c>
      <c r="AC701" s="372">
        <v>3256.23</v>
      </c>
      <c r="AD701" s="372">
        <v>2516.08</v>
      </c>
      <c r="AE701" s="372">
        <v>0</v>
      </c>
      <c r="AF701" s="372">
        <v>0</v>
      </c>
      <c r="AG701" s="372">
        <v>0</v>
      </c>
      <c r="AH701" s="372">
        <v>0</v>
      </c>
    </row>
    <row r="702" spans="1:34">
      <c r="A702" s="372" t="s">
        <v>5166</v>
      </c>
      <c r="B702" s="373" t="s">
        <v>5167</v>
      </c>
      <c r="C702" s="372" t="s">
        <v>5168</v>
      </c>
      <c r="D702" s="374">
        <v>1101115340065</v>
      </c>
      <c r="E702" s="372" t="s">
        <v>5169</v>
      </c>
      <c r="F702" s="375" t="s">
        <v>1370</v>
      </c>
      <c r="G702" s="375" t="s">
        <v>1370</v>
      </c>
      <c r="H702" s="375" t="s">
        <v>861</v>
      </c>
      <c r="I702" s="375" t="s">
        <v>862</v>
      </c>
      <c r="J702" s="375">
        <v>1632.6899699999999</v>
      </c>
      <c r="K702" s="375">
        <v>-11471.863439999999</v>
      </c>
      <c r="L702" s="375">
        <v>-12327.960080000001</v>
      </c>
      <c r="M702" s="375">
        <v>2938.3362999999999</v>
      </c>
      <c r="N702" s="372">
        <v>1.0269999999999999</v>
      </c>
      <c r="O702" s="704">
        <v>12.222536486157907</v>
      </c>
      <c r="P702" s="375" t="s">
        <v>622</v>
      </c>
      <c r="Q702" s="372" t="s">
        <v>622</v>
      </c>
      <c r="R702" s="696">
        <v>20191211</v>
      </c>
      <c r="S702" s="372" t="s">
        <v>5170</v>
      </c>
      <c r="T702" s="697" t="s">
        <v>771</v>
      </c>
      <c r="U702" s="372" t="s">
        <v>5171</v>
      </c>
      <c r="V702" s="723" t="s">
        <v>773</v>
      </c>
      <c r="W702" s="723">
        <v>84.27</v>
      </c>
      <c r="X702" s="723">
        <v>151.69</v>
      </c>
      <c r="Y702" s="723" t="s">
        <v>773</v>
      </c>
      <c r="Z702" s="382">
        <v>0.77127505221549764</v>
      </c>
      <c r="AA702" s="372">
        <v>44.899914899999999</v>
      </c>
      <c r="AB702" s="372">
        <v>37.860504300000002</v>
      </c>
      <c r="AC702" s="372">
        <v>34.1533072</v>
      </c>
      <c r="AD702" s="372">
        <v>24.889837499999999</v>
      </c>
      <c r="AE702" s="372">
        <v>24</v>
      </c>
      <c r="AF702" s="372">
        <v>135</v>
      </c>
      <c r="AG702" s="372">
        <v>245</v>
      </c>
      <c r="AH702" s="372">
        <v>0</v>
      </c>
    </row>
    <row r="703" spans="1:34">
      <c r="A703" s="372" t="s">
        <v>5172</v>
      </c>
      <c r="B703" s="373" t="s">
        <v>5173</v>
      </c>
      <c r="C703" s="372" t="s">
        <v>5174</v>
      </c>
      <c r="D703" s="374">
        <v>1101110161317</v>
      </c>
      <c r="E703" s="372" t="s">
        <v>5175</v>
      </c>
      <c r="F703" s="375" t="s">
        <v>2007</v>
      </c>
      <c r="G703" s="375" t="s">
        <v>2007</v>
      </c>
      <c r="H703" s="375" t="s">
        <v>792</v>
      </c>
      <c r="I703" s="375" t="s">
        <v>754</v>
      </c>
      <c r="J703" s="375">
        <v>277027.96243000001</v>
      </c>
      <c r="K703" s="375">
        <v>20014.83639</v>
      </c>
      <c r="L703" s="375">
        <v>36553.064619999997</v>
      </c>
      <c r="M703" s="375">
        <v>459046.92093000002</v>
      </c>
      <c r="N703" s="372">
        <v>0.6</v>
      </c>
      <c r="O703" s="704">
        <v>0.51336961177810658</v>
      </c>
      <c r="P703" s="375" t="s">
        <v>622</v>
      </c>
      <c r="Q703" s="375" t="s">
        <v>622</v>
      </c>
      <c r="R703" s="696">
        <v>19940114</v>
      </c>
      <c r="S703" s="375" t="s">
        <v>5176</v>
      </c>
      <c r="T703" s="697">
        <v>0.23100000000000001</v>
      </c>
      <c r="U703" s="372" t="s">
        <v>5177</v>
      </c>
      <c r="V703" s="723">
        <v>11.3</v>
      </c>
      <c r="W703" s="723">
        <v>0.6</v>
      </c>
      <c r="X703" s="723">
        <v>1.04</v>
      </c>
      <c r="Y703" s="723">
        <v>9.65</v>
      </c>
      <c r="Z703" s="382" t="s">
        <v>927</v>
      </c>
      <c r="AA703" s="372">
        <v>1785.5766731000001</v>
      </c>
      <c r="AB703" s="372">
        <v>1960.8391558000001</v>
      </c>
      <c r="AC703" s="372">
        <v>2238.6021277</v>
      </c>
      <c r="AD703" s="372">
        <v>2442.5877756</v>
      </c>
      <c r="AE703" s="372">
        <v>0</v>
      </c>
      <c r="AF703" s="372">
        <v>0</v>
      </c>
      <c r="AG703" s="372">
        <v>0</v>
      </c>
      <c r="AH703" s="372">
        <v>0</v>
      </c>
    </row>
    <row r="704" spans="1:34">
      <c r="A704" s="372" t="s">
        <v>5178</v>
      </c>
      <c r="B704" s="373" t="s">
        <v>5179</v>
      </c>
      <c r="C704" s="372" t="s">
        <v>5180</v>
      </c>
      <c r="D704" s="374">
        <v>1101112149436</v>
      </c>
      <c r="E704" s="372" t="s">
        <v>5181</v>
      </c>
      <c r="F704" s="372" t="s">
        <v>4736</v>
      </c>
      <c r="G704" s="375" t="s">
        <v>5182</v>
      </c>
      <c r="H704" s="375" t="s">
        <v>817</v>
      </c>
      <c r="I704" s="375" t="s">
        <v>754</v>
      </c>
      <c r="J704" s="375">
        <v>1027510.56679</v>
      </c>
      <c r="K704" s="375">
        <v>-16472.969949999999</v>
      </c>
      <c r="L704" s="375">
        <v>-138303.42389999999</v>
      </c>
      <c r="M704" s="375">
        <v>731370.61676999996</v>
      </c>
      <c r="N704" s="372">
        <v>0.53700000000000003</v>
      </c>
      <c r="O704" s="704">
        <v>83.285539619479465</v>
      </c>
      <c r="P704" s="375" t="s">
        <v>622</v>
      </c>
      <c r="Q704" s="372" t="s">
        <v>622</v>
      </c>
      <c r="R704" s="696">
        <v>20110603</v>
      </c>
      <c r="S704" s="372" t="s">
        <v>5183</v>
      </c>
      <c r="T704" s="697" t="s">
        <v>771</v>
      </c>
      <c r="U704" s="375" t="s">
        <v>5184</v>
      </c>
      <c r="V704" s="723">
        <v>1.54</v>
      </c>
      <c r="W704" s="723">
        <v>0.34</v>
      </c>
      <c r="X704" s="723">
        <v>0.23</v>
      </c>
      <c r="Y704" s="723" t="s">
        <v>773</v>
      </c>
      <c r="Z704" s="382">
        <v>1.1360360273814818E-2</v>
      </c>
      <c r="AA704" s="372">
        <v>6987.1535514999996</v>
      </c>
      <c r="AB704" s="372">
        <v>7632.2259936</v>
      </c>
      <c r="AC704" s="372">
        <v>10136.7725237</v>
      </c>
      <c r="AD704" s="372">
        <v>10255.952746499999</v>
      </c>
      <c r="AE704" s="372">
        <v>10297</v>
      </c>
      <c r="AF704" s="372">
        <v>10495.38</v>
      </c>
      <c r="AG704" s="372">
        <v>10730</v>
      </c>
      <c r="AH704" s="372">
        <v>0</v>
      </c>
    </row>
    <row r="705" spans="1:34">
      <c r="A705" s="372" t="s">
        <v>5185</v>
      </c>
      <c r="B705" s="373" t="s">
        <v>5186</v>
      </c>
      <c r="C705" s="372" t="s">
        <v>5187</v>
      </c>
      <c r="D705" s="374">
        <v>1101115554418</v>
      </c>
      <c r="E705" s="372" t="s">
        <v>5188</v>
      </c>
      <c r="F705" s="375" t="s">
        <v>2842</v>
      </c>
      <c r="G705" s="375" t="s">
        <v>4678</v>
      </c>
      <c r="H705" s="375" t="s">
        <v>826</v>
      </c>
      <c r="I705" s="375" t="s">
        <v>754</v>
      </c>
      <c r="J705" s="375">
        <v>440322.08980000002</v>
      </c>
      <c r="K705" s="375">
        <v>35343.605629999998</v>
      </c>
      <c r="L705" s="375">
        <v>32393.739140000001</v>
      </c>
      <c r="M705" s="375">
        <v>387386.26530000003</v>
      </c>
      <c r="N705" s="372">
        <v>0.316</v>
      </c>
      <c r="O705" s="704">
        <v>81.377189836647119</v>
      </c>
      <c r="P705" s="375" t="s">
        <v>622</v>
      </c>
      <c r="Q705" s="375" t="s">
        <v>622</v>
      </c>
      <c r="R705" s="696">
        <v>20171129</v>
      </c>
      <c r="S705" s="375" t="s">
        <v>5189</v>
      </c>
      <c r="T705" s="697">
        <v>0.23100000000000001</v>
      </c>
      <c r="U705" s="375" t="s">
        <v>5190</v>
      </c>
      <c r="V705" s="723">
        <v>6.8</v>
      </c>
      <c r="W705" s="723">
        <v>0.69</v>
      </c>
      <c r="X705" s="723">
        <v>0.62</v>
      </c>
      <c r="Y705" s="723">
        <v>10.130000000000001</v>
      </c>
      <c r="Z705" s="382">
        <v>5.3546037743741115E-2</v>
      </c>
      <c r="AA705" s="372">
        <v>3675.6927132999999</v>
      </c>
      <c r="AB705" s="372">
        <v>3919.4619634999999</v>
      </c>
      <c r="AC705" s="372">
        <v>4073.5272617999999</v>
      </c>
      <c r="AD705" s="372">
        <v>4216.6881110000004</v>
      </c>
      <c r="AE705" s="372">
        <v>4626.5</v>
      </c>
      <c r="AF705" s="372">
        <v>4855</v>
      </c>
      <c r="AG705" s="372">
        <v>5195</v>
      </c>
      <c r="AH705" s="372">
        <v>0</v>
      </c>
    </row>
    <row r="706" spans="1:34">
      <c r="A706" s="372" t="s">
        <v>5191</v>
      </c>
      <c r="B706" s="373" t="s">
        <v>5192</v>
      </c>
      <c r="C706" s="372" t="s">
        <v>5193</v>
      </c>
      <c r="D706" s="374">
        <v>1101110376148</v>
      </c>
      <c r="E706" s="372" t="s">
        <v>5194</v>
      </c>
      <c r="F706" s="375" t="s">
        <v>2705</v>
      </c>
      <c r="G706" s="375" t="s">
        <v>5195</v>
      </c>
      <c r="H706" s="375" t="s">
        <v>861</v>
      </c>
      <c r="I706" s="375" t="s">
        <v>862</v>
      </c>
      <c r="J706" s="375">
        <v>1427163.9496299999</v>
      </c>
      <c r="K706" s="375">
        <v>55937.342550000001</v>
      </c>
      <c r="L706" s="375">
        <v>50491.936809999999</v>
      </c>
      <c r="M706" s="375">
        <v>1257486.6982100001</v>
      </c>
      <c r="N706" s="372">
        <v>0.73899999999999999</v>
      </c>
      <c r="O706" s="704">
        <v>426.722374671936</v>
      </c>
      <c r="P706" s="375" t="s">
        <v>622</v>
      </c>
      <c r="Q706" s="375" t="s">
        <v>622</v>
      </c>
      <c r="R706" s="696">
        <v>19940930</v>
      </c>
      <c r="S706" s="375" t="s">
        <v>5196</v>
      </c>
      <c r="T706" s="697">
        <v>0.23100000000000001</v>
      </c>
      <c r="U706" s="372" t="s">
        <v>5197</v>
      </c>
      <c r="V706" s="723">
        <v>15.44</v>
      </c>
      <c r="W706" s="723">
        <v>0.25</v>
      </c>
      <c r="X706" s="723">
        <v>0.19</v>
      </c>
      <c r="Y706" s="723">
        <v>7.19</v>
      </c>
      <c r="Z706" s="382" t="s">
        <v>927</v>
      </c>
      <c r="AA706" s="372">
        <v>11363.1725957</v>
      </c>
      <c r="AB706" s="372">
        <v>13453.2820605</v>
      </c>
      <c r="AC706" s="372">
        <v>14077.174590500001</v>
      </c>
      <c r="AD706" s="372">
        <v>14734.260552399999</v>
      </c>
      <c r="AE706" s="372">
        <v>0</v>
      </c>
      <c r="AF706" s="372">
        <v>0</v>
      </c>
      <c r="AG706" s="372">
        <v>0</v>
      </c>
      <c r="AH706" s="372">
        <v>0</v>
      </c>
    </row>
    <row r="707" spans="1:34">
      <c r="A707" s="372" t="s">
        <v>5198</v>
      </c>
      <c r="B707" s="373" t="s">
        <v>5199</v>
      </c>
      <c r="C707" s="372" t="s">
        <v>5200</v>
      </c>
      <c r="D707" s="374">
        <v>1942110066763</v>
      </c>
      <c r="E707" s="372" t="s">
        <v>5201</v>
      </c>
      <c r="F707" s="375" t="s">
        <v>1041</v>
      </c>
      <c r="G707" s="375" t="s">
        <v>3167</v>
      </c>
      <c r="H707" s="375" t="s">
        <v>1043</v>
      </c>
      <c r="I707" s="375" t="s">
        <v>754</v>
      </c>
      <c r="J707" s="375">
        <v>718259.77468999999</v>
      </c>
      <c r="K707" s="375">
        <v>46889.352740000002</v>
      </c>
      <c r="L707" s="375">
        <v>29294.816299999999</v>
      </c>
      <c r="M707" s="375">
        <v>273575.15898000001</v>
      </c>
      <c r="N707" s="372">
        <v>0.997</v>
      </c>
      <c r="O707" s="704">
        <v>75.580384810993294</v>
      </c>
      <c r="P707" s="375" t="s">
        <v>622</v>
      </c>
      <c r="Q707" s="372" t="s">
        <v>622</v>
      </c>
      <c r="R707" s="696">
        <v>20040510</v>
      </c>
      <c r="S707" s="372" t="s">
        <v>5202</v>
      </c>
      <c r="T707" s="697">
        <v>0.23100000000000001</v>
      </c>
      <c r="U707" s="372" t="s">
        <v>5203</v>
      </c>
      <c r="V707" s="723">
        <v>11.07</v>
      </c>
      <c r="W707" s="723">
        <v>1.83</v>
      </c>
      <c r="X707" s="723">
        <v>0.7</v>
      </c>
      <c r="Y707" s="723">
        <v>18.18</v>
      </c>
      <c r="Z707" s="382">
        <v>7.8415486516167698E-2</v>
      </c>
      <c r="AA707" s="372">
        <v>5866.9526785999997</v>
      </c>
      <c r="AB707" s="372">
        <v>4934.5530150000004</v>
      </c>
      <c r="AC707" s="372">
        <v>5440.2169397999996</v>
      </c>
      <c r="AD707" s="372">
        <v>6303.7773398999998</v>
      </c>
      <c r="AE707" s="372">
        <v>7055</v>
      </c>
      <c r="AF707" s="372">
        <v>7894</v>
      </c>
      <c r="AG707" s="372">
        <v>8526</v>
      </c>
      <c r="AH707" s="372">
        <v>0</v>
      </c>
    </row>
    <row r="708" spans="1:34">
      <c r="A708" s="372" t="s">
        <v>5204</v>
      </c>
      <c r="B708" s="373" t="s">
        <v>5205</v>
      </c>
      <c r="C708" s="372" t="s">
        <v>5206</v>
      </c>
      <c r="D708" s="374">
        <v>1311110396927</v>
      </c>
      <c r="E708" s="372" t="s">
        <v>5207</v>
      </c>
      <c r="F708" s="375" t="s">
        <v>1710</v>
      </c>
      <c r="G708" s="375" t="s">
        <v>1711</v>
      </c>
      <c r="H708" s="375" t="s">
        <v>861</v>
      </c>
      <c r="I708" s="375" t="s">
        <v>862</v>
      </c>
      <c r="J708" s="375">
        <v>0</v>
      </c>
      <c r="K708" s="375">
        <v>0</v>
      </c>
      <c r="L708" s="375">
        <v>0</v>
      </c>
      <c r="M708" s="375">
        <v>65749.293220000007</v>
      </c>
      <c r="N708" s="372">
        <v>1.0820000000000001</v>
      </c>
      <c r="O708" s="704">
        <v>19.227826732498677</v>
      </c>
      <c r="P708" s="375" t="s">
        <v>622</v>
      </c>
      <c r="Q708" s="375" t="s">
        <v>622</v>
      </c>
      <c r="R708" s="696">
        <v>20170724</v>
      </c>
      <c r="S708" s="375" t="s">
        <v>5208</v>
      </c>
      <c r="T708" s="697" t="s">
        <v>771</v>
      </c>
      <c r="U708" s="375" t="s">
        <v>5209</v>
      </c>
      <c r="V708" s="723">
        <v>0</v>
      </c>
      <c r="W708" s="723">
        <v>3.36</v>
      </c>
      <c r="X708" s="723">
        <v>0</v>
      </c>
      <c r="Y708" s="723">
        <v>0</v>
      </c>
      <c r="Z708" s="382" t="s">
        <v>927</v>
      </c>
      <c r="AA708" s="372">
        <v>491.65299809999999</v>
      </c>
      <c r="AB708" s="372">
        <v>511.10135009999999</v>
      </c>
      <c r="AC708" s="372">
        <v>530.06504470000004</v>
      </c>
      <c r="AD708" s="372">
        <v>316.97412700000001</v>
      </c>
      <c r="AE708" s="372">
        <v>0</v>
      </c>
      <c r="AF708" s="372">
        <v>0</v>
      </c>
      <c r="AG708" s="372">
        <v>0</v>
      </c>
      <c r="AH708" s="372">
        <v>0</v>
      </c>
    </row>
    <row r="709" spans="1:34">
      <c r="A709" s="372" t="s">
        <v>5210</v>
      </c>
      <c r="B709" s="373" t="s">
        <v>5211</v>
      </c>
      <c r="C709" s="372" t="s">
        <v>5212</v>
      </c>
      <c r="D709" s="374">
        <v>1101111342289</v>
      </c>
      <c r="E709" s="372" t="s">
        <v>5212</v>
      </c>
      <c r="F709" s="375" t="s">
        <v>2518</v>
      </c>
      <c r="G709" s="375" t="s">
        <v>2518</v>
      </c>
      <c r="H709" s="375" t="s">
        <v>817</v>
      </c>
      <c r="I709" s="375" t="s">
        <v>754</v>
      </c>
      <c r="J709" s="375">
        <v>180484.02338</v>
      </c>
      <c r="K709" s="375">
        <v>-1479.19192</v>
      </c>
      <c r="L709" s="375">
        <v>-960.35828000000004</v>
      </c>
      <c r="M709" s="375">
        <v>167769.05132999999</v>
      </c>
      <c r="N709" s="372">
        <v>0.63100000000000001</v>
      </c>
      <c r="O709" s="704">
        <v>3.7662380501896888</v>
      </c>
      <c r="P709" s="375" t="s">
        <v>622</v>
      </c>
      <c r="Q709" s="372" t="s">
        <v>622</v>
      </c>
      <c r="R709" s="696">
        <v>20030801</v>
      </c>
      <c r="S709" s="372" t="s">
        <v>5213</v>
      </c>
      <c r="T709" s="697" t="s">
        <v>771</v>
      </c>
      <c r="U709" s="372" t="s">
        <v>5214</v>
      </c>
      <c r="V709" s="723">
        <v>78.89</v>
      </c>
      <c r="W709" s="723">
        <v>1.07</v>
      </c>
      <c r="X709" s="723">
        <v>0.97</v>
      </c>
      <c r="Y709" s="723" t="s">
        <v>773</v>
      </c>
      <c r="Z709" s="382">
        <v>0.1090203826144811</v>
      </c>
      <c r="AA709" s="372">
        <v>1071.3976439999999</v>
      </c>
      <c r="AB709" s="372">
        <v>1203.0793547000001</v>
      </c>
      <c r="AC709" s="372">
        <v>1402.2111557999999</v>
      </c>
      <c r="AD709" s="372">
        <v>2236.3711724</v>
      </c>
      <c r="AE709" s="372">
        <v>1905</v>
      </c>
      <c r="AF709" s="372">
        <v>2654</v>
      </c>
      <c r="AG709" s="372">
        <v>3383</v>
      </c>
      <c r="AH709" s="372">
        <v>3560</v>
      </c>
    </row>
    <row r="710" spans="1:34">
      <c r="A710" s="372" t="s">
        <v>5215</v>
      </c>
      <c r="B710" s="373" t="s">
        <v>5216</v>
      </c>
      <c r="C710" s="372" t="s">
        <v>5217</v>
      </c>
      <c r="D710" s="374">
        <v>1243110033235</v>
      </c>
      <c r="E710" s="372" t="s">
        <v>5218</v>
      </c>
      <c r="F710" s="375" t="s">
        <v>1303</v>
      </c>
      <c r="G710" s="375" t="s">
        <v>1303</v>
      </c>
      <c r="H710" s="375" t="s">
        <v>861</v>
      </c>
      <c r="I710" s="375" t="s">
        <v>862</v>
      </c>
      <c r="J710" s="375">
        <v>625490.10028000001</v>
      </c>
      <c r="K710" s="375">
        <v>29768.32978</v>
      </c>
      <c r="L710" s="375">
        <v>-40703.125590000003</v>
      </c>
      <c r="M710" s="375">
        <v>1259480.4825500001</v>
      </c>
      <c r="N710" s="372">
        <v>1.2929999999999999</v>
      </c>
      <c r="O710" s="704">
        <v>290.37294655662669</v>
      </c>
      <c r="P710" s="375" t="s">
        <v>622</v>
      </c>
      <c r="Q710" s="372" t="s">
        <v>622</v>
      </c>
      <c r="R710" s="696">
        <v>19960924</v>
      </c>
      <c r="S710" s="375" t="s">
        <v>5219</v>
      </c>
      <c r="T710" s="697" t="s">
        <v>771</v>
      </c>
      <c r="U710" s="375" t="s">
        <v>5220</v>
      </c>
      <c r="V710" s="723">
        <v>10.02</v>
      </c>
      <c r="W710" s="723">
        <v>0.2</v>
      </c>
      <c r="X710" s="723">
        <v>0.31</v>
      </c>
      <c r="Y710" s="723" t="s">
        <v>773</v>
      </c>
      <c r="Z710" s="382" t="s">
        <v>927</v>
      </c>
      <c r="AA710" s="372">
        <v>6459.6462617999996</v>
      </c>
      <c r="AB710" s="372">
        <v>6679.4559513000004</v>
      </c>
      <c r="AC710" s="372">
        <v>8810.1168923000005</v>
      </c>
      <c r="AD710" s="372">
        <v>7495.2705013000004</v>
      </c>
      <c r="AE710" s="372">
        <v>0</v>
      </c>
      <c r="AF710" s="372">
        <v>0</v>
      </c>
      <c r="AG710" s="372">
        <v>0</v>
      </c>
      <c r="AH710" s="372">
        <v>0</v>
      </c>
    </row>
    <row r="711" spans="1:34">
      <c r="A711" s="372" t="s">
        <v>5221</v>
      </c>
      <c r="B711" s="373" t="s">
        <v>5222</v>
      </c>
      <c r="C711" s="372" t="s">
        <v>5223</v>
      </c>
      <c r="D711" s="374">
        <v>1101110700555</v>
      </c>
      <c r="E711" s="372" t="s">
        <v>5224</v>
      </c>
      <c r="F711" s="375" t="s">
        <v>1962</v>
      </c>
      <c r="G711" s="375" t="s">
        <v>1962</v>
      </c>
      <c r="H711" s="375" t="s">
        <v>861</v>
      </c>
      <c r="I711" s="375" t="s">
        <v>862</v>
      </c>
      <c r="J711" s="375">
        <v>94529.332980000007</v>
      </c>
      <c r="K711" s="375">
        <v>8144.3035</v>
      </c>
      <c r="L711" s="375">
        <v>8130.6161499999998</v>
      </c>
      <c r="M711" s="375">
        <v>74024.895420000001</v>
      </c>
      <c r="N711" s="372">
        <v>0.98299999999999998</v>
      </c>
      <c r="O711" s="704">
        <v>18.437919528080336</v>
      </c>
      <c r="P711" s="375" t="s">
        <v>622</v>
      </c>
      <c r="Q711" s="372" t="s">
        <v>622</v>
      </c>
      <c r="R711" s="696">
        <v>20170920</v>
      </c>
      <c r="S711" s="372" t="s">
        <v>5225</v>
      </c>
      <c r="T711" s="697">
        <v>0.20900000000000002</v>
      </c>
      <c r="U711" s="372" t="s">
        <v>5226</v>
      </c>
      <c r="V711" s="723">
        <v>38.75</v>
      </c>
      <c r="W711" s="723">
        <v>6.26</v>
      </c>
      <c r="X711" s="723">
        <v>5.21</v>
      </c>
      <c r="Y711" s="723">
        <v>65.89</v>
      </c>
      <c r="Z711" s="382">
        <v>0.64575966804716312</v>
      </c>
      <c r="AA711" s="372">
        <v>656.40857989999995</v>
      </c>
      <c r="AB711" s="372">
        <v>462.29294490000001</v>
      </c>
      <c r="AC711" s="372">
        <v>740.52657060000001</v>
      </c>
      <c r="AD711" s="372">
        <v>624.12802420000003</v>
      </c>
      <c r="AE711" s="372">
        <v>1311.5</v>
      </c>
      <c r="AF711" s="372">
        <v>3319.5</v>
      </c>
      <c r="AG711" s="372">
        <v>4578.67</v>
      </c>
      <c r="AH711" s="372">
        <v>0</v>
      </c>
    </row>
    <row r="712" spans="1:34">
      <c r="A712" s="372" t="s">
        <v>5227</v>
      </c>
      <c r="B712" s="373" t="s">
        <v>5228</v>
      </c>
      <c r="C712" s="372" t="s">
        <v>5229</v>
      </c>
      <c r="D712" s="374">
        <v>1801110181428</v>
      </c>
      <c r="E712" s="372" t="s">
        <v>5230</v>
      </c>
      <c r="F712" s="375" t="s">
        <v>5231</v>
      </c>
      <c r="G712" s="375" t="s">
        <v>5232</v>
      </c>
      <c r="H712" s="375" t="s">
        <v>4847</v>
      </c>
      <c r="I712" s="375" t="s">
        <v>862</v>
      </c>
      <c r="J712" s="375">
        <v>113573.28036999999</v>
      </c>
      <c r="K712" s="375">
        <v>12330.77082</v>
      </c>
      <c r="L712" s="375">
        <v>14443.22688</v>
      </c>
      <c r="M712" s="375">
        <v>163223.96515</v>
      </c>
      <c r="N712" s="372">
        <v>0.79300000000000004</v>
      </c>
      <c r="O712" s="704">
        <v>5.3953403142774123E-2</v>
      </c>
      <c r="P712" s="375" t="s">
        <v>622</v>
      </c>
      <c r="Q712" s="372" t="s">
        <v>622</v>
      </c>
      <c r="R712" s="696">
        <v>20020208</v>
      </c>
      <c r="S712" s="372" t="s">
        <v>5233</v>
      </c>
      <c r="T712" s="697">
        <v>0.20900000000000002</v>
      </c>
      <c r="U712" s="372" t="s">
        <v>5234</v>
      </c>
      <c r="V712" s="723">
        <v>0</v>
      </c>
      <c r="W712" s="723">
        <v>0</v>
      </c>
      <c r="X712" s="723">
        <v>0</v>
      </c>
      <c r="Y712" s="723">
        <v>0</v>
      </c>
      <c r="Z712" s="382" t="s">
        <v>927</v>
      </c>
      <c r="AA712" s="372">
        <v>522.25722450000001</v>
      </c>
      <c r="AB712" s="372">
        <v>298.76633520000001</v>
      </c>
      <c r="AC712" s="372">
        <v>427.873266</v>
      </c>
      <c r="AD712" s="372">
        <v>707.79250390000004</v>
      </c>
      <c r="AE712" s="372">
        <v>0</v>
      </c>
      <c r="AF712" s="372">
        <v>0</v>
      </c>
      <c r="AG712" s="372">
        <v>0</v>
      </c>
      <c r="AH712" s="372">
        <v>0</v>
      </c>
    </row>
    <row r="713" spans="1:34">
      <c r="A713" s="372" t="s">
        <v>5235</v>
      </c>
      <c r="B713" s="373" t="s">
        <v>5236</v>
      </c>
      <c r="C713" s="372" t="s">
        <v>5237</v>
      </c>
      <c r="D713" s="374">
        <v>1101116265410</v>
      </c>
      <c r="E713" s="372" t="s">
        <v>5238</v>
      </c>
      <c r="F713" s="375" t="s">
        <v>769</v>
      </c>
      <c r="G713" s="375" t="s">
        <v>769</v>
      </c>
      <c r="H713" s="375" t="s">
        <v>753</v>
      </c>
      <c r="I713" s="375" t="s">
        <v>754</v>
      </c>
      <c r="J713" s="375">
        <v>424318.95331000001</v>
      </c>
      <c r="K713" s="375">
        <v>-7788.0505400000002</v>
      </c>
      <c r="L713" s="375">
        <v>-35864.056020000004</v>
      </c>
      <c r="M713" s="375">
        <v>363656.03308000002</v>
      </c>
      <c r="N713" s="372">
        <v>1.395</v>
      </c>
      <c r="O713" s="704">
        <v>8.6584743854359925</v>
      </c>
      <c r="P713" s="375" t="s">
        <v>622</v>
      </c>
      <c r="Q713" s="375" t="s">
        <v>622</v>
      </c>
      <c r="R713" s="696">
        <v>20191119</v>
      </c>
      <c r="S713" s="375" t="s">
        <v>5239</v>
      </c>
      <c r="T713" s="697" t="s">
        <v>771</v>
      </c>
      <c r="U713" s="372" t="s">
        <v>15870</v>
      </c>
      <c r="V713" s="723">
        <v>70.3</v>
      </c>
      <c r="W713" s="723">
        <v>0.78</v>
      </c>
      <c r="X713" s="723">
        <v>0.67</v>
      </c>
      <c r="Y713" s="723" t="s">
        <v>773</v>
      </c>
      <c r="Z713" s="382">
        <v>8.4437766750999899E-3</v>
      </c>
      <c r="AA713" s="372">
        <v>3943.9671256000001</v>
      </c>
      <c r="AB713" s="372">
        <v>5931.6358186999996</v>
      </c>
      <c r="AC713" s="372">
        <v>9848.1241312000002</v>
      </c>
      <c r="AD713" s="372">
        <v>5461.1980598999999</v>
      </c>
      <c r="AE713" s="372">
        <v>4142</v>
      </c>
      <c r="AF713" s="372">
        <v>4611</v>
      </c>
      <c r="AG713" s="372">
        <v>5648</v>
      </c>
      <c r="AH713" s="372">
        <v>6350</v>
      </c>
    </row>
    <row r="714" spans="1:34">
      <c r="A714" s="372" t="s">
        <v>5240</v>
      </c>
      <c r="B714" s="373" t="s">
        <v>5241</v>
      </c>
      <c r="C714" s="372" t="s">
        <v>5242</v>
      </c>
      <c r="D714" s="374">
        <v>1101111105364</v>
      </c>
      <c r="E714" s="372" t="s">
        <v>5243</v>
      </c>
      <c r="F714" s="375" t="s">
        <v>1796</v>
      </c>
      <c r="G714" s="375" t="s">
        <v>2797</v>
      </c>
      <c r="H714" s="375" t="s">
        <v>861</v>
      </c>
      <c r="I714" s="375" t="s">
        <v>862</v>
      </c>
      <c r="J714" s="375">
        <v>179618.49590000001</v>
      </c>
      <c r="K714" s="375">
        <v>1808.6216199999999</v>
      </c>
      <c r="L714" s="375">
        <v>343.78224999999998</v>
      </c>
      <c r="M714" s="375">
        <v>107940.93944</v>
      </c>
      <c r="N714" s="372">
        <v>1.0569999999999999</v>
      </c>
      <c r="O714" s="704">
        <v>9.8550079934679999</v>
      </c>
      <c r="P714" s="375" t="s">
        <v>622</v>
      </c>
      <c r="Q714" s="372" t="s">
        <v>622</v>
      </c>
      <c r="R714" s="696">
        <v>19970502</v>
      </c>
      <c r="S714" s="372" t="s">
        <v>5244</v>
      </c>
      <c r="T714" s="697">
        <v>0.20900000000000002</v>
      </c>
      <c r="U714" s="372" t="s">
        <v>5245</v>
      </c>
      <c r="V714" s="723">
        <v>24.35</v>
      </c>
      <c r="W714" s="723">
        <v>1.95</v>
      </c>
      <c r="X714" s="723">
        <v>1.1599999999999999</v>
      </c>
      <c r="Y714" s="723" t="s">
        <v>773</v>
      </c>
      <c r="Z714" s="382" t="s">
        <v>927</v>
      </c>
      <c r="AA714" s="372">
        <v>1048.0386143000001</v>
      </c>
      <c r="AB714" s="372">
        <v>1117.6162933000001</v>
      </c>
      <c r="AC714" s="372">
        <v>1333.4323019999999</v>
      </c>
      <c r="AD714" s="372">
        <v>1540.4083740000001</v>
      </c>
      <c r="AE714" s="372">
        <v>0</v>
      </c>
      <c r="AF714" s="372">
        <v>0</v>
      </c>
      <c r="AG714" s="372">
        <v>0</v>
      </c>
      <c r="AH714" s="372">
        <v>0</v>
      </c>
    </row>
    <row r="715" spans="1:34">
      <c r="A715" s="372" t="s">
        <v>5246</v>
      </c>
      <c r="B715" s="373" t="s">
        <v>5247</v>
      </c>
      <c r="C715" s="372" t="s">
        <v>5248</v>
      </c>
      <c r="D715" s="374">
        <v>1101113394048</v>
      </c>
      <c r="E715" s="372" t="s">
        <v>5249</v>
      </c>
      <c r="F715" s="375" t="s">
        <v>1096</v>
      </c>
      <c r="G715" s="375" t="s">
        <v>1097</v>
      </c>
      <c r="H715" s="375" t="s">
        <v>826</v>
      </c>
      <c r="I715" s="375" t="s">
        <v>754</v>
      </c>
      <c r="J715" s="375">
        <v>136570.35667000001</v>
      </c>
      <c r="K715" s="375">
        <v>14103.451279999999</v>
      </c>
      <c r="L715" s="375">
        <v>26814.747240000001</v>
      </c>
      <c r="M715" s="375">
        <v>480924.59866000002</v>
      </c>
      <c r="N715" s="372">
        <v>0.71199999999999997</v>
      </c>
      <c r="O715" s="704">
        <v>1.6808640259486103</v>
      </c>
      <c r="P715" s="375" t="s">
        <v>622</v>
      </c>
      <c r="Q715" s="372" t="s">
        <v>622</v>
      </c>
      <c r="R715" s="696">
        <v>20151228</v>
      </c>
      <c r="S715" s="375" t="s">
        <v>5250</v>
      </c>
      <c r="T715" s="697">
        <v>0.23100000000000001</v>
      </c>
      <c r="U715" s="375" t="s">
        <v>5251</v>
      </c>
      <c r="V715" s="723">
        <v>19.71</v>
      </c>
      <c r="W715" s="723">
        <v>0.71</v>
      </c>
      <c r="X715" s="723">
        <v>1.96</v>
      </c>
      <c r="Y715" s="723">
        <v>23.09</v>
      </c>
      <c r="Z715" s="382" t="s">
        <v>927</v>
      </c>
      <c r="AA715" s="372">
        <v>1463.7835875000001</v>
      </c>
      <c r="AB715" s="372">
        <v>1401.7779403</v>
      </c>
      <c r="AC715" s="372">
        <v>1307.1413278</v>
      </c>
      <c r="AD715" s="372">
        <v>1391.6172226000001</v>
      </c>
      <c r="AE715" s="372">
        <v>0</v>
      </c>
      <c r="AF715" s="372">
        <v>0</v>
      </c>
      <c r="AG715" s="372">
        <v>0</v>
      </c>
      <c r="AH715" s="372">
        <v>0</v>
      </c>
    </row>
    <row r="716" spans="1:34">
      <c r="A716" s="372" t="s">
        <v>5252</v>
      </c>
      <c r="B716" s="373" t="s">
        <v>5253</v>
      </c>
      <c r="C716" s="372" t="s">
        <v>5254</v>
      </c>
      <c r="D716" s="374">
        <v>1101115739804</v>
      </c>
      <c r="E716" s="372" t="s">
        <v>5255</v>
      </c>
      <c r="F716" s="372" t="s">
        <v>1249</v>
      </c>
      <c r="G716" s="375" t="s">
        <v>1249</v>
      </c>
      <c r="H716" s="375" t="s">
        <v>861</v>
      </c>
      <c r="I716" s="375" t="s">
        <v>862</v>
      </c>
      <c r="J716" s="375">
        <v>3980.80782</v>
      </c>
      <c r="K716" s="375">
        <v>-41293.680840000001</v>
      </c>
      <c r="L716" s="375">
        <v>-33040.885750000001</v>
      </c>
      <c r="M716" s="375">
        <v>76721.133119999999</v>
      </c>
      <c r="N716" s="372">
        <v>0.85099999999999998</v>
      </c>
      <c r="O716" s="704">
        <v>32.142666768711813</v>
      </c>
      <c r="P716" s="375" t="s">
        <v>622</v>
      </c>
      <c r="Q716" s="372" t="s">
        <v>622</v>
      </c>
      <c r="R716" s="696">
        <v>20210311</v>
      </c>
      <c r="S716" s="372" t="s">
        <v>5256</v>
      </c>
      <c r="T716" s="697" t="s">
        <v>771</v>
      </c>
      <c r="U716" s="372" t="s">
        <v>5257</v>
      </c>
      <c r="V716" s="723">
        <v>0</v>
      </c>
      <c r="W716" s="723">
        <v>0</v>
      </c>
      <c r="X716" s="723">
        <v>0</v>
      </c>
      <c r="Y716" s="723">
        <v>0</v>
      </c>
      <c r="Z716" s="382" t="s">
        <v>927</v>
      </c>
      <c r="AA716" s="372">
        <v>0</v>
      </c>
      <c r="AB716" s="372">
        <v>32.268381900000001</v>
      </c>
      <c r="AC716" s="372">
        <v>0.15565699999999999</v>
      </c>
      <c r="AD716" s="372">
        <v>17.302636400000001</v>
      </c>
      <c r="AE716" s="372">
        <v>0</v>
      </c>
      <c r="AF716" s="372">
        <v>0</v>
      </c>
      <c r="AG716" s="372">
        <v>0</v>
      </c>
      <c r="AH716" s="372">
        <v>0</v>
      </c>
    </row>
    <row r="717" spans="1:34">
      <c r="A717" s="372" t="s">
        <v>5258</v>
      </c>
      <c r="B717" s="373" t="s">
        <v>5259</v>
      </c>
      <c r="C717" s="372" t="s">
        <v>5260</v>
      </c>
      <c r="D717" s="374">
        <v>1101112860173</v>
      </c>
      <c r="E717" s="372" t="s">
        <v>5261</v>
      </c>
      <c r="F717" s="372" t="s">
        <v>2414</v>
      </c>
      <c r="G717" s="375" t="s">
        <v>2414</v>
      </c>
      <c r="H717" s="375" t="s">
        <v>861</v>
      </c>
      <c r="I717" s="375" t="s">
        <v>862</v>
      </c>
      <c r="J717" s="375">
        <v>66829.052119999993</v>
      </c>
      <c r="K717" s="375">
        <v>-93.558729999999997</v>
      </c>
      <c r="L717" s="375">
        <v>471.07603999999998</v>
      </c>
      <c r="M717" s="375">
        <v>69069.216480000003</v>
      </c>
      <c r="N717" s="372" t="s">
        <v>1026</v>
      </c>
      <c r="O717" s="704">
        <v>11.61009680425143</v>
      </c>
      <c r="P717" s="375" t="s">
        <v>622</v>
      </c>
      <c r="Q717" s="372" t="s">
        <v>622</v>
      </c>
      <c r="R717" s="696">
        <v>20240129</v>
      </c>
      <c r="S717" s="375" t="s">
        <v>5262</v>
      </c>
      <c r="T717" s="697">
        <v>0.20900000000000002</v>
      </c>
      <c r="U717" s="375" t="s">
        <v>5263</v>
      </c>
      <c r="V717" s="723">
        <v>37.58</v>
      </c>
      <c r="W717" s="723">
        <v>1.01</v>
      </c>
      <c r="X717" s="723">
        <v>0.98</v>
      </c>
      <c r="Y717" s="723">
        <v>66.56</v>
      </c>
      <c r="Z717" s="382" t="s">
        <v>927</v>
      </c>
      <c r="AA717" s="372">
        <v>617.47885259999998</v>
      </c>
      <c r="AB717" s="372">
        <v>914.96346470000003</v>
      </c>
      <c r="AC717" s="372">
        <v>914.88384989999997</v>
      </c>
      <c r="AD717" s="372">
        <v>792.84386389999997</v>
      </c>
      <c r="AE717" s="372">
        <v>1131</v>
      </c>
      <c r="AF717" s="372">
        <v>0</v>
      </c>
      <c r="AG717" s="372">
        <v>0</v>
      </c>
      <c r="AH717" s="372">
        <v>0</v>
      </c>
    </row>
    <row r="718" spans="1:34">
      <c r="A718" s="372" t="s">
        <v>5264</v>
      </c>
      <c r="B718" s="373" t="s">
        <v>5265</v>
      </c>
      <c r="C718" s="372" t="s">
        <v>5266</v>
      </c>
      <c r="D718" s="374">
        <v>1101118570891</v>
      </c>
      <c r="E718" s="372" t="s">
        <v>5267</v>
      </c>
      <c r="F718" s="375" t="s">
        <v>1648</v>
      </c>
      <c r="G718" s="375" t="s">
        <v>1649</v>
      </c>
      <c r="H718" s="375" t="s">
        <v>846</v>
      </c>
      <c r="I718" s="375" t="s">
        <v>754</v>
      </c>
      <c r="J718" s="375">
        <v>508520.86631999997</v>
      </c>
      <c r="K718" s="375">
        <v>3153.76433</v>
      </c>
      <c r="L718" s="375">
        <v>-40199.065159999998</v>
      </c>
      <c r="M718" s="375">
        <v>824942.65055999998</v>
      </c>
      <c r="N718" s="372" t="s">
        <v>1026</v>
      </c>
      <c r="O718" s="704">
        <v>195.19265921905915</v>
      </c>
      <c r="P718" s="375" t="s">
        <v>622</v>
      </c>
      <c r="Q718" s="375" t="s">
        <v>622</v>
      </c>
      <c r="R718" s="696">
        <v>20230331</v>
      </c>
      <c r="S718" s="375" t="s">
        <v>1649</v>
      </c>
      <c r="T718" s="697" t="s">
        <v>771</v>
      </c>
      <c r="U718" s="375" t="s">
        <v>5268</v>
      </c>
      <c r="V718" s="723">
        <v>8.86</v>
      </c>
      <c r="W718" s="723">
        <v>0.33</v>
      </c>
      <c r="X718" s="723">
        <v>0.54</v>
      </c>
      <c r="Y718" s="723" t="s">
        <v>773</v>
      </c>
      <c r="Z718" s="382" t="s">
        <v>927</v>
      </c>
      <c r="AA718" s="372">
        <v>0</v>
      </c>
      <c r="AB718" s="372">
        <v>0</v>
      </c>
      <c r="AC718" s="372">
        <v>0</v>
      </c>
      <c r="AD718" s="372">
        <v>4344.9538461000002</v>
      </c>
      <c r="AE718" s="372">
        <v>0</v>
      </c>
      <c r="AF718" s="372">
        <v>0</v>
      </c>
      <c r="AG718" s="372">
        <v>0</v>
      </c>
      <c r="AH718" s="372">
        <v>0</v>
      </c>
    </row>
    <row r="719" spans="1:34">
      <c r="A719" s="372" t="s">
        <v>5269</v>
      </c>
      <c r="B719" s="373" t="s">
        <v>5270</v>
      </c>
      <c r="C719" s="372" t="s">
        <v>5271</v>
      </c>
      <c r="D719" s="374">
        <v>1101110003345</v>
      </c>
      <c r="E719" s="372" t="s">
        <v>5272</v>
      </c>
      <c r="F719" s="375" t="s">
        <v>845</v>
      </c>
      <c r="G719" s="375" t="s">
        <v>845</v>
      </c>
      <c r="H719" s="375" t="s">
        <v>846</v>
      </c>
      <c r="I719" s="375" t="s">
        <v>754</v>
      </c>
      <c r="J719" s="375">
        <v>1489158.88723</v>
      </c>
      <c r="K719" s="375">
        <v>117018.4734</v>
      </c>
      <c r="L719" s="375">
        <v>86284.985050000003</v>
      </c>
      <c r="M719" s="375">
        <v>450614.05144000001</v>
      </c>
      <c r="N719" s="372">
        <v>0.71099999999999997</v>
      </c>
      <c r="O719" s="704">
        <v>171.00521359767006</v>
      </c>
      <c r="P719" s="375" t="s">
        <v>622</v>
      </c>
      <c r="Q719" s="375" t="s">
        <v>622</v>
      </c>
      <c r="R719" s="696">
        <v>19751222</v>
      </c>
      <c r="S719" s="375" t="s">
        <v>5273</v>
      </c>
      <c r="T719" s="697">
        <v>0.23100000000000001</v>
      </c>
      <c r="U719" s="375" t="s">
        <v>5274</v>
      </c>
      <c r="V719" s="723">
        <v>2.57</v>
      </c>
      <c r="W719" s="723">
        <v>0.59</v>
      </c>
      <c r="X719" s="723">
        <v>0.18</v>
      </c>
      <c r="Y719" s="723">
        <v>4.3899999999999997</v>
      </c>
      <c r="Z719" s="382" t="s">
        <v>927</v>
      </c>
      <c r="AA719" s="372">
        <v>10272.424917799999</v>
      </c>
      <c r="AB719" s="372">
        <v>11999.030160800001</v>
      </c>
      <c r="AC719" s="372">
        <v>14658.112342099999</v>
      </c>
      <c r="AD719" s="372">
        <v>15425.7708896</v>
      </c>
      <c r="AE719" s="372">
        <v>0</v>
      </c>
      <c r="AF719" s="372">
        <v>0</v>
      </c>
      <c r="AG719" s="372">
        <v>0</v>
      </c>
      <c r="AH719" s="372">
        <v>0</v>
      </c>
    </row>
    <row r="720" spans="1:34">
      <c r="A720" s="372" t="s">
        <v>5275</v>
      </c>
      <c r="B720" s="373" t="s">
        <v>5276</v>
      </c>
      <c r="C720" s="372" t="s">
        <v>5277</v>
      </c>
      <c r="D720" s="374">
        <v>1101110005995</v>
      </c>
      <c r="E720" s="372" t="s">
        <v>5277</v>
      </c>
      <c r="F720" s="375" t="s">
        <v>5278</v>
      </c>
      <c r="G720" s="375" t="s">
        <v>5278</v>
      </c>
      <c r="H720" s="375" t="s">
        <v>1539</v>
      </c>
      <c r="I720" s="375" t="s">
        <v>754</v>
      </c>
      <c r="J720" s="375">
        <v>167701.86421</v>
      </c>
      <c r="K720" s="375">
        <v>24476.704280000002</v>
      </c>
      <c r="L720" s="375">
        <v>25668.039509999999</v>
      </c>
      <c r="M720" s="375">
        <v>542612.89491000003</v>
      </c>
      <c r="N720" s="372">
        <v>0.82499999999999996</v>
      </c>
      <c r="O720" s="704">
        <v>13.30560618510809</v>
      </c>
      <c r="P720" s="375" t="s">
        <v>622</v>
      </c>
      <c r="Q720" s="375" t="s">
        <v>622</v>
      </c>
      <c r="R720" s="696">
        <v>19750602</v>
      </c>
      <c r="S720" s="375" t="s">
        <v>5279</v>
      </c>
      <c r="T720" s="697">
        <v>0.23100000000000001</v>
      </c>
      <c r="U720" s="375" t="s">
        <v>5280</v>
      </c>
      <c r="V720" s="723">
        <v>6.21</v>
      </c>
      <c r="W720" s="723">
        <v>0.51</v>
      </c>
      <c r="X720" s="723">
        <v>1.64</v>
      </c>
      <c r="Y720" s="723">
        <v>13.98</v>
      </c>
      <c r="Z720" s="382" t="s">
        <v>927</v>
      </c>
      <c r="AA720" s="372">
        <v>1618.6337701</v>
      </c>
      <c r="AB720" s="372">
        <v>1644.4589378000001</v>
      </c>
      <c r="AC720" s="372">
        <v>1696.8033686000001</v>
      </c>
      <c r="AD720" s="372">
        <v>1684.0152387999999</v>
      </c>
      <c r="AE720" s="372">
        <v>0</v>
      </c>
      <c r="AF720" s="372">
        <v>0</v>
      </c>
      <c r="AG720" s="372">
        <v>0</v>
      </c>
      <c r="AH720" s="372">
        <v>0</v>
      </c>
    </row>
    <row r="721" spans="1:34">
      <c r="A721" s="372" t="s">
        <v>5281</v>
      </c>
      <c r="B721" s="373" t="s">
        <v>5282</v>
      </c>
      <c r="C721" s="372" t="s">
        <v>5283</v>
      </c>
      <c r="D721" s="374">
        <v>1311110051935</v>
      </c>
      <c r="E721" s="372" t="s">
        <v>5284</v>
      </c>
      <c r="F721" s="375" t="s">
        <v>4846</v>
      </c>
      <c r="G721" s="375" t="s">
        <v>4846</v>
      </c>
      <c r="H721" s="375" t="s">
        <v>4847</v>
      </c>
      <c r="I721" s="375" t="s">
        <v>862</v>
      </c>
      <c r="J721" s="375">
        <v>59295.417350000003</v>
      </c>
      <c r="K721" s="375">
        <v>9501.8103100000008</v>
      </c>
      <c r="L721" s="375">
        <v>8560.5356499999998</v>
      </c>
      <c r="M721" s="375">
        <v>128211.29108</v>
      </c>
      <c r="N721" s="372">
        <v>1.3480000000000001</v>
      </c>
      <c r="O721" s="704">
        <v>86.135357736468009</v>
      </c>
      <c r="P721" s="375" t="s">
        <v>622</v>
      </c>
      <c r="Q721" s="375" t="s">
        <v>622</v>
      </c>
      <c r="R721" s="696">
        <v>20220516</v>
      </c>
      <c r="S721" s="375" t="s">
        <v>5285</v>
      </c>
      <c r="T721" s="697">
        <v>0.20900000000000002</v>
      </c>
      <c r="U721" s="375" t="s">
        <v>5286</v>
      </c>
      <c r="V721" s="723">
        <v>17.28</v>
      </c>
      <c r="W721" s="723">
        <v>1.94</v>
      </c>
      <c r="X721" s="723">
        <v>4.2</v>
      </c>
      <c r="Y721" s="723">
        <v>25.61</v>
      </c>
      <c r="Z721" s="382">
        <v>0.12575091153030926</v>
      </c>
      <c r="AA721" s="372">
        <v>1662.4548400000001</v>
      </c>
      <c r="AB721" s="372">
        <v>1360.7570301999999</v>
      </c>
      <c r="AC721" s="372">
        <v>879.94198400000005</v>
      </c>
      <c r="AD721" s="372">
        <v>616.40473399999996</v>
      </c>
      <c r="AE721" s="372">
        <v>679</v>
      </c>
      <c r="AF721" s="372">
        <v>999.5</v>
      </c>
      <c r="AG721" s="372">
        <v>990</v>
      </c>
      <c r="AH721" s="372">
        <v>0</v>
      </c>
    </row>
    <row r="722" spans="1:34">
      <c r="A722" s="372" t="s">
        <v>5287</v>
      </c>
      <c r="B722" s="373" t="s">
        <v>5288</v>
      </c>
      <c r="C722" s="372" t="s">
        <v>5289</v>
      </c>
      <c r="D722" s="374">
        <v>1101114398859</v>
      </c>
      <c r="E722" s="372" t="s">
        <v>5290</v>
      </c>
      <c r="F722" s="375" t="s">
        <v>1796</v>
      </c>
      <c r="G722" s="375" t="s">
        <v>1797</v>
      </c>
      <c r="H722" s="375" t="s">
        <v>861</v>
      </c>
      <c r="I722" s="375" t="s">
        <v>862</v>
      </c>
      <c r="J722" s="375">
        <v>49460.884120000002</v>
      </c>
      <c r="K722" s="375">
        <v>6110.1714199999997</v>
      </c>
      <c r="L722" s="375">
        <v>6518.8409199999996</v>
      </c>
      <c r="M722" s="375">
        <v>95967.580440000005</v>
      </c>
      <c r="N722" s="372">
        <v>0.38</v>
      </c>
      <c r="O722" s="704">
        <v>8.8352284771256375</v>
      </c>
      <c r="P722" s="375" t="s">
        <v>622</v>
      </c>
      <c r="Q722" s="375" t="s">
        <v>622</v>
      </c>
      <c r="R722" s="696">
        <v>20110105</v>
      </c>
      <c r="S722" s="375" t="s">
        <v>5291</v>
      </c>
      <c r="T722" s="697">
        <v>0.20900000000000002</v>
      </c>
      <c r="U722" s="372" t="s">
        <v>5292</v>
      </c>
      <c r="V722" s="723">
        <v>20.8</v>
      </c>
      <c r="W722" s="723">
        <v>1.68</v>
      </c>
      <c r="X722" s="723">
        <v>3.34</v>
      </c>
      <c r="Y722" s="723">
        <v>31.43</v>
      </c>
      <c r="Z722" s="382" t="s">
        <v>927</v>
      </c>
      <c r="AA722" s="372">
        <v>463.56652400000002</v>
      </c>
      <c r="AB722" s="372">
        <v>524.69273020000003</v>
      </c>
      <c r="AC722" s="372">
        <v>485.9923551</v>
      </c>
      <c r="AD722" s="372">
        <v>504.11451720000002</v>
      </c>
      <c r="AE722" s="372">
        <v>0</v>
      </c>
      <c r="AF722" s="372">
        <v>0</v>
      </c>
      <c r="AG722" s="372">
        <v>0</v>
      </c>
      <c r="AH722" s="372">
        <v>0</v>
      </c>
    </row>
    <row r="723" spans="1:34">
      <c r="A723" s="372" t="s">
        <v>5293</v>
      </c>
      <c r="B723" s="373" t="s">
        <v>5294</v>
      </c>
      <c r="C723" s="372" t="s">
        <v>5295</v>
      </c>
      <c r="D723" s="374">
        <v>1348110166589</v>
      </c>
      <c r="E723" s="372" t="s">
        <v>5296</v>
      </c>
      <c r="F723" s="375" t="s">
        <v>1962</v>
      </c>
      <c r="G723" s="375" t="s">
        <v>1962</v>
      </c>
      <c r="H723" s="375" t="s">
        <v>861</v>
      </c>
      <c r="I723" s="375" t="s">
        <v>862</v>
      </c>
      <c r="J723" s="375">
        <v>169816.75768000001</v>
      </c>
      <c r="K723" s="375">
        <v>26784.926070000001</v>
      </c>
      <c r="L723" s="375">
        <v>27438.965649999998</v>
      </c>
      <c r="M723" s="375">
        <v>126933.86883000001</v>
      </c>
      <c r="N723" s="372">
        <v>1.325</v>
      </c>
      <c r="O723" s="704">
        <v>6.7788071933491718</v>
      </c>
      <c r="P723" s="375" t="s">
        <v>622</v>
      </c>
      <c r="Q723" s="372" t="s">
        <v>622</v>
      </c>
      <c r="R723" s="696">
        <v>20211007</v>
      </c>
      <c r="S723" s="375" t="s">
        <v>5297</v>
      </c>
      <c r="T723" s="697">
        <v>0.23100000000000001</v>
      </c>
      <c r="U723" s="372" t="s">
        <v>5298</v>
      </c>
      <c r="V723" s="723">
        <v>7.16</v>
      </c>
      <c r="W723" s="723">
        <v>1.66</v>
      </c>
      <c r="X723" s="723">
        <v>1.26</v>
      </c>
      <c r="Y723" s="723">
        <v>9.33</v>
      </c>
      <c r="Z723" s="382" t="s">
        <v>927</v>
      </c>
      <c r="AA723" s="372">
        <v>640.29825149999999</v>
      </c>
      <c r="AB723" s="372">
        <v>620.9118694</v>
      </c>
      <c r="AC723" s="372">
        <v>1432.0003773999999</v>
      </c>
      <c r="AD723" s="372">
        <v>1372.5646912</v>
      </c>
      <c r="AE723" s="372">
        <v>2296</v>
      </c>
      <c r="AF723" s="372">
        <v>3141</v>
      </c>
      <c r="AG723" s="372">
        <v>0</v>
      </c>
      <c r="AH723" s="372">
        <v>0</v>
      </c>
    </row>
    <row r="724" spans="1:34">
      <c r="A724" s="372" t="s">
        <v>5299</v>
      </c>
      <c r="B724" s="373" t="s">
        <v>5300</v>
      </c>
      <c r="C724" s="372" t="s">
        <v>16075</v>
      </c>
      <c r="D724" s="374">
        <v>1615110001572</v>
      </c>
      <c r="E724" s="372" t="s">
        <v>16076</v>
      </c>
      <c r="F724" s="375" t="s">
        <v>5301</v>
      </c>
      <c r="G724" s="375" t="s">
        <v>5301</v>
      </c>
      <c r="H724" s="375" t="s">
        <v>861</v>
      </c>
      <c r="I724" s="375" t="s">
        <v>862</v>
      </c>
      <c r="J724" s="375">
        <v>136227.17541</v>
      </c>
      <c r="K724" s="375">
        <v>-2075.3545300000001</v>
      </c>
      <c r="L724" s="375">
        <v>-152047.79191</v>
      </c>
      <c r="M724" s="375">
        <v>75965.494839999999</v>
      </c>
      <c r="N724" s="372">
        <v>1.1140000000000001</v>
      </c>
      <c r="O724" s="704">
        <v>8.7545168995596061</v>
      </c>
      <c r="P724" s="375" t="s">
        <v>16115</v>
      </c>
      <c r="Q724" s="375" t="s">
        <v>16116</v>
      </c>
      <c r="R724" s="696">
        <v>20180601</v>
      </c>
      <c r="S724" s="375" t="s">
        <v>5302</v>
      </c>
      <c r="T724" s="697" t="s">
        <v>771</v>
      </c>
      <c r="U724" s="375" t="s">
        <v>5303</v>
      </c>
      <c r="V724" s="723">
        <v>0</v>
      </c>
      <c r="W724" s="723">
        <v>0</v>
      </c>
      <c r="X724" s="723">
        <v>0</v>
      </c>
      <c r="Y724" s="723">
        <v>0</v>
      </c>
      <c r="Z724" s="382" t="s">
        <v>927</v>
      </c>
      <c r="AA724" s="372">
        <v>1074.769524</v>
      </c>
      <c r="AB724" s="372">
        <v>1103.060146</v>
      </c>
      <c r="AC724" s="372">
        <v>1580.9562312999999</v>
      </c>
      <c r="AD724" s="372">
        <v>1606.0079674000001</v>
      </c>
      <c r="AE724" s="372">
        <v>0</v>
      </c>
      <c r="AF724" s="372">
        <v>0</v>
      </c>
      <c r="AG724" s="372">
        <v>0</v>
      </c>
      <c r="AH724" s="372">
        <v>0</v>
      </c>
    </row>
    <row r="725" spans="1:34">
      <c r="A725" s="372" t="s">
        <v>5304</v>
      </c>
      <c r="B725" s="373" t="s">
        <v>5305</v>
      </c>
      <c r="C725" s="372" t="s">
        <v>5306</v>
      </c>
      <c r="D725" s="374">
        <v>1314110255979</v>
      </c>
      <c r="E725" s="372" t="s">
        <v>5307</v>
      </c>
      <c r="F725" s="375" t="s">
        <v>998</v>
      </c>
      <c r="G725" s="375" t="s">
        <v>998</v>
      </c>
      <c r="H725" s="375" t="s">
        <v>861</v>
      </c>
      <c r="I725" s="375" t="s">
        <v>862</v>
      </c>
      <c r="J725" s="375">
        <v>178257.39</v>
      </c>
      <c r="K725" s="375">
        <v>3597.14446</v>
      </c>
      <c r="L725" s="375">
        <v>3597.1718900000001</v>
      </c>
      <c r="M725" s="375">
        <v>110554.94899</v>
      </c>
      <c r="N725" s="372">
        <v>1.077</v>
      </c>
      <c r="O725" s="704">
        <v>35.289603684435392</v>
      </c>
      <c r="P725" s="375" t="s">
        <v>622</v>
      </c>
      <c r="Q725" s="375" t="s">
        <v>622</v>
      </c>
      <c r="R725" s="696">
        <v>20201214</v>
      </c>
      <c r="S725" s="375" t="s">
        <v>5308</v>
      </c>
      <c r="T725" s="697">
        <v>0.20900000000000002</v>
      </c>
      <c r="U725" s="372" t="s">
        <v>5309</v>
      </c>
      <c r="V725" s="723">
        <v>15.37</v>
      </c>
      <c r="W725" s="723">
        <v>1.1399999999999999</v>
      </c>
      <c r="X725" s="723">
        <v>0.71</v>
      </c>
      <c r="Y725" s="723">
        <v>47.78</v>
      </c>
      <c r="Z725" s="382">
        <v>7.962808705742952E-2</v>
      </c>
      <c r="AA725" s="372">
        <v>1841.1181305</v>
      </c>
      <c r="AB725" s="372">
        <v>1780.9983044000001</v>
      </c>
      <c r="AC725" s="372">
        <v>2215.4816135999999</v>
      </c>
      <c r="AD725" s="372">
        <v>1713.0669339999999</v>
      </c>
      <c r="AE725" s="372">
        <v>1844.6</v>
      </c>
      <c r="AF725" s="372">
        <v>2108.6</v>
      </c>
      <c r="AG725" s="372">
        <v>2327.4</v>
      </c>
      <c r="AH725" s="372">
        <v>0</v>
      </c>
    </row>
    <row r="726" spans="1:34">
      <c r="A726" s="372" t="s">
        <v>5310</v>
      </c>
      <c r="B726" s="373" t="s">
        <v>5311</v>
      </c>
      <c r="C726" s="372" t="s">
        <v>5312</v>
      </c>
      <c r="D726" s="374">
        <v>1101110037740</v>
      </c>
      <c r="E726" s="372" t="s">
        <v>5313</v>
      </c>
      <c r="F726" s="372" t="s">
        <v>1081</v>
      </c>
      <c r="G726" s="375" t="s">
        <v>5314</v>
      </c>
      <c r="H726" s="375" t="s">
        <v>817</v>
      </c>
      <c r="I726" s="375" t="s">
        <v>754</v>
      </c>
      <c r="J726" s="375">
        <v>591568.32495000004</v>
      </c>
      <c r="K726" s="375">
        <v>15626.937379999999</v>
      </c>
      <c r="L726" s="375">
        <v>16555.13537</v>
      </c>
      <c r="M726" s="375">
        <v>268685.10642000003</v>
      </c>
      <c r="N726" s="372">
        <v>0.76</v>
      </c>
      <c r="O726" s="704">
        <v>31.544093256303974</v>
      </c>
      <c r="P726" s="375" t="s">
        <v>622</v>
      </c>
      <c r="Q726" s="375" t="s">
        <v>622</v>
      </c>
      <c r="R726" s="696">
        <v>20100812</v>
      </c>
      <c r="S726" s="375" t="s">
        <v>5315</v>
      </c>
      <c r="T726" s="697">
        <v>0.20900000000000002</v>
      </c>
      <c r="U726" s="375" t="s">
        <v>5316</v>
      </c>
      <c r="V726" s="723">
        <v>10.18</v>
      </c>
      <c r="W726" s="723">
        <v>0.84</v>
      </c>
      <c r="X726" s="723">
        <v>0.39</v>
      </c>
      <c r="Y726" s="723">
        <v>16.72</v>
      </c>
      <c r="Z726" s="382" t="s">
        <v>927</v>
      </c>
      <c r="AA726" s="372">
        <v>5749.2298873</v>
      </c>
      <c r="AB726" s="372">
        <v>5773.9266023</v>
      </c>
      <c r="AC726" s="372">
        <v>5558.2425194999996</v>
      </c>
      <c r="AD726" s="372">
        <v>5749.9069982000001</v>
      </c>
      <c r="AE726" s="372">
        <v>0</v>
      </c>
      <c r="AF726" s="372">
        <v>0</v>
      </c>
      <c r="AG726" s="372">
        <v>0</v>
      </c>
      <c r="AH726" s="372">
        <v>0</v>
      </c>
    </row>
    <row r="727" spans="1:34">
      <c r="A727" s="372" t="s">
        <v>5317</v>
      </c>
      <c r="B727" s="373" t="s">
        <v>5318</v>
      </c>
      <c r="C727" s="372" t="s">
        <v>5319</v>
      </c>
      <c r="D727" s="374">
        <v>1350110079381</v>
      </c>
      <c r="E727" s="372" t="s">
        <v>5320</v>
      </c>
      <c r="F727" s="375" t="s">
        <v>2281</v>
      </c>
      <c r="G727" s="375" t="s">
        <v>5096</v>
      </c>
      <c r="H727" s="375" t="s">
        <v>861</v>
      </c>
      <c r="I727" s="375" t="s">
        <v>862</v>
      </c>
      <c r="J727" s="375">
        <v>352454.98508000001</v>
      </c>
      <c r="K727" s="375">
        <v>17639.311409999998</v>
      </c>
      <c r="L727" s="375">
        <v>16905.277740000001</v>
      </c>
      <c r="M727" s="375">
        <v>484194.14225999999</v>
      </c>
      <c r="N727" s="372">
        <v>0.95699999999999996</v>
      </c>
      <c r="O727" s="704">
        <v>34.490461845892362</v>
      </c>
      <c r="P727" s="375" t="s">
        <v>622</v>
      </c>
      <c r="Q727" s="375" t="s">
        <v>622</v>
      </c>
      <c r="R727" s="696">
        <v>20101112</v>
      </c>
      <c r="S727" s="375" t="s">
        <v>5321</v>
      </c>
      <c r="T727" s="697">
        <v>0.20900000000000002</v>
      </c>
      <c r="U727" s="372" t="s">
        <v>15871</v>
      </c>
      <c r="V727" s="723">
        <v>10.71</v>
      </c>
      <c r="W727" s="723">
        <v>0.57999999999999996</v>
      </c>
      <c r="X727" s="723">
        <v>0.57999999999999996</v>
      </c>
      <c r="Y727" s="723">
        <v>16.18</v>
      </c>
      <c r="Z727" s="382" t="s">
        <v>927</v>
      </c>
      <c r="AA727" s="372">
        <v>1509.1716220999999</v>
      </c>
      <c r="AB727" s="372">
        <v>2034.5388702</v>
      </c>
      <c r="AC727" s="372">
        <v>2633.0159066000001</v>
      </c>
      <c r="AD727" s="372">
        <v>2856.5891944</v>
      </c>
      <c r="AE727" s="372">
        <v>0</v>
      </c>
      <c r="AF727" s="372">
        <v>0</v>
      </c>
      <c r="AG727" s="372">
        <v>0</v>
      </c>
      <c r="AH727" s="372">
        <v>0</v>
      </c>
    </row>
    <row r="728" spans="1:34">
      <c r="A728" s="372" t="s">
        <v>5322</v>
      </c>
      <c r="B728" s="373" t="s">
        <v>5323</v>
      </c>
      <c r="C728" s="372" t="s">
        <v>5324</v>
      </c>
      <c r="D728" s="374">
        <v>1358110168568</v>
      </c>
      <c r="E728" s="372" t="s">
        <v>5325</v>
      </c>
      <c r="F728" s="375" t="s">
        <v>1055</v>
      </c>
      <c r="G728" s="375" t="s">
        <v>16104</v>
      </c>
      <c r="H728" s="375" t="s">
        <v>861</v>
      </c>
      <c r="I728" s="375" t="s">
        <v>862</v>
      </c>
      <c r="J728" s="375">
        <v>64687.383950000003</v>
      </c>
      <c r="K728" s="375">
        <v>4216.3777</v>
      </c>
      <c r="L728" s="375">
        <v>6361.2819900000004</v>
      </c>
      <c r="M728" s="375">
        <v>67093.210349999994</v>
      </c>
      <c r="N728" s="372">
        <v>0.71399999999999997</v>
      </c>
      <c r="O728" s="704">
        <v>35.769917576855157</v>
      </c>
      <c r="P728" s="375" t="s">
        <v>622</v>
      </c>
      <c r="Q728" s="375" t="s">
        <v>622</v>
      </c>
      <c r="R728" s="696">
        <v>20191114</v>
      </c>
      <c r="S728" s="375" t="s">
        <v>5326</v>
      </c>
      <c r="T728" s="697">
        <v>0.20900000000000002</v>
      </c>
      <c r="U728" s="372" t="s">
        <v>5327</v>
      </c>
      <c r="V728" s="723">
        <v>29.46</v>
      </c>
      <c r="W728" s="723">
        <v>4.45</v>
      </c>
      <c r="X728" s="723">
        <v>4.59</v>
      </c>
      <c r="Y728" s="723">
        <v>14.45</v>
      </c>
      <c r="Z728" s="382">
        <v>0.169927404038823</v>
      </c>
      <c r="AA728" s="372">
        <v>206.59506250000001</v>
      </c>
      <c r="AB728" s="372">
        <v>332.22759330000002</v>
      </c>
      <c r="AC728" s="372">
        <v>459.93818210000001</v>
      </c>
      <c r="AD728" s="372">
        <v>587.16076769999995</v>
      </c>
      <c r="AE728" s="372">
        <v>648</v>
      </c>
      <c r="AF728" s="372">
        <v>868</v>
      </c>
      <c r="AG728" s="372">
        <v>1100</v>
      </c>
      <c r="AH728" s="372">
        <v>0</v>
      </c>
    </row>
    <row r="729" spans="1:34">
      <c r="A729" s="372" t="s">
        <v>5328</v>
      </c>
      <c r="B729" s="373" t="s">
        <v>5329</v>
      </c>
      <c r="C729" s="372" t="s">
        <v>5330</v>
      </c>
      <c r="D729" s="374">
        <v>1101112476376</v>
      </c>
      <c r="E729" s="372" t="s">
        <v>5331</v>
      </c>
      <c r="F729" s="375" t="s">
        <v>2834</v>
      </c>
      <c r="G729" s="375" t="s">
        <v>5332</v>
      </c>
      <c r="H729" s="375" t="s">
        <v>861</v>
      </c>
      <c r="I729" s="375" t="s">
        <v>862</v>
      </c>
      <c r="J729" s="375">
        <v>10206.005660000001</v>
      </c>
      <c r="K729" s="375">
        <v>-8299.9737399999995</v>
      </c>
      <c r="L729" s="375">
        <v>10062.97696</v>
      </c>
      <c r="M729" s="375">
        <v>576080.66044000001</v>
      </c>
      <c r="N729" s="372">
        <v>0.77500000000000002</v>
      </c>
      <c r="O729" s="704">
        <v>17.222206657927909</v>
      </c>
      <c r="P729" s="375" t="s">
        <v>16115</v>
      </c>
      <c r="Q729" s="375" t="s">
        <v>16116</v>
      </c>
      <c r="R729" s="696">
        <v>20111201</v>
      </c>
      <c r="S729" s="375" t="s">
        <v>5333</v>
      </c>
      <c r="T729" s="697">
        <v>0.20900000000000002</v>
      </c>
      <c r="U729" s="372" t="s">
        <v>15872</v>
      </c>
      <c r="V729" s="723" t="s">
        <v>773</v>
      </c>
      <c r="W729" s="723">
        <v>0.45</v>
      </c>
      <c r="X729" s="723">
        <v>25.11</v>
      </c>
      <c r="Y729" s="723">
        <v>15.85</v>
      </c>
      <c r="Z729" s="382" t="s">
        <v>927</v>
      </c>
      <c r="AA729" s="372">
        <v>107.09592120000001</v>
      </c>
      <c r="AB729" s="372">
        <v>176.86241390000001</v>
      </c>
      <c r="AC729" s="372">
        <v>158.4545736</v>
      </c>
      <c r="AD729" s="372">
        <v>100.1693969</v>
      </c>
      <c r="AE729" s="372">
        <v>0</v>
      </c>
      <c r="AF729" s="372">
        <v>0</v>
      </c>
      <c r="AG729" s="372">
        <v>0</v>
      </c>
      <c r="AH729" s="372">
        <v>0</v>
      </c>
    </row>
    <row r="730" spans="1:34">
      <c r="A730" s="372" t="s">
        <v>5334</v>
      </c>
      <c r="B730" s="373" t="s">
        <v>5335</v>
      </c>
      <c r="C730" s="372" t="s">
        <v>5336</v>
      </c>
      <c r="D730" s="374">
        <v>1845110014990</v>
      </c>
      <c r="E730" s="372" t="s">
        <v>5337</v>
      </c>
      <c r="F730" s="375" t="s">
        <v>2426</v>
      </c>
      <c r="G730" s="375" t="s">
        <v>2427</v>
      </c>
      <c r="H730" s="375" t="s">
        <v>861</v>
      </c>
      <c r="I730" s="375" t="s">
        <v>862</v>
      </c>
      <c r="J730" s="375">
        <v>791359.98994999996</v>
      </c>
      <c r="K730" s="375">
        <v>81217.209520000004</v>
      </c>
      <c r="L730" s="375">
        <v>87007.520080000002</v>
      </c>
      <c r="M730" s="375">
        <v>404576.70659999998</v>
      </c>
      <c r="N730" s="372">
        <v>1.0389999999999999</v>
      </c>
      <c r="O730" s="704">
        <v>40.427406635191701</v>
      </c>
      <c r="P730" s="375" t="s">
        <v>622</v>
      </c>
      <c r="Q730" s="372" t="s">
        <v>622</v>
      </c>
      <c r="R730" s="696">
        <v>20090915</v>
      </c>
      <c r="S730" s="372" t="s">
        <v>5338</v>
      </c>
      <c r="T730" s="697">
        <v>0.23100000000000001</v>
      </c>
      <c r="U730" s="372" t="s">
        <v>5339</v>
      </c>
      <c r="V730" s="723">
        <v>2.62</v>
      </c>
      <c r="W730" s="723">
        <v>0.51</v>
      </c>
      <c r="X730" s="723">
        <v>0.27</v>
      </c>
      <c r="Y730" s="723">
        <v>2.98</v>
      </c>
      <c r="Z730" s="382" t="s">
        <v>927</v>
      </c>
      <c r="AA730" s="372">
        <v>3220.2552172999999</v>
      </c>
      <c r="AB730" s="372">
        <v>1648.7677673999999</v>
      </c>
      <c r="AC730" s="372">
        <v>3449.7862955999999</v>
      </c>
      <c r="AD730" s="372">
        <v>6016.5599269000004</v>
      </c>
      <c r="AE730" s="372">
        <v>0</v>
      </c>
      <c r="AF730" s="372">
        <v>0</v>
      </c>
      <c r="AG730" s="372">
        <v>0</v>
      </c>
      <c r="AH730" s="372">
        <v>0</v>
      </c>
    </row>
    <row r="731" spans="1:34">
      <c r="A731" s="372" t="s">
        <v>5340</v>
      </c>
      <c r="B731" s="373" t="s">
        <v>5341</v>
      </c>
      <c r="C731" s="372" t="s">
        <v>5342</v>
      </c>
      <c r="D731" s="374">
        <v>1345110097540</v>
      </c>
      <c r="E731" s="372" t="s">
        <v>5343</v>
      </c>
      <c r="F731" s="375" t="s">
        <v>1276</v>
      </c>
      <c r="G731" s="375" t="s">
        <v>1276</v>
      </c>
      <c r="H731" s="375" t="s">
        <v>861</v>
      </c>
      <c r="I731" s="375" t="s">
        <v>862</v>
      </c>
      <c r="J731" s="375">
        <v>331628.57259</v>
      </c>
      <c r="K731" s="375">
        <v>41430.133379999999</v>
      </c>
      <c r="L731" s="375">
        <v>60694.201580000001</v>
      </c>
      <c r="M731" s="375">
        <v>238247.75988</v>
      </c>
      <c r="N731" s="372">
        <v>1.24</v>
      </c>
      <c r="O731" s="704">
        <v>8.5465007749961188</v>
      </c>
      <c r="P731" s="375" t="s">
        <v>622</v>
      </c>
      <c r="Q731" s="375" t="s">
        <v>622</v>
      </c>
      <c r="R731" s="696">
        <v>20190730</v>
      </c>
      <c r="S731" s="375" t="s">
        <v>5344</v>
      </c>
      <c r="T731" s="697">
        <v>0.23100000000000001</v>
      </c>
      <c r="U731" s="375" t="s">
        <v>5345</v>
      </c>
      <c r="V731" s="723">
        <v>3.24</v>
      </c>
      <c r="W731" s="723">
        <v>1.22</v>
      </c>
      <c r="X731" s="723">
        <v>0.88</v>
      </c>
      <c r="Y731" s="723">
        <v>4.91</v>
      </c>
      <c r="Z731" s="382">
        <v>6.7422052400615273E-2</v>
      </c>
      <c r="AA731" s="372">
        <v>2199.6678766</v>
      </c>
      <c r="AB731" s="372">
        <v>2683.3085384000001</v>
      </c>
      <c r="AC731" s="372">
        <v>2606.4714723000002</v>
      </c>
      <c r="AD731" s="372">
        <v>3044.7712059</v>
      </c>
      <c r="AE731" s="372">
        <v>3268.5</v>
      </c>
      <c r="AF731" s="372">
        <v>3624.33</v>
      </c>
      <c r="AG731" s="372">
        <v>3952.75</v>
      </c>
      <c r="AH731" s="372">
        <v>0</v>
      </c>
    </row>
    <row r="732" spans="1:34">
      <c r="A732" s="372" t="s">
        <v>5346</v>
      </c>
      <c r="B732" s="373" t="s">
        <v>5347</v>
      </c>
      <c r="C732" s="372" t="s">
        <v>5348</v>
      </c>
      <c r="D732" s="374">
        <v>1101110031510</v>
      </c>
      <c r="E732" s="372" t="s">
        <v>5349</v>
      </c>
      <c r="F732" s="375" t="s">
        <v>1262</v>
      </c>
      <c r="G732" s="375" t="s">
        <v>1263</v>
      </c>
      <c r="H732" s="375" t="s">
        <v>1264</v>
      </c>
      <c r="I732" s="375" t="s">
        <v>754</v>
      </c>
      <c r="J732" s="375">
        <v>0</v>
      </c>
      <c r="K732" s="375">
        <v>0</v>
      </c>
      <c r="L732" s="375">
        <v>0</v>
      </c>
      <c r="M732" s="375">
        <v>0</v>
      </c>
      <c r="N732" s="372">
        <v>0.56999999999999995</v>
      </c>
      <c r="O732" s="704" t="s">
        <v>16301</v>
      </c>
      <c r="P732" s="375" t="s">
        <v>622</v>
      </c>
      <c r="Q732" s="375" t="s">
        <v>622</v>
      </c>
      <c r="R732" s="696">
        <v>19880719</v>
      </c>
      <c r="S732" s="375" t="s">
        <v>5350</v>
      </c>
      <c r="T732" s="697" t="s">
        <v>771</v>
      </c>
      <c r="U732" s="372" t="s">
        <v>5351</v>
      </c>
      <c r="V732" s="723">
        <v>0</v>
      </c>
      <c r="W732" s="723">
        <v>0</v>
      </c>
      <c r="X732" s="723">
        <v>0</v>
      </c>
      <c r="Y732" s="723">
        <v>0</v>
      </c>
      <c r="Z732" s="382" t="s">
        <v>927</v>
      </c>
      <c r="AA732" s="372">
        <v>2055.9926664999998</v>
      </c>
      <c r="AB732" s="372">
        <v>2351.4314917000002</v>
      </c>
      <c r="AC732" s="372">
        <v>1845.5598557000001</v>
      </c>
      <c r="AD732" s="372">
        <v>1856.1415138</v>
      </c>
      <c r="AE732" s="372">
        <v>0</v>
      </c>
      <c r="AF732" s="372">
        <v>0</v>
      </c>
      <c r="AG732" s="372">
        <v>0</v>
      </c>
      <c r="AH732" s="372">
        <v>0</v>
      </c>
    </row>
    <row r="733" spans="1:34">
      <c r="A733" s="372" t="s">
        <v>5352</v>
      </c>
      <c r="B733" s="373" t="s">
        <v>5353</v>
      </c>
      <c r="C733" s="372" t="s">
        <v>5354</v>
      </c>
      <c r="D733" s="374">
        <v>1101110028145</v>
      </c>
      <c r="E733" s="372" t="s">
        <v>5355</v>
      </c>
      <c r="F733" s="375" t="s">
        <v>2103</v>
      </c>
      <c r="G733" s="375" t="s">
        <v>2103</v>
      </c>
      <c r="H733" s="375" t="s">
        <v>895</v>
      </c>
      <c r="I733" s="375" t="s">
        <v>862</v>
      </c>
      <c r="J733" s="375">
        <v>2251149.2247299999</v>
      </c>
      <c r="K733" s="375">
        <v>104199.21816</v>
      </c>
      <c r="L733" s="375">
        <v>43788.374300000003</v>
      </c>
      <c r="M733" s="375">
        <v>1397782.6034299999</v>
      </c>
      <c r="N733" s="372">
        <v>1.0349999999999999</v>
      </c>
      <c r="O733" s="704">
        <v>353.49989919848542</v>
      </c>
      <c r="P733" s="375" t="s">
        <v>622</v>
      </c>
      <c r="Q733" s="375" t="s">
        <v>622</v>
      </c>
      <c r="R733" s="696">
        <v>19990414</v>
      </c>
      <c r="S733" s="375" t="s">
        <v>5356</v>
      </c>
      <c r="T733" s="697">
        <v>0.23100000000000001</v>
      </c>
      <c r="U733" s="372" t="s">
        <v>5357</v>
      </c>
      <c r="V733" s="723">
        <v>7.11</v>
      </c>
      <c r="W733" s="723">
        <v>0.28000000000000003</v>
      </c>
      <c r="X733" s="723">
        <v>0.1</v>
      </c>
      <c r="Y733" s="723">
        <v>15.43</v>
      </c>
      <c r="Z733" s="382" t="s">
        <v>927</v>
      </c>
      <c r="AA733" s="372">
        <v>4793.9947289000002</v>
      </c>
      <c r="AB733" s="372">
        <v>18728.997170099999</v>
      </c>
      <c r="AC733" s="372">
        <v>25316.466803800002</v>
      </c>
      <c r="AD733" s="372">
        <v>23084.057118600002</v>
      </c>
      <c r="AE733" s="372">
        <v>0</v>
      </c>
      <c r="AF733" s="372">
        <v>0</v>
      </c>
      <c r="AG733" s="372">
        <v>0</v>
      </c>
      <c r="AH733" s="372">
        <v>0</v>
      </c>
    </row>
    <row r="734" spans="1:34">
      <c r="A734" s="372" t="s">
        <v>5358</v>
      </c>
      <c r="B734" s="373" t="s">
        <v>5359</v>
      </c>
      <c r="C734" s="372" t="s">
        <v>5360</v>
      </c>
      <c r="D734" s="374">
        <v>1101115604700</v>
      </c>
      <c r="E734" s="372" t="s">
        <v>5361</v>
      </c>
      <c r="F734" s="375" t="s">
        <v>7212</v>
      </c>
      <c r="G734" s="375" t="s">
        <v>5362</v>
      </c>
      <c r="H734" s="375" t="s">
        <v>3957</v>
      </c>
      <c r="I734" s="375" t="s">
        <v>754</v>
      </c>
      <c r="J734" s="375">
        <v>2234765.7729400001</v>
      </c>
      <c r="K734" s="375">
        <v>44565.11174</v>
      </c>
      <c r="L734" s="375">
        <v>546.32732999999996</v>
      </c>
      <c r="M734" s="375">
        <v>714947.53654999996</v>
      </c>
      <c r="N734" s="372">
        <v>0.6</v>
      </c>
      <c r="O734" s="704">
        <v>396.1616431139708</v>
      </c>
      <c r="P734" s="375" t="s">
        <v>622</v>
      </c>
      <c r="Q734" s="375" t="s">
        <v>622</v>
      </c>
      <c r="R734" s="696">
        <v>20150126</v>
      </c>
      <c r="S734" s="375" t="s">
        <v>5363</v>
      </c>
      <c r="T734" s="697">
        <v>0.20900000000000002</v>
      </c>
      <c r="U734" s="375" t="s">
        <v>5364</v>
      </c>
      <c r="V734" s="723">
        <v>8.6</v>
      </c>
      <c r="W734" s="723">
        <v>0.31</v>
      </c>
      <c r="X734" s="723">
        <v>0.1</v>
      </c>
      <c r="Y734" s="723">
        <v>191.98</v>
      </c>
      <c r="Z734" s="382">
        <v>3.1631664888423838E-2</v>
      </c>
      <c r="AA734" s="372">
        <v>15098.711730499999</v>
      </c>
      <c r="AB734" s="372">
        <v>18342.239770100001</v>
      </c>
      <c r="AC734" s="372">
        <v>24579.525936599999</v>
      </c>
      <c r="AD734" s="372">
        <v>21941.025515500001</v>
      </c>
      <c r="AE734" s="372">
        <v>22599</v>
      </c>
      <c r="AF734" s="372">
        <v>23646.67</v>
      </c>
      <c r="AG734" s="372">
        <v>24851.67</v>
      </c>
      <c r="AH734" s="372">
        <v>0</v>
      </c>
    </row>
    <row r="735" spans="1:34">
      <c r="A735" s="372" t="s">
        <v>5365</v>
      </c>
      <c r="B735" s="373" t="s">
        <v>5366</v>
      </c>
      <c r="C735" s="372" t="s">
        <v>5367</v>
      </c>
      <c r="D735" s="374">
        <v>1701110021543</v>
      </c>
      <c r="E735" s="372" t="s">
        <v>5368</v>
      </c>
      <c r="F735" s="375" t="s">
        <v>2116</v>
      </c>
      <c r="G735" s="375" t="s">
        <v>2117</v>
      </c>
      <c r="H735" s="375" t="s">
        <v>812</v>
      </c>
      <c r="I735" s="375" t="s">
        <v>754</v>
      </c>
      <c r="J735" s="375">
        <v>493235.35768000002</v>
      </c>
      <c r="K735" s="375">
        <v>19158.85642</v>
      </c>
      <c r="L735" s="375">
        <v>9206.5753999999997</v>
      </c>
      <c r="M735" s="375">
        <v>197907.18427999999</v>
      </c>
      <c r="N735" s="372">
        <v>0.65800000000000003</v>
      </c>
      <c r="O735" s="704">
        <v>87.452281232108845</v>
      </c>
      <c r="P735" s="375" t="s">
        <v>622</v>
      </c>
      <c r="Q735" s="375" t="s">
        <v>622</v>
      </c>
      <c r="R735" s="696">
        <v>19881122</v>
      </c>
      <c r="S735" s="375" t="s">
        <v>5369</v>
      </c>
      <c r="T735" s="697">
        <v>0.20900000000000002</v>
      </c>
      <c r="U735" s="375" t="s">
        <v>5370</v>
      </c>
      <c r="V735" s="723">
        <v>0</v>
      </c>
      <c r="W735" s="723">
        <v>0</v>
      </c>
      <c r="X735" s="723">
        <v>0</v>
      </c>
      <c r="Y735" s="723">
        <v>0</v>
      </c>
      <c r="Z735" s="382" t="s">
        <v>927</v>
      </c>
      <c r="AA735" s="372">
        <v>3329.1337782999999</v>
      </c>
      <c r="AB735" s="372">
        <v>4669.3250311000002</v>
      </c>
      <c r="AC735" s="372">
        <v>5623.8528299999998</v>
      </c>
      <c r="AD735" s="372">
        <v>4657.8385533999999</v>
      </c>
      <c r="AE735" s="372">
        <v>0</v>
      </c>
      <c r="AF735" s="372">
        <v>0</v>
      </c>
      <c r="AG735" s="372">
        <v>0</v>
      </c>
      <c r="AH735" s="372">
        <v>0</v>
      </c>
    </row>
    <row r="736" spans="1:34">
      <c r="A736" s="372" t="s">
        <v>5371</v>
      </c>
      <c r="B736" s="373" t="s">
        <v>5372</v>
      </c>
      <c r="C736" s="372" t="s">
        <v>5373</v>
      </c>
      <c r="D736" s="374">
        <v>1101112421157</v>
      </c>
      <c r="E736" s="372" t="s">
        <v>5374</v>
      </c>
      <c r="F736" s="372" t="s">
        <v>16101</v>
      </c>
      <c r="G736" s="375" t="s">
        <v>16101</v>
      </c>
      <c r="H736" s="375" t="s">
        <v>861</v>
      </c>
      <c r="I736" s="375" t="s">
        <v>862</v>
      </c>
      <c r="J736" s="375">
        <v>9854.6781900000005</v>
      </c>
      <c r="K736" s="375">
        <v>-25380.194240000001</v>
      </c>
      <c r="L736" s="375">
        <v>-498.45699000000002</v>
      </c>
      <c r="M736" s="375">
        <v>91119.499020000003</v>
      </c>
      <c r="N736" s="372">
        <v>0.443</v>
      </c>
      <c r="O736" s="704">
        <v>22.234048676313872</v>
      </c>
      <c r="P736" s="375" t="s">
        <v>16115</v>
      </c>
      <c r="Q736" s="372" t="s">
        <v>16116</v>
      </c>
      <c r="R736" s="696">
        <v>20151023</v>
      </c>
      <c r="S736" s="372" t="s">
        <v>5375</v>
      </c>
      <c r="T736" s="697" t="s">
        <v>771</v>
      </c>
      <c r="U736" s="372" t="s">
        <v>5376</v>
      </c>
      <c r="V736" s="723" t="s">
        <v>773</v>
      </c>
      <c r="W736" s="723">
        <v>1.9</v>
      </c>
      <c r="X736" s="723">
        <v>17.53</v>
      </c>
      <c r="Y736" s="723">
        <v>4.33</v>
      </c>
      <c r="Z736" s="382" t="s">
        <v>927</v>
      </c>
      <c r="AA736" s="372">
        <v>103.7154518</v>
      </c>
      <c r="AB736" s="372">
        <v>130.20252249999999</v>
      </c>
      <c r="AC736" s="372">
        <v>112.6268937</v>
      </c>
      <c r="AD736" s="372">
        <v>107.6916147</v>
      </c>
      <c r="AE736" s="372">
        <v>0</v>
      </c>
      <c r="AF736" s="372">
        <v>0</v>
      </c>
      <c r="AG736" s="372">
        <v>0</v>
      </c>
      <c r="AH736" s="372">
        <v>0</v>
      </c>
    </row>
    <row r="737" spans="1:34">
      <c r="A737" s="372" t="s">
        <v>5377</v>
      </c>
      <c r="B737" s="373" t="s">
        <v>5378</v>
      </c>
      <c r="C737" s="372" t="s">
        <v>5379</v>
      </c>
      <c r="D737" s="374">
        <v>1201110002189</v>
      </c>
      <c r="E737" s="372" t="s">
        <v>5380</v>
      </c>
      <c r="F737" s="375" t="s">
        <v>811</v>
      </c>
      <c r="G737" s="375" t="s">
        <v>5381</v>
      </c>
      <c r="H737" s="375" t="s">
        <v>812</v>
      </c>
      <c r="I737" s="375" t="s">
        <v>754</v>
      </c>
      <c r="J737" s="375">
        <v>710213.98060000001</v>
      </c>
      <c r="K737" s="375">
        <v>13934.0095</v>
      </c>
      <c r="L737" s="375">
        <v>31134.250739999999</v>
      </c>
      <c r="M737" s="375">
        <v>609789.01008000004</v>
      </c>
      <c r="N737" s="372">
        <v>0.72899999999999998</v>
      </c>
      <c r="O737" s="704">
        <v>105.40718458598452</v>
      </c>
      <c r="P737" s="375" t="s">
        <v>622</v>
      </c>
      <c r="Q737" s="372" t="s">
        <v>622</v>
      </c>
      <c r="R737" s="696">
        <v>19890729</v>
      </c>
      <c r="S737" s="375" t="s">
        <v>5382</v>
      </c>
      <c r="T737" s="697">
        <v>0.23100000000000001</v>
      </c>
      <c r="U737" s="375" t="s">
        <v>5383</v>
      </c>
      <c r="V737" s="723">
        <v>11.69</v>
      </c>
      <c r="W737" s="723">
        <v>0.41</v>
      </c>
      <c r="X737" s="723">
        <v>0.38</v>
      </c>
      <c r="Y737" s="723">
        <v>14.77</v>
      </c>
      <c r="Z737" s="382" t="s">
        <v>927</v>
      </c>
      <c r="AA737" s="372">
        <v>3658.6330305000001</v>
      </c>
      <c r="AB737" s="372">
        <v>6130.1277957000002</v>
      </c>
      <c r="AC737" s="372">
        <v>6722.2871309000002</v>
      </c>
      <c r="AD737" s="372">
        <v>6094.4963817999997</v>
      </c>
      <c r="AE737" s="372">
        <v>0</v>
      </c>
      <c r="AF737" s="372">
        <v>0</v>
      </c>
      <c r="AG737" s="372">
        <v>0</v>
      </c>
      <c r="AH737" s="372">
        <v>0</v>
      </c>
    </row>
    <row r="738" spans="1:34">
      <c r="A738" s="372" t="s">
        <v>5384</v>
      </c>
      <c r="B738" s="373" t="s">
        <v>5385</v>
      </c>
      <c r="C738" s="372" t="s">
        <v>5386</v>
      </c>
      <c r="D738" s="374">
        <v>1101111848914</v>
      </c>
      <c r="E738" s="372" t="s">
        <v>5387</v>
      </c>
      <c r="F738" s="375" t="s">
        <v>1370</v>
      </c>
      <c r="G738" s="375" t="s">
        <v>1370</v>
      </c>
      <c r="H738" s="375" t="s">
        <v>861</v>
      </c>
      <c r="I738" s="375" t="s">
        <v>862</v>
      </c>
      <c r="J738" s="375">
        <v>161125.75388999999</v>
      </c>
      <c r="K738" s="375">
        <v>-9272.3510999999999</v>
      </c>
      <c r="L738" s="375">
        <v>-29227.266390000001</v>
      </c>
      <c r="M738" s="375">
        <v>252729.01686</v>
      </c>
      <c r="N738" s="372">
        <v>1.077</v>
      </c>
      <c r="O738" s="704">
        <v>118.49810837526049</v>
      </c>
      <c r="P738" s="375" t="s">
        <v>622</v>
      </c>
      <c r="Q738" s="375" t="s">
        <v>622</v>
      </c>
      <c r="R738" s="696">
        <v>20090730</v>
      </c>
      <c r="S738" s="375" t="s">
        <v>2505</v>
      </c>
      <c r="T738" s="697" t="s">
        <v>771</v>
      </c>
      <c r="U738" s="375" t="s">
        <v>15873</v>
      </c>
      <c r="V738" s="723" t="s">
        <v>773</v>
      </c>
      <c r="W738" s="723">
        <v>0.54</v>
      </c>
      <c r="X738" s="723">
        <v>0.91</v>
      </c>
      <c r="Y738" s="723" t="s">
        <v>773</v>
      </c>
      <c r="Z738" s="382" t="s">
        <v>927</v>
      </c>
      <c r="AA738" s="372">
        <v>1338.1970398000001</v>
      </c>
      <c r="AB738" s="372">
        <v>1415.5268733</v>
      </c>
      <c r="AC738" s="372">
        <v>1162.3031438</v>
      </c>
      <c r="AD738" s="372">
        <v>1531.0531748999999</v>
      </c>
      <c r="AE738" s="372">
        <v>1781</v>
      </c>
      <c r="AF738" s="372">
        <v>1929</v>
      </c>
      <c r="AG738" s="372">
        <v>0</v>
      </c>
      <c r="AH738" s="372">
        <v>0</v>
      </c>
    </row>
    <row r="739" spans="1:34">
      <c r="A739" s="372" t="s">
        <v>5388</v>
      </c>
      <c r="B739" s="373" t="s">
        <v>5389</v>
      </c>
      <c r="C739" s="372" t="s">
        <v>5390</v>
      </c>
      <c r="D739" s="374">
        <v>1101110032899</v>
      </c>
      <c r="E739" s="372" t="s">
        <v>5391</v>
      </c>
      <c r="F739" s="375" t="s">
        <v>4056</v>
      </c>
      <c r="G739" s="375" t="s">
        <v>4056</v>
      </c>
      <c r="H739" s="375" t="s">
        <v>1043</v>
      </c>
      <c r="I739" s="375" t="s">
        <v>754</v>
      </c>
      <c r="J739" s="375">
        <v>806928.47858999996</v>
      </c>
      <c r="K739" s="375">
        <v>27316.993849999999</v>
      </c>
      <c r="L739" s="375">
        <v>17437.071940000002</v>
      </c>
      <c r="M739" s="375">
        <v>389300.91733999999</v>
      </c>
      <c r="N739" s="372">
        <v>0.91300000000000003</v>
      </c>
      <c r="O739" s="704">
        <v>190.88749636783623</v>
      </c>
      <c r="P739" s="375" t="s">
        <v>622</v>
      </c>
      <c r="Q739" s="375" t="s">
        <v>622</v>
      </c>
      <c r="R739" s="696">
        <v>19730626</v>
      </c>
      <c r="S739" s="375" t="s">
        <v>5392</v>
      </c>
      <c r="T739" s="697">
        <v>0.20900000000000002</v>
      </c>
      <c r="U739" s="372" t="s">
        <v>5393</v>
      </c>
      <c r="V739" s="723">
        <v>7.74</v>
      </c>
      <c r="W739" s="723">
        <v>0.35</v>
      </c>
      <c r="X739" s="723">
        <v>0.17</v>
      </c>
      <c r="Y739" s="723">
        <v>8.5299999999999994</v>
      </c>
      <c r="Z739" s="382" t="s">
        <v>927</v>
      </c>
      <c r="AA739" s="372">
        <v>7133.007834</v>
      </c>
      <c r="AB739" s="372">
        <v>8414.5591645999993</v>
      </c>
      <c r="AC739" s="372">
        <v>11661.3876686</v>
      </c>
      <c r="AD739" s="372">
        <v>8364.7503027999992</v>
      </c>
      <c r="AE739" s="372">
        <v>10159</v>
      </c>
      <c r="AF739" s="372">
        <v>0</v>
      </c>
      <c r="AG739" s="372">
        <v>0</v>
      </c>
      <c r="AH739" s="372">
        <v>0</v>
      </c>
    </row>
    <row r="740" spans="1:34">
      <c r="A740" s="372" t="s">
        <v>5394</v>
      </c>
      <c r="B740" s="373" t="s">
        <v>5395</v>
      </c>
      <c r="C740" s="372" t="s">
        <v>5396</v>
      </c>
      <c r="D740" s="374">
        <v>1701110387416</v>
      </c>
      <c r="E740" s="372" t="s">
        <v>5397</v>
      </c>
      <c r="F740" s="375" t="s">
        <v>1591</v>
      </c>
      <c r="G740" s="375" t="s">
        <v>1591</v>
      </c>
      <c r="H740" s="375" t="s">
        <v>946</v>
      </c>
      <c r="I740" s="375" t="s">
        <v>754</v>
      </c>
      <c r="J740" s="375">
        <v>997017.91770999995</v>
      </c>
      <c r="K740" s="375">
        <v>23551.885060000001</v>
      </c>
      <c r="L740" s="375">
        <v>23110.036410000001</v>
      </c>
      <c r="M740" s="375">
        <v>322470.55348</v>
      </c>
      <c r="N740" s="372">
        <v>0.64700000000000002</v>
      </c>
      <c r="O740" s="704">
        <v>50.71305731068523</v>
      </c>
      <c r="P740" s="375" t="s">
        <v>622</v>
      </c>
      <c r="Q740" s="375" t="s">
        <v>622</v>
      </c>
      <c r="R740" s="696">
        <v>20101224</v>
      </c>
      <c r="S740" s="375" t="s">
        <v>5398</v>
      </c>
      <c r="T740" s="697">
        <v>0.23100000000000001</v>
      </c>
      <c r="U740" s="375" t="s">
        <v>5399</v>
      </c>
      <c r="V740" s="723">
        <v>6.59</v>
      </c>
      <c r="W740" s="723">
        <v>0.82</v>
      </c>
      <c r="X740" s="723">
        <v>0.27</v>
      </c>
      <c r="Y740" s="723">
        <v>14.11</v>
      </c>
      <c r="Z740" s="382" t="s">
        <v>927</v>
      </c>
      <c r="AA740" s="372">
        <v>7431.9057329999996</v>
      </c>
      <c r="AB740" s="372">
        <v>7704.4098651000004</v>
      </c>
      <c r="AC740" s="372">
        <v>10209.364539300001</v>
      </c>
      <c r="AD740" s="372">
        <v>9995.3374924</v>
      </c>
      <c r="AE740" s="372">
        <v>0</v>
      </c>
      <c r="AF740" s="372">
        <v>0</v>
      </c>
      <c r="AG740" s="372">
        <v>0</v>
      </c>
      <c r="AH740" s="372">
        <v>0</v>
      </c>
    </row>
    <row r="741" spans="1:34">
      <c r="A741" s="372" t="s">
        <v>5400</v>
      </c>
      <c r="B741" s="373" t="s">
        <v>5401</v>
      </c>
      <c r="C741" s="372" t="s">
        <v>5402</v>
      </c>
      <c r="D741" s="374">
        <v>1101116202305</v>
      </c>
      <c r="E741" s="372" t="s">
        <v>5403</v>
      </c>
      <c r="F741" s="375" t="s">
        <v>16101</v>
      </c>
      <c r="G741" s="375" t="s">
        <v>16101</v>
      </c>
      <c r="H741" s="375" t="s">
        <v>861</v>
      </c>
      <c r="I741" s="375" t="s">
        <v>862</v>
      </c>
      <c r="J741" s="375">
        <v>86903.322450000007</v>
      </c>
      <c r="K741" s="375">
        <v>10088.7147</v>
      </c>
      <c r="L741" s="375">
        <v>7543.8461399999997</v>
      </c>
      <c r="M741" s="375">
        <v>219501.19792999999</v>
      </c>
      <c r="N741" s="372">
        <v>1.589</v>
      </c>
      <c r="O741" s="704">
        <v>3.7007270124514102</v>
      </c>
      <c r="P741" s="375" t="s">
        <v>622</v>
      </c>
      <c r="Q741" s="375" t="s">
        <v>622</v>
      </c>
      <c r="R741" s="696">
        <v>20151218</v>
      </c>
      <c r="S741" s="375" t="s">
        <v>5404</v>
      </c>
      <c r="T741" s="697">
        <v>0.20900000000000002</v>
      </c>
      <c r="U741" s="375" t="s">
        <v>5405</v>
      </c>
      <c r="V741" s="723">
        <v>20.91</v>
      </c>
      <c r="W741" s="723">
        <v>1.8</v>
      </c>
      <c r="X741" s="723">
        <v>4.49</v>
      </c>
      <c r="Y741" s="723">
        <v>26.02</v>
      </c>
      <c r="Z741" s="382" t="s">
        <v>927</v>
      </c>
      <c r="AA741" s="372">
        <v>194.37875740000001</v>
      </c>
      <c r="AB741" s="372">
        <v>252.4862631</v>
      </c>
      <c r="AC741" s="372">
        <v>423.03378379999998</v>
      </c>
      <c r="AD741" s="372">
        <v>809.97489680000001</v>
      </c>
      <c r="AE741" s="372">
        <v>0</v>
      </c>
      <c r="AF741" s="372">
        <v>0</v>
      </c>
      <c r="AG741" s="372">
        <v>0</v>
      </c>
      <c r="AH741" s="372">
        <v>0</v>
      </c>
    </row>
    <row r="742" spans="1:34">
      <c r="A742" s="372" t="s">
        <v>5406</v>
      </c>
      <c r="B742" s="373" t="s">
        <v>5407</v>
      </c>
      <c r="C742" s="372" t="s">
        <v>5408</v>
      </c>
      <c r="D742" s="374">
        <v>1801110611863</v>
      </c>
      <c r="E742" s="372" t="s">
        <v>5409</v>
      </c>
      <c r="F742" s="375" t="s">
        <v>5410</v>
      </c>
      <c r="G742" s="375" t="s">
        <v>5411</v>
      </c>
      <c r="H742" s="375" t="s">
        <v>861</v>
      </c>
      <c r="I742" s="375" t="s">
        <v>862</v>
      </c>
      <c r="J742" s="375">
        <v>77104.042010000005</v>
      </c>
      <c r="K742" s="375">
        <v>-1096.8923299999999</v>
      </c>
      <c r="L742" s="375">
        <v>448.02715000000001</v>
      </c>
      <c r="M742" s="375">
        <v>88179.433000000005</v>
      </c>
      <c r="N742" s="372">
        <v>0.97599999999999998</v>
      </c>
      <c r="O742" s="704">
        <v>13.529563290267321</v>
      </c>
      <c r="P742" s="375" t="s">
        <v>622</v>
      </c>
      <c r="Q742" s="375" t="s">
        <v>622</v>
      </c>
      <c r="R742" s="696">
        <v>20191121</v>
      </c>
      <c r="S742" s="375" t="s">
        <v>5412</v>
      </c>
      <c r="T742" s="697">
        <v>0.20900000000000002</v>
      </c>
      <c r="U742" s="372" t="s">
        <v>5413</v>
      </c>
      <c r="V742" s="723">
        <v>76.58</v>
      </c>
      <c r="W742" s="723">
        <v>1.95</v>
      </c>
      <c r="X742" s="723">
        <v>2.23</v>
      </c>
      <c r="Y742" s="723">
        <v>150.9</v>
      </c>
      <c r="Z742" s="382">
        <v>0.21116667405718048</v>
      </c>
      <c r="AA742" s="372">
        <v>1035.203563</v>
      </c>
      <c r="AB742" s="372">
        <v>955.58016880000002</v>
      </c>
      <c r="AC742" s="372">
        <v>490.0665697</v>
      </c>
      <c r="AD742" s="372">
        <v>766.07854870000006</v>
      </c>
      <c r="AE742" s="372">
        <v>1008.9</v>
      </c>
      <c r="AF742" s="372">
        <v>1370.98</v>
      </c>
      <c r="AG742" s="372">
        <v>1648.5</v>
      </c>
      <c r="AH742" s="372">
        <v>0</v>
      </c>
    </row>
    <row r="743" spans="1:34">
      <c r="A743" s="372" t="s">
        <v>5414</v>
      </c>
      <c r="B743" s="373" t="s">
        <v>5415</v>
      </c>
      <c r="C743" s="372" t="s">
        <v>5416</v>
      </c>
      <c r="D743" s="374">
        <v>1348110024878</v>
      </c>
      <c r="E743" s="372" t="s">
        <v>5417</v>
      </c>
      <c r="F743" s="375" t="s">
        <v>1185</v>
      </c>
      <c r="G743" s="375" t="s">
        <v>1186</v>
      </c>
      <c r="H743" s="375" t="s">
        <v>861</v>
      </c>
      <c r="I743" s="375" t="s">
        <v>862</v>
      </c>
      <c r="J743" s="375">
        <v>217994.19078999999</v>
      </c>
      <c r="K743" s="375">
        <v>8742.9419099999996</v>
      </c>
      <c r="L743" s="375">
        <v>11671.10823</v>
      </c>
      <c r="M743" s="375">
        <v>221526.55614999999</v>
      </c>
      <c r="N743" s="372">
        <v>1.2010000000000001</v>
      </c>
      <c r="O743" s="704">
        <v>3.6764989304072966</v>
      </c>
      <c r="P743" s="375" t="s">
        <v>622</v>
      </c>
      <c r="Q743" s="372" t="s">
        <v>622</v>
      </c>
      <c r="R743" s="696">
        <v>19991208</v>
      </c>
      <c r="S743" s="372" t="s">
        <v>5418</v>
      </c>
      <c r="T743" s="697">
        <v>0.20900000000000002</v>
      </c>
      <c r="U743" s="375" t="s">
        <v>5419</v>
      </c>
      <c r="V743" s="723">
        <v>21.2</v>
      </c>
      <c r="W743" s="723">
        <v>1.05</v>
      </c>
      <c r="X743" s="723">
        <v>1.0900000000000001</v>
      </c>
      <c r="Y743" s="723">
        <v>23.33</v>
      </c>
      <c r="Z743" s="382">
        <v>0.10134503628285207</v>
      </c>
      <c r="AA743" s="372">
        <v>2151.2975513000001</v>
      </c>
      <c r="AB743" s="372">
        <v>2960.7652370000001</v>
      </c>
      <c r="AC743" s="372">
        <v>2532.2908600000001</v>
      </c>
      <c r="AD743" s="372">
        <v>2321.1174301000001</v>
      </c>
      <c r="AE743" s="372">
        <v>2303</v>
      </c>
      <c r="AF743" s="372">
        <v>2943.5</v>
      </c>
      <c r="AG743" s="372">
        <v>3415</v>
      </c>
      <c r="AH743" s="372">
        <v>0</v>
      </c>
    </row>
    <row r="744" spans="1:34">
      <c r="A744" s="372" t="s">
        <v>5420</v>
      </c>
      <c r="B744" s="373" t="s">
        <v>5421</v>
      </c>
      <c r="C744" s="372" t="s">
        <v>5422</v>
      </c>
      <c r="D744" s="374">
        <v>1101111637383</v>
      </c>
      <c r="E744" s="372" t="s">
        <v>5423</v>
      </c>
      <c r="F744" s="375" t="s">
        <v>16119</v>
      </c>
      <c r="G744" s="375" t="s">
        <v>16119</v>
      </c>
      <c r="H744" s="375" t="s">
        <v>1531</v>
      </c>
      <c r="I744" s="375" t="s">
        <v>862</v>
      </c>
      <c r="J744" s="375">
        <v>258095.55468999999</v>
      </c>
      <c r="K744" s="375">
        <v>-6909.8010400000003</v>
      </c>
      <c r="L744" s="375">
        <v>-8416.1890999999996</v>
      </c>
      <c r="M744" s="375">
        <v>162887.77280999999</v>
      </c>
      <c r="N744" s="372">
        <v>1.1120000000000001</v>
      </c>
      <c r="O744" s="704">
        <v>2.1627117025181395</v>
      </c>
      <c r="P744" s="375" t="s">
        <v>622</v>
      </c>
      <c r="Q744" s="375" t="s">
        <v>622</v>
      </c>
      <c r="R744" s="696">
        <v>20031217</v>
      </c>
      <c r="S744" s="375" t="s">
        <v>5424</v>
      </c>
      <c r="T744" s="697" t="s">
        <v>771</v>
      </c>
      <c r="U744" s="372" t="s">
        <v>5425</v>
      </c>
      <c r="V744" s="723" t="s">
        <v>773</v>
      </c>
      <c r="W744" s="723">
        <v>0.89</v>
      </c>
      <c r="X744" s="723">
        <v>0.55000000000000004</v>
      </c>
      <c r="Y744" s="723" t="s">
        <v>773</v>
      </c>
      <c r="Z744" s="382" t="s">
        <v>927</v>
      </c>
      <c r="AA744" s="372">
        <v>2263.2907221999999</v>
      </c>
      <c r="AB744" s="372">
        <v>2441.8926449999999</v>
      </c>
      <c r="AC744" s="372">
        <v>2743.7233707999999</v>
      </c>
      <c r="AD744" s="372">
        <v>2703.3089611</v>
      </c>
      <c r="AE744" s="372">
        <v>0</v>
      </c>
      <c r="AF744" s="372">
        <v>0</v>
      </c>
      <c r="AG744" s="372">
        <v>0</v>
      </c>
      <c r="AH744" s="372">
        <v>0</v>
      </c>
    </row>
    <row r="745" spans="1:34">
      <c r="A745" s="372" t="s">
        <v>5426</v>
      </c>
      <c r="B745" s="373" t="s">
        <v>5427</v>
      </c>
      <c r="C745" s="372" t="s">
        <v>5428</v>
      </c>
      <c r="D745" s="374">
        <v>1101111636004</v>
      </c>
      <c r="E745" s="372" t="s">
        <v>5429</v>
      </c>
      <c r="F745" s="375" t="s">
        <v>16101</v>
      </c>
      <c r="G745" s="375" t="s">
        <v>16101</v>
      </c>
      <c r="H745" s="375" t="s">
        <v>861</v>
      </c>
      <c r="I745" s="375" t="s">
        <v>862</v>
      </c>
      <c r="J745" s="375">
        <v>8614.7928900000006</v>
      </c>
      <c r="K745" s="375">
        <v>-4050.3276500000002</v>
      </c>
      <c r="L745" s="375">
        <v>-3967.3944099999999</v>
      </c>
      <c r="M745" s="375">
        <v>89369.454400000002</v>
      </c>
      <c r="N745" s="372">
        <v>0.63100000000000001</v>
      </c>
      <c r="O745" s="704">
        <v>0.22046890115999165</v>
      </c>
      <c r="P745" s="375" t="s">
        <v>622</v>
      </c>
      <c r="Q745" s="375" t="s">
        <v>622</v>
      </c>
      <c r="R745" s="696">
        <v>20110126</v>
      </c>
      <c r="S745" s="375" t="s">
        <v>5430</v>
      </c>
      <c r="T745" s="697" t="s">
        <v>771</v>
      </c>
      <c r="U745" s="375" t="s">
        <v>5431</v>
      </c>
      <c r="V745" s="723" t="s">
        <v>773</v>
      </c>
      <c r="W745" s="723">
        <v>1.92</v>
      </c>
      <c r="X745" s="723">
        <v>22.99</v>
      </c>
      <c r="Y745" s="723" t="s">
        <v>773</v>
      </c>
      <c r="Z745" s="382" t="s">
        <v>927</v>
      </c>
      <c r="AA745" s="372">
        <v>454.33157199999999</v>
      </c>
      <c r="AB745" s="372">
        <v>293.08005120000001</v>
      </c>
      <c r="AC745" s="372">
        <v>140.0697801</v>
      </c>
      <c r="AD745" s="372">
        <v>95.854441800000004</v>
      </c>
      <c r="AE745" s="372">
        <v>0</v>
      </c>
      <c r="AF745" s="372">
        <v>0</v>
      </c>
      <c r="AG745" s="372">
        <v>0</v>
      </c>
      <c r="AH745" s="372">
        <v>0</v>
      </c>
    </row>
    <row r="746" spans="1:34">
      <c r="A746" s="372" t="s">
        <v>5432</v>
      </c>
      <c r="B746" s="373" t="s">
        <v>5433</v>
      </c>
      <c r="C746" s="372" t="s">
        <v>5434</v>
      </c>
      <c r="D746" s="374">
        <v>1101111621956</v>
      </c>
      <c r="E746" s="372" t="s">
        <v>5435</v>
      </c>
      <c r="F746" s="375" t="s">
        <v>1656</v>
      </c>
      <c r="G746" s="375" t="s">
        <v>1656</v>
      </c>
      <c r="H746" s="375" t="s">
        <v>861</v>
      </c>
      <c r="I746" s="375" t="s">
        <v>862</v>
      </c>
      <c r="J746" s="375">
        <v>11731.7518</v>
      </c>
      <c r="K746" s="375">
        <v>-11022.0947</v>
      </c>
      <c r="L746" s="375">
        <v>-20122.569100000001</v>
      </c>
      <c r="M746" s="375">
        <v>105733.40173</v>
      </c>
      <c r="N746" s="372">
        <v>0.66300000000000003</v>
      </c>
      <c r="O746" s="704">
        <v>73.528072997014277</v>
      </c>
      <c r="P746" s="375" t="s">
        <v>622</v>
      </c>
      <c r="Q746" s="372" t="s">
        <v>622</v>
      </c>
      <c r="R746" s="696">
        <v>20071019</v>
      </c>
      <c r="S746" s="372" t="s">
        <v>5436</v>
      </c>
      <c r="T746" s="697" t="s">
        <v>771</v>
      </c>
      <c r="U746" s="375" t="s">
        <v>5437</v>
      </c>
      <c r="V746" s="723" t="s">
        <v>773</v>
      </c>
      <c r="W746" s="723">
        <v>1.64</v>
      </c>
      <c r="X746" s="723">
        <v>14.77</v>
      </c>
      <c r="Y746" s="723" t="s">
        <v>773</v>
      </c>
      <c r="Z746" s="382" t="s">
        <v>927</v>
      </c>
      <c r="AA746" s="372">
        <v>88.723077700000005</v>
      </c>
      <c r="AB746" s="372">
        <v>113.68085050000001</v>
      </c>
      <c r="AC746" s="372">
        <v>128.80116760000001</v>
      </c>
      <c r="AD746" s="372">
        <v>124.1167418</v>
      </c>
      <c r="AE746" s="372">
        <v>0</v>
      </c>
      <c r="AF746" s="372">
        <v>0</v>
      </c>
      <c r="AG746" s="372">
        <v>0</v>
      </c>
      <c r="AH746" s="372">
        <v>0</v>
      </c>
    </row>
    <row r="747" spans="1:34">
      <c r="A747" s="372" t="s">
        <v>5438</v>
      </c>
      <c r="B747" s="373" t="s">
        <v>5439</v>
      </c>
      <c r="C747" s="372" t="s">
        <v>5440</v>
      </c>
      <c r="D747" s="374">
        <v>1648110035647</v>
      </c>
      <c r="E747" s="372" t="s">
        <v>5441</v>
      </c>
      <c r="F747" s="372" t="s">
        <v>3721</v>
      </c>
      <c r="G747" s="375" t="s">
        <v>5442</v>
      </c>
      <c r="H747" s="375" t="s">
        <v>826</v>
      </c>
      <c r="I747" s="375" t="s">
        <v>754</v>
      </c>
      <c r="J747" s="375">
        <v>472945.0062</v>
      </c>
      <c r="K747" s="375">
        <v>-5538.2822900000001</v>
      </c>
      <c r="L747" s="375">
        <v>14767.52571</v>
      </c>
      <c r="M747" s="375">
        <v>528116.42387000006</v>
      </c>
      <c r="N747" s="372">
        <v>0.20100000000000001</v>
      </c>
      <c r="O747" s="704">
        <v>7.9686087216070209</v>
      </c>
      <c r="P747" s="375" t="s">
        <v>622</v>
      </c>
      <c r="Q747" s="372" t="s">
        <v>622</v>
      </c>
      <c r="R747" s="696">
        <v>20100128</v>
      </c>
      <c r="S747" s="372" t="s">
        <v>5443</v>
      </c>
      <c r="T747" s="697">
        <v>0.20900000000000002</v>
      </c>
      <c r="U747" s="372" t="s">
        <v>5444</v>
      </c>
      <c r="V747" s="723">
        <v>18.41</v>
      </c>
      <c r="W747" s="723">
        <v>0.71</v>
      </c>
      <c r="X747" s="723">
        <v>0.91</v>
      </c>
      <c r="Y747" s="723">
        <v>50.33</v>
      </c>
      <c r="Z747" s="382" t="s">
        <v>927</v>
      </c>
      <c r="AA747" s="372">
        <v>5019.8485062999998</v>
      </c>
      <c r="AB747" s="372">
        <v>5430.3752721999999</v>
      </c>
      <c r="AC747" s="372">
        <v>5212.1611673999996</v>
      </c>
      <c r="AD747" s="372">
        <v>4847.6405513</v>
      </c>
      <c r="AE747" s="372">
        <v>0</v>
      </c>
      <c r="AF747" s="372">
        <v>0</v>
      </c>
      <c r="AG747" s="372">
        <v>0</v>
      </c>
      <c r="AH747" s="372">
        <v>0</v>
      </c>
    </row>
    <row r="748" spans="1:34">
      <c r="A748" s="372" t="s">
        <v>5445</v>
      </c>
      <c r="B748" s="373" t="s">
        <v>5446</v>
      </c>
      <c r="C748" s="372" t="s">
        <v>5447</v>
      </c>
      <c r="D748" s="374">
        <v>1101116420361</v>
      </c>
      <c r="E748" s="372" t="s">
        <v>5448</v>
      </c>
      <c r="F748" s="375" t="s">
        <v>1323</v>
      </c>
      <c r="G748" s="375" t="s">
        <v>16106</v>
      </c>
      <c r="H748" s="375" t="s">
        <v>784</v>
      </c>
      <c r="I748" s="375" t="s">
        <v>754</v>
      </c>
      <c r="J748" s="375">
        <v>697643.27884000004</v>
      </c>
      <c r="K748" s="375">
        <v>-22885.64992</v>
      </c>
      <c r="L748" s="375">
        <v>-38023.996010000003</v>
      </c>
      <c r="M748" s="375">
        <v>183750.70762</v>
      </c>
      <c r="N748" s="372">
        <v>0.76800000000000002</v>
      </c>
      <c r="O748" s="704">
        <v>37.288484619994193</v>
      </c>
      <c r="P748" s="375" t="s">
        <v>622</v>
      </c>
      <c r="Q748" s="375" t="s">
        <v>622</v>
      </c>
      <c r="R748" s="696">
        <v>20170717</v>
      </c>
      <c r="S748" s="375" t="s">
        <v>1344</v>
      </c>
      <c r="T748" s="697" t="s">
        <v>771</v>
      </c>
      <c r="U748" s="375" t="s">
        <v>5449</v>
      </c>
      <c r="V748" s="723" t="s">
        <v>773</v>
      </c>
      <c r="W748" s="723">
        <v>1.26</v>
      </c>
      <c r="X748" s="723">
        <v>0.31</v>
      </c>
      <c r="Y748" s="723" t="s">
        <v>773</v>
      </c>
      <c r="Z748" s="382" t="s">
        <v>927</v>
      </c>
      <c r="AA748" s="372">
        <v>6913.2483668000004</v>
      </c>
      <c r="AB748" s="372">
        <v>7006.9322914000004</v>
      </c>
      <c r="AC748" s="372">
        <v>7222.2992445999998</v>
      </c>
      <c r="AD748" s="372">
        <v>7263.9375803000003</v>
      </c>
      <c r="AE748" s="372">
        <v>0</v>
      </c>
      <c r="AF748" s="372">
        <v>0</v>
      </c>
      <c r="AG748" s="372">
        <v>0</v>
      </c>
      <c r="AH748" s="372">
        <v>0</v>
      </c>
    </row>
    <row r="749" spans="1:34">
      <c r="A749" s="372" t="s">
        <v>5450</v>
      </c>
      <c r="B749" s="373" t="s">
        <v>5451</v>
      </c>
      <c r="C749" s="372" t="s">
        <v>5452</v>
      </c>
      <c r="D749" s="374">
        <v>1449110000072</v>
      </c>
      <c r="E749" s="372" t="s">
        <v>5453</v>
      </c>
      <c r="F749" s="372" t="s">
        <v>3861</v>
      </c>
      <c r="G749" s="375" t="s">
        <v>3861</v>
      </c>
      <c r="H749" s="375" t="s">
        <v>846</v>
      </c>
      <c r="I749" s="375" t="s">
        <v>754</v>
      </c>
      <c r="J749" s="375">
        <v>96108.495699999999</v>
      </c>
      <c r="K749" s="375">
        <v>-3407.0490399999999</v>
      </c>
      <c r="L749" s="375">
        <v>-11693.8253</v>
      </c>
      <c r="M749" s="375">
        <v>93669.399149999997</v>
      </c>
      <c r="N749" s="372">
        <v>1.206</v>
      </c>
      <c r="O749" s="704">
        <v>16.413002368805348</v>
      </c>
      <c r="P749" s="375" t="s">
        <v>622</v>
      </c>
      <c r="Q749" s="372" t="s">
        <v>622</v>
      </c>
      <c r="R749" s="696">
        <v>19900323</v>
      </c>
      <c r="S749" s="372" t="s">
        <v>5454</v>
      </c>
      <c r="T749" s="697" t="s">
        <v>771</v>
      </c>
      <c r="U749" s="372" t="s">
        <v>15874</v>
      </c>
      <c r="V749" s="723">
        <v>127.95</v>
      </c>
      <c r="W749" s="723">
        <v>2.66</v>
      </c>
      <c r="X749" s="723">
        <v>2.42</v>
      </c>
      <c r="Y749" s="723" t="s">
        <v>773</v>
      </c>
      <c r="Z749" s="382" t="s">
        <v>927</v>
      </c>
      <c r="AA749" s="372">
        <v>353.76821510000002</v>
      </c>
      <c r="AB749" s="372">
        <v>450.46153020000003</v>
      </c>
      <c r="AC749" s="372">
        <v>445.91899189999998</v>
      </c>
      <c r="AD749" s="372">
        <v>798.65665760000002</v>
      </c>
      <c r="AE749" s="372">
        <v>0</v>
      </c>
      <c r="AF749" s="372">
        <v>0</v>
      </c>
      <c r="AG749" s="372">
        <v>0</v>
      </c>
      <c r="AH749" s="372">
        <v>0</v>
      </c>
    </row>
    <row r="750" spans="1:34">
      <c r="A750" s="372" t="s">
        <v>5455</v>
      </c>
      <c r="B750" s="373" t="s">
        <v>5456</v>
      </c>
      <c r="C750" s="372" t="s">
        <v>5457</v>
      </c>
      <c r="D750" s="374">
        <v>1601110109896</v>
      </c>
      <c r="E750" s="372" t="s">
        <v>5458</v>
      </c>
      <c r="F750" s="375" t="s">
        <v>1764</v>
      </c>
      <c r="G750" s="375" t="s">
        <v>2238</v>
      </c>
      <c r="H750" s="375" t="s">
        <v>861</v>
      </c>
      <c r="I750" s="375" t="s">
        <v>862</v>
      </c>
      <c r="J750" s="375">
        <v>75693.475630000001</v>
      </c>
      <c r="K750" s="375">
        <v>-3574.9246600000001</v>
      </c>
      <c r="L750" s="375">
        <v>8600.9502599999996</v>
      </c>
      <c r="M750" s="375">
        <v>153332.85655999999</v>
      </c>
      <c r="N750" s="372">
        <v>1.232</v>
      </c>
      <c r="O750" s="704">
        <v>0.2101801588596249</v>
      </c>
      <c r="P750" s="375" t="s">
        <v>622</v>
      </c>
      <c r="Q750" s="372" t="s">
        <v>622</v>
      </c>
      <c r="R750" s="696">
        <v>20071116</v>
      </c>
      <c r="S750" s="372" t="s">
        <v>5459</v>
      </c>
      <c r="T750" s="697">
        <v>0.20900000000000002</v>
      </c>
      <c r="U750" s="372" t="s">
        <v>5460</v>
      </c>
      <c r="V750" s="723">
        <v>0</v>
      </c>
      <c r="W750" s="723">
        <v>0</v>
      </c>
      <c r="X750" s="723">
        <v>0</v>
      </c>
      <c r="Y750" s="723">
        <v>0</v>
      </c>
      <c r="Z750" s="382" t="s">
        <v>927</v>
      </c>
      <c r="AA750" s="372">
        <v>950.98206159999995</v>
      </c>
      <c r="AB750" s="372">
        <v>1270.5610675</v>
      </c>
      <c r="AC750" s="372">
        <v>1351.7864677</v>
      </c>
      <c r="AD750" s="372">
        <v>842.32727790000001</v>
      </c>
      <c r="AE750" s="372">
        <v>1897</v>
      </c>
      <c r="AF750" s="372">
        <v>0</v>
      </c>
      <c r="AG750" s="372">
        <v>0</v>
      </c>
      <c r="AH750" s="372">
        <v>0</v>
      </c>
    </row>
    <row r="751" spans="1:34">
      <c r="A751" s="372" t="s">
        <v>5461</v>
      </c>
      <c r="B751" s="373" t="s">
        <v>5462</v>
      </c>
      <c r="C751" s="372" t="s">
        <v>5463</v>
      </c>
      <c r="D751" s="374">
        <v>1101113579947</v>
      </c>
      <c r="E751" s="372" t="s">
        <v>5464</v>
      </c>
      <c r="F751" s="372" t="s">
        <v>1370</v>
      </c>
      <c r="G751" s="375" t="s">
        <v>1370</v>
      </c>
      <c r="H751" s="375" t="s">
        <v>861</v>
      </c>
      <c r="I751" s="375" t="s">
        <v>862</v>
      </c>
      <c r="J751" s="375">
        <v>73020.488570000001</v>
      </c>
      <c r="K751" s="375">
        <v>15326.07523</v>
      </c>
      <c r="L751" s="375">
        <v>6419.36834</v>
      </c>
      <c r="M751" s="375">
        <v>134920.19714999999</v>
      </c>
      <c r="N751" s="372">
        <v>0.68100000000000005</v>
      </c>
      <c r="O751" s="704">
        <v>5.1169508965346244</v>
      </c>
      <c r="P751" s="375" t="s">
        <v>622</v>
      </c>
      <c r="Q751" s="372" t="s">
        <v>622</v>
      </c>
      <c r="R751" s="696">
        <v>20210428</v>
      </c>
      <c r="S751" s="372" t="s">
        <v>5465</v>
      </c>
      <c r="T751" s="697">
        <v>0.20900000000000002</v>
      </c>
      <c r="U751" s="372" t="s">
        <v>5466</v>
      </c>
      <c r="V751" s="723">
        <v>7.81</v>
      </c>
      <c r="W751" s="723">
        <v>1.18</v>
      </c>
      <c r="X751" s="723">
        <v>2.2000000000000002</v>
      </c>
      <c r="Y751" s="723">
        <v>28.51</v>
      </c>
      <c r="Z751" s="382">
        <v>7.7053678075378329E-2</v>
      </c>
      <c r="AA751" s="372">
        <v>513.74145180000005</v>
      </c>
      <c r="AB751" s="372">
        <v>614.41577570000004</v>
      </c>
      <c r="AC751" s="372">
        <v>645.22541909999995</v>
      </c>
      <c r="AD751" s="372">
        <v>683.65726729999994</v>
      </c>
      <c r="AE751" s="372">
        <v>747</v>
      </c>
      <c r="AF751" s="372">
        <v>833</v>
      </c>
      <c r="AG751" s="372">
        <v>920</v>
      </c>
      <c r="AH751" s="372">
        <v>0</v>
      </c>
    </row>
    <row r="752" spans="1:34">
      <c r="A752" s="372" t="s">
        <v>5467</v>
      </c>
      <c r="B752" s="373" t="s">
        <v>5468</v>
      </c>
      <c r="C752" s="372" t="s">
        <v>5469</v>
      </c>
      <c r="D752" s="374">
        <v>1101115480233</v>
      </c>
      <c r="E752" s="372" t="s">
        <v>5470</v>
      </c>
      <c r="F752" s="375" t="s">
        <v>1143</v>
      </c>
      <c r="G752" s="375" t="s">
        <v>1144</v>
      </c>
      <c r="H752" s="375" t="s">
        <v>895</v>
      </c>
      <c r="I752" s="375" t="s">
        <v>862</v>
      </c>
      <c r="J752" s="375">
        <v>132970.84766</v>
      </c>
      <c r="K752" s="375">
        <v>21616.980159999999</v>
      </c>
      <c r="L752" s="375">
        <v>3338.3319299999998</v>
      </c>
      <c r="M752" s="375">
        <v>127877.50423999999</v>
      </c>
      <c r="N752" s="372">
        <v>0.316</v>
      </c>
      <c r="O752" s="704">
        <v>2.551618700147817</v>
      </c>
      <c r="P752" s="375" t="s">
        <v>622</v>
      </c>
      <c r="Q752" s="375" t="s">
        <v>622</v>
      </c>
      <c r="R752" s="696">
        <v>20141119</v>
      </c>
      <c r="S752" s="375" t="s">
        <v>5472</v>
      </c>
      <c r="T752" s="697">
        <v>0.20900000000000002</v>
      </c>
      <c r="U752" s="372" t="s">
        <v>5473</v>
      </c>
      <c r="V752" s="723">
        <v>10.46</v>
      </c>
      <c r="W752" s="723">
        <v>2.04</v>
      </c>
      <c r="X752" s="723">
        <v>1.65</v>
      </c>
      <c r="Y752" s="723" t="s">
        <v>773</v>
      </c>
      <c r="Z752" s="382" t="s">
        <v>927</v>
      </c>
      <c r="AA752" s="372">
        <v>101.84010240000001</v>
      </c>
      <c r="AB752" s="372">
        <v>381.44495119999999</v>
      </c>
      <c r="AC752" s="372">
        <v>419.67340569999999</v>
      </c>
      <c r="AD752" s="372">
        <v>933.73547010000004</v>
      </c>
      <c r="AE752" s="372">
        <v>1334</v>
      </c>
      <c r="AF752" s="372">
        <v>1424</v>
      </c>
      <c r="AG752" s="372">
        <v>0</v>
      </c>
      <c r="AH752" s="372">
        <v>0</v>
      </c>
    </row>
    <row r="753" spans="1:34">
      <c r="A753" s="372" t="s">
        <v>5474</v>
      </c>
      <c r="B753" s="373" t="s">
        <v>5475</v>
      </c>
      <c r="C753" s="372" t="s">
        <v>5476</v>
      </c>
      <c r="D753" s="374">
        <v>1101110554992</v>
      </c>
      <c r="E753" s="372" t="s">
        <v>5477</v>
      </c>
      <c r="F753" s="375" t="s">
        <v>5478</v>
      </c>
      <c r="G753" s="375" t="s">
        <v>5479</v>
      </c>
      <c r="H753" s="375" t="s">
        <v>968</v>
      </c>
      <c r="I753" s="375" t="s">
        <v>754</v>
      </c>
      <c r="J753" s="375">
        <v>1017074.54528</v>
      </c>
      <c r="K753" s="375">
        <v>111722.99789</v>
      </c>
      <c r="L753" s="375">
        <v>195975.07427000001</v>
      </c>
      <c r="M753" s="375">
        <v>483661.49109000002</v>
      </c>
      <c r="N753" s="372">
        <v>0.57499999999999996</v>
      </c>
      <c r="O753" s="704">
        <v>373.63789428878783</v>
      </c>
      <c r="P753" s="375" t="s">
        <v>622</v>
      </c>
      <c r="Q753" s="372" t="s">
        <v>622</v>
      </c>
      <c r="R753" s="696">
        <v>20160204</v>
      </c>
      <c r="S753" s="372" t="s">
        <v>5480</v>
      </c>
      <c r="T753" s="697">
        <v>0.23100000000000001</v>
      </c>
      <c r="U753" s="372" t="s">
        <v>5481</v>
      </c>
      <c r="V753" s="723">
        <v>7.83</v>
      </c>
      <c r="W753" s="723">
        <v>0.42</v>
      </c>
      <c r="X753" s="723">
        <v>0.19</v>
      </c>
      <c r="Y753" s="723">
        <v>1.21</v>
      </c>
      <c r="Z753" s="382">
        <v>0.11460312699855879</v>
      </c>
      <c r="AA753" s="372">
        <v>4028.1897478999999</v>
      </c>
      <c r="AB753" s="372">
        <v>9870.2367794999991</v>
      </c>
      <c r="AC753" s="372">
        <v>9750.6624099000001</v>
      </c>
      <c r="AD753" s="372">
        <v>8627.6547542999997</v>
      </c>
      <c r="AE753" s="372">
        <v>10840.5</v>
      </c>
      <c r="AF753" s="372">
        <v>12403.5</v>
      </c>
      <c r="AG753" s="372">
        <v>13316</v>
      </c>
      <c r="AH753" s="372">
        <v>0</v>
      </c>
    </row>
    <row r="754" spans="1:34">
      <c r="A754" s="372" t="s">
        <v>5482</v>
      </c>
      <c r="B754" s="373" t="s">
        <v>5483</v>
      </c>
      <c r="C754" s="372" t="s">
        <v>5484</v>
      </c>
      <c r="D754" s="374">
        <v>1348110094160</v>
      </c>
      <c r="E754" s="372" t="s">
        <v>5485</v>
      </c>
      <c r="F754" s="375" t="s">
        <v>1656</v>
      </c>
      <c r="G754" s="375" t="s">
        <v>1656</v>
      </c>
      <c r="H754" s="375" t="s">
        <v>861</v>
      </c>
      <c r="I754" s="375" t="s">
        <v>862</v>
      </c>
      <c r="J754" s="375">
        <v>580628.48271000001</v>
      </c>
      <c r="K754" s="375">
        <v>32731.349740000001</v>
      </c>
      <c r="L754" s="375">
        <v>29887.61867</v>
      </c>
      <c r="M754" s="375">
        <v>149205.24048000001</v>
      </c>
      <c r="N754" s="372">
        <v>1.1890000000000001</v>
      </c>
      <c r="O754" s="704">
        <v>6.1362284180085931</v>
      </c>
      <c r="P754" s="375" t="s">
        <v>622</v>
      </c>
      <c r="Q754" s="375" t="s">
        <v>622</v>
      </c>
      <c r="R754" s="696">
        <v>20040512</v>
      </c>
      <c r="S754" s="375" t="s">
        <v>5486</v>
      </c>
      <c r="T754" s="697">
        <v>0.23100000000000001</v>
      </c>
      <c r="U754" s="375" t="s">
        <v>5487</v>
      </c>
      <c r="V754" s="723">
        <v>4.2</v>
      </c>
      <c r="W754" s="723">
        <v>1.37</v>
      </c>
      <c r="X754" s="723">
        <v>0.36</v>
      </c>
      <c r="Y754" s="723">
        <v>8.75</v>
      </c>
      <c r="Z754" s="382" t="s">
        <v>927</v>
      </c>
      <c r="AA754" s="372">
        <v>1597.4117953</v>
      </c>
      <c r="AB754" s="372">
        <v>3033.9934162999998</v>
      </c>
      <c r="AC754" s="372">
        <v>4847.6979041000004</v>
      </c>
      <c r="AD754" s="372">
        <v>4788.3767336999999</v>
      </c>
      <c r="AE754" s="372">
        <v>0</v>
      </c>
      <c r="AF754" s="372">
        <v>0</v>
      </c>
      <c r="AG754" s="372">
        <v>0</v>
      </c>
      <c r="AH754" s="372">
        <v>0</v>
      </c>
    </row>
    <row r="755" spans="1:34">
      <c r="A755" s="372" t="s">
        <v>5488</v>
      </c>
      <c r="B755" s="373" t="s">
        <v>5489</v>
      </c>
      <c r="C755" s="372" t="s">
        <v>5490</v>
      </c>
      <c r="D755" s="374">
        <v>1101111803976</v>
      </c>
      <c r="E755" s="372" t="s">
        <v>5491</v>
      </c>
      <c r="F755" s="375" t="s">
        <v>845</v>
      </c>
      <c r="G755" s="375" t="s">
        <v>845</v>
      </c>
      <c r="H755" s="375" t="s">
        <v>3099</v>
      </c>
      <c r="I755" s="375" t="s">
        <v>862</v>
      </c>
      <c r="J755" s="375">
        <v>37594.552609999999</v>
      </c>
      <c r="K755" s="375">
        <v>-4304.2207699999999</v>
      </c>
      <c r="L755" s="375">
        <v>-23407.80586</v>
      </c>
      <c r="M755" s="375">
        <v>94750.711240000004</v>
      </c>
      <c r="N755" s="372">
        <v>0.56999999999999995</v>
      </c>
      <c r="O755" s="704">
        <v>4.3280631939959315</v>
      </c>
      <c r="P755" s="375" t="s">
        <v>16115</v>
      </c>
      <c r="Q755" s="372" t="s">
        <v>16116</v>
      </c>
      <c r="R755" s="696">
        <v>20080125</v>
      </c>
      <c r="S755" s="375" t="s">
        <v>5492</v>
      </c>
      <c r="T755" s="697" t="s">
        <v>771</v>
      </c>
      <c r="U755" s="375" t="s">
        <v>5493</v>
      </c>
      <c r="V755" s="723" t="s">
        <v>773</v>
      </c>
      <c r="W755" s="723">
        <v>2.74</v>
      </c>
      <c r="X755" s="723">
        <v>6.53</v>
      </c>
      <c r="Y755" s="723" t="s">
        <v>773</v>
      </c>
      <c r="Z755" s="382" t="s">
        <v>927</v>
      </c>
      <c r="AA755" s="372">
        <v>413.49066549999998</v>
      </c>
      <c r="AB755" s="372">
        <v>400.17483440000001</v>
      </c>
      <c r="AC755" s="372">
        <v>715.63653509999995</v>
      </c>
      <c r="AD755" s="372">
        <v>414.140694</v>
      </c>
      <c r="AE755" s="372">
        <v>0</v>
      </c>
      <c r="AF755" s="372">
        <v>0</v>
      </c>
      <c r="AG755" s="372">
        <v>0</v>
      </c>
      <c r="AH755" s="372">
        <v>0</v>
      </c>
    </row>
    <row r="756" spans="1:34">
      <c r="A756" s="372" t="s">
        <v>5494</v>
      </c>
      <c r="B756" s="373" t="s">
        <v>5495</v>
      </c>
      <c r="C756" s="372" t="s">
        <v>5496</v>
      </c>
      <c r="D756" s="374">
        <v>1801110902791</v>
      </c>
      <c r="E756" s="372" t="s">
        <v>5497</v>
      </c>
      <c r="F756" s="375" t="s">
        <v>1116</v>
      </c>
      <c r="G756" s="375" t="s">
        <v>1336</v>
      </c>
      <c r="H756" s="375" t="s">
        <v>1337</v>
      </c>
      <c r="I756" s="375" t="s">
        <v>862</v>
      </c>
      <c r="J756" s="375">
        <v>8831.4408600000006</v>
      </c>
      <c r="K756" s="375">
        <v>-7273.7826999999997</v>
      </c>
      <c r="L756" s="375">
        <v>-6556.7988100000002</v>
      </c>
      <c r="M756" s="375">
        <v>-22398.99697</v>
      </c>
      <c r="N756" s="372">
        <v>0.33500000000000002</v>
      </c>
      <c r="O756" s="704">
        <v>14.23714789833523</v>
      </c>
      <c r="P756" s="375" t="s">
        <v>16115</v>
      </c>
      <c r="Q756" s="372" t="s">
        <v>16116</v>
      </c>
      <c r="R756" s="696">
        <v>20181109</v>
      </c>
      <c r="S756" s="372" t="s">
        <v>5498</v>
      </c>
      <c r="T756" s="697" t="s">
        <v>771</v>
      </c>
      <c r="U756" s="372" t="s">
        <v>5499</v>
      </c>
      <c r="V756" s="723" t="s">
        <v>773</v>
      </c>
      <c r="W756" s="723" t="s">
        <v>773</v>
      </c>
      <c r="X756" s="723">
        <v>28.13</v>
      </c>
      <c r="Y756" s="723" t="s">
        <v>773</v>
      </c>
      <c r="Z756" s="382" t="s">
        <v>927</v>
      </c>
      <c r="AA756" s="372">
        <v>7.6157345000000003</v>
      </c>
      <c r="AB756" s="372">
        <v>38.7240161</v>
      </c>
      <c r="AC756" s="372">
        <v>231.58372589999999</v>
      </c>
      <c r="AD756" s="372">
        <v>188.62893840000001</v>
      </c>
      <c r="AE756" s="372">
        <v>0</v>
      </c>
      <c r="AF756" s="372">
        <v>0</v>
      </c>
      <c r="AG756" s="372">
        <v>0</v>
      </c>
      <c r="AH756" s="372">
        <v>0</v>
      </c>
    </row>
    <row r="757" spans="1:34">
      <c r="A757" s="372" t="s">
        <v>5500</v>
      </c>
      <c r="B757" s="373" t="s">
        <v>5501</v>
      </c>
      <c r="C757" s="372" t="s">
        <v>15996</v>
      </c>
      <c r="D757" s="374">
        <v>1101111828362</v>
      </c>
      <c r="E757" s="372" t="s">
        <v>16077</v>
      </c>
      <c r="F757" s="375" t="s">
        <v>1262</v>
      </c>
      <c r="G757" s="375" t="s">
        <v>1263</v>
      </c>
      <c r="H757" s="375" t="s">
        <v>895</v>
      </c>
      <c r="I757" s="375" t="s">
        <v>862</v>
      </c>
      <c r="J757" s="375">
        <v>174637.81594</v>
      </c>
      <c r="K757" s="375">
        <v>37596.777679999999</v>
      </c>
      <c r="L757" s="375">
        <v>38585.159209999998</v>
      </c>
      <c r="M757" s="375">
        <v>881518.64963999996</v>
      </c>
      <c r="N757" s="372">
        <v>0.60799999999999998</v>
      </c>
      <c r="O757" s="704">
        <v>2171.500071088567</v>
      </c>
      <c r="P757" s="375" t="s">
        <v>622</v>
      </c>
      <c r="Q757" s="375" t="s">
        <v>622</v>
      </c>
      <c r="R757" s="696">
        <v>20070221</v>
      </c>
      <c r="S757" s="375" t="s">
        <v>5502</v>
      </c>
      <c r="T757" s="697">
        <v>0.23100000000000001</v>
      </c>
      <c r="U757" s="372" t="s">
        <v>5503</v>
      </c>
      <c r="V757" s="723">
        <v>0</v>
      </c>
      <c r="W757" s="723">
        <v>0.33</v>
      </c>
      <c r="X757" s="723">
        <v>0.21</v>
      </c>
      <c r="Y757" s="723">
        <v>9.67</v>
      </c>
      <c r="Z757" s="382" t="s">
        <v>927</v>
      </c>
      <c r="AA757" s="372">
        <v>3408.5961384000002</v>
      </c>
      <c r="AB757" s="372">
        <v>4558.3005733999998</v>
      </c>
      <c r="AC757" s="372">
        <v>2117.3002161999998</v>
      </c>
      <c r="AD757" s="372">
        <v>1707.0556537</v>
      </c>
      <c r="AE757" s="372">
        <v>0</v>
      </c>
      <c r="AF757" s="372">
        <v>0</v>
      </c>
      <c r="AG757" s="372">
        <v>0</v>
      </c>
      <c r="AH757" s="372">
        <v>0</v>
      </c>
    </row>
    <row r="758" spans="1:34">
      <c r="A758" s="372" t="s">
        <v>5504</v>
      </c>
      <c r="B758" s="373" t="s">
        <v>5505</v>
      </c>
      <c r="C758" s="372" t="s">
        <v>5506</v>
      </c>
      <c r="D758" s="374">
        <v>1101111061954</v>
      </c>
      <c r="E758" s="372" t="s">
        <v>5507</v>
      </c>
      <c r="F758" s="375" t="s">
        <v>845</v>
      </c>
      <c r="G758" s="375" t="s">
        <v>845</v>
      </c>
      <c r="H758" s="375" t="s">
        <v>3099</v>
      </c>
      <c r="I758" s="375" t="s">
        <v>862</v>
      </c>
      <c r="J758" s="375">
        <v>201443.58650999999</v>
      </c>
      <c r="K758" s="375">
        <v>34558.862009999997</v>
      </c>
      <c r="L758" s="375">
        <v>36963.134039999997</v>
      </c>
      <c r="M758" s="375">
        <v>92971.940900000001</v>
      </c>
      <c r="N758" s="372">
        <v>0.39200000000000002</v>
      </c>
      <c r="O758" s="704">
        <v>2.7406561077117018</v>
      </c>
      <c r="P758" s="375" t="s">
        <v>622</v>
      </c>
      <c r="Q758" s="375" t="s">
        <v>622</v>
      </c>
      <c r="R758" s="696">
        <v>20000107</v>
      </c>
      <c r="S758" s="375" t="s">
        <v>5508</v>
      </c>
      <c r="T758" s="697">
        <v>0.23100000000000001</v>
      </c>
      <c r="U758" s="375" t="s">
        <v>5509</v>
      </c>
      <c r="V758" s="723">
        <v>0</v>
      </c>
      <c r="W758" s="723">
        <v>0</v>
      </c>
      <c r="X758" s="723">
        <v>0</v>
      </c>
      <c r="Y758" s="723">
        <v>0</v>
      </c>
      <c r="Z758" s="382" t="s">
        <v>927</v>
      </c>
      <c r="AA758" s="372">
        <v>164.41421209999999</v>
      </c>
      <c r="AB758" s="372">
        <v>489.3658954</v>
      </c>
      <c r="AC758" s="372">
        <v>1174.0115837999999</v>
      </c>
      <c r="AD758" s="372">
        <v>1779.4865272</v>
      </c>
      <c r="AE758" s="372">
        <v>0</v>
      </c>
      <c r="AF758" s="372">
        <v>0</v>
      </c>
      <c r="AG758" s="372">
        <v>0</v>
      </c>
      <c r="AH758" s="372">
        <v>0</v>
      </c>
    </row>
    <row r="759" spans="1:34">
      <c r="A759" s="372" t="s">
        <v>5510</v>
      </c>
      <c r="B759" s="373" t="s">
        <v>5511</v>
      </c>
      <c r="C759" s="372" t="s">
        <v>5512</v>
      </c>
      <c r="D759" s="374">
        <v>1351110083661</v>
      </c>
      <c r="E759" s="372" t="s">
        <v>5513</v>
      </c>
      <c r="F759" s="375" t="s">
        <v>5514</v>
      </c>
      <c r="G759" s="375" t="s">
        <v>5514</v>
      </c>
      <c r="H759" s="375" t="s">
        <v>861</v>
      </c>
      <c r="I759" s="375" t="s">
        <v>862</v>
      </c>
      <c r="J759" s="375">
        <v>66733.14301</v>
      </c>
      <c r="K759" s="375">
        <v>13002.541789999999</v>
      </c>
      <c r="L759" s="375">
        <v>18344.241180000001</v>
      </c>
      <c r="M759" s="375">
        <v>165014.74726</v>
      </c>
      <c r="N759" s="372">
        <v>0.98399999999999999</v>
      </c>
      <c r="O759" s="704">
        <v>0.2874535729455362</v>
      </c>
      <c r="P759" s="375" t="s">
        <v>622</v>
      </c>
      <c r="Q759" s="375" t="s">
        <v>622</v>
      </c>
      <c r="R759" s="696">
        <v>20181102</v>
      </c>
      <c r="S759" s="375" t="s">
        <v>5515</v>
      </c>
      <c r="T759" s="697">
        <v>0.20900000000000002</v>
      </c>
      <c r="U759" s="372" t="s">
        <v>5516</v>
      </c>
      <c r="V759" s="723">
        <v>8.5299999999999994</v>
      </c>
      <c r="W759" s="723">
        <v>0.77</v>
      </c>
      <c r="X759" s="723">
        <v>2.0299999999999998</v>
      </c>
      <c r="Y759" s="723">
        <v>7.79</v>
      </c>
      <c r="Z759" s="382" t="s">
        <v>927</v>
      </c>
      <c r="AA759" s="372">
        <v>678.55056000000002</v>
      </c>
      <c r="AB759" s="372">
        <v>905.00181359999999</v>
      </c>
      <c r="AC759" s="372">
        <v>1104.9431565</v>
      </c>
      <c r="AD759" s="372">
        <v>924.21026749999999</v>
      </c>
      <c r="AE759" s="372">
        <v>1146</v>
      </c>
      <c r="AF759" s="372">
        <v>1208</v>
      </c>
      <c r="AG759" s="372">
        <v>0</v>
      </c>
      <c r="AH759" s="372">
        <v>0</v>
      </c>
    </row>
    <row r="760" spans="1:34">
      <c r="A760" s="372" t="s">
        <v>5517</v>
      </c>
      <c r="B760" s="373" t="s">
        <v>5518</v>
      </c>
      <c r="C760" s="372" t="s">
        <v>5519</v>
      </c>
      <c r="D760" s="374">
        <v>2001110054795</v>
      </c>
      <c r="E760" s="372" t="s">
        <v>5520</v>
      </c>
      <c r="F760" s="375" t="s">
        <v>1648</v>
      </c>
      <c r="G760" s="375" t="s">
        <v>1649</v>
      </c>
      <c r="H760" s="375" t="s">
        <v>846</v>
      </c>
      <c r="I760" s="375" t="s">
        <v>754</v>
      </c>
      <c r="J760" s="375">
        <v>179926.42744999999</v>
      </c>
      <c r="K760" s="375">
        <v>52453.761639999997</v>
      </c>
      <c r="L760" s="375">
        <v>56632.569969999997</v>
      </c>
      <c r="M760" s="375">
        <v>825830.11315999995</v>
      </c>
      <c r="N760" s="372">
        <v>0.52100000000000002</v>
      </c>
      <c r="O760" s="704">
        <v>123.48895008406421</v>
      </c>
      <c r="P760" s="375" t="s">
        <v>622</v>
      </c>
      <c r="Q760" s="372" t="s">
        <v>622</v>
      </c>
      <c r="R760" s="696">
        <v>20020207</v>
      </c>
      <c r="S760" s="375" t="s">
        <v>1649</v>
      </c>
      <c r="T760" s="697">
        <v>0.23100000000000001</v>
      </c>
      <c r="U760" s="375" t="s">
        <v>5521</v>
      </c>
      <c r="V760" s="723">
        <v>0</v>
      </c>
      <c r="W760" s="723">
        <v>0</v>
      </c>
      <c r="X760" s="723">
        <v>0</v>
      </c>
      <c r="Y760" s="723">
        <v>0</v>
      </c>
      <c r="Z760" s="382" t="s">
        <v>927</v>
      </c>
      <c r="AA760" s="372">
        <v>1475.0845428</v>
      </c>
      <c r="AB760" s="372">
        <v>1699.7162125</v>
      </c>
      <c r="AC760" s="372">
        <v>1848.7395524999999</v>
      </c>
      <c r="AD760" s="372">
        <v>1795.8681786</v>
      </c>
      <c r="AE760" s="372">
        <v>0</v>
      </c>
      <c r="AF760" s="372">
        <v>0</v>
      </c>
      <c r="AG760" s="372">
        <v>0</v>
      </c>
      <c r="AH760" s="372">
        <v>0</v>
      </c>
    </row>
    <row r="761" spans="1:34">
      <c r="A761" s="372" t="s">
        <v>5522</v>
      </c>
      <c r="B761" s="373" t="s">
        <v>5523</v>
      </c>
      <c r="C761" s="372" t="s">
        <v>5524</v>
      </c>
      <c r="D761" s="374">
        <v>1812110003728</v>
      </c>
      <c r="E761" s="372" t="s">
        <v>5525</v>
      </c>
      <c r="F761" s="375" t="s">
        <v>1357</v>
      </c>
      <c r="G761" s="375" t="s">
        <v>1357</v>
      </c>
      <c r="H761" s="375" t="s">
        <v>861</v>
      </c>
      <c r="I761" s="375" t="s">
        <v>862</v>
      </c>
      <c r="J761" s="375">
        <v>422616.02197</v>
      </c>
      <c r="K761" s="375">
        <v>26094.646199999999</v>
      </c>
      <c r="L761" s="375">
        <v>29624.329099999999</v>
      </c>
      <c r="M761" s="375">
        <v>548374.69117999997</v>
      </c>
      <c r="N761" s="372">
        <v>0.93400000000000005</v>
      </c>
      <c r="O761" s="704">
        <v>16.954869408605798</v>
      </c>
      <c r="P761" s="375" t="s">
        <v>622</v>
      </c>
      <c r="Q761" s="375" t="s">
        <v>622</v>
      </c>
      <c r="R761" s="696">
        <v>19920728</v>
      </c>
      <c r="S761" s="375" t="s">
        <v>5526</v>
      </c>
      <c r="T761" s="697">
        <v>0.23100000000000001</v>
      </c>
      <c r="U761" s="375" t="s">
        <v>5527</v>
      </c>
      <c r="V761" s="723">
        <v>6.39</v>
      </c>
      <c r="W761" s="723">
        <v>0.41</v>
      </c>
      <c r="X761" s="723">
        <v>0.49</v>
      </c>
      <c r="Y761" s="723">
        <v>11.87</v>
      </c>
      <c r="Z761" s="382" t="s">
        <v>927</v>
      </c>
      <c r="AA761" s="372">
        <v>3717.4081316000002</v>
      </c>
      <c r="AB761" s="372">
        <v>5016.6255462999998</v>
      </c>
      <c r="AC761" s="372">
        <v>5126.9807456999997</v>
      </c>
      <c r="AD761" s="372">
        <v>4382.741137</v>
      </c>
      <c r="AE761" s="372">
        <v>0</v>
      </c>
      <c r="AF761" s="372">
        <v>0</v>
      </c>
      <c r="AG761" s="372">
        <v>0</v>
      </c>
      <c r="AH761" s="372">
        <v>0</v>
      </c>
    </row>
    <row r="762" spans="1:34">
      <c r="A762" s="372" t="s">
        <v>5528</v>
      </c>
      <c r="B762" s="373" t="s">
        <v>5529</v>
      </c>
      <c r="C762" s="372" t="s">
        <v>5530</v>
      </c>
      <c r="D762" s="374">
        <v>1101112023185</v>
      </c>
      <c r="E762" s="372" t="s">
        <v>5531</v>
      </c>
      <c r="F762" s="375" t="s">
        <v>893</v>
      </c>
      <c r="G762" s="375" t="s">
        <v>894</v>
      </c>
      <c r="H762" s="375" t="s">
        <v>895</v>
      </c>
      <c r="I762" s="375" t="s">
        <v>862</v>
      </c>
      <c r="J762" s="375">
        <v>123884.81290999999</v>
      </c>
      <c r="K762" s="375">
        <v>14397.104590000001</v>
      </c>
      <c r="L762" s="375">
        <v>25928.46428</v>
      </c>
      <c r="M762" s="375">
        <v>350560.62092000002</v>
      </c>
      <c r="N762" s="372">
        <v>0.47599999999999998</v>
      </c>
      <c r="O762" s="704">
        <v>1.0122827427125831</v>
      </c>
      <c r="P762" s="375" t="s">
        <v>622</v>
      </c>
      <c r="Q762" s="375" t="s">
        <v>622</v>
      </c>
      <c r="R762" s="696">
        <v>20090123</v>
      </c>
      <c r="S762" s="375" t="s">
        <v>5532</v>
      </c>
      <c r="T762" s="697">
        <v>0.23100000000000001</v>
      </c>
      <c r="U762" s="372" t="s">
        <v>5533</v>
      </c>
      <c r="V762" s="723">
        <v>15.93</v>
      </c>
      <c r="W762" s="723">
        <v>0.7</v>
      </c>
      <c r="X762" s="723">
        <v>1.48</v>
      </c>
      <c r="Y762" s="723">
        <v>21.84</v>
      </c>
      <c r="Z762" s="382" t="s">
        <v>927</v>
      </c>
      <c r="AA762" s="372">
        <v>1213.816335</v>
      </c>
      <c r="AB762" s="372">
        <v>1509.9596845999999</v>
      </c>
      <c r="AC762" s="372">
        <v>1515.8323582</v>
      </c>
      <c r="AD762" s="372">
        <v>1715.9970501</v>
      </c>
      <c r="AE762" s="372">
        <v>0</v>
      </c>
      <c r="AF762" s="372">
        <v>0</v>
      </c>
      <c r="AG762" s="372">
        <v>0</v>
      </c>
      <c r="AH762" s="372">
        <v>0</v>
      </c>
    </row>
    <row r="763" spans="1:34">
      <c r="A763" s="372" t="s">
        <v>5534</v>
      </c>
      <c r="B763" s="373" t="s">
        <v>5535</v>
      </c>
      <c r="C763" s="372" t="s">
        <v>5536</v>
      </c>
      <c r="D763" s="374">
        <v>0</v>
      </c>
      <c r="E763" s="372" t="s">
        <v>5537</v>
      </c>
      <c r="F763" s="372" t="s">
        <v>893</v>
      </c>
      <c r="G763" s="375" t="s">
        <v>894</v>
      </c>
      <c r="H763" s="375">
        <v>0</v>
      </c>
      <c r="I763" s="375" t="s">
        <v>862</v>
      </c>
      <c r="J763" s="375">
        <v>816733.20299999998</v>
      </c>
      <c r="K763" s="375">
        <v>125618.15</v>
      </c>
      <c r="L763" s="375">
        <v>113420.111</v>
      </c>
      <c r="M763" s="375">
        <v>873321.897</v>
      </c>
      <c r="N763" s="372">
        <v>0.75</v>
      </c>
      <c r="O763" s="704">
        <v>194.18785640074213</v>
      </c>
      <c r="P763" s="375" t="s">
        <v>622</v>
      </c>
      <c r="Q763" s="372" t="s">
        <v>622</v>
      </c>
      <c r="R763" s="696">
        <v>20161025</v>
      </c>
      <c r="S763" s="372" t="s">
        <v>5538</v>
      </c>
      <c r="T763" s="697">
        <v>0.23100000000000001</v>
      </c>
      <c r="U763" s="372" t="s">
        <v>5539</v>
      </c>
      <c r="V763" s="723">
        <v>4.17</v>
      </c>
      <c r="W763" s="723">
        <v>0.28000000000000003</v>
      </c>
      <c r="X763" s="723">
        <v>0.27</v>
      </c>
      <c r="Y763" s="723">
        <v>2.77</v>
      </c>
      <c r="Z763" s="382" t="s">
        <v>927</v>
      </c>
      <c r="AA763" s="372">
        <v>3434.1891999999998</v>
      </c>
      <c r="AB763" s="372">
        <v>3678.05834</v>
      </c>
      <c r="AC763" s="372">
        <v>4296.2108200000002</v>
      </c>
      <c r="AD763" s="372">
        <v>7677.0938100000003</v>
      </c>
      <c r="AE763" s="372">
        <v>0</v>
      </c>
      <c r="AF763" s="372">
        <v>0</v>
      </c>
      <c r="AG763" s="372">
        <v>0</v>
      </c>
      <c r="AH763" s="372">
        <v>0</v>
      </c>
    </row>
    <row r="764" spans="1:34">
      <c r="A764" s="372" t="s">
        <v>5540</v>
      </c>
      <c r="B764" s="373" t="s">
        <v>5541</v>
      </c>
      <c r="C764" s="372" t="s">
        <v>5542</v>
      </c>
      <c r="D764" s="374">
        <v>1101111725386</v>
      </c>
      <c r="E764" s="372" t="s">
        <v>5543</v>
      </c>
      <c r="F764" s="372" t="s">
        <v>1903</v>
      </c>
      <c r="G764" s="375" t="s">
        <v>5544</v>
      </c>
      <c r="H764" s="375" t="s">
        <v>861</v>
      </c>
      <c r="I764" s="375" t="s">
        <v>862</v>
      </c>
      <c r="J764" s="375">
        <v>202847.00235</v>
      </c>
      <c r="K764" s="375">
        <v>19670.093130000001</v>
      </c>
      <c r="L764" s="375">
        <v>17988.724610000001</v>
      </c>
      <c r="M764" s="375">
        <v>120183.58018999999</v>
      </c>
      <c r="N764" s="372">
        <v>0.66600000000000004</v>
      </c>
      <c r="O764" s="704">
        <v>56.302644336442562</v>
      </c>
      <c r="P764" s="375" t="s">
        <v>622</v>
      </c>
      <c r="Q764" s="372" t="s">
        <v>622</v>
      </c>
      <c r="R764" s="696">
        <v>20091222</v>
      </c>
      <c r="S764" s="372" t="s">
        <v>5545</v>
      </c>
      <c r="T764" s="697">
        <v>0.20900000000000002</v>
      </c>
      <c r="U764" s="372" t="s">
        <v>5546</v>
      </c>
      <c r="V764" s="723">
        <v>6.53</v>
      </c>
      <c r="W764" s="723">
        <v>1.17</v>
      </c>
      <c r="X764" s="723">
        <v>0.73</v>
      </c>
      <c r="Y764" s="723">
        <v>9.73</v>
      </c>
      <c r="Z764" s="382">
        <v>0.18305989717979076</v>
      </c>
      <c r="AA764" s="372">
        <v>2122.7458695999999</v>
      </c>
      <c r="AB764" s="372">
        <v>996.3268961</v>
      </c>
      <c r="AC764" s="372">
        <v>1131.1460812</v>
      </c>
      <c r="AD764" s="372">
        <v>1440.5557724</v>
      </c>
      <c r="AE764" s="372">
        <v>2403</v>
      </c>
      <c r="AF764" s="372">
        <v>2650</v>
      </c>
      <c r="AG764" s="372">
        <v>2822</v>
      </c>
      <c r="AH764" s="372">
        <v>0</v>
      </c>
    </row>
    <row r="765" spans="1:34">
      <c r="A765" s="372" t="s">
        <v>5547</v>
      </c>
      <c r="B765" s="373" t="s">
        <v>5548</v>
      </c>
      <c r="C765" s="372" t="s">
        <v>5549</v>
      </c>
      <c r="D765" s="374">
        <v>1101110911192</v>
      </c>
      <c r="E765" s="372" t="s">
        <v>5550</v>
      </c>
      <c r="F765" s="375" t="s">
        <v>1185</v>
      </c>
      <c r="G765" s="375" t="s">
        <v>1186</v>
      </c>
      <c r="H765" s="375" t="s">
        <v>861</v>
      </c>
      <c r="I765" s="375" t="s">
        <v>862</v>
      </c>
      <c r="J765" s="375">
        <v>61253.800770000002</v>
      </c>
      <c r="K765" s="375">
        <v>-20097.61246</v>
      </c>
      <c r="L765" s="375">
        <v>-18064.701369999999</v>
      </c>
      <c r="M765" s="375">
        <v>122738.56690000001</v>
      </c>
      <c r="N765" s="372">
        <v>1.2769999999999999</v>
      </c>
      <c r="O765" s="704">
        <v>0.59541656516711705</v>
      </c>
      <c r="P765" s="375" t="s">
        <v>622</v>
      </c>
      <c r="Q765" s="375" t="s">
        <v>622</v>
      </c>
      <c r="R765" s="696">
        <v>20041230</v>
      </c>
      <c r="S765" s="375" t="s">
        <v>5551</v>
      </c>
      <c r="T765" s="697" t="s">
        <v>771</v>
      </c>
      <c r="U765" s="375" t="s">
        <v>5552</v>
      </c>
      <c r="V765" s="723" t="s">
        <v>773</v>
      </c>
      <c r="W765" s="723">
        <v>1.4</v>
      </c>
      <c r="X765" s="723">
        <v>3</v>
      </c>
      <c r="Y765" s="723" t="s">
        <v>773</v>
      </c>
      <c r="Z765" s="382" t="s">
        <v>927</v>
      </c>
      <c r="AA765" s="372">
        <v>589.44868610000003</v>
      </c>
      <c r="AB765" s="372">
        <v>1163.8064687999999</v>
      </c>
      <c r="AC765" s="372">
        <v>1548.5708227</v>
      </c>
      <c r="AD765" s="372">
        <v>1094.7429342999999</v>
      </c>
      <c r="AE765" s="372">
        <v>0</v>
      </c>
      <c r="AF765" s="372">
        <v>0</v>
      </c>
      <c r="AG765" s="372">
        <v>0</v>
      </c>
      <c r="AH765" s="372">
        <v>0</v>
      </c>
    </row>
    <row r="766" spans="1:34">
      <c r="A766" s="372" t="s">
        <v>5553</v>
      </c>
      <c r="B766" s="373" t="s">
        <v>5554</v>
      </c>
      <c r="C766" s="372" t="s">
        <v>5555</v>
      </c>
      <c r="D766" s="374">
        <v>1101112007709</v>
      </c>
      <c r="E766" s="372" t="s">
        <v>5556</v>
      </c>
      <c r="F766" s="375" t="s">
        <v>16101</v>
      </c>
      <c r="G766" s="375" t="s">
        <v>16101</v>
      </c>
      <c r="H766" s="375" t="s">
        <v>861</v>
      </c>
      <c r="I766" s="375" t="s">
        <v>862</v>
      </c>
      <c r="J766" s="375">
        <v>69863.919529999999</v>
      </c>
      <c r="K766" s="375">
        <v>-39487.831469999997</v>
      </c>
      <c r="L766" s="375">
        <v>-11064.70161</v>
      </c>
      <c r="M766" s="375">
        <v>290266.89883000002</v>
      </c>
      <c r="N766" s="372">
        <v>0.66600000000000004</v>
      </c>
      <c r="O766" s="704">
        <v>20.371679946723763</v>
      </c>
      <c r="P766" s="375" t="s">
        <v>622</v>
      </c>
      <c r="Q766" s="372" t="s">
        <v>622</v>
      </c>
      <c r="R766" s="696">
        <v>20050729</v>
      </c>
      <c r="S766" s="372" t="s">
        <v>5557</v>
      </c>
      <c r="T766" s="697" t="s">
        <v>771</v>
      </c>
      <c r="U766" s="372" t="s">
        <v>5558</v>
      </c>
      <c r="V766" s="723" t="s">
        <v>773</v>
      </c>
      <c r="W766" s="723">
        <v>0.74</v>
      </c>
      <c r="X766" s="723">
        <v>2.99</v>
      </c>
      <c r="Y766" s="723" t="s">
        <v>773</v>
      </c>
      <c r="Z766" s="382">
        <v>4.8309662150370247E-2</v>
      </c>
      <c r="AA766" s="372">
        <v>486.24816650000002</v>
      </c>
      <c r="AB766" s="372">
        <v>548.5620735</v>
      </c>
      <c r="AC766" s="372">
        <v>642.00627629999997</v>
      </c>
      <c r="AD766" s="372">
        <v>686.42987370000003</v>
      </c>
      <c r="AE766" s="372">
        <v>707</v>
      </c>
      <c r="AF766" s="372">
        <v>765</v>
      </c>
      <c r="AG766" s="372">
        <v>829</v>
      </c>
      <c r="AH766" s="372">
        <v>0</v>
      </c>
    </row>
    <row r="767" spans="1:34">
      <c r="A767" s="372" t="s">
        <v>5559</v>
      </c>
      <c r="B767" s="373" t="s">
        <v>5560</v>
      </c>
      <c r="C767" s="372" t="s">
        <v>5561</v>
      </c>
      <c r="D767" s="374">
        <v>1101110692875</v>
      </c>
      <c r="E767" s="372" t="s">
        <v>5562</v>
      </c>
      <c r="F767" s="375" t="s">
        <v>1081</v>
      </c>
      <c r="G767" s="375" t="s">
        <v>1082</v>
      </c>
      <c r="H767" s="375" t="s">
        <v>817</v>
      </c>
      <c r="I767" s="375" t="s">
        <v>754</v>
      </c>
      <c r="J767" s="375">
        <v>365464.86829000001</v>
      </c>
      <c r="K767" s="375">
        <v>22704.1479</v>
      </c>
      <c r="L767" s="375">
        <v>17651.370129999999</v>
      </c>
      <c r="M767" s="375">
        <v>112303.25106</v>
      </c>
      <c r="N767" s="372">
        <v>0.63100000000000001</v>
      </c>
      <c r="O767" s="704">
        <v>8.1860056691750369</v>
      </c>
      <c r="P767" s="375" t="s">
        <v>622</v>
      </c>
      <c r="Q767" s="375" t="s">
        <v>622</v>
      </c>
      <c r="R767" s="696">
        <v>20101216</v>
      </c>
      <c r="S767" s="375" t="s">
        <v>5563</v>
      </c>
      <c r="T767" s="697">
        <v>0.20900000000000002</v>
      </c>
      <c r="U767" s="375" t="s">
        <v>5564</v>
      </c>
      <c r="V767" s="723">
        <v>15.39</v>
      </c>
      <c r="W767" s="723">
        <v>3.83</v>
      </c>
      <c r="X767" s="723">
        <v>1.18</v>
      </c>
      <c r="Y767" s="723">
        <v>31.78</v>
      </c>
      <c r="Z767" s="382" t="s">
        <v>927</v>
      </c>
      <c r="AA767" s="372">
        <v>3293.0988690999998</v>
      </c>
      <c r="AB767" s="372">
        <v>3210.6544933</v>
      </c>
      <c r="AC767" s="372">
        <v>3460.4222530000002</v>
      </c>
      <c r="AD767" s="372">
        <v>3632.6129596999999</v>
      </c>
      <c r="AE767" s="372">
        <v>0</v>
      </c>
      <c r="AF767" s="372">
        <v>0</v>
      </c>
      <c r="AG767" s="372">
        <v>0</v>
      </c>
      <c r="AH767" s="372">
        <v>0</v>
      </c>
    </row>
    <row r="768" spans="1:34">
      <c r="A768" s="372" t="s">
        <v>5565</v>
      </c>
      <c r="B768" s="373" t="s">
        <v>5566</v>
      </c>
      <c r="C768" s="372" t="s">
        <v>5567</v>
      </c>
      <c r="D768" s="374">
        <v>1801110059112</v>
      </c>
      <c r="E768" s="372" t="s">
        <v>5568</v>
      </c>
      <c r="F768" s="375" t="s">
        <v>1323</v>
      </c>
      <c r="G768" s="375" t="s">
        <v>16106</v>
      </c>
      <c r="H768" s="375" t="s">
        <v>861</v>
      </c>
      <c r="I768" s="375" t="s">
        <v>862</v>
      </c>
      <c r="J768" s="375">
        <v>79798.732640000002</v>
      </c>
      <c r="K768" s="375">
        <v>4896.2946700000002</v>
      </c>
      <c r="L768" s="375">
        <v>2119.9849399999998</v>
      </c>
      <c r="M768" s="375">
        <v>71772.277440000005</v>
      </c>
      <c r="N768" s="372">
        <v>0.996</v>
      </c>
      <c r="O768" s="704">
        <v>9.9546605415079288</v>
      </c>
      <c r="P768" s="375" t="s">
        <v>622</v>
      </c>
      <c r="Q768" s="372" t="s">
        <v>622</v>
      </c>
      <c r="R768" s="696">
        <v>20200810</v>
      </c>
      <c r="S768" s="372" t="s">
        <v>5569</v>
      </c>
      <c r="T768" s="697">
        <v>0.20900000000000002</v>
      </c>
      <c r="U768" s="372" t="s">
        <v>5570</v>
      </c>
      <c r="V768" s="723">
        <v>0</v>
      </c>
      <c r="W768" s="723">
        <v>0</v>
      </c>
      <c r="X768" s="723">
        <v>0</v>
      </c>
      <c r="Y768" s="723">
        <v>0</v>
      </c>
      <c r="Z768" s="382" t="s">
        <v>927</v>
      </c>
      <c r="AA768" s="372">
        <v>715.09725619999995</v>
      </c>
      <c r="AB768" s="372">
        <v>795.76699840000003</v>
      </c>
      <c r="AC768" s="372">
        <v>810.2942137</v>
      </c>
      <c r="AD768" s="372">
        <v>832.40454810000006</v>
      </c>
      <c r="AE768" s="372">
        <v>0</v>
      </c>
      <c r="AF768" s="372">
        <v>0</v>
      </c>
      <c r="AG768" s="372">
        <v>0</v>
      </c>
      <c r="AH768" s="372">
        <v>0</v>
      </c>
    </row>
    <row r="769" spans="1:34">
      <c r="A769" s="372" t="s">
        <v>5571</v>
      </c>
      <c r="B769" s="373" t="s">
        <v>5572</v>
      </c>
      <c r="C769" s="372" t="s">
        <v>5573</v>
      </c>
      <c r="D769" s="374">
        <v>1351110088083</v>
      </c>
      <c r="E769" s="372" t="s">
        <v>5574</v>
      </c>
      <c r="F769" s="375" t="s">
        <v>1185</v>
      </c>
      <c r="G769" s="375" t="s">
        <v>1185</v>
      </c>
      <c r="H769" s="375" t="s">
        <v>861</v>
      </c>
      <c r="I769" s="375" t="s">
        <v>862</v>
      </c>
      <c r="J769" s="375">
        <v>335377.13695999997</v>
      </c>
      <c r="K769" s="375">
        <v>8003.6041400000004</v>
      </c>
      <c r="L769" s="375">
        <v>8030.4233899999999</v>
      </c>
      <c r="M769" s="375">
        <v>227886.00057999999</v>
      </c>
      <c r="N769" s="372">
        <v>0.92600000000000005</v>
      </c>
      <c r="O769" s="704">
        <v>14.602047591820222</v>
      </c>
      <c r="P769" s="375" t="s">
        <v>622</v>
      </c>
      <c r="Q769" s="372" t="s">
        <v>622</v>
      </c>
      <c r="R769" s="696">
        <v>20170601</v>
      </c>
      <c r="S769" s="375" t="s">
        <v>5575</v>
      </c>
      <c r="T769" s="697">
        <v>0.20900000000000002</v>
      </c>
      <c r="U769" s="372" t="s">
        <v>5576</v>
      </c>
      <c r="V769" s="723">
        <v>39.71</v>
      </c>
      <c r="W769" s="723">
        <v>3.13</v>
      </c>
      <c r="X769" s="723">
        <v>1.39</v>
      </c>
      <c r="Y769" s="723">
        <v>69.13</v>
      </c>
      <c r="Z769" s="382" t="s">
        <v>927</v>
      </c>
      <c r="AA769" s="372">
        <v>1888.9011671000001</v>
      </c>
      <c r="AB769" s="372">
        <v>2307.9182796999999</v>
      </c>
      <c r="AC769" s="372">
        <v>3039.8772788000001</v>
      </c>
      <c r="AD769" s="372">
        <v>3000.0106609999998</v>
      </c>
      <c r="AE769" s="372">
        <v>4820</v>
      </c>
      <c r="AF769" s="372">
        <v>5514</v>
      </c>
      <c r="AG769" s="372">
        <v>0</v>
      </c>
      <c r="AH769" s="372">
        <v>0</v>
      </c>
    </row>
    <row r="770" spans="1:34">
      <c r="A770" s="372" t="s">
        <v>5577</v>
      </c>
      <c r="B770" s="373" t="s">
        <v>5578</v>
      </c>
      <c r="C770" s="372" t="s">
        <v>5579</v>
      </c>
      <c r="D770" s="374">
        <v>1345110002375</v>
      </c>
      <c r="E770" s="372" t="s">
        <v>5580</v>
      </c>
      <c r="F770" s="375" t="s">
        <v>1275</v>
      </c>
      <c r="G770" s="375" t="s">
        <v>1275</v>
      </c>
      <c r="H770" s="375" t="s">
        <v>861</v>
      </c>
      <c r="I770" s="375" t="s">
        <v>862</v>
      </c>
      <c r="J770" s="375">
        <v>592113.72479000001</v>
      </c>
      <c r="K770" s="375">
        <v>9188.6852199999994</v>
      </c>
      <c r="L770" s="375">
        <v>-20886.90108</v>
      </c>
      <c r="M770" s="375">
        <v>250125.25051000001</v>
      </c>
      <c r="N770" s="372">
        <v>1.0229999999999999</v>
      </c>
      <c r="O770" s="704">
        <v>147.1408773916809</v>
      </c>
      <c r="P770" s="375" t="s">
        <v>622</v>
      </c>
      <c r="Q770" s="372" t="s">
        <v>622</v>
      </c>
      <c r="R770" s="696">
        <v>20020507</v>
      </c>
      <c r="S770" s="375" t="s">
        <v>5581</v>
      </c>
      <c r="T770" s="697" t="s">
        <v>771</v>
      </c>
      <c r="U770" s="375" t="s">
        <v>5582</v>
      </c>
      <c r="V770" s="723">
        <v>8.98</v>
      </c>
      <c r="W770" s="723">
        <v>0.72</v>
      </c>
      <c r="X770" s="723">
        <v>0.3</v>
      </c>
      <c r="Y770" s="723" t="s">
        <v>773</v>
      </c>
      <c r="Z770" s="382" t="s">
        <v>927</v>
      </c>
      <c r="AA770" s="372">
        <v>6256.5863364999996</v>
      </c>
      <c r="AB770" s="372">
        <v>7619.0599160000002</v>
      </c>
      <c r="AC770" s="372">
        <v>9979.3695021000003</v>
      </c>
      <c r="AD770" s="372">
        <v>7511.6517900999997</v>
      </c>
      <c r="AE770" s="372">
        <v>11436</v>
      </c>
      <c r="AF770" s="372">
        <v>13105</v>
      </c>
      <c r="AG770" s="372">
        <v>0</v>
      </c>
      <c r="AH770" s="372">
        <v>0</v>
      </c>
    </row>
    <row r="771" spans="1:34">
      <c r="A771" s="372" t="s">
        <v>5583</v>
      </c>
      <c r="B771" s="373" t="s">
        <v>5584</v>
      </c>
      <c r="C771" s="372" t="s">
        <v>5585</v>
      </c>
      <c r="D771" s="374">
        <v>1943110006262</v>
      </c>
      <c r="E771" s="372" t="s">
        <v>5586</v>
      </c>
      <c r="F771" s="375" t="s">
        <v>1431</v>
      </c>
      <c r="G771" s="375" t="s">
        <v>12346</v>
      </c>
      <c r="H771" s="375" t="s">
        <v>861</v>
      </c>
      <c r="I771" s="375" t="s">
        <v>862</v>
      </c>
      <c r="J771" s="375">
        <v>338707.09899000003</v>
      </c>
      <c r="K771" s="375">
        <v>25521.655149999999</v>
      </c>
      <c r="L771" s="375">
        <v>9255.9432400000005</v>
      </c>
      <c r="M771" s="375">
        <v>105745.73514999999</v>
      </c>
      <c r="N771" s="372">
        <v>1.6140000000000001</v>
      </c>
      <c r="O771" s="704">
        <v>49.080661149179178</v>
      </c>
      <c r="P771" s="375" t="s">
        <v>622</v>
      </c>
      <c r="Q771" s="375" t="s">
        <v>622</v>
      </c>
      <c r="R771" s="696">
        <v>20051202</v>
      </c>
      <c r="S771" s="375" t="s">
        <v>5588</v>
      </c>
      <c r="T771" s="697">
        <v>0.20900000000000002</v>
      </c>
      <c r="U771" s="375" t="s">
        <v>5589</v>
      </c>
      <c r="V771" s="723">
        <v>11.05</v>
      </c>
      <c r="W771" s="723">
        <v>2.23</v>
      </c>
      <c r="X771" s="723">
        <v>0.7</v>
      </c>
      <c r="Y771" s="723">
        <v>13.33</v>
      </c>
      <c r="Z771" s="382">
        <v>0.10606298837449657</v>
      </c>
      <c r="AA771" s="372">
        <v>2434.4114642</v>
      </c>
      <c r="AB771" s="372">
        <v>2348.8371634</v>
      </c>
      <c r="AC771" s="372">
        <v>3301.971094</v>
      </c>
      <c r="AD771" s="372">
        <v>3673.9920864000001</v>
      </c>
      <c r="AE771" s="372">
        <v>3712.5</v>
      </c>
      <c r="AF771" s="372">
        <v>4706.75</v>
      </c>
      <c r="AG771" s="372">
        <v>5498.67</v>
      </c>
      <c r="AH771" s="372">
        <v>0</v>
      </c>
    </row>
    <row r="772" spans="1:34">
      <c r="A772" s="372" t="s">
        <v>5590</v>
      </c>
      <c r="B772" s="373" t="s">
        <v>5591</v>
      </c>
      <c r="C772" s="372" t="s">
        <v>5592</v>
      </c>
      <c r="D772" s="374">
        <v>1101110205850</v>
      </c>
      <c r="E772" s="372" t="s">
        <v>5593</v>
      </c>
      <c r="F772" s="375" t="s">
        <v>1743</v>
      </c>
      <c r="G772" s="375" t="s">
        <v>1743</v>
      </c>
      <c r="H772" s="375" t="s">
        <v>846</v>
      </c>
      <c r="I772" s="375" t="s">
        <v>754</v>
      </c>
      <c r="J772" s="375">
        <v>6723987.7411799999</v>
      </c>
      <c r="K772" s="375">
        <v>121566.33108</v>
      </c>
      <c r="L772" s="375">
        <v>140643.66406000001</v>
      </c>
      <c r="M772" s="375">
        <v>695209.39468999999</v>
      </c>
      <c r="N772" s="372">
        <v>0.91600000000000004</v>
      </c>
      <c r="O772" s="704">
        <v>262.80370052748833</v>
      </c>
      <c r="P772" s="375" t="s">
        <v>622</v>
      </c>
      <c r="Q772" s="372" t="s">
        <v>622</v>
      </c>
      <c r="R772" s="696">
        <v>19771201</v>
      </c>
      <c r="S772" s="372" t="s">
        <v>5594</v>
      </c>
      <c r="T772" s="697">
        <v>0.23100000000000001</v>
      </c>
      <c r="U772" s="372" t="s">
        <v>5595</v>
      </c>
      <c r="V772" s="723">
        <v>4.53</v>
      </c>
      <c r="W772" s="723">
        <v>0.35</v>
      </c>
      <c r="X772" s="723">
        <v>0.04</v>
      </c>
      <c r="Y772" s="723">
        <v>2.15</v>
      </c>
      <c r="Z772" s="382">
        <v>1.9884044719904015E-2</v>
      </c>
      <c r="AA772" s="372">
        <v>28808.857452100001</v>
      </c>
      <c r="AB772" s="372">
        <v>37824.975230299999</v>
      </c>
      <c r="AC772" s="372">
        <v>61269.687511600001</v>
      </c>
      <c r="AD772" s="372">
        <v>65804.478818100004</v>
      </c>
      <c r="AE772" s="372">
        <v>68282.25</v>
      </c>
      <c r="AF772" s="372">
        <v>69955</v>
      </c>
      <c r="AG772" s="372">
        <v>71196.5</v>
      </c>
      <c r="AH772" s="372">
        <v>0</v>
      </c>
    </row>
    <row r="773" spans="1:34">
      <c r="A773" s="372" t="s">
        <v>5596</v>
      </c>
      <c r="B773" s="373" t="s">
        <v>5597</v>
      </c>
      <c r="C773" s="372" t="s">
        <v>5598</v>
      </c>
      <c r="D773" s="374">
        <v>1101110545751</v>
      </c>
      <c r="E773" s="372" t="s">
        <v>5599</v>
      </c>
      <c r="F773" s="375" t="s">
        <v>5600</v>
      </c>
      <c r="G773" s="375" t="s">
        <v>5600</v>
      </c>
      <c r="H773" s="375" t="s">
        <v>817</v>
      </c>
      <c r="I773" s="375" t="s">
        <v>754</v>
      </c>
      <c r="J773" s="375">
        <v>933433.55874999997</v>
      </c>
      <c r="K773" s="375">
        <v>-81771.728780000005</v>
      </c>
      <c r="L773" s="375">
        <v>-177726.87125</v>
      </c>
      <c r="M773" s="375">
        <v>461976.52289999998</v>
      </c>
      <c r="N773" s="372">
        <v>1.1639999999999999</v>
      </c>
      <c r="O773" s="704">
        <v>838.67201910500739</v>
      </c>
      <c r="P773" s="375" t="s">
        <v>622</v>
      </c>
      <c r="Q773" s="375" t="s">
        <v>622</v>
      </c>
      <c r="R773" s="696">
        <v>20000321</v>
      </c>
      <c r="S773" s="375" t="s">
        <v>5601</v>
      </c>
      <c r="T773" s="697" t="s">
        <v>771</v>
      </c>
      <c r="U773" s="375" t="s">
        <v>5602</v>
      </c>
      <c r="V773" s="723">
        <v>15.37</v>
      </c>
      <c r="W773" s="723">
        <v>24.38</v>
      </c>
      <c r="X773" s="723">
        <v>0.21</v>
      </c>
      <c r="Y773" s="723" t="s">
        <v>773</v>
      </c>
      <c r="Z773" s="382">
        <v>3.4849099092021607E-2</v>
      </c>
      <c r="AA773" s="372">
        <v>3602.2799967999999</v>
      </c>
      <c r="AB773" s="372">
        <v>6771.2995730000002</v>
      </c>
      <c r="AC773" s="372">
        <v>8520.5084759000001</v>
      </c>
      <c r="AD773" s="372">
        <v>9930.3579934000009</v>
      </c>
      <c r="AE773" s="372">
        <v>9275</v>
      </c>
      <c r="AF773" s="372">
        <v>10669.31</v>
      </c>
      <c r="AG773" s="372">
        <v>11388.67</v>
      </c>
      <c r="AH773" s="372">
        <v>0</v>
      </c>
    </row>
    <row r="774" spans="1:34">
      <c r="A774" s="372" t="s">
        <v>5603</v>
      </c>
      <c r="B774" s="373" t="s">
        <v>5604</v>
      </c>
      <c r="C774" s="372" t="s">
        <v>5605</v>
      </c>
      <c r="D774" s="374">
        <v>1601110444581</v>
      </c>
      <c r="E774" s="372" t="s">
        <v>5606</v>
      </c>
      <c r="F774" s="375" t="s">
        <v>2414</v>
      </c>
      <c r="G774" s="375" t="s">
        <v>2414</v>
      </c>
      <c r="H774" s="375" t="s">
        <v>861</v>
      </c>
      <c r="I774" s="375" t="s">
        <v>862</v>
      </c>
      <c r="J774" s="375">
        <v>36869.816879999998</v>
      </c>
      <c r="K774" s="375">
        <v>-80.988669999999999</v>
      </c>
      <c r="L774" s="375">
        <v>-782.76682000000005</v>
      </c>
      <c r="M774" s="375">
        <v>47237.163050000003</v>
      </c>
      <c r="N774" s="372" t="s">
        <v>1026</v>
      </c>
      <c r="O774" s="704">
        <v>19.48066533288144</v>
      </c>
      <c r="P774" s="375" t="s">
        <v>622</v>
      </c>
      <c r="Q774" s="372" t="s">
        <v>622</v>
      </c>
      <c r="R774" s="696">
        <v>20230303</v>
      </c>
      <c r="S774" s="372" t="s">
        <v>5607</v>
      </c>
      <c r="T774" s="697" t="s">
        <v>771</v>
      </c>
      <c r="U774" s="372" t="s">
        <v>5608</v>
      </c>
      <c r="V774" s="723">
        <v>98.07</v>
      </c>
      <c r="W774" s="723">
        <v>4.5999999999999996</v>
      </c>
      <c r="X774" s="723">
        <v>5.82</v>
      </c>
      <c r="Y774" s="723" t="s">
        <v>773</v>
      </c>
      <c r="Z774" s="382">
        <v>0.20952908360932576</v>
      </c>
      <c r="AA774" s="372">
        <v>145.37331219999999</v>
      </c>
      <c r="AB774" s="372">
        <v>270.43759599999998</v>
      </c>
      <c r="AC774" s="372">
        <v>384.56611040000001</v>
      </c>
      <c r="AD774" s="372">
        <v>471.90666520000002</v>
      </c>
      <c r="AE774" s="372">
        <v>440</v>
      </c>
      <c r="AF774" s="372">
        <v>610</v>
      </c>
      <c r="AG774" s="372">
        <v>1010</v>
      </c>
      <c r="AH774" s="372">
        <v>0</v>
      </c>
    </row>
    <row r="775" spans="1:34">
      <c r="A775" s="372" t="s">
        <v>5609</v>
      </c>
      <c r="B775" s="373" t="s">
        <v>5610</v>
      </c>
      <c r="C775" s="372" t="s">
        <v>5611</v>
      </c>
      <c r="D775" s="374">
        <v>1101116383543</v>
      </c>
      <c r="E775" s="372" t="s">
        <v>5612</v>
      </c>
      <c r="F775" s="372" t="s">
        <v>3011</v>
      </c>
      <c r="G775" s="375" t="s">
        <v>3011</v>
      </c>
      <c r="H775" s="375" t="s">
        <v>1337</v>
      </c>
      <c r="I775" s="375" t="s">
        <v>862</v>
      </c>
      <c r="J775" s="375">
        <v>19631.830549999999</v>
      </c>
      <c r="K775" s="375">
        <v>-6703.3027700000002</v>
      </c>
      <c r="L775" s="375">
        <v>-16511.24467</v>
      </c>
      <c r="M775" s="375">
        <v>89508.005009999993</v>
      </c>
      <c r="N775" s="372">
        <v>1.7709999999999999</v>
      </c>
      <c r="O775" s="704">
        <v>12.788211634259241</v>
      </c>
      <c r="P775" s="375" t="s">
        <v>622</v>
      </c>
      <c r="Q775" s="372" t="s">
        <v>622</v>
      </c>
      <c r="R775" s="696">
        <v>20170822</v>
      </c>
      <c r="S775" s="372" t="s">
        <v>5613</v>
      </c>
      <c r="T775" s="697" t="s">
        <v>771</v>
      </c>
      <c r="U775" s="372" t="s">
        <v>5614</v>
      </c>
      <c r="V775" s="723" t="s">
        <v>773</v>
      </c>
      <c r="W775" s="723">
        <v>2.04</v>
      </c>
      <c r="X775" s="723">
        <v>9.2899999999999991</v>
      </c>
      <c r="Y775" s="723" t="s">
        <v>773</v>
      </c>
      <c r="Z775" s="382" t="s">
        <v>927</v>
      </c>
      <c r="AA775" s="372">
        <v>303.69711330000001</v>
      </c>
      <c r="AB775" s="372">
        <v>251.34889530000001</v>
      </c>
      <c r="AC775" s="372">
        <v>175.631451</v>
      </c>
      <c r="AD775" s="372">
        <v>204.15365639999999</v>
      </c>
      <c r="AE775" s="372">
        <v>0</v>
      </c>
      <c r="AF775" s="372">
        <v>0</v>
      </c>
      <c r="AG775" s="372">
        <v>0</v>
      </c>
      <c r="AH775" s="372">
        <v>0</v>
      </c>
    </row>
    <row r="776" spans="1:34">
      <c r="A776" s="372" t="s">
        <v>5615</v>
      </c>
      <c r="B776" s="373" t="s">
        <v>5616</v>
      </c>
      <c r="C776" s="372" t="s">
        <v>5617</v>
      </c>
      <c r="D776" s="374">
        <v>1101110122731</v>
      </c>
      <c r="E776" s="372" t="s">
        <v>5618</v>
      </c>
      <c r="F776" s="375" t="s">
        <v>5619</v>
      </c>
      <c r="G776" s="375" t="s">
        <v>5619</v>
      </c>
      <c r="H776" s="375" t="s">
        <v>1043</v>
      </c>
      <c r="I776" s="375" t="s">
        <v>754</v>
      </c>
      <c r="J776" s="375">
        <v>147853.22500999999</v>
      </c>
      <c r="K776" s="375">
        <v>-82655.009409999999</v>
      </c>
      <c r="L776" s="375">
        <v>-84275.146470000007</v>
      </c>
      <c r="M776" s="375">
        <v>443266.22753999999</v>
      </c>
      <c r="N776" s="372">
        <v>1.0009999999999999</v>
      </c>
      <c r="O776" s="704">
        <v>39.701238168198408</v>
      </c>
      <c r="P776" s="375" t="s">
        <v>622</v>
      </c>
      <c r="Q776" s="375" t="s">
        <v>622</v>
      </c>
      <c r="R776" s="696">
        <v>19950708</v>
      </c>
      <c r="S776" s="375" t="s">
        <v>5620</v>
      </c>
      <c r="T776" s="697" t="s">
        <v>771</v>
      </c>
      <c r="U776" s="375" t="s">
        <v>15875</v>
      </c>
      <c r="V776" s="723" t="s">
        <v>773</v>
      </c>
      <c r="W776" s="723">
        <v>1.59</v>
      </c>
      <c r="X776" s="723">
        <v>2.37</v>
      </c>
      <c r="Y776" s="723" t="s">
        <v>773</v>
      </c>
      <c r="Z776" s="382">
        <v>0.16670400178058142</v>
      </c>
      <c r="AA776" s="372">
        <v>1271.4262421999999</v>
      </c>
      <c r="AB776" s="372">
        <v>262.95794069999999</v>
      </c>
      <c r="AC776" s="372">
        <v>783.49308040000005</v>
      </c>
      <c r="AD776" s="372">
        <v>1505.7797532</v>
      </c>
      <c r="AE776" s="372">
        <v>1860</v>
      </c>
      <c r="AF776" s="372">
        <v>2300</v>
      </c>
      <c r="AG776" s="372">
        <v>2790</v>
      </c>
      <c r="AH776" s="372">
        <v>3340</v>
      </c>
    </row>
    <row r="777" spans="1:34">
      <c r="A777" s="372" t="s">
        <v>5621</v>
      </c>
      <c r="B777" s="373" t="s">
        <v>5622</v>
      </c>
      <c r="C777" s="372" t="s">
        <v>5623</v>
      </c>
      <c r="D777" s="374">
        <v>1349110013457</v>
      </c>
      <c r="E777" s="372" t="s">
        <v>5624</v>
      </c>
      <c r="F777" s="375" t="s">
        <v>5625</v>
      </c>
      <c r="G777" s="375" t="s">
        <v>5625</v>
      </c>
      <c r="H777" s="375" t="s">
        <v>861</v>
      </c>
      <c r="I777" s="375" t="s">
        <v>862</v>
      </c>
      <c r="J777" s="375">
        <v>593375.44742999994</v>
      </c>
      <c r="K777" s="375">
        <v>49054.342519999998</v>
      </c>
      <c r="L777" s="375">
        <v>52483.079230000003</v>
      </c>
      <c r="M777" s="375">
        <v>249531.37500999999</v>
      </c>
      <c r="N777" s="372">
        <v>0.46200000000000002</v>
      </c>
      <c r="O777" s="704">
        <v>43.937701035966455</v>
      </c>
      <c r="P777" s="375" t="s">
        <v>622</v>
      </c>
      <c r="Q777" s="375" t="s">
        <v>622</v>
      </c>
      <c r="R777" s="696">
        <v>20041117</v>
      </c>
      <c r="S777" s="375" t="s">
        <v>5626</v>
      </c>
      <c r="T777" s="697">
        <v>0.23100000000000001</v>
      </c>
      <c r="U777" s="375" t="s">
        <v>5627</v>
      </c>
      <c r="V777" s="723">
        <v>6.04</v>
      </c>
      <c r="W777" s="723">
        <v>1.33</v>
      </c>
      <c r="X777" s="723">
        <v>0.53</v>
      </c>
      <c r="Y777" s="723">
        <v>7.5</v>
      </c>
      <c r="Z777" s="382">
        <v>0.18577514856255339</v>
      </c>
      <c r="AA777" s="372">
        <v>2727.5112063000001</v>
      </c>
      <c r="AB777" s="372">
        <v>2633.9292822000002</v>
      </c>
      <c r="AC777" s="372">
        <v>3282.1911659000002</v>
      </c>
      <c r="AD777" s="372">
        <v>4473.9225395000003</v>
      </c>
      <c r="AE777" s="372">
        <v>6466.8</v>
      </c>
      <c r="AF777" s="372">
        <v>7729</v>
      </c>
      <c r="AG777" s="372">
        <v>8845</v>
      </c>
      <c r="AH777" s="372">
        <v>0</v>
      </c>
    </row>
    <row r="778" spans="1:34">
      <c r="A778" s="372" t="s">
        <v>5628</v>
      </c>
      <c r="B778" s="373" t="s">
        <v>5629</v>
      </c>
      <c r="C778" s="372" t="s">
        <v>5630</v>
      </c>
      <c r="D778" s="374">
        <v>1101111521700</v>
      </c>
      <c r="E778" s="372" t="s">
        <v>5631</v>
      </c>
      <c r="F778" s="375" t="s">
        <v>1796</v>
      </c>
      <c r="G778" s="375" t="s">
        <v>2797</v>
      </c>
      <c r="H778" s="375" t="s">
        <v>861</v>
      </c>
      <c r="I778" s="375" t="s">
        <v>862</v>
      </c>
      <c r="J778" s="375">
        <v>241585.76996999999</v>
      </c>
      <c r="K778" s="375">
        <v>28147.180929999999</v>
      </c>
      <c r="L778" s="375">
        <v>31988.77289</v>
      </c>
      <c r="M778" s="375">
        <v>192082.16904000001</v>
      </c>
      <c r="N778" s="372">
        <v>0.60399999999999998</v>
      </c>
      <c r="O778" s="704">
        <v>20.742627983163995</v>
      </c>
      <c r="P778" s="375" t="s">
        <v>622</v>
      </c>
      <c r="Q778" s="375" t="s">
        <v>622</v>
      </c>
      <c r="R778" s="696">
        <v>20011016</v>
      </c>
      <c r="S778" s="375" t="s">
        <v>5632</v>
      </c>
      <c r="T778" s="697">
        <v>0.23100000000000001</v>
      </c>
      <c r="U778" s="375" t="s">
        <v>5633</v>
      </c>
      <c r="V778" s="723">
        <v>5.69</v>
      </c>
      <c r="W778" s="723">
        <v>1.1100000000000001</v>
      </c>
      <c r="X778" s="723">
        <v>0.91</v>
      </c>
      <c r="Y778" s="723">
        <v>8.0500000000000007</v>
      </c>
      <c r="Z778" s="382" t="s">
        <v>927</v>
      </c>
      <c r="AA778" s="372">
        <v>1377.8018429000001</v>
      </c>
      <c r="AB778" s="372">
        <v>1945.0010468999999</v>
      </c>
      <c r="AC778" s="372">
        <v>2421.8294992000001</v>
      </c>
      <c r="AD778" s="372">
        <v>2802.2209149</v>
      </c>
      <c r="AE778" s="372">
        <v>3568</v>
      </c>
      <c r="AF778" s="372">
        <v>4141</v>
      </c>
      <c r="AG778" s="372">
        <v>0</v>
      </c>
      <c r="AH778" s="372">
        <v>0</v>
      </c>
    </row>
    <row r="779" spans="1:34">
      <c r="A779" s="372" t="s">
        <v>5634</v>
      </c>
      <c r="B779" s="373" t="s">
        <v>5635</v>
      </c>
      <c r="C779" s="372" t="s">
        <v>5636</v>
      </c>
      <c r="D779" s="374">
        <v>1101111686728</v>
      </c>
      <c r="E779" s="372" t="s">
        <v>5637</v>
      </c>
      <c r="F779" s="372" t="s">
        <v>621</v>
      </c>
      <c r="G779" s="375" t="s">
        <v>621</v>
      </c>
      <c r="H779" s="375" t="s">
        <v>861</v>
      </c>
      <c r="I779" s="375" t="s">
        <v>862</v>
      </c>
      <c r="J779" s="375">
        <v>26243.780500000001</v>
      </c>
      <c r="K779" s="375">
        <v>-4184.6530599999996</v>
      </c>
      <c r="L779" s="375">
        <v>-86868.865460000001</v>
      </c>
      <c r="M779" s="375">
        <v>93219.426609999995</v>
      </c>
      <c r="N779" s="372">
        <v>0.50900000000000001</v>
      </c>
      <c r="O779" s="704">
        <v>1.8178425019351785</v>
      </c>
      <c r="P779" s="375" t="s">
        <v>622</v>
      </c>
      <c r="Q779" s="372" t="s">
        <v>622</v>
      </c>
      <c r="R779" s="696">
        <v>20010727</v>
      </c>
      <c r="S779" s="372" t="s">
        <v>5638</v>
      </c>
      <c r="T779" s="697" t="s">
        <v>771</v>
      </c>
      <c r="U779" s="372" t="s">
        <v>15876</v>
      </c>
      <c r="V779" s="723" t="s">
        <v>773</v>
      </c>
      <c r="W779" s="723">
        <v>10.66</v>
      </c>
      <c r="X779" s="723">
        <v>38.24</v>
      </c>
      <c r="Y779" s="723" t="s">
        <v>773</v>
      </c>
      <c r="Z779" s="382" t="s">
        <v>927</v>
      </c>
      <c r="AA779" s="372">
        <v>107.55435319999999</v>
      </c>
      <c r="AB779" s="372">
        <v>130.31342079999999</v>
      </c>
      <c r="AC779" s="372">
        <v>266.05838999999997</v>
      </c>
      <c r="AD779" s="372">
        <v>262.95374090000001</v>
      </c>
      <c r="AE779" s="372">
        <v>0</v>
      </c>
      <c r="AF779" s="372">
        <v>0</v>
      </c>
      <c r="AG779" s="372">
        <v>0</v>
      </c>
      <c r="AH779" s="372">
        <v>0</v>
      </c>
    </row>
    <row r="780" spans="1:34">
      <c r="A780" s="372" t="s">
        <v>5639</v>
      </c>
      <c r="B780" s="373" t="s">
        <v>5640</v>
      </c>
      <c r="C780" s="372" t="s">
        <v>5641</v>
      </c>
      <c r="D780" s="374">
        <v>1801110015932</v>
      </c>
      <c r="E780" s="372" t="s">
        <v>5642</v>
      </c>
      <c r="F780" s="375" t="s">
        <v>1459</v>
      </c>
      <c r="G780" s="375" t="s">
        <v>5643</v>
      </c>
      <c r="H780" s="375" t="s">
        <v>909</v>
      </c>
      <c r="I780" s="375" t="s">
        <v>754</v>
      </c>
      <c r="J780" s="375">
        <v>1324054.3850700001</v>
      </c>
      <c r="K780" s="375">
        <v>26332.84448</v>
      </c>
      <c r="L780" s="375">
        <v>107553.97099</v>
      </c>
      <c r="M780" s="375">
        <v>1136431.00758</v>
      </c>
      <c r="N780" s="372">
        <v>1.177</v>
      </c>
      <c r="O780" s="704">
        <v>52.861236165086147</v>
      </c>
      <c r="P780" s="375" t="s">
        <v>622</v>
      </c>
      <c r="Q780" s="372" t="s">
        <v>622</v>
      </c>
      <c r="R780" s="696">
        <v>19770519</v>
      </c>
      <c r="S780" s="372" t="s">
        <v>5644</v>
      </c>
      <c r="T780" s="697">
        <v>0.23100000000000001</v>
      </c>
      <c r="U780" s="372" t="s">
        <v>5645</v>
      </c>
      <c r="V780" s="723">
        <v>4.3499999999999996</v>
      </c>
      <c r="W780" s="723">
        <v>0.26</v>
      </c>
      <c r="X780" s="723">
        <v>0.23</v>
      </c>
      <c r="Y780" s="723">
        <v>3.18</v>
      </c>
      <c r="Z780" s="382" t="s">
        <v>927</v>
      </c>
      <c r="AA780" s="372">
        <v>8422.3865265999993</v>
      </c>
      <c r="AB780" s="372">
        <v>10577.094120399999</v>
      </c>
      <c r="AC780" s="372">
        <v>12903.505858099999</v>
      </c>
      <c r="AD780" s="372">
        <v>11419.5004742</v>
      </c>
      <c r="AE780" s="372">
        <v>0</v>
      </c>
      <c r="AF780" s="372">
        <v>0</v>
      </c>
      <c r="AG780" s="372">
        <v>0</v>
      </c>
      <c r="AH780" s="372">
        <v>0</v>
      </c>
    </row>
    <row r="781" spans="1:34">
      <c r="A781" s="372" t="s">
        <v>5646</v>
      </c>
      <c r="B781" s="373" t="s">
        <v>5647</v>
      </c>
      <c r="C781" s="372" t="s">
        <v>5648</v>
      </c>
      <c r="D781" s="374">
        <v>1101110031338</v>
      </c>
      <c r="E781" s="372" t="s">
        <v>5649</v>
      </c>
      <c r="F781" s="375" t="s">
        <v>893</v>
      </c>
      <c r="G781" s="375" t="s">
        <v>894</v>
      </c>
      <c r="H781" s="375" t="s">
        <v>855</v>
      </c>
      <c r="I781" s="375" t="s">
        <v>754</v>
      </c>
      <c r="J781" s="375">
        <v>1934689.65283</v>
      </c>
      <c r="K781" s="375">
        <v>52331.38091</v>
      </c>
      <c r="L781" s="375">
        <v>722399.84895000001</v>
      </c>
      <c r="M781" s="375">
        <v>1800770.0423900001</v>
      </c>
      <c r="N781" s="372">
        <v>1.2250000000000001</v>
      </c>
      <c r="O781" s="704">
        <v>98.234514581509274</v>
      </c>
      <c r="P781" s="375" t="s">
        <v>622</v>
      </c>
      <c r="Q781" s="375" t="s">
        <v>622</v>
      </c>
      <c r="R781" s="696">
        <v>19880509</v>
      </c>
      <c r="S781" s="375" t="s">
        <v>5650</v>
      </c>
      <c r="T781" s="697">
        <v>0.26400000000000001</v>
      </c>
      <c r="U781" s="375" t="s">
        <v>5651</v>
      </c>
      <c r="V781" s="723">
        <v>5.4</v>
      </c>
      <c r="W781" s="723">
        <v>0.16</v>
      </c>
      <c r="X781" s="723">
        <v>0.13</v>
      </c>
      <c r="Y781" s="723">
        <v>0.45</v>
      </c>
      <c r="Z781" s="382" t="s">
        <v>927</v>
      </c>
      <c r="AA781" s="372">
        <v>52061.915613099998</v>
      </c>
      <c r="AB781" s="372">
        <v>72402.965311000007</v>
      </c>
      <c r="AC781" s="372">
        <v>20989.1239288</v>
      </c>
      <c r="AD781" s="372">
        <v>18411.136993200002</v>
      </c>
      <c r="AE781" s="372">
        <v>80711.67</v>
      </c>
      <c r="AF781" s="372">
        <v>83610</v>
      </c>
      <c r="AG781" s="372">
        <v>0</v>
      </c>
      <c r="AH781" s="372">
        <v>0</v>
      </c>
    </row>
    <row r="782" spans="1:34">
      <c r="A782" s="372" t="s">
        <v>5652</v>
      </c>
      <c r="B782" s="373" t="s">
        <v>5653</v>
      </c>
      <c r="C782" s="372" t="s">
        <v>5654</v>
      </c>
      <c r="D782" s="374">
        <v>1311110002409</v>
      </c>
      <c r="E782" s="372" t="s">
        <v>5655</v>
      </c>
      <c r="F782" s="375" t="s">
        <v>1249</v>
      </c>
      <c r="G782" s="375" t="s">
        <v>1249</v>
      </c>
      <c r="H782" s="375" t="s">
        <v>784</v>
      </c>
      <c r="I782" s="375" t="s">
        <v>754</v>
      </c>
      <c r="J782" s="375">
        <v>225192.7997</v>
      </c>
      <c r="K782" s="375">
        <v>22073.247899999998</v>
      </c>
      <c r="L782" s="375">
        <v>24453.540290000001</v>
      </c>
      <c r="M782" s="375">
        <v>280933.64072999998</v>
      </c>
      <c r="N782" s="372">
        <v>0.44400000000000001</v>
      </c>
      <c r="O782" s="704">
        <v>15.47846856140889</v>
      </c>
      <c r="P782" s="375" t="s">
        <v>622</v>
      </c>
      <c r="Q782" s="372" t="s">
        <v>622</v>
      </c>
      <c r="R782" s="696">
        <v>20181002</v>
      </c>
      <c r="S782" s="375" t="s">
        <v>5656</v>
      </c>
      <c r="T782" s="697">
        <v>0.23100000000000001</v>
      </c>
      <c r="U782" s="372" t="s">
        <v>5657</v>
      </c>
      <c r="V782" s="723">
        <v>0</v>
      </c>
      <c r="W782" s="723">
        <v>0</v>
      </c>
      <c r="X782" s="723">
        <v>0</v>
      </c>
      <c r="Y782" s="723">
        <v>0</v>
      </c>
      <c r="Z782" s="382" t="s">
        <v>927</v>
      </c>
      <c r="AA782" s="372">
        <v>1773.0550403</v>
      </c>
      <c r="AB782" s="372">
        <v>1964.0657094999999</v>
      </c>
      <c r="AC782" s="372">
        <v>2108.4499215999999</v>
      </c>
      <c r="AD782" s="372">
        <v>2244.5685081000001</v>
      </c>
      <c r="AE782" s="372">
        <v>0</v>
      </c>
      <c r="AF782" s="372">
        <v>0</v>
      </c>
      <c r="AG782" s="372">
        <v>0</v>
      </c>
      <c r="AH782" s="372">
        <v>0</v>
      </c>
    </row>
    <row r="783" spans="1:34">
      <c r="A783" s="372" t="s">
        <v>5658</v>
      </c>
      <c r="B783" s="373" t="s">
        <v>5659</v>
      </c>
      <c r="C783" s="372" t="s">
        <v>5660</v>
      </c>
      <c r="D783" s="374">
        <v>1101110532633</v>
      </c>
      <c r="E783" s="372" t="s">
        <v>5661</v>
      </c>
      <c r="F783" s="375" t="s">
        <v>5662</v>
      </c>
      <c r="G783" s="375" t="s">
        <v>5662</v>
      </c>
      <c r="H783" s="375" t="s">
        <v>846</v>
      </c>
      <c r="I783" s="375" t="s">
        <v>754</v>
      </c>
      <c r="J783" s="375">
        <v>2378838.1159000001</v>
      </c>
      <c r="K783" s="375">
        <v>7940.0085900000004</v>
      </c>
      <c r="L783" s="375">
        <v>-30328.022140000001</v>
      </c>
      <c r="M783" s="375">
        <v>1247683.5715999999</v>
      </c>
      <c r="N783" s="372">
        <v>0.82099999999999995</v>
      </c>
      <c r="O783" s="704">
        <v>397.93991970616685</v>
      </c>
      <c r="P783" s="375" t="s">
        <v>622</v>
      </c>
      <c r="Q783" s="372" t="s">
        <v>622</v>
      </c>
      <c r="R783" s="696">
        <v>20110629</v>
      </c>
      <c r="S783" s="372" t="s">
        <v>5663</v>
      </c>
      <c r="T783" s="697" t="s">
        <v>771</v>
      </c>
      <c r="U783" s="372" t="s">
        <v>5664</v>
      </c>
      <c r="V783" s="723">
        <v>0</v>
      </c>
      <c r="W783" s="723">
        <v>0</v>
      </c>
      <c r="X783" s="723">
        <v>0</v>
      </c>
      <c r="Y783" s="723">
        <v>0</v>
      </c>
      <c r="Z783" s="382" t="s">
        <v>927</v>
      </c>
      <c r="AA783" s="372">
        <v>40517.2908618</v>
      </c>
      <c r="AB783" s="372">
        <v>38697.4865145</v>
      </c>
      <c r="AC783" s="372">
        <v>33368.208507800002</v>
      </c>
      <c r="AD783" s="372">
        <v>26101.3703035</v>
      </c>
      <c r="AE783" s="372">
        <v>0</v>
      </c>
      <c r="AF783" s="372">
        <v>0</v>
      </c>
      <c r="AG783" s="372">
        <v>0</v>
      </c>
      <c r="AH783" s="372">
        <v>0</v>
      </c>
    </row>
    <row r="784" spans="1:34">
      <c r="A784" s="372" t="s">
        <v>5665</v>
      </c>
      <c r="B784" s="373" t="s">
        <v>5666</v>
      </c>
      <c r="C784" s="372" t="s">
        <v>5667</v>
      </c>
      <c r="D784" s="374">
        <v>1101113581075</v>
      </c>
      <c r="E784" s="372" t="s">
        <v>5668</v>
      </c>
      <c r="F784" s="375" t="s">
        <v>5132</v>
      </c>
      <c r="G784" s="375" t="s">
        <v>5133</v>
      </c>
      <c r="H784" s="375" t="s">
        <v>3099</v>
      </c>
      <c r="I784" s="375" t="s">
        <v>862</v>
      </c>
      <c r="J784" s="375">
        <v>156520.92887999999</v>
      </c>
      <c r="K784" s="375">
        <v>20760.867600000001</v>
      </c>
      <c r="L784" s="375">
        <v>18773.26282</v>
      </c>
      <c r="M784" s="375">
        <v>108444.58132</v>
      </c>
      <c r="N784" s="372">
        <v>1.008</v>
      </c>
      <c r="O784" s="704">
        <v>30.568978321470908</v>
      </c>
      <c r="P784" s="375" t="s">
        <v>622</v>
      </c>
      <c r="Q784" s="375" t="s">
        <v>622</v>
      </c>
      <c r="R784" s="696">
        <v>20070212</v>
      </c>
      <c r="S784" s="375" t="s">
        <v>5669</v>
      </c>
      <c r="T784" s="697">
        <v>0.20900000000000002</v>
      </c>
      <c r="U784" s="375" t="s">
        <v>5670</v>
      </c>
      <c r="V784" s="723">
        <v>7.2</v>
      </c>
      <c r="W784" s="723">
        <v>1.08</v>
      </c>
      <c r="X784" s="723">
        <v>0.97</v>
      </c>
      <c r="Y784" s="723">
        <v>10.220000000000001</v>
      </c>
      <c r="Z784" s="382">
        <v>2.2443297546977714E-2</v>
      </c>
      <c r="AA784" s="372">
        <v>869.13046599999996</v>
      </c>
      <c r="AB784" s="372">
        <v>1407.2673464</v>
      </c>
      <c r="AC784" s="372">
        <v>1937.6349063</v>
      </c>
      <c r="AD784" s="372">
        <v>1754.1437627</v>
      </c>
      <c r="AE784" s="372">
        <v>1653</v>
      </c>
      <c r="AF784" s="372">
        <v>1784</v>
      </c>
      <c r="AG784" s="372">
        <v>1917</v>
      </c>
      <c r="AH784" s="372">
        <v>0</v>
      </c>
    </row>
    <row r="785" spans="1:34">
      <c r="A785" s="372" t="s">
        <v>5671</v>
      </c>
      <c r="B785" s="373" t="s">
        <v>5672</v>
      </c>
      <c r="C785" s="372" t="s">
        <v>5673</v>
      </c>
      <c r="D785" s="374">
        <v>1101111817828</v>
      </c>
      <c r="E785" s="372" t="s">
        <v>5674</v>
      </c>
      <c r="F785" s="372" t="s">
        <v>1290</v>
      </c>
      <c r="G785" s="375" t="s">
        <v>1290</v>
      </c>
      <c r="H785" s="375" t="s">
        <v>861</v>
      </c>
      <c r="I785" s="375" t="s">
        <v>862</v>
      </c>
      <c r="J785" s="375">
        <v>95878.382639999996</v>
      </c>
      <c r="K785" s="375">
        <v>-2218.8045499999998</v>
      </c>
      <c r="L785" s="375">
        <v>-10118.040859999999</v>
      </c>
      <c r="M785" s="375">
        <v>178273.79878000001</v>
      </c>
      <c r="N785" s="372">
        <v>1.4730000000000001</v>
      </c>
      <c r="O785" s="704">
        <v>43.377211944122365</v>
      </c>
      <c r="P785" s="375" t="s">
        <v>622</v>
      </c>
      <c r="Q785" s="375" t="s">
        <v>622</v>
      </c>
      <c r="R785" s="696">
        <v>20061205</v>
      </c>
      <c r="S785" s="375" t="s">
        <v>5675</v>
      </c>
      <c r="T785" s="697" t="s">
        <v>771</v>
      </c>
      <c r="U785" s="375" t="s">
        <v>5676</v>
      </c>
      <c r="V785" s="723">
        <v>100.08</v>
      </c>
      <c r="W785" s="723">
        <v>1.27</v>
      </c>
      <c r="X785" s="723">
        <v>1.1200000000000001</v>
      </c>
      <c r="Y785" s="723" t="s">
        <v>773</v>
      </c>
      <c r="Z785" s="382" t="s">
        <v>927</v>
      </c>
      <c r="AA785" s="372">
        <v>207.29242429999999</v>
      </c>
      <c r="AB785" s="372">
        <v>273.16055219999998</v>
      </c>
      <c r="AC785" s="372">
        <v>554.74362629999996</v>
      </c>
      <c r="AD785" s="372">
        <v>826.65225750000002</v>
      </c>
      <c r="AE785" s="372">
        <v>0</v>
      </c>
      <c r="AF785" s="372">
        <v>0</v>
      </c>
      <c r="AG785" s="372">
        <v>0</v>
      </c>
      <c r="AH785" s="372">
        <v>0</v>
      </c>
    </row>
    <row r="786" spans="1:34">
      <c r="A786" s="372" t="s">
        <v>5677</v>
      </c>
      <c r="B786" s="373" t="s">
        <v>5678</v>
      </c>
      <c r="C786" s="372" t="s">
        <v>5679</v>
      </c>
      <c r="D786" s="374">
        <v>1101110400377</v>
      </c>
      <c r="E786" s="372" t="s">
        <v>5680</v>
      </c>
      <c r="F786" s="375" t="s">
        <v>1576</v>
      </c>
      <c r="G786" s="375" t="s">
        <v>1577</v>
      </c>
      <c r="H786" s="375" t="s">
        <v>861</v>
      </c>
      <c r="I786" s="375" t="s">
        <v>862</v>
      </c>
      <c r="J786" s="375">
        <v>440418.84580000001</v>
      </c>
      <c r="K786" s="375">
        <v>109369.97259</v>
      </c>
      <c r="L786" s="375">
        <v>126209.33387</v>
      </c>
      <c r="M786" s="375">
        <v>626552.16784000001</v>
      </c>
      <c r="N786" s="372">
        <v>0.79400000000000004</v>
      </c>
      <c r="O786" s="704">
        <v>4.718303723914385</v>
      </c>
      <c r="P786" s="375" t="s">
        <v>622</v>
      </c>
      <c r="Q786" s="375" t="s">
        <v>622</v>
      </c>
      <c r="R786" s="696">
        <v>19960426</v>
      </c>
      <c r="S786" s="375" t="s">
        <v>5681</v>
      </c>
      <c r="T786" s="697">
        <v>0.23100000000000001</v>
      </c>
      <c r="U786" s="375" t="s">
        <v>5682</v>
      </c>
      <c r="V786" s="723">
        <v>1.98</v>
      </c>
      <c r="W786" s="723">
        <v>0.64</v>
      </c>
      <c r="X786" s="723">
        <v>0.92</v>
      </c>
      <c r="Y786" s="723">
        <v>3.88</v>
      </c>
      <c r="Z786" s="382" t="s">
        <v>927</v>
      </c>
      <c r="AA786" s="372">
        <v>1164.5449596000001</v>
      </c>
      <c r="AB786" s="372">
        <v>2099.2769542000001</v>
      </c>
      <c r="AC786" s="372">
        <v>3376.9060414</v>
      </c>
      <c r="AD786" s="372">
        <v>4393.8698512999999</v>
      </c>
      <c r="AE786" s="372">
        <v>0</v>
      </c>
      <c r="AF786" s="372">
        <v>0</v>
      </c>
      <c r="AG786" s="372">
        <v>0</v>
      </c>
      <c r="AH786" s="372">
        <v>0</v>
      </c>
    </row>
    <row r="787" spans="1:34">
      <c r="A787" s="372" t="s">
        <v>5683</v>
      </c>
      <c r="B787" s="373" t="s">
        <v>5684</v>
      </c>
      <c r="C787" s="372" t="s">
        <v>5685</v>
      </c>
      <c r="D787" s="374">
        <v>1101111195109</v>
      </c>
      <c r="E787" s="372" t="s">
        <v>5686</v>
      </c>
      <c r="F787" s="375" t="s">
        <v>5687</v>
      </c>
      <c r="G787" s="375" t="s">
        <v>5687</v>
      </c>
      <c r="H787" s="375" t="s">
        <v>861</v>
      </c>
      <c r="I787" s="375" t="s">
        <v>862</v>
      </c>
      <c r="J787" s="375">
        <v>120350.02958</v>
      </c>
      <c r="K787" s="375">
        <v>5060.1956700000001</v>
      </c>
      <c r="L787" s="375">
        <v>11071.98005</v>
      </c>
      <c r="M787" s="375">
        <v>130575.65595</v>
      </c>
      <c r="N787" s="372">
        <v>0.82499999999999996</v>
      </c>
      <c r="O787" s="704">
        <v>37.451600326512953</v>
      </c>
      <c r="P787" s="375" t="s">
        <v>622</v>
      </c>
      <c r="Q787" s="375" t="s">
        <v>622</v>
      </c>
      <c r="R787" s="696">
        <v>20010515</v>
      </c>
      <c r="S787" s="375" t="s">
        <v>5688</v>
      </c>
      <c r="T787" s="697">
        <v>0.20900000000000002</v>
      </c>
      <c r="U787" s="375" t="s">
        <v>5689</v>
      </c>
      <c r="V787" s="723">
        <v>28.81</v>
      </c>
      <c r="W787" s="723">
        <v>1.41</v>
      </c>
      <c r="X787" s="723">
        <v>1.53</v>
      </c>
      <c r="Y787" s="723">
        <v>13</v>
      </c>
      <c r="Z787" s="382" t="s">
        <v>927</v>
      </c>
      <c r="AA787" s="372">
        <v>1134.0059401999999</v>
      </c>
      <c r="AB787" s="372">
        <v>1162.5275211000001</v>
      </c>
      <c r="AC787" s="372">
        <v>1055.4771707</v>
      </c>
      <c r="AD787" s="372">
        <v>1123.3497695999999</v>
      </c>
      <c r="AE787" s="372">
        <v>0</v>
      </c>
      <c r="AF787" s="372">
        <v>0</v>
      </c>
      <c r="AG787" s="372">
        <v>0</v>
      </c>
      <c r="AH787" s="372">
        <v>0</v>
      </c>
    </row>
    <row r="788" spans="1:34">
      <c r="A788" s="372" t="s">
        <v>5690</v>
      </c>
      <c r="B788" s="373" t="s">
        <v>5691</v>
      </c>
      <c r="C788" s="372" t="s">
        <v>5692</v>
      </c>
      <c r="D788" s="374">
        <v>1101111125289</v>
      </c>
      <c r="E788" s="372" t="s">
        <v>5693</v>
      </c>
      <c r="F788" s="375" t="s">
        <v>1576</v>
      </c>
      <c r="G788" s="375" t="s">
        <v>1577</v>
      </c>
      <c r="H788" s="375" t="s">
        <v>861</v>
      </c>
      <c r="I788" s="375" t="s">
        <v>862</v>
      </c>
      <c r="J788" s="375">
        <v>10024.12671</v>
      </c>
      <c r="K788" s="375">
        <v>-18261.834330000002</v>
      </c>
      <c r="L788" s="375">
        <v>-16406.50549</v>
      </c>
      <c r="M788" s="375">
        <v>109978.94624</v>
      </c>
      <c r="N788" s="372">
        <v>1.306</v>
      </c>
      <c r="O788" s="704">
        <v>6.1296848958679178</v>
      </c>
      <c r="P788" s="375" t="s">
        <v>622</v>
      </c>
      <c r="Q788" s="372" t="s">
        <v>622</v>
      </c>
      <c r="R788" s="696">
        <v>20080715</v>
      </c>
      <c r="S788" s="372" t="s">
        <v>5694</v>
      </c>
      <c r="T788" s="697" t="s">
        <v>771</v>
      </c>
      <c r="U788" s="372" t="s">
        <v>5695</v>
      </c>
      <c r="V788" s="723">
        <v>0</v>
      </c>
      <c r="W788" s="723">
        <v>0</v>
      </c>
      <c r="X788" s="723">
        <v>0</v>
      </c>
      <c r="Y788" s="723">
        <v>0</v>
      </c>
      <c r="Z788" s="382" t="s">
        <v>927</v>
      </c>
      <c r="AA788" s="372">
        <v>130.1220093</v>
      </c>
      <c r="AB788" s="372">
        <v>179.54149630000001</v>
      </c>
      <c r="AC788" s="372">
        <v>114.8088643</v>
      </c>
      <c r="AD788" s="372">
        <v>228.59151299999999</v>
      </c>
      <c r="AE788" s="372">
        <v>0</v>
      </c>
      <c r="AF788" s="372">
        <v>0</v>
      </c>
      <c r="AG788" s="372">
        <v>0</v>
      </c>
      <c r="AH788" s="372">
        <v>0</v>
      </c>
    </row>
    <row r="789" spans="1:34">
      <c r="A789" s="372" t="s">
        <v>5696</v>
      </c>
      <c r="B789" s="373" t="s">
        <v>5697</v>
      </c>
      <c r="C789" s="372" t="s">
        <v>5698</v>
      </c>
      <c r="D789" s="374">
        <v>1101110027569</v>
      </c>
      <c r="E789" s="372" t="s">
        <v>5699</v>
      </c>
      <c r="F789" s="372" t="s">
        <v>5700</v>
      </c>
      <c r="G789" s="375" t="s">
        <v>5701</v>
      </c>
      <c r="H789" s="375" t="s">
        <v>846</v>
      </c>
      <c r="I789" s="375" t="s">
        <v>754</v>
      </c>
      <c r="J789" s="375">
        <v>483810.08791</v>
      </c>
      <c r="K789" s="375">
        <v>19102.804110000001</v>
      </c>
      <c r="L789" s="375">
        <v>71512.83</v>
      </c>
      <c r="M789" s="375">
        <v>596451.27712999994</v>
      </c>
      <c r="N789" s="372">
        <v>0.58899999999999997</v>
      </c>
      <c r="O789" s="704">
        <v>9.3993905540221405</v>
      </c>
      <c r="P789" s="375" t="s">
        <v>622</v>
      </c>
      <c r="Q789" s="375" t="s">
        <v>622</v>
      </c>
      <c r="R789" s="696">
        <v>19880328</v>
      </c>
      <c r="S789" s="375" t="s">
        <v>5702</v>
      </c>
      <c r="T789" s="697">
        <v>0.23100000000000001</v>
      </c>
      <c r="U789" s="375" t="s">
        <v>5703</v>
      </c>
      <c r="V789" s="723">
        <v>10.35</v>
      </c>
      <c r="W789" s="723">
        <v>0.43</v>
      </c>
      <c r="X789" s="723">
        <v>0.49</v>
      </c>
      <c r="Y789" s="723">
        <v>4.0599999999999996</v>
      </c>
      <c r="Z789" s="382" t="s">
        <v>927</v>
      </c>
      <c r="AA789" s="372">
        <v>3924.3584793</v>
      </c>
      <c r="AB789" s="372">
        <v>4670.3328204999998</v>
      </c>
      <c r="AC789" s="372">
        <v>4925.1278149</v>
      </c>
      <c r="AD789" s="372">
        <v>4768.1021600000004</v>
      </c>
      <c r="AE789" s="372">
        <v>5356</v>
      </c>
      <c r="AF789" s="372">
        <v>0</v>
      </c>
      <c r="AG789" s="372">
        <v>0</v>
      </c>
      <c r="AH789" s="372">
        <v>0</v>
      </c>
    </row>
    <row r="790" spans="1:34">
      <c r="A790" s="372" t="s">
        <v>5704</v>
      </c>
      <c r="B790" s="373" t="s">
        <v>5705</v>
      </c>
      <c r="C790" s="372" t="s">
        <v>5706</v>
      </c>
      <c r="D790" s="374">
        <v>1358110177957</v>
      </c>
      <c r="E790" s="372" t="s">
        <v>5707</v>
      </c>
      <c r="F790" s="375" t="s">
        <v>1116</v>
      </c>
      <c r="G790" s="375" t="s">
        <v>1336</v>
      </c>
      <c r="H790" s="375" t="s">
        <v>1337</v>
      </c>
      <c r="I790" s="375" t="s">
        <v>862</v>
      </c>
      <c r="J790" s="375">
        <v>16137.925450000001</v>
      </c>
      <c r="K790" s="375">
        <v>-21040.641479999998</v>
      </c>
      <c r="L790" s="375">
        <v>-26251.39932</v>
      </c>
      <c r="M790" s="375">
        <v>16796.33942</v>
      </c>
      <c r="N790" s="372">
        <v>0.51</v>
      </c>
      <c r="O790" s="704">
        <v>11.707441026065544</v>
      </c>
      <c r="P790" s="375" t="s">
        <v>622</v>
      </c>
      <c r="Q790" s="375" t="s">
        <v>622</v>
      </c>
      <c r="R790" s="696">
        <v>20180718</v>
      </c>
      <c r="S790" s="375" t="s">
        <v>5708</v>
      </c>
      <c r="T790" s="697" t="s">
        <v>771</v>
      </c>
      <c r="U790" s="372" t="s">
        <v>5709</v>
      </c>
      <c r="V790" s="723" t="s">
        <v>773</v>
      </c>
      <c r="W790" s="723">
        <v>17.8</v>
      </c>
      <c r="X790" s="723">
        <v>17.64</v>
      </c>
      <c r="Y790" s="723" t="s">
        <v>773</v>
      </c>
      <c r="Z790" s="382" t="s">
        <v>927</v>
      </c>
      <c r="AA790" s="372">
        <v>24.742720899999998</v>
      </c>
      <c r="AB790" s="372">
        <v>36.743567599999999</v>
      </c>
      <c r="AC790" s="372">
        <v>93.203236399999994</v>
      </c>
      <c r="AD790" s="372">
        <v>170.6427544</v>
      </c>
      <c r="AE790" s="372">
        <v>0</v>
      </c>
      <c r="AF790" s="372">
        <v>0</v>
      </c>
      <c r="AG790" s="372">
        <v>0</v>
      </c>
      <c r="AH790" s="372">
        <v>0</v>
      </c>
    </row>
    <row r="791" spans="1:34">
      <c r="A791" s="372" t="s">
        <v>5710</v>
      </c>
      <c r="B791" s="373" t="s">
        <v>5711</v>
      </c>
      <c r="C791" s="372" t="s">
        <v>5712</v>
      </c>
      <c r="D791" s="374">
        <v>1311110541069</v>
      </c>
      <c r="E791" s="372" t="s">
        <v>5713</v>
      </c>
      <c r="F791" s="375" t="s">
        <v>1656</v>
      </c>
      <c r="G791" s="375" t="s">
        <v>2367</v>
      </c>
      <c r="H791" s="375" t="s">
        <v>861</v>
      </c>
      <c r="I791" s="375" t="s">
        <v>862</v>
      </c>
      <c r="J791" s="375">
        <v>26678.844880000001</v>
      </c>
      <c r="K791" s="375">
        <v>-19292.464680000001</v>
      </c>
      <c r="L791" s="375">
        <v>-27243.154340000001</v>
      </c>
      <c r="M791" s="375">
        <v>15179.578100000001</v>
      </c>
      <c r="N791" s="372">
        <v>1.1359999999999999</v>
      </c>
      <c r="O791" s="704">
        <v>10.765416147549876</v>
      </c>
      <c r="P791" s="375" t="s">
        <v>622</v>
      </c>
      <c r="Q791" s="375" t="s">
        <v>622</v>
      </c>
      <c r="R791" s="696">
        <v>20220701</v>
      </c>
      <c r="S791" s="375" t="s">
        <v>5714</v>
      </c>
      <c r="T791" s="697" t="s">
        <v>771</v>
      </c>
      <c r="U791" s="375" t="s">
        <v>5715</v>
      </c>
      <c r="V791" s="723">
        <v>0</v>
      </c>
      <c r="W791" s="723">
        <v>0</v>
      </c>
      <c r="X791" s="723">
        <v>0</v>
      </c>
      <c r="Y791" s="723">
        <v>0</v>
      </c>
      <c r="Z791" s="382" t="s">
        <v>927</v>
      </c>
      <c r="AA791" s="372">
        <v>103.82892409999999</v>
      </c>
      <c r="AB791" s="372">
        <v>244.69248780000001</v>
      </c>
      <c r="AC791" s="372">
        <v>128.69167160000001</v>
      </c>
      <c r="AD791" s="372">
        <v>161.5413264</v>
      </c>
      <c r="AE791" s="372">
        <v>0</v>
      </c>
      <c r="AF791" s="372">
        <v>0</v>
      </c>
      <c r="AG791" s="372">
        <v>0</v>
      </c>
      <c r="AH791" s="372">
        <v>0</v>
      </c>
    </row>
    <row r="792" spans="1:34">
      <c r="A792" s="372" t="s">
        <v>5716</v>
      </c>
      <c r="B792" s="373" t="s">
        <v>5717</v>
      </c>
      <c r="C792" s="372" t="s">
        <v>5718</v>
      </c>
      <c r="D792" s="374">
        <v>1101111423576</v>
      </c>
      <c r="E792" s="372" t="s">
        <v>5719</v>
      </c>
      <c r="F792" s="375" t="s">
        <v>2718</v>
      </c>
      <c r="G792" s="375" t="s">
        <v>3024</v>
      </c>
      <c r="H792" s="375" t="s">
        <v>1337</v>
      </c>
      <c r="I792" s="375" t="s">
        <v>862</v>
      </c>
      <c r="J792" s="375">
        <v>131728.9889</v>
      </c>
      <c r="K792" s="375">
        <v>-1907.12618</v>
      </c>
      <c r="L792" s="375">
        <v>-26023.140940000001</v>
      </c>
      <c r="M792" s="375">
        <v>149372.69847999999</v>
      </c>
      <c r="N792" s="372">
        <v>0.91500000000000004</v>
      </c>
      <c r="O792" s="704">
        <v>36.461940923078245</v>
      </c>
      <c r="P792" s="375" t="s">
        <v>622</v>
      </c>
      <c r="Q792" s="375" t="s">
        <v>622</v>
      </c>
      <c r="R792" s="696">
        <v>20000218</v>
      </c>
      <c r="S792" s="375" t="s">
        <v>5720</v>
      </c>
      <c r="T792" s="697" t="s">
        <v>771</v>
      </c>
      <c r="U792" s="375" t="s">
        <v>5721</v>
      </c>
      <c r="V792" s="723">
        <v>24.93</v>
      </c>
      <c r="W792" s="723">
        <v>1.1100000000000001</v>
      </c>
      <c r="X792" s="723">
        <v>1.45</v>
      </c>
      <c r="Y792" s="723" t="s">
        <v>773</v>
      </c>
      <c r="Z792" s="382">
        <v>9.5106263288066817E-2</v>
      </c>
      <c r="AA792" s="372">
        <v>1126.0345385999999</v>
      </c>
      <c r="AB792" s="372">
        <v>1291.7463568000001</v>
      </c>
      <c r="AC792" s="372">
        <v>1386.1748934</v>
      </c>
      <c r="AD792" s="372">
        <v>1328.0313151</v>
      </c>
      <c r="AE792" s="372">
        <v>1370</v>
      </c>
      <c r="AF792" s="372">
        <v>1589</v>
      </c>
      <c r="AG792" s="372">
        <v>1910</v>
      </c>
      <c r="AH792" s="372">
        <v>0</v>
      </c>
    </row>
    <row r="793" spans="1:34">
      <c r="A793" s="372" t="s">
        <v>5722</v>
      </c>
      <c r="B793" s="373" t="s">
        <v>5723</v>
      </c>
      <c r="C793" s="372" t="s">
        <v>5724</v>
      </c>
      <c r="D793" s="374">
        <v>1101110971873</v>
      </c>
      <c r="E793" s="372" t="s">
        <v>5724</v>
      </c>
      <c r="F793" s="375" t="s">
        <v>5600</v>
      </c>
      <c r="G793" s="375" t="s">
        <v>5600</v>
      </c>
      <c r="H793" s="375" t="s">
        <v>1531</v>
      </c>
      <c r="I793" s="375" t="s">
        <v>862</v>
      </c>
      <c r="J793" s="375">
        <v>129140.76728</v>
      </c>
      <c r="K793" s="375">
        <v>-28165.3851</v>
      </c>
      <c r="L793" s="375">
        <v>-23988.63681</v>
      </c>
      <c r="M793" s="375">
        <v>216931.01267</v>
      </c>
      <c r="N793" s="372">
        <v>1</v>
      </c>
      <c r="O793" s="704">
        <v>0.56134122491763994</v>
      </c>
      <c r="P793" s="375" t="s">
        <v>622</v>
      </c>
      <c r="Q793" s="375" t="s">
        <v>622</v>
      </c>
      <c r="R793" s="696">
        <v>20010831</v>
      </c>
      <c r="S793" s="375" t="s">
        <v>5725</v>
      </c>
      <c r="T793" s="697" t="s">
        <v>771</v>
      </c>
      <c r="U793" s="375" t="s">
        <v>5726</v>
      </c>
      <c r="V793" s="723">
        <v>0</v>
      </c>
      <c r="W793" s="723">
        <v>0</v>
      </c>
      <c r="X793" s="723">
        <v>0</v>
      </c>
      <c r="Y793" s="723">
        <v>0</v>
      </c>
      <c r="Z793" s="382" t="s">
        <v>927</v>
      </c>
      <c r="AA793" s="372">
        <v>1331.0217209</v>
      </c>
      <c r="AB793" s="372">
        <v>1451.5036653</v>
      </c>
      <c r="AC793" s="372">
        <v>1521.9129602999999</v>
      </c>
      <c r="AD793" s="372">
        <v>1304.6956084000001</v>
      </c>
      <c r="AE793" s="372">
        <v>0</v>
      </c>
      <c r="AF793" s="372">
        <v>0</v>
      </c>
      <c r="AG793" s="372">
        <v>0</v>
      </c>
      <c r="AH793" s="372">
        <v>0</v>
      </c>
    </row>
    <row r="794" spans="1:34">
      <c r="A794" s="372" t="s">
        <v>5727</v>
      </c>
      <c r="B794" s="373" t="s">
        <v>5728</v>
      </c>
      <c r="C794" s="372" t="s">
        <v>5729</v>
      </c>
      <c r="D794" s="374">
        <v>1101111530959</v>
      </c>
      <c r="E794" s="372" t="s">
        <v>5730</v>
      </c>
      <c r="F794" s="375" t="s">
        <v>1750</v>
      </c>
      <c r="G794" s="375" t="s">
        <v>1750</v>
      </c>
      <c r="H794" s="375" t="s">
        <v>861</v>
      </c>
      <c r="I794" s="375" t="s">
        <v>862</v>
      </c>
      <c r="J794" s="375">
        <v>94576.536519999994</v>
      </c>
      <c r="K794" s="375">
        <v>17446.83582</v>
      </c>
      <c r="L794" s="375">
        <v>18834.31193</v>
      </c>
      <c r="M794" s="375">
        <v>229030.72203999999</v>
      </c>
      <c r="N794" s="372">
        <v>0.74299999999999999</v>
      </c>
      <c r="O794" s="704">
        <v>13.732668324925667</v>
      </c>
      <c r="P794" s="375" t="s">
        <v>622</v>
      </c>
      <c r="Q794" s="375" t="s">
        <v>622</v>
      </c>
      <c r="R794" s="696">
        <v>20040811</v>
      </c>
      <c r="S794" s="375" t="s">
        <v>5731</v>
      </c>
      <c r="T794" s="697">
        <v>0.20900000000000002</v>
      </c>
      <c r="U794" s="375" t="s">
        <v>5732</v>
      </c>
      <c r="V794" s="723">
        <v>13.24</v>
      </c>
      <c r="W794" s="723">
        <v>1.3</v>
      </c>
      <c r="X794" s="723">
        <v>2.5</v>
      </c>
      <c r="Y794" s="723">
        <v>37.74</v>
      </c>
      <c r="Z794" s="382" t="s">
        <v>927</v>
      </c>
      <c r="AA794" s="372">
        <v>689.47306409999999</v>
      </c>
      <c r="AB794" s="372">
        <v>307.05403439999998</v>
      </c>
      <c r="AC794" s="372">
        <v>865.39071420000005</v>
      </c>
      <c r="AD794" s="372">
        <v>832.14793559999998</v>
      </c>
      <c r="AE794" s="372">
        <v>0</v>
      </c>
      <c r="AF794" s="372">
        <v>0</v>
      </c>
      <c r="AG794" s="372">
        <v>0</v>
      </c>
      <c r="AH794" s="372">
        <v>0</v>
      </c>
    </row>
    <row r="795" spans="1:34">
      <c r="A795" s="372" t="s">
        <v>5733</v>
      </c>
      <c r="B795" s="373" t="s">
        <v>5734</v>
      </c>
      <c r="C795" s="372" t="s">
        <v>5735</v>
      </c>
      <c r="D795" s="374">
        <v>1101111408867</v>
      </c>
      <c r="E795" s="372" t="s">
        <v>5736</v>
      </c>
      <c r="F795" s="372" t="s">
        <v>975</v>
      </c>
      <c r="G795" s="375" t="s">
        <v>976</v>
      </c>
      <c r="H795" s="375" t="s">
        <v>817</v>
      </c>
      <c r="I795" s="375" t="s">
        <v>754</v>
      </c>
      <c r="J795" s="375">
        <v>606538.72456999996</v>
      </c>
      <c r="K795" s="375">
        <v>35195.845450000001</v>
      </c>
      <c r="L795" s="375">
        <v>36568.26713</v>
      </c>
      <c r="M795" s="375">
        <v>399293.18015999999</v>
      </c>
      <c r="N795" s="372">
        <v>0.754</v>
      </c>
      <c r="O795" s="704">
        <v>4.8098230750581381</v>
      </c>
      <c r="P795" s="375" t="s">
        <v>622</v>
      </c>
      <c r="Q795" s="375" t="s">
        <v>622</v>
      </c>
      <c r="R795" s="696">
        <v>20001114</v>
      </c>
      <c r="S795" s="375" t="s">
        <v>5737</v>
      </c>
      <c r="T795" s="697">
        <v>0.23100000000000001</v>
      </c>
      <c r="U795" s="375" t="s">
        <v>5738</v>
      </c>
      <c r="V795" s="723">
        <v>2.7</v>
      </c>
      <c r="W795" s="723">
        <v>0.38</v>
      </c>
      <c r="X795" s="723">
        <v>0.28000000000000003</v>
      </c>
      <c r="Y795" s="723">
        <v>6.04</v>
      </c>
      <c r="Z795" s="382" t="s">
        <v>927</v>
      </c>
      <c r="AA795" s="372">
        <v>4803.0784202000004</v>
      </c>
      <c r="AB795" s="372">
        <v>5260.8904776999998</v>
      </c>
      <c r="AC795" s="372">
        <v>5968.7039481000002</v>
      </c>
      <c r="AD795" s="372">
        <v>6189.2293601000001</v>
      </c>
      <c r="AE795" s="372">
        <v>7258</v>
      </c>
      <c r="AF795" s="372">
        <v>7835</v>
      </c>
      <c r="AG795" s="372">
        <v>0</v>
      </c>
      <c r="AH795" s="372">
        <v>0</v>
      </c>
    </row>
    <row r="796" spans="1:34">
      <c r="A796" s="372" t="s">
        <v>5739</v>
      </c>
      <c r="B796" s="373" t="s">
        <v>5740</v>
      </c>
      <c r="C796" s="372" t="s">
        <v>5741</v>
      </c>
      <c r="D796" s="374">
        <v>1301110008789</v>
      </c>
      <c r="E796" s="372" t="s">
        <v>5742</v>
      </c>
      <c r="F796" s="375" t="s">
        <v>3956</v>
      </c>
      <c r="G796" s="375" t="s">
        <v>3956</v>
      </c>
      <c r="H796" s="375" t="s">
        <v>3957</v>
      </c>
      <c r="I796" s="375" t="s">
        <v>754</v>
      </c>
      <c r="J796" s="375">
        <v>652936.95244000002</v>
      </c>
      <c r="K796" s="375">
        <v>32058.248629999998</v>
      </c>
      <c r="L796" s="375">
        <v>42529.653700000003</v>
      </c>
      <c r="M796" s="375">
        <v>689299.28301999997</v>
      </c>
      <c r="N796" s="372">
        <v>0.55200000000000005</v>
      </c>
      <c r="O796" s="704">
        <v>43.075488902309743</v>
      </c>
      <c r="P796" s="375" t="s">
        <v>622</v>
      </c>
      <c r="Q796" s="375" t="s">
        <v>622</v>
      </c>
      <c r="R796" s="696">
        <v>19951221</v>
      </c>
      <c r="S796" s="375" t="s">
        <v>5743</v>
      </c>
      <c r="T796" s="697">
        <v>0.23100000000000001</v>
      </c>
      <c r="U796" s="375" t="s">
        <v>5744</v>
      </c>
      <c r="V796" s="723">
        <v>5.29</v>
      </c>
      <c r="W796" s="723">
        <v>0.35</v>
      </c>
      <c r="X796" s="723">
        <v>0.35</v>
      </c>
      <c r="Y796" s="723">
        <v>8.31</v>
      </c>
      <c r="Z796" s="382" t="s">
        <v>927</v>
      </c>
      <c r="AA796" s="372">
        <v>6092.0500436000002</v>
      </c>
      <c r="AB796" s="372">
        <v>6815.6590533999997</v>
      </c>
      <c r="AC796" s="372">
        <v>6764.0222382000002</v>
      </c>
      <c r="AD796" s="372">
        <v>6453.5989164000002</v>
      </c>
      <c r="AE796" s="372">
        <v>0</v>
      </c>
      <c r="AF796" s="372">
        <v>0</v>
      </c>
      <c r="AG796" s="372">
        <v>0</v>
      </c>
      <c r="AH796" s="372">
        <v>0</v>
      </c>
    </row>
    <row r="797" spans="1:34">
      <c r="A797" s="372" t="s">
        <v>5745</v>
      </c>
      <c r="B797" s="373" t="s">
        <v>5746</v>
      </c>
      <c r="C797" s="372" t="s">
        <v>5747</v>
      </c>
      <c r="D797" s="374">
        <v>1101115855973</v>
      </c>
      <c r="E797" s="372" t="s">
        <v>5748</v>
      </c>
      <c r="F797" s="375" t="s">
        <v>621</v>
      </c>
      <c r="G797" s="375" t="s">
        <v>621</v>
      </c>
      <c r="H797" s="375" t="s">
        <v>861</v>
      </c>
      <c r="I797" s="375" t="s">
        <v>862</v>
      </c>
      <c r="J797" s="375">
        <v>157675.93702000001</v>
      </c>
      <c r="K797" s="375">
        <v>-22746.50648</v>
      </c>
      <c r="L797" s="375">
        <v>-17782.523209999999</v>
      </c>
      <c r="M797" s="375">
        <v>155379.29261999999</v>
      </c>
      <c r="N797" s="372">
        <v>0.74399999999999999</v>
      </c>
      <c r="O797" s="704">
        <v>54.046310858953071</v>
      </c>
      <c r="P797" s="375" t="s">
        <v>622</v>
      </c>
      <c r="Q797" s="375" t="s">
        <v>622</v>
      </c>
      <c r="R797" s="696">
        <v>20151216</v>
      </c>
      <c r="S797" s="375" t="s">
        <v>5749</v>
      </c>
      <c r="T797" s="697" t="s">
        <v>771</v>
      </c>
      <c r="U797" s="372" t="s">
        <v>5750</v>
      </c>
      <c r="V797" s="723" t="s">
        <v>773</v>
      </c>
      <c r="W797" s="723">
        <v>0.77</v>
      </c>
      <c r="X797" s="723">
        <v>0.76</v>
      </c>
      <c r="Y797" s="723" t="s">
        <v>773</v>
      </c>
      <c r="Z797" s="382" t="s">
        <v>927</v>
      </c>
      <c r="AA797" s="372">
        <v>920.71120510000003</v>
      </c>
      <c r="AB797" s="372">
        <v>2063.5712521999999</v>
      </c>
      <c r="AC797" s="372">
        <v>3662.8266652000002</v>
      </c>
      <c r="AD797" s="372">
        <v>1641.8421676</v>
      </c>
      <c r="AE797" s="372">
        <v>3832</v>
      </c>
      <c r="AF797" s="372">
        <v>5797</v>
      </c>
      <c r="AG797" s="372">
        <v>0</v>
      </c>
      <c r="AH797" s="372">
        <v>0</v>
      </c>
    </row>
    <row r="798" spans="1:34">
      <c r="A798" s="372" t="s">
        <v>5751</v>
      </c>
      <c r="B798" s="373" t="s">
        <v>5752</v>
      </c>
      <c r="C798" s="372" t="s">
        <v>5753</v>
      </c>
      <c r="D798" s="374">
        <v>1211110051797</v>
      </c>
      <c r="E798" s="372" t="s">
        <v>5754</v>
      </c>
      <c r="F798" s="375" t="s">
        <v>5755</v>
      </c>
      <c r="G798" s="375" t="s">
        <v>5756</v>
      </c>
      <c r="H798" s="375" t="s">
        <v>861</v>
      </c>
      <c r="I798" s="375" t="s">
        <v>862</v>
      </c>
      <c r="J798" s="375">
        <v>57148.175410000003</v>
      </c>
      <c r="K798" s="375">
        <v>-3828.5558700000001</v>
      </c>
      <c r="L798" s="375">
        <v>-14820.53686</v>
      </c>
      <c r="M798" s="375">
        <v>93893.173079999993</v>
      </c>
      <c r="N798" s="372">
        <v>1.889</v>
      </c>
      <c r="O798" s="704">
        <v>10.714068869188626</v>
      </c>
      <c r="P798" s="375" t="s">
        <v>622</v>
      </c>
      <c r="Q798" s="375" t="s">
        <v>622</v>
      </c>
      <c r="R798" s="696">
        <v>20201106</v>
      </c>
      <c r="S798" s="375" t="s">
        <v>5757</v>
      </c>
      <c r="T798" s="697" t="s">
        <v>771</v>
      </c>
      <c r="U798" s="375" t="s">
        <v>5758</v>
      </c>
      <c r="V798" s="723">
        <v>0</v>
      </c>
      <c r="W798" s="723">
        <v>0</v>
      </c>
      <c r="X798" s="723">
        <v>0</v>
      </c>
      <c r="Y798" s="723">
        <v>0</v>
      </c>
      <c r="Z798" s="382" t="s">
        <v>927</v>
      </c>
      <c r="AA798" s="372">
        <v>576.30614760000003</v>
      </c>
      <c r="AB798" s="372">
        <v>700.10753720000002</v>
      </c>
      <c r="AC798" s="372">
        <v>558.96292159999996</v>
      </c>
      <c r="AD798" s="372">
        <v>598.27801599999998</v>
      </c>
      <c r="AE798" s="372">
        <v>0</v>
      </c>
      <c r="AF798" s="372">
        <v>0</v>
      </c>
      <c r="AG798" s="372">
        <v>0</v>
      </c>
      <c r="AH798" s="372">
        <v>0</v>
      </c>
    </row>
    <row r="799" spans="1:34">
      <c r="A799" s="372" t="s">
        <v>5759</v>
      </c>
      <c r="B799" s="373" t="s">
        <v>5760</v>
      </c>
      <c r="C799" s="372" t="s">
        <v>5761</v>
      </c>
      <c r="D799" s="374">
        <v>1101111777585</v>
      </c>
      <c r="E799" s="372" t="s">
        <v>5762</v>
      </c>
      <c r="F799" s="375" t="s">
        <v>1796</v>
      </c>
      <c r="G799" s="375" t="s">
        <v>2797</v>
      </c>
      <c r="H799" s="375" t="s">
        <v>861</v>
      </c>
      <c r="I799" s="375" t="s">
        <v>862</v>
      </c>
      <c r="J799" s="375">
        <v>266694.04995999997</v>
      </c>
      <c r="K799" s="375">
        <v>34861.263129999999</v>
      </c>
      <c r="L799" s="375">
        <v>29955.994019999998</v>
      </c>
      <c r="M799" s="375">
        <v>336794.27860999998</v>
      </c>
      <c r="N799" s="372">
        <v>0.75600000000000001</v>
      </c>
      <c r="O799" s="704">
        <v>76.780864826583766</v>
      </c>
      <c r="P799" s="375" t="s">
        <v>622</v>
      </c>
      <c r="Q799" s="372" t="s">
        <v>622</v>
      </c>
      <c r="R799" s="696">
        <v>20051019</v>
      </c>
      <c r="S799" s="372" t="s">
        <v>5763</v>
      </c>
      <c r="T799" s="697">
        <v>0.23100000000000001</v>
      </c>
      <c r="U799" s="372" t="s">
        <v>5764</v>
      </c>
      <c r="V799" s="723">
        <v>6.15</v>
      </c>
      <c r="W799" s="723">
        <v>1.06</v>
      </c>
      <c r="X799" s="723">
        <v>0.69</v>
      </c>
      <c r="Y799" s="723">
        <v>13.94</v>
      </c>
      <c r="Z799" s="382" t="s">
        <v>927</v>
      </c>
      <c r="AA799" s="372">
        <v>1690.4495512999999</v>
      </c>
      <c r="AB799" s="372">
        <v>1994.6311481</v>
      </c>
      <c r="AC799" s="372">
        <v>2391.5394531000002</v>
      </c>
      <c r="AD799" s="372">
        <v>2615.9069657999999</v>
      </c>
      <c r="AE799" s="372">
        <v>0</v>
      </c>
      <c r="AF799" s="372">
        <v>0</v>
      </c>
      <c r="AG799" s="372">
        <v>0</v>
      </c>
      <c r="AH799" s="372">
        <v>0</v>
      </c>
    </row>
    <row r="800" spans="1:34">
      <c r="A800" s="372" t="s">
        <v>5765</v>
      </c>
      <c r="B800" s="373" t="s">
        <v>5766</v>
      </c>
      <c r="C800" s="372" t="s">
        <v>5767</v>
      </c>
      <c r="D800" s="374">
        <v>1601110387525</v>
      </c>
      <c r="E800" s="372" t="s">
        <v>5768</v>
      </c>
      <c r="F800" s="375" t="s">
        <v>5769</v>
      </c>
      <c r="G800" s="375" t="s">
        <v>5769</v>
      </c>
      <c r="H800" s="375" t="s">
        <v>1337</v>
      </c>
      <c r="I800" s="375" t="s">
        <v>862</v>
      </c>
      <c r="J800" s="375">
        <v>40895.761890000002</v>
      </c>
      <c r="K800" s="375">
        <v>-11338.337450000001</v>
      </c>
      <c r="L800" s="375">
        <v>-15590.969590000001</v>
      </c>
      <c r="M800" s="375">
        <v>182776.16175999999</v>
      </c>
      <c r="N800" s="372" t="s">
        <v>1026</v>
      </c>
      <c r="O800" s="704">
        <v>17.215916758004688</v>
      </c>
      <c r="P800" s="375" t="s">
        <v>622</v>
      </c>
      <c r="Q800" s="375" t="s">
        <v>622</v>
      </c>
      <c r="R800" s="696">
        <v>20231109</v>
      </c>
      <c r="S800" s="375" t="s">
        <v>5770</v>
      </c>
      <c r="T800" s="697" t="s">
        <v>771</v>
      </c>
      <c r="U800" s="375" t="s">
        <v>5771</v>
      </c>
      <c r="V800" s="723" t="s">
        <v>773</v>
      </c>
      <c r="W800" s="723">
        <v>1.25</v>
      </c>
      <c r="X800" s="723">
        <v>3.24</v>
      </c>
      <c r="Y800" s="723" t="s">
        <v>773</v>
      </c>
      <c r="Z800" s="382">
        <v>0.45100895422551868</v>
      </c>
      <c r="AA800" s="372">
        <v>0</v>
      </c>
      <c r="AB800" s="372">
        <v>57.873002399999997</v>
      </c>
      <c r="AC800" s="372">
        <v>127.6035127</v>
      </c>
      <c r="AD800" s="372">
        <v>158.13851199999999</v>
      </c>
      <c r="AE800" s="372">
        <v>309</v>
      </c>
      <c r="AF800" s="372">
        <v>519</v>
      </c>
      <c r="AG800" s="372">
        <v>701</v>
      </c>
      <c r="AH800" s="372">
        <v>0</v>
      </c>
    </row>
    <row r="801" spans="1:34">
      <c r="A801" s="372" t="s">
        <v>5772</v>
      </c>
      <c r="B801" s="373" t="s">
        <v>5773</v>
      </c>
      <c r="C801" s="372" t="s">
        <v>5774</v>
      </c>
      <c r="D801" s="374">
        <v>1311110241362</v>
      </c>
      <c r="E801" s="372" t="s">
        <v>5775</v>
      </c>
      <c r="F801" s="375" t="s">
        <v>1275</v>
      </c>
      <c r="G801" s="375" t="s">
        <v>1275</v>
      </c>
      <c r="H801" s="375" t="s">
        <v>861</v>
      </c>
      <c r="I801" s="375" t="s">
        <v>862</v>
      </c>
      <c r="J801" s="375">
        <v>9843.2035799999994</v>
      </c>
      <c r="K801" s="375">
        <v>-4633.6012700000001</v>
      </c>
      <c r="L801" s="375">
        <v>-5652.8039200000003</v>
      </c>
      <c r="M801" s="375">
        <v>17587.404640000001</v>
      </c>
      <c r="N801" s="372" t="s">
        <v>1026</v>
      </c>
      <c r="O801" s="704">
        <v>7.6372852186228233</v>
      </c>
      <c r="P801" s="375" t="s">
        <v>622</v>
      </c>
      <c r="Q801" s="375" t="s">
        <v>622</v>
      </c>
      <c r="R801" s="696">
        <v>20230309</v>
      </c>
      <c r="S801" s="375" t="s">
        <v>5776</v>
      </c>
      <c r="T801" s="697" t="s">
        <v>771</v>
      </c>
      <c r="U801" s="372" t="s">
        <v>5777</v>
      </c>
      <c r="V801" s="723">
        <v>0</v>
      </c>
      <c r="W801" s="723">
        <v>0</v>
      </c>
      <c r="X801" s="723">
        <v>0</v>
      </c>
      <c r="Y801" s="723">
        <v>0</v>
      </c>
      <c r="Z801" s="382" t="s">
        <v>927</v>
      </c>
      <c r="AA801" s="372">
        <v>57.592808599999998</v>
      </c>
      <c r="AB801" s="372">
        <v>57.863829299999999</v>
      </c>
      <c r="AC801" s="372">
        <v>109.1636539</v>
      </c>
      <c r="AD801" s="372">
        <v>107.44039290000001</v>
      </c>
      <c r="AE801" s="372">
        <v>0</v>
      </c>
      <c r="AF801" s="372">
        <v>0</v>
      </c>
      <c r="AG801" s="372">
        <v>0</v>
      </c>
      <c r="AH801" s="372">
        <v>0</v>
      </c>
    </row>
    <row r="802" spans="1:34">
      <c r="A802" s="372" t="s">
        <v>5778</v>
      </c>
      <c r="B802" s="373" t="s">
        <v>5779</v>
      </c>
      <c r="C802" s="372" t="s">
        <v>5780</v>
      </c>
      <c r="D802" s="374">
        <v>1101110234312</v>
      </c>
      <c r="E802" s="372" t="s">
        <v>5781</v>
      </c>
      <c r="F802" s="375" t="s">
        <v>1276</v>
      </c>
      <c r="G802" s="375" t="s">
        <v>1452</v>
      </c>
      <c r="H802" s="375" t="s">
        <v>861</v>
      </c>
      <c r="I802" s="375" t="s">
        <v>862</v>
      </c>
      <c r="J802" s="375">
        <v>25149.36449</v>
      </c>
      <c r="K802" s="375">
        <v>-1721.1963000000001</v>
      </c>
      <c r="L802" s="375">
        <v>-3892.6819300000002</v>
      </c>
      <c r="M802" s="375">
        <v>78179.782739999995</v>
      </c>
      <c r="N802" s="372">
        <v>0.83399999999999996</v>
      </c>
      <c r="O802" s="704">
        <v>1.9356708986966038</v>
      </c>
      <c r="P802" s="375" t="s">
        <v>622</v>
      </c>
      <c r="Q802" s="375" t="s">
        <v>622</v>
      </c>
      <c r="R802" s="696">
        <v>20010116</v>
      </c>
      <c r="S802" s="375" t="s">
        <v>5782</v>
      </c>
      <c r="T802" s="697" t="s">
        <v>771</v>
      </c>
      <c r="U802" s="375" t="s">
        <v>5783</v>
      </c>
      <c r="V802" s="723">
        <v>0</v>
      </c>
      <c r="W802" s="723">
        <v>0</v>
      </c>
      <c r="X802" s="723">
        <v>0</v>
      </c>
      <c r="Y802" s="723">
        <v>0</v>
      </c>
      <c r="Z802" s="382" t="s">
        <v>927</v>
      </c>
      <c r="AA802" s="372">
        <v>383.20275889999999</v>
      </c>
      <c r="AB802" s="372">
        <v>507.47112040000002</v>
      </c>
      <c r="AC802" s="372">
        <v>314.29330620000002</v>
      </c>
      <c r="AD802" s="372">
        <v>205.81331299999999</v>
      </c>
      <c r="AE802" s="372">
        <v>0</v>
      </c>
      <c r="AF802" s="372">
        <v>0</v>
      </c>
      <c r="AG802" s="372">
        <v>0</v>
      </c>
      <c r="AH802" s="372">
        <v>0</v>
      </c>
    </row>
    <row r="803" spans="1:34">
      <c r="A803" s="372" t="s">
        <v>5784</v>
      </c>
      <c r="B803" s="373" t="s">
        <v>5785</v>
      </c>
      <c r="C803" s="372" t="s">
        <v>5786</v>
      </c>
      <c r="D803" s="374">
        <v>1101110013287</v>
      </c>
      <c r="E803" s="372" t="s">
        <v>5787</v>
      </c>
      <c r="F803" s="375" t="s">
        <v>1648</v>
      </c>
      <c r="G803" s="375" t="s">
        <v>1669</v>
      </c>
      <c r="H803" s="375" t="s">
        <v>846</v>
      </c>
      <c r="I803" s="375" t="s">
        <v>754</v>
      </c>
      <c r="J803" s="375">
        <v>395524.50176000001</v>
      </c>
      <c r="K803" s="375">
        <v>32684.11204</v>
      </c>
      <c r="L803" s="375">
        <v>17981.062020000001</v>
      </c>
      <c r="M803" s="375">
        <v>744950.91761</v>
      </c>
      <c r="N803" s="372">
        <v>0.77400000000000002</v>
      </c>
      <c r="O803" s="704">
        <v>136.38384429901126</v>
      </c>
      <c r="P803" s="375" t="s">
        <v>622</v>
      </c>
      <c r="Q803" s="375" t="s">
        <v>622</v>
      </c>
      <c r="R803" s="696">
        <v>19560303</v>
      </c>
      <c r="S803" s="375" t="s">
        <v>5788</v>
      </c>
      <c r="T803" s="697">
        <v>0.20900000000000002</v>
      </c>
      <c r="U803" s="375" t="s">
        <v>5789</v>
      </c>
      <c r="V803" s="723">
        <v>5.12</v>
      </c>
      <c r="W803" s="723">
        <v>0.22</v>
      </c>
      <c r="X803" s="723">
        <v>0.42</v>
      </c>
      <c r="Y803" s="723">
        <v>21.98</v>
      </c>
      <c r="Z803" s="382" t="s">
        <v>927</v>
      </c>
      <c r="AA803" s="372">
        <v>3292.2474078</v>
      </c>
      <c r="AB803" s="372">
        <v>3833.5714480000001</v>
      </c>
      <c r="AC803" s="372">
        <v>3892.2758282999998</v>
      </c>
      <c r="AD803" s="372">
        <v>3935.1895899000001</v>
      </c>
      <c r="AE803" s="372">
        <v>0</v>
      </c>
      <c r="AF803" s="372">
        <v>0</v>
      </c>
      <c r="AG803" s="372">
        <v>0</v>
      </c>
      <c r="AH803" s="372">
        <v>0</v>
      </c>
    </row>
    <row r="804" spans="1:34">
      <c r="A804" s="372" t="s">
        <v>5790</v>
      </c>
      <c r="B804" s="373" t="s">
        <v>5791</v>
      </c>
      <c r="C804" s="372" t="s">
        <v>5792</v>
      </c>
      <c r="D804" s="374">
        <v>1101115503308</v>
      </c>
      <c r="E804" s="372" t="s">
        <v>5793</v>
      </c>
      <c r="F804" s="372" t="s">
        <v>1055</v>
      </c>
      <c r="G804" s="375" t="s">
        <v>16104</v>
      </c>
      <c r="H804" s="375" t="s">
        <v>861</v>
      </c>
      <c r="I804" s="375" t="s">
        <v>862</v>
      </c>
      <c r="J804" s="375">
        <v>16568.935679999999</v>
      </c>
      <c r="K804" s="375">
        <v>-34046.577669999999</v>
      </c>
      <c r="L804" s="375">
        <v>-49029.226869999999</v>
      </c>
      <c r="M804" s="375">
        <v>272761.62234</v>
      </c>
      <c r="N804" s="372">
        <v>0.55600000000000005</v>
      </c>
      <c r="O804" s="704">
        <v>6.8337580235262845</v>
      </c>
      <c r="P804" s="375" t="s">
        <v>622</v>
      </c>
      <c r="Q804" s="372" t="s">
        <v>622</v>
      </c>
      <c r="R804" s="696">
        <v>20141201</v>
      </c>
      <c r="S804" s="372" t="s">
        <v>5794</v>
      </c>
      <c r="T804" s="697" t="s">
        <v>771</v>
      </c>
      <c r="U804" s="372" t="s">
        <v>5795</v>
      </c>
      <c r="V804" s="723" t="s">
        <v>773</v>
      </c>
      <c r="W804" s="723">
        <v>0.66</v>
      </c>
      <c r="X804" s="723">
        <v>12.6</v>
      </c>
      <c r="Y804" s="723" t="s">
        <v>773</v>
      </c>
      <c r="Z804" s="382" t="s">
        <v>927</v>
      </c>
      <c r="AA804" s="372">
        <v>457.1721197</v>
      </c>
      <c r="AB804" s="372">
        <v>3218.2914074999999</v>
      </c>
      <c r="AC804" s="372">
        <v>4712.7276101999996</v>
      </c>
      <c r="AD804" s="372">
        <v>138.2730363</v>
      </c>
      <c r="AE804" s="372">
        <v>0</v>
      </c>
      <c r="AF804" s="372">
        <v>0</v>
      </c>
      <c r="AG804" s="372">
        <v>0</v>
      </c>
      <c r="AH804" s="372">
        <v>0</v>
      </c>
    </row>
    <row r="805" spans="1:34">
      <c r="A805" s="372" t="s">
        <v>5796</v>
      </c>
      <c r="B805" s="373" t="s">
        <v>5797</v>
      </c>
      <c r="C805" s="372" t="s">
        <v>5798</v>
      </c>
      <c r="D805" s="374">
        <v>1101112113142</v>
      </c>
      <c r="E805" s="372" t="s">
        <v>5799</v>
      </c>
      <c r="F805" s="372" t="s">
        <v>2414</v>
      </c>
      <c r="G805" s="375" t="s">
        <v>2414</v>
      </c>
      <c r="H805" s="375" t="s">
        <v>861</v>
      </c>
      <c r="I805" s="375" t="s">
        <v>862</v>
      </c>
      <c r="J805" s="375">
        <v>5474.3791799999999</v>
      </c>
      <c r="K805" s="375">
        <v>-7072.7730199999996</v>
      </c>
      <c r="L805" s="375">
        <v>-4238.1928900000003</v>
      </c>
      <c r="M805" s="375">
        <v>13107.182140000001</v>
      </c>
      <c r="N805" s="372">
        <v>1.5189999999999999</v>
      </c>
      <c r="O805" s="704">
        <v>24.468173995251842</v>
      </c>
      <c r="P805" s="375" t="s">
        <v>622</v>
      </c>
      <c r="Q805" s="372" t="s">
        <v>622</v>
      </c>
      <c r="R805" s="696">
        <v>20221017</v>
      </c>
      <c r="S805" s="375" t="s">
        <v>5800</v>
      </c>
      <c r="T805" s="697" t="s">
        <v>771</v>
      </c>
      <c r="U805" s="372" t="s">
        <v>5801</v>
      </c>
      <c r="V805" s="723">
        <v>0</v>
      </c>
      <c r="W805" s="723">
        <v>0</v>
      </c>
      <c r="X805" s="723">
        <v>0</v>
      </c>
      <c r="Y805" s="723">
        <v>0</v>
      </c>
      <c r="Z805" s="382" t="s">
        <v>927</v>
      </c>
      <c r="AA805" s="372">
        <v>66.068062400000002</v>
      </c>
      <c r="AB805" s="372">
        <v>67.7937929</v>
      </c>
      <c r="AC805" s="372">
        <v>74.698403400000004</v>
      </c>
      <c r="AD805" s="372">
        <v>51.342767700000003</v>
      </c>
      <c r="AE805" s="372">
        <v>0</v>
      </c>
      <c r="AF805" s="372">
        <v>0</v>
      </c>
      <c r="AG805" s="372">
        <v>0</v>
      </c>
      <c r="AH805" s="372">
        <v>0</v>
      </c>
    </row>
    <row r="806" spans="1:34">
      <c r="A806" s="372" t="s">
        <v>5802</v>
      </c>
      <c r="B806" s="373" t="s">
        <v>5803</v>
      </c>
      <c r="C806" s="372" t="s">
        <v>5804</v>
      </c>
      <c r="D806" s="374">
        <v>1101111419517</v>
      </c>
      <c r="E806" s="372" t="s">
        <v>5805</v>
      </c>
      <c r="F806" s="375" t="s">
        <v>1370</v>
      </c>
      <c r="G806" s="375" t="s">
        <v>1370</v>
      </c>
      <c r="H806" s="375" t="s">
        <v>861</v>
      </c>
      <c r="I806" s="375" t="s">
        <v>862</v>
      </c>
      <c r="J806" s="375">
        <v>387196.79872999998</v>
      </c>
      <c r="K806" s="375">
        <v>24049.890749999999</v>
      </c>
      <c r="L806" s="375">
        <v>15132.141229999999</v>
      </c>
      <c r="M806" s="375">
        <v>699312.88459000003</v>
      </c>
      <c r="N806" s="372">
        <v>1.151</v>
      </c>
      <c r="O806" s="704">
        <v>3.0853136178108107</v>
      </c>
      <c r="P806" s="375" t="s">
        <v>622</v>
      </c>
      <c r="Q806" s="372" t="s">
        <v>622</v>
      </c>
      <c r="R806" s="696">
        <v>20000623</v>
      </c>
      <c r="S806" s="372" t="s">
        <v>2638</v>
      </c>
      <c r="T806" s="697">
        <v>0.20900000000000002</v>
      </c>
      <c r="U806" s="372" t="s">
        <v>5806</v>
      </c>
      <c r="V806" s="723">
        <v>12.54</v>
      </c>
      <c r="W806" s="723">
        <v>0.45</v>
      </c>
      <c r="X806" s="723">
        <v>0.44</v>
      </c>
      <c r="Y806" s="723" t="s">
        <v>773</v>
      </c>
      <c r="Z806" s="382" t="s">
        <v>927</v>
      </c>
      <c r="AA806" s="372">
        <v>2892.4616271999998</v>
      </c>
      <c r="AB806" s="372">
        <v>2693.2181810000002</v>
      </c>
      <c r="AC806" s="372">
        <v>2979.7728430000002</v>
      </c>
      <c r="AD806" s="372">
        <v>3665.8464005999999</v>
      </c>
      <c r="AE806" s="372">
        <v>0</v>
      </c>
      <c r="AF806" s="372">
        <v>0</v>
      </c>
      <c r="AG806" s="372">
        <v>0</v>
      </c>
      <c r="AH806" s="372">
        <v>0</v>
      </c>
    </row>
    <row r="807" spans="1:34">
      <c r="A807" s="372" t="s">
        <v>5807</v>
      </c>
      <c r="B807" s="373" t="s">
        <v>5808</v>
      </c>
      <c r="C807" s="372" t="s">
        <v>5809</v>
      </c>
      <c r="D807" s="374">
        <v>1101113710468</v>
      </c>
      <c r="E807" s="372" t="s">
        <v>5810</v>
      </c>
      <c r="F807" s="375" t="s">
        <v>893</v>
      </c>
      <c r="G807" s="375" t="s">
        <v>894</v>
      </c>
      <c r="H807" s="375" t="s">
        <v>855</v>
      </c>
      <c r="I807" s="375" t="s">
        <v>754</v>
      </c>
      <c r="J807" s="375">
        <v>925727.60342000006</v>
      </c>
      <c r="K807" s="375">
        <v>163218.45736999999</v>
      </c>
      <c r="L807" s="375">
        <v>151746.21283</v>
      </c>
      <c r="M807" s="375">
        <v>419407.07325000002</v>
      </c>
      <c r="N807" s="372">
        <v>0.82599999999999996</v>
      </c>
      <c r="O807" s="704">
        <v>222.73153883011071</v>
      </c>
      <c r="P807" s="375" t="s">
        <v>622</v>
      </c>
      <c r="Q807" s="375" t="s">
        <v>622</v>
      </c>
      <c r="R807" s="696">
        <v>20070731</v>
      </c>
      <c r="S807" s="375" t="s">
        <v>5811</v>
      </c>
      <c r="T807" s="697">
        <v>0.23100000000000001</v>
      </c>
      <c r="U807" s="372" t="s">
        <v>5812</v>
      </c>
      <c r="V807" s="723">
        <v>3.86</v>
      </c>
      <c r="W807" s="723">
        <v>1.29</v>
      </c>
      <c r="X807" s="723">
        <v>0.25</v>
      </c>
      <c r="Y807" s="723">
        <v>3.34</v>
      </c>
      <c r="Z807" s="382" t="s">
        <v>927</v>
      </c>
      <c r="AA807" s="372">
        <v>7815.1484001999997</v>
      </c>
      <c r="AB807" s="372">
        <v>7889.3698089</v>
      </c>
      <c r="AC807" s="372">
        <v>8645.3643071999995</v>
      </c>
      <c r="AD807" s="372">
        <v>9280.7167092</v>
      </c>
      <c r="AE807" s="372">
        <v>0</v>
      </c>
      <c r="AF807" s="372">
        <v>0</v>
      </c>
      <c r="AG807" s="372">
        <v>0</v>
      </c>
      <c r="AH807" s="372">
        <v>0</v>
      </c>
    </row>
    <row r="808" spans="1:34">
      <c r="A808" s="372" t="s">
        <v>5813</v>
      </c>
      <c r="B808" s="373" t="s">
        <v>5814</v>
      </c>
      <c r="C808" s="372" t="s">
        <v>5815</v>
      </c>
      <c r="D808" s="374">
        <v>1101113078907</v>
      </c>
      <c r="E808" s="372" t="s">
        <v>5816</v>
      </c>
      <c r="F808" s="375" t="s">
        <v>2124</v>
      </c>
      <c r="G808" s="375" t="s">
        <v>4231</v>
      </c>
      <c r="H808" s="375" t="s">
        <v>861</v>
      </c>
      <c r="I808" s="375" t="s">
        <v>862</v>
      </c>
      <c r="J808" s="375">
        <v>10131.10231</v>
      </c>
      <c r="K808" s="375">
        <v>-2818.84375</v>
      </c>
      <c r="L808" s="375">
        <v>-9404.0464300000003</v>
      </c>
      <c r="M808" s="375">
        <v>6224.6812900000004</v>
      </c>
      <c r="N808" s="372" t="s">
        <v>1026</v>
      </c>
      <c r="O808" s="704">
        <v>1.4492587901652683</v>
      </c>
      <c r="P808" s="375" t="s">
        <v>16115</v>
      </c>
      <c r="Q808" s="375" t="s">
        <v>16116</v>
      </c>
      <c r="R808" s="696">
        <v>20131219</v>
      </c>
      <c r="S808" s="375" t="s">
        <v>5817</v>
      </c>
      <c r="T808" s="697" t="s">
        <v>771</v>
      </c>
      <c r="U808" s="375" t="s">
        <v>5818</v>
      </c>
      <c r="V808" s="723" t="s">
        <v>773</v>
      </c>
      <c r="W808" s="723">
        <v>39.700000000000003</v>
      </c>
      <c r="X808" s="723">
        <v>24.25</v>
      </c>
      <c r="Y808" s="723" t="s">
        <v>773</v>
      </c>
      <c r="Z808" s="382" t="s">
        <v>927</v>
      </c>
      <c r="AA808" s="372">
        <v>59.626604399999998</v>
      </c>
      <c r="AB808" s="372">
        <v>78.706107500000002</v>
      </c>
      <c r="AC808" s="372">
        <v>98.783038199999993</v>
      </c>
      <c r="AD808" s="372">
        <v>101.5783641</v>
      </c>
      <c r="AE808" s="372">
        <v>0</v>
      </c>
      <c r="AF808" s="372">
        <v>0</v>
      </c>
      <c r="AG808" s="372">
        <v>0</v>
      </c>
      <c r="AH808" s="372">
        <v>0</v>
      </c>
    </row>
    <row r="809" spans="1:34">
      <c r="A809" s="372" t="s">
        <v>5819</v>
      </c>
      <c r="B809" s="373" t="s">
        <v>5820</v>
      </c>
      <c r="C809" s="372" t="s">
        <v>5821</v>
      </c>
      <c r="D809" s="374">
        <v>1601110066145</v>
      </c>
      <c r="E809" s="372" t="s">
        <v>5822</v>
      </c>
      <c r="F809" s="375" t="s">
        <v>1871</v>
      </c>
      <c r="G809" s="375" t="s">
        <v>5823</v>
      </c>
      <c r="H809" s="375" t="s">
        <v>861</v>
      </c>
      <c r="I809" s="375" t="s">
        <v>862</v>
      </c>
      <c r="J809" s="375">
        <v>22178.177589999999</v>
      </c>
      <c r="K809" s="375">
        <v>7.5066199999999998</v>
      </c>
      <c r="L809" s="375">
        <v>-5220.7887099999998</v>
      </c>
      <c r="M809" s="375">
        <v>28068.158719999999</v>
      </c>
      <c r="N809" s="372" t="s">
        <v>1026</v>
      </c>
      <c r="O809" s="704">
        <v>2.2855553092880925</v>
      </c>
      <c r="P809" s="375" t="s">
        <v>622</v>
      </c>
      <c r="Q809" s="372" t="s">
        <v>622</v>
      </c>
      <c r="R809" s="696">
        <v>20240104</v>
      </c>
      <c r="S809" s="372" t="s">
        <v>5824</v>
      </c>
      <c r="T809" s="697" t="s">
        <v>771</v>
      </c>
      <c r="U809" s="375" t="s">
        <v>5825</v>
      </c>
      <c r="V809" s="723">
        <v>175.31</v>
      </c>
      <c r="W809" s="723">
        <v>3.88</v>
      </c>
      <c r="X809" s="723">
        <v>4.88</v>
      </c>
      <c r="Y809" s="723" t="s">
        <v>773</v>
      </c>
      <c r="Z809" s="382" t="s">
        <v>927</v>
      </c>
      <c r="AA809" s="372">
        <v>116.08259</v>
      </c>
      <c r="AB809" s="372">
        <v>175.9456218</v>
      </c>
      <c r="AC809" s="372">
        <v>205.85914679999999</v>
      </c>
      <c r="AD809" s="372">
        <v>226.75958449999999</v>
      </c>
      <c r="AE809" s="372">
        <v>0</v>
      </c>
      <c r="AF809" s="372">
        <v>0</v>
      </c>
      <c r="AG809" s="372">
        <v>0</v>
      </c>
      <c r="AH809" s="372">
        <v>0</v>
      </c>
    </row>
    <row r="810" spans="1:34">
      <c r="A810" s="372" t="s">
        <v>5826</v>
      </c>
      <c r="B810" s="373" t="s">
        <v>5827</v>
      </c>
      <c r="C810" s="372" t="s">
        <v>5828</v>
      </c>
      <c r="D810" s="374">
        <v>1101114962092</v>
      </c>
      <c r="E810" s="372" t="s">
        <v>5829</v>
      </c>
      <c r="F810" s="375" t="s">
        <v>1796</v>
      </c>
      <c r="G810" s="375" t="s">
        <v>1797</v>
      </c>
      <c r="H810" s="375" t="s">
        <v>861</v>
      </c>
      <c r="I810" s="375" t="s">
        <v>862</v>
      </c>
      <c r="J810" s="375">
        <v>4273.5190400000001</v>
      </c>
      <c r="K810" s="375">
        <v>-12870.469719999999</v>
      </c>
      <c r="L810" s="375">
        <v>-12887.516960000001</v>
      </c>
      <c r="M810" s="375">
        <v>7731.8467099999998</v>
      </c>
      <c r="N810" s="372" t="s">
        <v>1026</v>
      </c>
      <c r="O810" s="704">
        <v>11.535405941185914</v>
      </c>
      <c r="P810" s="375" t="s">
        <v>622</v>
      </c>
      <c r="Q810" s="375" t="s">
        <v>622</v>
      </c>
      <c r="R810" s="696">
        <v>20230918</v>
      </c>
      <c r="S810" s="375" t="s">
        <v>5830</v>
      </c>
      <c r="T810" s="697" t="s">
        <v>771</v>
      </c>
      <c r="U810" s="375" t="s">
        <v>5831</v>
      </c>
      <c r="V810" s="723" t="s">
        <v>773</v>
      </c>
      <c r="W810" s="723">
        <v>13.95</v>
      </c>
      <c r="X810" s="723">
        <v>25.14</v>
      </c>
      <c r="Y810" s="723" t="s">
        <v>773</v>
      </c>
      <c r="Z810" s="382" t="s">
        <v>927</v>
      </c>
      <c r="AA810" s="372">
        <v>22.852509699999999</v>
      </c>
      <c r="AB810" s="372">
        <v>21.607094400000001</v>
      </c>
      <c r="AC810" s="372">
        <v>40.910459899999999</v>
      </c>
      <c r="AD810" s="372">
        <v>41.006328600000003</v>
      </c>
      <c r="AE810" s="372">
        <v>0</v>
      </c>
      <c r="AF810" s="372">
        <v>0</v>
      </c>
      <c r="AG810" s="372">
        <v>0</v>
      </c>
      <c r="AH810" s="372">
        <v>0</v>
      </c>
    </row>
    <row r="811" spans="1:34">
      <c r="A811" s="372" t="s">
        <v>5832</v>
      </c>
      <c r="B811" s="373" t="s">
        <v>5833</v>
      </c>
      <c r="C811" s="372" t="s">
        <v>5834</v>
      </c>
      <c r="D811" s="374">
        <v>1101114945246</v>
      </c>
      <c r="E811" s="372" t="s">
        <v>5835</v>
      </c>
      <c r="F811" s="375" t="s">
        <v>2518</v>
      </c>
      <c r="G811" s="375" t="s">
        <v>2518</v>
      </c>
      <c r="H811" s="375" t="s">
        <v>1337</v>
      </c>
      <c r="I811" s="375" t="s">
        <v>862</v>
      </c>
      <c r="J811" s="375">
        <v>19757.403439999998</v>
      </c>
      <c r="K811" s="375">
        <v>-1521.7866799999999</v>
      </c>
      <c r="L811" s="375">
        <v>-1426.35717</v>
      </c>
      <c r="M811" s="375">
        <v>10749.09045</v>
      </c>
      <c r="N811" s="372">
        <v>0.17399999999999999</v>
      </c>
      <c r="O811" s="704">
        <v>1.9252615815005258</v>
      </c>
      <c r="P811" s="375" t="s">
        <v>622</v>
      </c>
      <c r="Q811" s="375" t="s">
        <v>622</v>
      </c>
      <c r="R811" s="696">
        <v>20190717</v>
      </c>
      <c r="S811" s="375" t="s">
        <v>5836</v>
      </c>
      <c r="T811" s="697" t="s">
        <v>771</v>
      </c>
      <c r="U811" s="375" t="s">
        <v>5837</v>
      </c>
      <c r="V811" s="723" t="s">
        <v>773</v>
      </c>
      <c r="W811" s="723">
        <v>8.91</v>
      </c>
      <c r="X811" s="723">
        <v>4.8899999999999997</v>
      </c>
      <c r="Y811" s="723" t="s">
        <v>773</v>
      </c>
      <c r="Z811" s="382">
        <v>0.26582223703840135</v>
      </c>
      <c r="AA811" s="372">
        <v>74.385639999999995</v>
      </c>
      <c r="AB811" s="372">
        <v>93.382744700000003</v>
      </c>
      <c r="AC811" s="372">
        <v>136.3943706</v>
      </c>
      <c r="AD811" s="372">
        <v>177.6126768</v>
      </c>
      <c r="AE811" s="372">
        <v>269</v>
      </c>
      <c r="AF811" s="372">
        <v>332</v>
      </c>
      <c r="AG811" s="372">
        <v>456</v>
      </c>
      <c r="AH811" s="372">
        <v>0</v>
      </c>
    </row>
    <row r="812" spans="1:34">
      <c r="A812" s="372" t="s">
        <v>5838</v>
      </c>
      <c r="B812" s="373" t="s">
        <v>5839</v>
      </c>
      <c r="C812" s="372" t="s">
        <v>5840</v>
      </c>
      <c r="D812" s="374">
        <v>1712110005114</v>
      </c>
      <c r="E812" s="372" t="s">
        <v>5841</v>
      </c>
      <c r="F812" s="375" t="s">
        <v>2992</v>
      </c>
      <c r="G812" s="375" t="s">
        <v>2992</v>
      </c>
      <c r="H812" s="375" t="s">
        <v>861</v>
      </c>
      <c r="I812" s="375" t="s">
        <v>862</v>
      </c>
      <c r="J812" s="375">
        <v>1772608.7062599999</v>
      </c>
      <c r="K812" s="375">
        <v>124440.27202999999</v>
      </c>
      <c r="L812" s="375">
        <v>58072.616479999997</v>
      </c>
      <c r="M812" s="375">
        <v>561496.93799999997</v>
      </c>
      <c r="N812" s="372">
        <v>0.95</v>
      </c>
      <c r="O812" s="704">
        <v>303.22764703739529</v>
      </c>
      <c r="P812" s="375" t="s">
        <v>622</v>
      </c>
      <c r="Q812" s="372" t="s">
        <v>622</v>
      </c>
      <c r="R812" s="696">
        <v>20100806</v>
      </c>
      <c r="S812" s="372" t="s">
        <v>5842</v>
      </c>
      <c r="T812" s="697">
        <v>0.23100000000000001</v>
      </c>
      <c r="U812" s="372" t="s">
        <v>5843</v>
      </c>
      <c r="V812" s="723">
        <v>4.7699999999999996</v>
      </c>
      <c r="W812" s="723">
        <v>0.83</v>
      </c>
      <c r="X812" s="723">
        <v>0.1</v>
      </c>
      <c r="Y812" s="723" t="s">
        <v>773</v>
      </c>
      <c r="Z812" s="382" t="s">
        <v>927</v>
      </c>
      <c r="AA812" s="372">
        <v>12165.4773621</v>
      </c>
      <c r="AB812" s="372">
        <v>15217.8588523</v>
      </c>
      <c r="AC812" s="372">
        <v>18576.064023499999</v>
      </c>
      <c r="AD812" s="372">
        <v>20817.635995000001</v>
      </c>
      <c r="AE812" s="372">
        <v>0</v>
      </c>
      <c r="AF812" s="372">
        <v>0</v>
      </c>
      <c r="AG812" s="372">
        <v>0</v>
      </c>
      <c r="AH812" s="372">
        <v>0</v>
      </c>
    </row>
    <row r="813" spans="1:34">
      <c r="A813" s="372" t="s">
        <v>5844</v>
      </c>
      <c r="B813" s="373" t="s">
        <v>5845</v>
      </c>
      <c r="C813" s="372" t="s">
        <v>5846</v>
      </c>
      <c r="D813" s="374">
        <v>1101113501601</v>
      </c>
      <c r="E813" s="372" t="s">
        <v>5847</v>
      </c>
      <c r="F813" s="375" t="s">
        <v>4184</v>
      </c>
      <c r="G813" s="375" t="s">
        <v>4184</v>
      </c>
      <c r="H813" s="375" t="s">
        <v>861</v>
      </c>
      <c r="I813" s="375" t="s">
        <v>862</v>
      </c>
      <c r="J813" s="375">
        <v>72734.724300000002</v>
      </c>
      <c r="K813" s="375">
        <v>1326.1720800000001</v>
      </c>
      <c r="L813" s="375">
        <v>-1026.77278</v>
      </c>
      <c r="M813" s="375">
        <v>44469.298210000001</v>
      </c>
      <c r="N813" s="372" t="s">
        <v>1026</v>
      </c>
      <c r="O813" s="704">
        <v>41.439284366975549</v>
      </c>
      <c r="P813" s="375" t="s">
        <v>622</v>
      </c>
      <c r="Q813" s="372" t="s">
        <v>622</v>
      </c>
      <c r="R813" s="696">
        <v>20201203</v>
      </c>
      <c r="S813" s="372" t="s">
        <v>5848</v>
      </c>
      <c r="T813" s="697" t="s">
        <v>771</v>
      </c>
      <c r="U813" s="372" t="s">
        <v>5849</v>
      </c>
      <c r="V813" s="723">
        <v>18.27</v>
      </c>
      <c r="W813" s="723">
        <v>1.1100000000000001</v>
      </c>
      <c r="X813" s="723">
        <v>0.69</v>
      </c>
      <c r="Y813" s="723" t="s">
        <v>773</v>
      </c>
      <c r="Z813" s="382" t="s">
        <v>927</v>
      </c>
      <c r="AA813" s="372">
        <v>489.40226899999999</v>
      </c>
      <c r="AB813" s="372">
        <v>774.41336630000001</v>
      </c>
      <c r="AC813" s="372">
        <v>875.6539434</v>
      </c>
      <c r="AD813" s="372">
        <v>800.27251869999998</v>
      </c>
      <c r="AE813" s="372">
        <v>0</v>
      </c>
      <c r="AF813" s="372">
        <v>0</v>
      </c>
      <c r="AG813" s="372">
        <v>0</v>
      </c>
      <c r="AH813" s="372">
        <v>0</v>
      </c>
    </row>
    <row r="814" spans="1:34">
      <c r="A814" s="372" t="s">
        <v>5850</v>
      </c>
      <c r="B814" s="373" t="s">
        <v>5851</v>
      </c>
      <c r="C814" s="372" t="s">
        <v>5852</v>
      </c>
      <c r="D814" s="374">
        <v>2111110001090</v>
      </c>
      <c r="E814" s="372" t="s">
        <v>5853</v>
      </c>
      <c r="F814" s="372" t="s">
        <v>1096</v>
      </c>
      <c r="G814" s="375" t="s">
        <v>5854</v>
      </c>
      <c r="H814" s="375" t="s">
        <v>826</v>
      </c>
      <c r="I814" s="375" t="s">
        <v>754</v>
      </c>
      <c r="J814" s="375">
        <v>244282.26525999999</v>
      </c>
      <c r="K814" s="375">
        <v>5084.29684</v>
      </c>
      <c r="L814" s="375">
        <v>3810.8869</v>
      </c>
      <c r="M814" s="375">
        <v>163571.07629</v>
      </c>
      <c r="N814" s="372">
        <v>1.2310000000000001</v>
      </c>
      <c r="O814" s="704">
        <v>13.651808144156071</v>
      </c>
      <c r="P814" s="375" t="s">
        <v>622</v>
      </c>
      <c r="Q814" s="375" t="s">
        <v>622</v>
      </c>
      <c r="R814" s="696">
        <v>20030109</v>
      </c>
      <c r="S814" s="375" t="s">
        <v>5855</v>
      </c>
      <c r="T814" s="697">
        <v>0.20900000000000002</v>
      </c>
      <c r="U814" s="375" t="s">
        <v>5856</v>
      </c>
      <c r="V814" s="723">
        <v>0</v>
      </c>
      <c r="W814" s="723">
        <v>0</v>
      </c>
      <c r="X814" s="723">
        <v>0</v>
      </c>
      <c r="Y814" s="723">
        <v>0</v>
      </c>
      <c r="Z814" s="382" t="s">
        <v>927</v>
      </c>
      <c r="AA814" s="372">
        <v>2082.5476198000001</v>
      </c>
      <c r="AB814" s="372">
        <v>2452.2464635000001</v>
      </c>
      <c r="AC814" s="372">
        <v>2394.3288923999999</v>
      </c>
      <c r="AD814" s="372">
        <v>2123.9597014999999</v>
      </c>
      <c r="AE814" s="372">
        <v>0</v>
      </c>
      <c r="AF814" s="372">
        <v>0</v>
      </c>
      <c r="AG814" s="372">
        <v>0</v>
      </c>
      <c r="AH814" s="372">
        <v>0</v>
      </c>
    </row>
    <row r="815" spans="1:34">
      <c r="A815" s="372" t="s">
        <v>5857</v>
      </c>
      <c r="B815" s="373" t="s">
        <v>5858</v>
      </c>
      <c r="C815" s="372" t="s">
        <v>5859</v>
      </c>
      <c r="D815" s="374">
        <v>1101112958259</v>
      </c>
      <c r="E815" s="372" t="s">
        <v>5860</v>
      </c>
      <c r="F815" s="375" t="s">
        <v>5861</v>
      </c>
      <c r="G815" s="375" t="s">
        <v>5861</v>
      </c>
      <c r="H815" s="375" t="s">
        <v>861</v>
      </c>
      <c r="I815" s="375" t="s">
        <v>862</v>
      </c>
      <c r="J815" s="375">
        <v>537753.24291999999</v>
      </c>
      <c r="K815" s="375">
        <v>41639.951130000001</v>
      </c>
      <c r="L815" s="375">
        <v>38807.285430000004</v>
      </c>
      <c r="M815" s="375">
        <v>386603.37066999997</v>
      </c>
      <c r="N815" s="372">
        <v>0.55900000000000005</v>
      </c>
      <c r="O815" s="704">
        <v>135.23256241691763</v>
      </c>
      <c r="P815" s="375" t="s">
        <v>622</v>
      </c>
      <c r="Q815" s="372" t="s">
        <v>622</v>
      </c>
      <c r="R815" s="696">
        <v>20200727</v>
      </c>
      <c r="S815" s="372" t="s">
        <v>5862</v>
      </c>
      <c r="T815" s="697">
        <v>0.23100000000000001</v>
      </c>
      <c r="U815" s="372" t="s">
        <v>5863</v>
      </c>
      <c r="V815" s="723">
        <v>5.17</v>
      </c>
      <c r="W815" s="723">
        <v>0.53</v>
      </c>
      <c r="X815" s="723">
        <v>0.33</v>
      </c>
      <c r="Y815" s="723">
        <v>5.84</v>
      </c>
      <c r="Z815" s="382">
        <v>2.9883979012521822E-2</v>
      </c>
      <c r="AA815" s="372">
        <v>2932.1430151999998</v>
      </c>
      <c r="AB815" s="372">
        <v>3703.2344850999998</v>
      </c>
      <c r="AC815" s="372">
        <v>4978.5244931999996</v>
      </c>
      <c r="AD815" s="372">
        <v>5484.4357736000002</v>
      </c>
      <c r="AE815" s="372">
        <v>5567</v>
      </c>
      <c r="AF815" s="372">
        <v>5825</v>
      </c>
      <c r="AG815" s="372">
        <v>6170</v>
      </c>
      <c r="AH815" s="372">
        <v>0</v>
      </c>
    </row>
    <row r="816" spans="1:34">
      <c r="A816" s="372" t="s">
        <v>5864</v>
      </c>
      <c r="B816" s="373" t="s">
        <v>5865</v>
      </c>
      <c r="C816" s="372" t="s">
        <v>5866</v>
      </c>
      <c r="D816" s="374">
        <v>1942110068066</v>
      </c>
      <c r="E816" s="372" t="s">
        <v>5867</v>
      </c>
      <c r="F816" s="375" t="s">
        <v>1863</v>
      </c>
      <c r="G816" s="375" t="s">
        <v>1864</v>
      </c>
      <c r="H816" s="375" t="s">
        <v>861</v>
      </c>
      <c r="I816" s="375" t="s">
        <v>862</v>
      </c>
      <c r="J816" s="375">
        <v>127516.24017999999</v>
      </c>
      <c r="K816" s="375">
        <v>7011.1157599999997</v>
      </c>
      <c r="L816" s="375">
        <v>9198.0032300000003</v>
      </c>
      <c r="M816" s="375">
        <v>101920.62806</v>
      </c>
      <c r="N816" s="372" t="s">
        <v>1026</v>
      </c>
      <c r="O816" s="704">
        <v>7.9536291433725825</v>
      </c>
      <c r="P816" s="375" t="s">
        <v>622</v>
      </c>
      <c r="Q816" s="375" t="s">
        <v>622</v>
      </c>
      <c r="R816" s="696">
        <v>20231019</v>
      </c>
      <c r="S816" s="375" t="s">
        <v>5868</v>
      </c>
      <c r="T816" s="697">
        <v>0.20900000000000002</v>
      </c>
      <c r="U816" s="372" t="s">
        <v>5869</v>
      </c>
      <c r="V816" s="723">
        <v>23.17</v>
      </c>
      <c r="W816" s="723">
        <v>2.5099999999999998</v>
      </c>
      <c r="X816" s="723">
        <v>2.0299999999999998</v>
      </c>
      <c r="Y816" s="723">
        <v>36.340000000000003</v>
      </c>
      <c r="Z816" s="382" t="s">
        <v>927</v>
      </c>
      <c r="AA816" s="372">
        <v>837.50549000000001</v>
      </c>
      <c r="AB816" s="372">
        <v>1042.2511328000001</v>
      </c>
      <c r="AC816" s="372">
        <v>1065.0563440999999</v>
      </c>
      <c r="AD816" s="372">
        <v>1246.7326978000001</v>
      </c>
      <c r="AE816" s="372">
        <v>1401</v>
      </c>
      <c r="AF816" s="372">
        <v>0</v>
      </c>
      <c r="AG816" s="372">
        <v>0</v>
      </c>
      <c r="AH816" s="372">
        <v>0</v>
      </c>
    </row>
    <row r="817" spans="1:34">
      <c r="A817" s="372" t="s">
        <v>5870</v>
      </c>
      <c r="B817" s="373" t="s">
        <v>5871</v>
      </c>
      <c r="C817" s="372" t="s">
        <v>5872</v>
      </c>
      <c r="D817" s="374">
        <v>1101111784952</v>
      </c>
      <c r="E817" s="372" t="s">
        <v>5873</v>
      </c>
      <c r="F817" s="375" t="s">
        <v>1185</v>
      </c>
      <c r="G817" s="375" t="s">
        <v>1186</v>
      </c>
      <c r="H817" s="375" t="s">
        <v>861</v>
      </c>
      <c r="I817" s="375" t="s">
        <v>862</v>
      </c>
      <c r="J817" s="375">
        <v>477226.82364000002</v>
      </c>
      <c r="K817" s="375">
        <v>26070.548480000001</v>
      </c>
      <c r="L817" s="375">
        <v>23526.105029999999</v>
      </c>
      <c r="M817" s="375">
        <v>360850.87215000001</v>
      </c>
      <c r="N817" s="372">
        <v>0.88500000000000001</v>
      </c>
      <c r="O817" s="704">
        <v>143.93567051584046</v>
      </c>
      <c r="P817" s="375" t="s">
        <v>622</v>
      </c>
      <c r="Q817" s="375" t="s">
        <v>622</v>
      </c>
      <c r="R817" s="696">
        <v>20161130</v>
      </c>
      <c r="S817" s="375" t="s">
        <v>5874</v>
      </c>
      <c r="T817" s="697">
        <v>0.23100000000000001</v>
      </c>
      <c r="U817" s="372" t="s">
        <v>5875</v>
      </c>
      <c r="V817" s="723">
        <v>8.39</v>
      </c>
      <c r="W817" s="723">
        <v>0.83</v>
      </c>
      <c r="X817" s="723">
        <v>0.48</v>
      </c>
      <c r="Y817" s="723">
        <v>11.47</v>
      </c>
      <c r="Z817" s="382" t="s">
        <v>927</v>
      </c>
      <c r="AA817" s="372">
        <v>1087.9864095999999</v>
      </c>
      <c r="AB817" s="372">
        <v>3100.5053563000001</v>
      </c>
      <c r="AC817" s="372">
        <v>3528.7876424000001</v>
      </c>
      <c r="AD817" s="372">
        <v>3506.6677095</v>
      </c>
      <c r="AE817" s="372">
        <v>0</v>
      </c>
      <c r="AF817" s="372">
        <v>0</v>
      </c>
      <c r="AG817" s="372">
        <v>0</v>
      </c>
      <c r="AH817" s="372">
        <v>0</v>
      </c>
    </row>
    <row r="818" spans="1:34">
      <c r="A818" s="372" t="s">
        <v>5876</v>
      </c>
      <c r="B818" s="373" t="s">
        <v>5877</v>
      </c>
      <c r="C818" s="372" t="s">
        <v>5878</v>
      </c>
      <c r="D818" s="374">
        <v>1846110000583</v>
      </c>
      <c r="E818" s="372" t="s">
        <v>5879</v>
      </c>
      <c r="F818" s="375" t="s">
        <v>5880</v>
      </c>
      <c r="G818" s="375" t="s">
        <v>5880</v>
      </c>
      <c r="H818" s="375" t="s">
        <v>826</v>
      </c>
      <c r="I818" s="375" t="s">
        <v>754</v>
      </c>
      <c r="J818" s="375">
        <v>3184838.9616</v>
      </c>
      <c r="K818" s="375">
        <v>258898.03784</v>
      </c>
      <c r="L818" s="375">
        <v>184662.89356999999</v>
      </c>
      <c r="M818" s="375">
        <v>2345194.2392699998</v>
      </c>
      <c r="N818" s="372">
        <v>0.69699999999999995</v>
      </c>
      <c r="O818" s="704">
        <v>874.80473648161251</v>
      </c>
      <c r="P818" s="375" t="s">
        <v>622</v>
      </c>
      <c r="Q818" s="375" t="s">
        <v>622</v>
      </c>
      <c r="R818" s="696">
        <v>19871219</v>
      </c>
      <c r="S818" s="375" t="s">
        <v>5881</v>
      </c>
      <c r="T818" s="697">
        <v>0.23100000000000001</v>
      </c>
      <c r="U818" s="375" t="s">
        <v>5882</v>
      </c>
      <c r="V818" s="723">
        <v>5.79</v>
      </c>
      <c r="W818" s="723">
        <v>0.21</v>
      </c>
      <c r="X818" s="723">
        <v>0.08</v>
      </c>
      <c r="Y818" s="723">
        <v>4.16</v>
      </c>
      <c r="Z818" s="382" t="s">
        <v>927</v>
      </c>
      <c r="AA818" s="372">
        <v>19685.3637299</v>
      </c>
      <c r="AB818" s="372">
        <v>24038.812709900001</v>
      </c>
      <c r="AC818" s="372">
        <v>30039.500062200001</v>
      </c>
      <c r="AD818" s="372">
        <v>30360.618544600002</v>
      </c>
      <c r="AE818" s="372">
        <v>0</v>
      </c>
      <c r="AF818" s="372">
        <v>0</v>
      </c>
      <c r="AG818" s="372">
        <v>0</v>
      </c>
      <c r="AH818" s="372">
        <v>0</v>
      </c>
    </row>
    <row r="819" spans="1:34">
      <c r="A819" s="372" t="s">
        <v>5883</v>
      </c>
      <c r="B819" s="373" t="s">
        <v>5884</v>
      </c>
      <c r="C819" s="372" t="s">
        <v>5885</v>
      </c>
      <c r="D819" s="374">
        <v>1101111864829</v>
      </c>
      <c r="E819" s="372" t="s">
        <v>5886</v>
      </c>
      <c r="F819" s="375" t="s">
        <v>3236</v>
      </c>
      <c r="G819" s="375" t="s">
        <v>3236</v>
      </c>
      <c r="H819" s="375" t="s">
        <v>861</v>
      </c>
      <c r="I819" s="375" t="s">
        <v>862</v>
      </c>
      <c r="J819" s="375">
        <v>22041.876899999999</v>
      </c>
      <c r="K819" s="375">
        <v>1650.55015</v>
      </c>
      <c r="L819" s="375">
        <v>1760.2693200000001</v>
      </c>
      <c r="M819" s="375">
        <v>37162.04694</v>
      </c>
      <c r="N819" s="372" t="s">
        <v>1026</v>
      </c>
      <c r="O819" s="704">
        <v>15.486963422928127</v>
      </c>
      <c r="P819" s="375" t="s">
        <v>622</v>
      </c>
      <c r="Q819" s="375" t="s">
        <v>622</v>
      </c>
      <c r="R819" s="696">
        <v>20230307</v>
      </c>
      <c r="S819" s="375" t="s">
        <v>5887</v>
      </c>
      <c r="T819" s="697">
        <v>0.20900000000000002</v>
      </c>
      <c r="U819" s="372" t="s">
        <v>5888</v>
      </c>
      <c r="V819" s="723">
        <v>0</v>
      </c>
      <c r="W819" s="723">
        <v>0</v>
      </c>
      <c r="X819" s="723">
        <v>0</v>
      </c>
      <c r="Y819" s="723">
        <v>0</v>
      </c>
      <c r="Z819" s="382" t="s">
        <v>927</v>
      </c>
      <c r="AA819" s="372">
        <v>115.69598000000001</v>
      </c>
      <c r="AB819" s="372">
        <v>143.24068209999999</v>
      </c>
      <c r="AC819" s="372">
        <v>161.18235540000001</v>
      </c>
      <c r="AD819" s="372">
        <v>116.2313741</v>
      </c>
      <c r="AE819" s="372">
        <v>0</v>
      </c>
      <c r="AF819" s="372">
        <v>0</v>
      </c>
      <c r="AG819" s="372">
        <v>0</v>
      </c>
      <c r="AH819" s="372">
        <v>0</v>
      </c>
    </row>
    <row r="820" spans="1:34">
      <c r="A820" s="372" t="s">
        <v>5889</v>
      </c>
      <c r="B820" s="373" t="s">
        <v>5890</v>
      </c>
      <c r="C820" s="372" t="s">
        <v>5891</v>
      </c>
      <c r="D820" s="374">
        <v>1341110059845</v>
      </c>
      <c r="E820" s="372" t="s">
        <v>5892</v>
      </c>
      <c r="F820" s="375" t="s">
        <v>1275</v>
      </c>
      <c r="G820" s="375" t="s">
        <v>1275</v>
      </c>
      <c r="H820" s="375" t="s">
        <v>861</v>
      </c>
      <c r="I820" s="375" t="s">
        <v>862</v>
      </c>
      <c r="J820" s="375">
        <v>67426.3989</v>
      </c>
      <c r="K820" s="375">
        <v>703.00399000000004</v>
      </c>
      <c r="L820" s="375">
        <v>-649.17696999999998</v>
      </c>
      <c r="M820" s="375">
        <v>32791.186710000002</v>
      </c>
      <c r="N820" s="372">
        <v>1.244</v>
      </c>
      <c r="O820" s="704">
        <v>44.615630265277545</v>
      </c>
      <c r="P820" s="375" t="s">
        <v>622</v>
      </c>
      <c r="Q820" s="372" t="s">
        <v>622</v>
      </c>
      <c r="R820" s="696">
        <v>20141224</v>
      </c>
      <c r="S820" s="372" t="s">
        <v>5893</v>
      </c>
      <c r="T820" s="697" t="s">
        <v>771</v>
      </c>
      <c r="U820" s="372" t="s">
        <v>5894</v>
      </c>
      <c r="V820" s="723">
        <v>13.98</v>
      </c>
      <c r="W820" s="723">
        <v>2.8</v>
      </c>
      <c r="X820" s="723">
        <v>1.64</v>
      </c>
      <c r="Y820" s="723" t="s">
        <v>773</v>
      </c>
      <c r="Z820" s="382" t="s">
        <v>927</v>
      </c>
      <c r="AA820" s="372">
        <v>451.19741720000002</v>
      </c>
      <c r="AB820" s="372">
        <v>593.03792759999999</v>
      </c>
      <c r="AC820" s="372">
        <v>641.76500339999996</v>
      </c>
      <c r="AD820" s="372">
        <v>568.50074930000005</v>
      </c>
      <c r="AE820" s="372">
        <v>0</v>
      </c>
      <c r="AF820" s="372">
        <v>0</v>
      </c>
      <c r="AG820" s="372">
        <v>0</v>
      </c>
      <c r="AH820" s="372">
        <v>0</v>
      </c>
    </row>
    <row r="821" spans="1:34">
      <c r="A821" s="372" t="s">
        <v>5895</v>
      </c>
      <c r="B821" s="373" t="s">
        <v>5896</v>
      </c>
      <c r="C821" s="372" t="s">
        <v>5897</v>
      </c>
      <c r="D821" s="374">
        <v>1101111848980</v>
      </c>
      <c r="E821" s="372" t="s">
        <v>5898</v>
      </c>
      <c r="F821" s="372" t="s">
        <v>5899</v>
      </c>
      <c r="G821" s="375" t="s">
        <v>5899</v>
      </c>
      <c r="H821" s="375" t="s">
        <v>1337</v>
      </c>
      <c r="I821" s="375" t="s">
        <v>862</v>
      </c>
      <c r="J821" s="375">
        <v>338279.63141999999</v>
      </c>
      <c r="K821" s="375">
        <v>26007.970020000001</v>
      </c>
      <c r="L821" s="375">
        <v>12720.359</v>
      </c>
      <c r="M821" s="375">
        <v>184466.25584999999</v>
      </c>
      <c r="N821" s="372">
        <v>0.58699999999999997</v>
      </c>
      <c r="O821" s="704">
        <v>207.9889047239445</v>
      </c>
      <c r="P821" s="375" t="s">
        <v>622</v>
      </c>
      <c r="Q821" s="372" t="s">
        <v>622</v>
      </c>
      <c r="R821" s="696">
        <v>20060714</v>
      </c>
      <c r="S821" s="372" t="s">
        <v>5900</v>
      </c>
      <c r="T821" s="697">
        <v>0.20900000000000002</v>
      </c>
      <c r="U821" s="372" t="s">
        <v>5901</v>
      </c>
      <c r="V821" s="723">
        <v>3.79</v>
      </c>
      <c r="W821" s="723">
        <v>0.74</v>
      </c>
      <c r="X821" s="723">
        <v>0.48</v>
      </c>
      <c r="Y821" s="723">
        <v>13.84</v>
      </c>
      <c r="Z821" s="382">
        <v>4.6145720775684129E-2</v>
      </c>
      <c r="AA821" s="372">
        <v>2258.7063314000002</v>
      </c>
      <c r="AB821" s="372">
        <v>2383.6436365</v>
      </c>
      <c r="AC821" s="372">
        <v>2889.1324549999999</v>
      </c>
      <c r="AD821" s="372">
        <v>3655.1653286000001</v>
      </c>
      <c r="AE821" s="372">
        <v>3412</v>
      </c>
      <c r="AF821" s="372">
        <v>3922</v>
      </c>
      <c r="AG821" s="372">
        <v>4378</v>
      </c>
      <c r="AH821" s="372">
        <v>4816</v>
      </c>
    </row>
    <row r="822" spans="1:34">
      <c r="A822" s="372" t="s">
        <v>5902</v>
      </c>
      <c r="B822" s="373" t="s">
        <v>5903</v>
      </c>
      <c r="C822" s="372" t="s">
        <v>5904</v>
      </c>
      <c r="D822" s="374">
        <v>1101114531045</v>
      </c>
      <c r="E822" s="372" t="s">
        <v>5905</v>
      </c>
      <c r="F822" s="375" t="s">
        <v>5906</v>
      </c>
      <c r="G822" s="375" t="s">
        <v>5906</v>
      </c>
      <c r="H822" s="375" t="s">
        <v>861</v>
      </c>
      <c r="I822" s="375" t="s">
        <v>862</v>
      </c>
      <c r="J822" s="375">
        <v>51371.233339999999</v>
      </c>
      <c r="K822" s="375">
        <v>10107.33662</v>
      </c>
      <c r="L822" s="375">
        <v>12730.52607</v>
      </c>
      <c r="M822" s="375">
        <v>100734.86208000001</v>
      </c>
      <c r="N822" s="372">
        <v>0.93700000000000006</v>
      </c>
      <c r="O822" s="704">
        <v>0.17180544731241906</v>
      </c>
      <c r="P822" s="375" t="s">
        <v>622</v>
      </c>
      <c r="Q822" s="375" t="s">
        <v>622</v>
      </c>
      <c r="R822" s="696">
        <v>20160304</v>
      </c>
      <c r="S822" s="375" t="s">
        <v>5907</v>
      </c>
      <c r="T822" s="697">
        <v>0.20900000000000002</v>
      </c>
      <c r="U822" s="372" t="s">
        <v>5908</v>
      </c>
      <c r="V822" s="723">
        <v>0</v>
      </c>
      <c r="W822" s="723">
        <v>0</v>
      </c>
      <c r="X822" s="723">
        <v>0</v>
      </c>
      <c r="Y822" s="723">
        <v>0</v>
      </c>
      <c r="Z822" s="382" t="s">
        <v>927</v>
      </c>
      <c r="AA822" s="372">
        <v>453.7928162</v>
      </c>
      <c r="AB822" s="372">
        <v>402.01720460000001</v>
      </c>
      <c r="AC822" s="372">
        <v>536.04126080000003</v>
      </c>
      <c r="AD822" s="372">
        <v>494.34135090000001</v>
      </c>
      <c r="AE822" s="372">
        <v>0</v>
      </c>
      <c r="AF822" s="372">
        <v>0</v>
      </c>
      <c r="AG822" s="372">
        <v>0</v>
      </c>
      <c r="AH822" s="372">
        <v>0</v>
      </c>
    </row>
    <row r="823" spans="1:34">
      <c r="A823" s="372" t="s">
        <v>5909</v>
      </c>
      <c r="B823" s="373" t="s">
        <v>5910</v>
      </c>
      <c r="C823" s="372" t="s">
        <v>5911</v>
      </c>
      <c r="D823" s="374">
        <v>1101113520627</v>
      </c>
      <c r="E823" s="372" t="s">
        <v>5912</v>
      </c>
      <c r="F823" s="375" t="s">
        <v>1303</v>
      </c>
      <c r="G823" s="375" t="s">
        <v>1303</v>
      </c>
      <c r="H823" s="375" t="s">
        <v>826</v>
      </c>
      <c r="I823" s="375" t="s">
        <v>754</v>
      </c>
      <c r="J823" s="375">
        <v>1202111.3729900001</v>
      </c>
      <c r="K823" s="375">
        <v>61262.502220000002</v>
      </c>
      <c r="L823" s="375">
        <v>128664.67112</v>
      </c>
      <c r="M823" s="375">
        <v>1498085.71841</v>
      </c>
      <c r="N823" s="372">
        <v>0.55700000000000005</v>
      </c>
      <c r="O823" s="704">
        <v>107.97401010836984</v>
      </c>
      <c r="P823" s="375" t="s">
        <v>622</v>
      </c>
      <c r="Q823" s="375" t="s">
        <v>622</v>
      </c>
      <c r="R823" s="696">
        <v>20061012</v>
      </c>
      <c r="S823" s="375" t="s">
        <v>854</v>
      </c>
      <c r="T823" s="697">
        <v>0.23100000000000001</v>
      </c>
      <c r="U823" s="375" t="s">
        <v>5913</v>
      </c>
      <c r="V823" s="723">
        <v>7.3</v>
      </c>
      <c r="W823" s="723">
        <v>0.24</v>
      </c>
      <c r="X823" s="723">
        <v>0.2</v>
      </c>
      <c r="Y823" s="723">
        <v>4.17</v>
      </c>
      <c r="Z823" s="382" t="s">
        <v>927</v>
      </c>
      <c r="AA823" s="372">
        <v>9531.7961849000003</v>
      </c>
      <c r="AB823" s="372">
        <v>12387.0222992</v>
      </c>
      <c r="AC823" s="372">
        <v>12404.474447099999</v>
      </c>
      <c r="AD823" s="372">
        <v>12070.101595</v>
      </c>
      <c r="AE823" s="372">
        <v>0</v>
      </c>
      <c r="AF823" s="372">
        <v>0</v>
      </c>
      <c r="AG823" s="372">
        <v>0</v>
      </c>
      <c r="AH823" s="372">
        <v>0</v>
      </c>
    </row>
    <row r="824" spans="1:34">
      <c r="A824" s="372" t="s">
        <v>5914</v>
      </c>
      <c r="B824" s="373" t="s">
        <v>5915</v>
      </c>
      <c r="C824" s="372" t="s">
        <v>5916</v>
      </c>
      <c r="D824" s="374">
        <v>1101110539382</v>
      </c>
      <c r="E824" s="372" t="s">
        <v>5917</v>
      </c>
      <c r="F824" s="375" t="s">
        <v>2518</v>
      </c>
      <c r="G824" s="375" t="s">
        <v>2518</v>
      </c>
      <c r="H824" s="375" t="s">
        <v>817</v>
      </c>
      <c r="I824" s="375" t="s">
        <v>754</v>
      </c>
      <c r="J824" s="375">
        <v>195433.92775999999</v>
      </c>
      <c r="K824" s="375">
        <v>2009.4064900000001</v>
      </c>
      <c r="L824" s="375">
        <v>-25815.756659999999</v>
      </c>
      <c r="M824" s="375">
        <v>206992.94495</v>
      </c>
      <c r="N824" s="372">
        <v>0.84499999999999997</v>
      </c>
      <c r="O824" s="704">
        <v>29.419928333268203</v>
      </c>
      <c r="P824" s="375" t="s">
        <v>622</v>
      </c>
      <c r="Q824" s="375" t="s">
        <v>622</v>
      </c>
      <c r="R824" s="696">
        <v>19960703</v>
      </c>
      <c r="S824" s="375" t="s">
        <v>5918</v>
      </c>
      <c r="T824" s="697" t="s">
        <v>771</v>
      </c>
      <c r="U824" s="372" t="s">
        <v>5919</v>
      </c>
      <c r="V824" s="723">
        <v>7.49</v>
      </c>
      <c r="W824" s="723">
        <v>0.67</v>
      </c>
      <c r="X824" s="723">
        <v>0.71</v>
      </c>
      <c r="Y824" s="723" t="s">
        <v>773</v>
      </c>
      <c r="Z824" s="382" t="s">
        <v>927</v>
      </c>
      <c r="AA824" s="372">
        <v>455.06775570000002</v>
      </c>
      <c r="AB824" s="372">
        <v>1191.1815590000001</v>
      </c>
      <c r="AC824" s="372">
        <v>1694.3377476000001</v>
      </c>
      <c r="AD824" s="372">
        <v>1710.4223714</v>
      </c>
      <c r="AE824" s="372">
        <v>2012</v>
      </c>
      <c r="AF824" s="372">
        <v>2033</v>
      </c>
      <c r="AG824" s="372">
        <v>0</v>
      </c>
      <c r="AH824" s="372">
        <v>0</v>
      </c>
    </row>
    <row r="825" spans="1:34">
      <c r="A825" s="372" t="s">
        <v>5920</v>
      </c>
      <c r="B825" s="373" t="s">
        <v>5921</v>
      </c>
      <c r="C825" s="372" t="s">
        <v>5922</v>
      </c>
      <c r="D825" s="374">
        <v>1101111041633</v>
      </c>
      <c r="E825" s="372" t="s">
        <v>5923</v>
      </c>
      <c r="F825" s="375" t="s">
        <v>1006</v>
      </c>
      <c r="G825" s="375" t="s">
        <v>1215</v>
      </c>
      <c r="H825" s="375" t="s">
        <v>861</v>
      </c>
      <c r="I825" s="375" t="s">
        <v>862</v>
      </c>
      <c r="J825" s="375">
        <v>153123.41991</v>
      </c>
      <c r="K825" s="375">
        <v>22292.712189999998</v>
      </c>
      <c r="L825" s="375">
        <v>7826.6302699999997</v>
      </c>
      <c r="M825" s="375">
        <v>108602.79002</v>
      </c>
      <c r="N825" s="372">
        <v>0.89200000000000002</v>
      </c>
      <c r="O825" s="704">
        <v>93.506336007255783</v>
      </c>
      <c r="P825" s="375" t="s">
        <v>622</v>
      </c>
      <c r="Q825" s="375" t="s">
        <v>622</v>
      </c>
      <c r="R825" s="696">
        <v>20080530</v>
      </c>
      <c r="S825" s="375" t="s">
        <v>5924</v>
      </c>
      <c r="T825" s="697">
        <v>0.20900000000000002</v>
      </c>
      <c r="U825" s="375" t="s">
        <v>5925</v>
      </c>
      <c r="V825" s="723">
        <v>7.54</v>
      </c>
      <c r="W825" s="723">
        <v>1.1599999999999999</v>
      </c>
      <c r="X825" s="723">
        <v>0.82</v>
      </c>
      <c r="Y825" s="723">
        <v>32.47</v>
      </c>
      <c r="Z825" s="382">
        <v>6.273920704265179E-2</v>
      </c>
      <c r="AA825" s="372">
        <v>1653.8379898999999</v>
      </c>
      <c r="AB825" s="372">
        <v>2013.0214817999999</v>
      </c>
      <c r="AC825" s="372">
        <v>1637.7949676000001</v>
      </c>
      <c r="AD825" s="372">
        <v>1496.1851916999999</v>
      </c>
      <c r="AE825" s="372">
        <v>1469</v>
      </c>
      <c r="AF825" s="372">
        <v>1752</v>
      </c>
      <c r="AG825" s="372">
        <v>1908.5</v>
      </c>
      <c r="AH825" s="372">
        <v>0</v>
      </c>
    </row>
    <row r="826" spans="1:34">
      <c r="A826" s="372" t="s">
        <v>5926</v>
      </c>
      <c r="B826" s="373" t="s">
        <v>5927</v>
      </c>
      <c r="C826" s="372" t="s">
        <v>5928</v>
      </c>
      <c r="D826" s="374">
        <v>1101110005333</v>
      </c>
      <c r="E826" s="372" t="s">
        <v>5929</v>
      </c>
      <c r="F826" s="375" t="s">
        <v>2705</v>
      </c>
      <c r="G826" s="375" t="s">
        <v>5195</v>
      </c>
      <c r="H826" s="375" t="s">
        <v>1468</v>
      </c>
      <c r="I826" s="375" t="s">
        <v>754</v>
      </c>
      <c r="J826" s="375">
        <v>824147.57157999999</v>
      </c>
      <c r="K826" s="375">
        <v>399.10932000000003</v>
      </c>
      <c r="L826" s="375">
        <v>-11727.49388</v>
      </c>
      <c r="M826" s="375">
        <v>774071.26656000002</v>
      </c>
      <c r="N826" s="372">
        <v>0.70399999999999996</v>
      </c>
      <c r="O826" s="704">
        <v>345.22946061829515</v>
      </c>
      <c r="P826" s="375" t="s">
        <v>622</v>
      </c>
      <c r="Q826" s="375" t="s">
        <v>622</v>
      </c>
      <c r="R826" s="696">
        <v>19760625</v>
      </c>
      <c r="S826" s="375" t="s">
        <v>5930</v>
      </c>
      <c r="T826" s="697" t="s">
        <v>771</v>
      </c>
      <c r="U826" s="375" t="s">
        <v>5931</v>
      </c>
      <c r="V826" s="723">
        <v>35.86</v>
      </c>
      <c r="W826" s="723">
        <v>0.21</v>
      </c>
      <c r="X826" s="723">
        <v>0.23</v>
      </c>
      <c r="Y826" s="723" t="s">
        <v>773</v>
      </c>
      <c r="Z826" s="382" t="s">
        <v>927</v>
      </c>
      <c r="AA826" s="372">
        <v>6029.3992994999999</v>
      </c>
      <c r="AB826" s="372">
        <v>6995.6945816999996</v>
      </c>
      <c r="AC826" s="372">
        <v>7676.8153758999997</v>
      </c>
      <c r="AD826" s="372">
        <v>8663.2700851999998</v>
      </c>
      <c r="AE826" s="372">
        <v>0</v>
      </c>
      <c r="AF826" s="372">
        <v>0</v>
      </c>
      <c r="AG826" s="372">
        <v>0</v>
      </c>
      <c r="AH826" s="372">
        <v>0</v>
      </c>
    </row>
    <row r="827" spans="1:34">
      <c r="A827" s="372" t="s">
        <v>5932</v>
      </c>
      <c r="B827" s="373" t="s">
        <v>5933</v>
      </c>
      <c r="C827" s="372" t="s">
        <v>5934</v>
      </c>
      <c r="D827" s="374">
        <v>2850110209804</v>
      </c>
      <c r="E827" s="372" t="s">
        <v>5935</v>
      </c>
      <c r="F827" s="372" t="s">
        <v>3316</v>
      </c>
      <c r="G827" s="375" t="s">
        <v>3316</v>
      </c>
      <c r="H827" s="375" t="s">
        <v>1531</v>
      </c>
      <c r="I827" s="375" t="s">
        <v>862</v>
      </c>
      <c r="J827" s="375">
        <v>52225.060400000002</v>
      </c>
      <c r="K827" s="375">
        <v>-6724.4632700000002</v>
      </c>
      <c r="L827" s="375">
        <v>-7057.3742899999997</v>
      </c>
      <c r="M827" s="375">
        <v>54225.45665</v>
      </c>
      <c r="N827" s="372">
        <v>0.79200000000000004</v>
      </c>
      <c r="O827" s="704">
        <v>9.7895989657458777</v>
      </c>
      <c r="P827" s="375" t="s">
        <v>622</v>
      </c>
      <c r="Q827" s="375" t="s">
        <v>622</v>
      </c>
      <c r="R827" s="696">
        <v>20151222</v>
      </c>
      <c r="S827" s="375" t="s">
        <v>5936</v>
      </c>
      <c r="T827" s="697" t="s">
        <v>771</v>
      </c>
      <c r="U827" s="372" t="s">
        <v>5937</v>
      </c>
      <c r="V827" s="723" t="s">
        <v>773</v>
      </c>
      <c r="W827" s="723">
        <v>3.76</v>
      </c>
      <c r="X827" s="723">
        <v>3.69</v>
      </c>
      <c r="Y827" s="723" t="s">
        <v>773</v>
      </c>
      <c r="Z827" s="382" t="s">
        <v>927</v>
      </c>
      <c r="AA827" s="372">
        <v>263.29131999999998</v>
      </c>
      <c r="AB827" s="372">
        <v>430.25492359999998</v>
      </c>
      <c r="AC827" s="372">
        <v>659.05730679999999</v>
      </c>
      <c r="AD827" s="372">
        <v>677.17191460000004</v>
      </c>
      <c r="AE827" s="372">
        <v>830</v>
      </c>
      <c r="AF827" s="372">
        <v>0</v>
      </c>
      <c r="AG827" s="372">
        <v>0</v>
      </c>
      <c r="AH827" s="372">
        <v>0</v>
      </c>
    </row>
    <row r="828" spans="1:34">
      <c r="A828" s="372" t="s">
        <v>5938</v>
      </c>
      <c r="B828" s="373" t="s">
        <v>5939</v>
      </c>
      <c r="C828" s="372" t="s">
        <v>5940</v>
      </c>
      <c r="D828" s="374">
        <v>1341110627048</v>
      </c>
      <c r="E828" s="372" t="s">
        <v>5941</v>
      </c>
      <c r="F828" s="375" t="s">
        <v>5942</v>
      </c>
      <c r="G828" s="375" t="s">
        <v>5942</v>
      </c>
      <c r="H828" s="375" t="s">
        <v>846</v>
      </c>
      <c r="I828" s="375" t="s">
        <v>754</v>
      </c>
      <c r="J828" s="375">
        <v>2302924.7519999999</v>
      </c>
      <c r="K828" s="375">
        <v>21074.7183</v>
      </c>
      <c r="L828" s="375">
        <v>1422.48218</v>
      </c>
      <c r="M828" s="375">
        <v>183795.10556</v>
      </c>
      <c r="N828" s="372">
        <v>1.0980000000000001</v>
      </c>
      <c r="O828" s="704">
        <v>365.97844541027712</v>
      </c>
      <c r="P828" s="375" t="s">
        <v>622</v>
      </c>
      <c r="Q828" s="375" t="s">
        <v>622</v>
      </c>
      <c r="R828" s="696">
        <v>20230131</v>
      </c>
      <c r="S828" s="375" t="s">
        <v>5943</v>
      </c>
      <c r="T828" s="697">
        <v>0.20900000000000002</v>
      </c>
      <c r="U828" s="375" t="s">
        <v>5944</v>
      </c>
      <c r="V828" s="723">
        <v>9.35</v>
      </c>
      <c r="W828" s="723">
        <v>0.81</v>
      </c>
      <c r="X828" s="723">
        <v>7.0000000000000007E-2</v>
      </c>
      <c r="Y828" s="723">
        <v>5864.5</v>
      </c>
      <c r="Z828" s="382" t="s">
        <v>927</v>
      </c>
      <c r="AA828" s="372">
        <v>0</v>
      </c>
      <c r="AB828" s="372">
        <v>0</v>
      </c>
      <c r="AC828" s="372">
        <v>0</v>
      </c>
      <c r="AD828" s="372">
        <v>24030.144799599999</v>
      </c>
      <c r="AE828" s="372">
        <v>0</v>
      </c>
      <c r="AF828" s="372">
        <v>0</v>
      </c>
      <c r="AG828" s="372">
        <v>0</v>
      </c>
      <c r="AH828" s="372">
        <v>0</v>
      </c>
    </row>
    <row r="829" spans="1:34">
      <c r="A829" s="372" t="s">
        <v>5945</v>
      </c>
      <c r="B829" s="373" t="s">
        <v>5946</v>
      </c>
      <c r="C829" s="372" t="s">
        <v>5947</v>
      </c>
      <c r="D829" s="374">
        <v>1101110514029</v>
      </c>
      <c r="E829" s="372" t="s">
        <v>5948</v>
      </c>
      <c r="F829" s="375" t="s">
        <v>5949</v>
      </c>
      <c r="G829" s="375" t="s">
        <v>5949</v>
      </c>
      <c r="H829" s="375" t="s">
        <v>817</v>
      </c>
      <c r="I829" s="375" t="s">
        <v>754</v>
      </c>
      <c r="J829" s="375">
        <v>657901.89671999996</v>
      </c>
      <c r="K829" s="375">
        <v>-748.91948000000002</v>
      </c>
      <c r="L829" s="375">
        <v>-56025.32948</v>
      </c>
      <c r="M829" s="375">
        <v>324148.57711999997</v>
      </c>
      <c r="N829" s="372">
        <v>0.621</v>
      </c>
      <c r="O829" s="704">
        <v>82.496709293490838</v>
      </c>
      <c r="P829" s="375" t="s">
        <v>622</v>
      </c>
      <c r="Q829" s="372" t="s">
        <v>622</v>
      </c>
      <c r="R829" s="696">
        <v>20040203</v>
      </c>
      <c r="S829" s="372" t="s">
        <v>5950</v>
      </c>
      <c r="T829" s="697" t="s">
        <v>771</v>
      </c>
      <c r="U829" s="375" t="s">
        <v>5951</v>
      </c>
      <c r="V829" s="723">
        <v>8.1300000000000008</v>
      </c>
      <c r="W829" s="723">
        <v>0.51</v>
      </c>
      <c r="X829" s="723">
        <v>0.34</v>
      </c>
      <c r="Y829" s="723" t="s">
        <v>773</v>
      </c>
      <c r="Z829" s="382">
        <v>-7.4108937709110867E-3</v>
      </c>
      <c r="AA829" s="372">
        <v>6270.0558982000002</v>
      </c>
      <c r="AB829" s="372">
        <v>6383.9475254999998</v>
      </c>
      <c r="AC829" s="372">
        <v>6830.7634373999999</v>
      </c>
      <c r="AD829" s="372">
        <v>6597.4074326999998</v>
      </c>
      <c r="AE829" s="372">
        <v>6644</v>
      </c>
      <c r="AF829" s="372">
        <v>6423</v>
      </c>
      <c r="AG829" s="372">
        <v>6404</v>
      </c>
      <c r="AH829" s="372">
        <v>0</v>
      </c>
    </row>
    <row r="830" spans="1:34">
      <c r="A830" s="372" t="s">
        <v>5952</v>
      </c>
      <c r="B830" s="373" t="s">
        <v>5953</v>
      </c>
      <c r="C830" s="372" t="s">
        <v>5954</v>
      </c>
      <c r="D830" s="374">
        <v>1601110302755</v>
      </c>
      <c r="E830" s="372" t="s">
        <v>5955</v>
      </c>
      <c r="F830" s="375" t="s">
        <v>2834</v>
      </c>
      <c r="G830" s="375" t="s">
        <v>2835</v>
      </c>
      <c r="H830" s="375" t="s">
        <v>861</v>
      </c>
      <c r="I830" s="375" t="s">
        <v>862</v>
      </c>
      <c r="J830" s="375">
        <v>315701.93345999997</v>
      </c>
      <c r="K830" s="375">
        <v>17235.847430000002</v>
      </c>
      <c r="L830" s="375">
        <v>22220.542799999999</v>
      </c>
      <c r="M830" s="375">
        <v>345370.70593</v>
      </c>
      <c r="N830" s="372">
        <v>0.57599999999999996</v>
      </c>
      <c r="O830" s="704">
        <v>27.291937078565393</v>
      </c>
      <c r="P830" s="375" t="s">
        <v>622</v>
      </c>
      <c r="Q830" s="372" t="s">
        <v>622</v>
      </c>
      <c r="R830" s="696">
        <v>20110926</v>
      </c>
      <c r="S830" s="375" t="s">
        <v>5956</v>
      </c>
      <c r="T830" s="697">
        <v>0.23100000000000001</v>
      </c>
      <c r="U830" s="372" t="s">
        <v>5957</v>
      </c>
      <c r="V830" s="723">
        <v>8.76</v>
      </c>
      <c r="W830" s="723">
        <v>0.73</v>
      </c>
      <c r="X830" s="723">
        <v>0.54</v>
      </c>
      <c r="Y830" s="723">
        <v>10.46</v>
      </c>
      <c r="Z830" s="382" t="s">
        <v>927</v>
      </c>
      <c r="AA830" s="372">
        <v>1509.9603717</v>
      </c>
      <c r="AB830" s="372">
        <v>2040.5482500000001</v>
      </c>
      <c r="AC830" s="372">
        <v>2699.2334698999998</v>
      </c>
      <c r="AD830" s="372">
        <v>2781.8927896999999</v>
      </c>
      <c r="AE830" s="372">
        <v>3729</v>
      </c>
      <c r="AF830" s="372">
        <v>0</v>
      </c>
      <c r="AG830" s="372">
        <v>0</v>
      </c>
      <c r="AH830" s="372">
        <v>0</v>
      </c>
    </row>
    <row r="831" spans="1:34">
      <c r="A831" s="372" t="s">
        <v>5958</v>
      </c>
      <c r="B831" s="373" t="s">
        <v>5959</v>
      </c>
      <c r="C831" s="372" t="s">
        <v>5960</v>
      </c>
      <c r="D831" s="374">
        <v>1101112078073</v>
      </c>
      <c r="E831" s="372" t="s">
        <v>5961</v>
      </c>
      <c r="F831" s="375" t="s">
        <v>2834</v>
      </c>
      <c r="G831" s="375" t="s">
        <v>2834</v>
      </c>
      <c r="H831" s="375" t="s">
        <v>861</v>
      </c>
      <c r="I831" s="375" t="s">
        <v>862</v>
      </c>
      <c r="J831" s="375">
        <v>193508.63247000001</v>
      </c>
      <c r="K831" s="375">
        <v>4020.69337</v>
      </c>
      <c r="L831" s="375">
        <v>5869.2632800000001</v>
      </c>
      <c r="M831" s="375">
        <v>164615.48741</v>
      </c>
      <c r="N831" s="372">
        <v>0.79200000000000004</v>
      </c>
      <c r="O831" s="704">
        <v>18.958219014769718</v>
      </c>
      <c r="P831" s="375" t="s">
        <v>622</v>
      </c>
      <c r="Q831" s="375" t="s">
        <v>622</v>
      </c>
      <c r="R831" s="696">
        <v>20050202</v>
      </c>
      <c r="S831" s="375" t="s">
        <v>5962</v>
      </c>
      <c r="T831" s="697">
        <v>0.20900000000000002</v>
      </c>
      <c r="U831" s="372" t="s">
        <v>5963</v>
      </c>
      <c r="V831" s="723">
        <v>13.09</v>
      </c>
      <c r="W831" s="723">
        <v>0.78</v>
      </c>
      <c r="X831" s="723">
        <v>0.65</v>
      </c>
      <c r="Y831" s="723">
        <v>32.630000000000003</v>
      </c>
      <c r="Z831" s="382">
        <v>0.20756100808438283</v>
      </c>
      <c r="AA831" s="372">
        <v>929.67215650000003</v>
      </c>
      <c r="AB831" s="372">
        <v>906.68655850000005</v>
      </c>
      <c r="AC831" s="372">
        <v>1328.5414410999999</v>
      </c>
      <c r="AD831" s="372">
        <v>1373.7105443</v>
      </c>
      <c r="AE831" s="372">
        <v>2032</v>
      </c>
      <c r="AF831" s="372">
        <v>2353</v>
      </c>
      <c r="AG831" s="372">
        <v>2921</v>
      </c>
      <c r="AH831" s="372">
        <v>0</v>
      </c>
    </row>
    <row r="832" spans="1:34">
      <c r="A832" s="372" t="s">
        <v>5964</v>
      </c>
      <c r="B832" s="373" t="s">
        <v>5965</v>
      </c>
      <c r="C832" s="372" t="s">
        <v>5966</v>
      </c>
      <c r="D832" s="374">
        <v>1101112093237</v>
      </c>
      <c r="E832" s="372" t="s">
        <v>5967</v>
      </c>
      <c r="F832" s="375" t="s">
        <v>4736</v>
      </c>
      <c r="G832" s="375" t="s">
        <v>5968</v>
      </c>
      <c r="H832" s="375" t="s">
        <v>1337</v>
      </c>
      <c r="I832" s="375" t="s">
        <v>862</v>
      </c>
      <c r="J832" s="375">
        <v>412951.48635000002</v>
      </c>
      <c r="K832" s="375">
        <v>68583.132329999993</v>
      </c>
      <c r="L832" s="375">
        <v>150328.44489000001</v>
      </c>
      <c r="M832" s="375">
        <v>456026.58516000002</v>
      </c>
      <c r="N832" s="372">
        <v>0.76500000000000001</v>
      </c>
      <c r="O832" s="704">
        <v>205.43157838436247</v>
      </c>
      <c r="P832" s="375" t="s">
        <v>622</v>
      </c>
      <c r="Q832" s="372" t="s">
        <v>622</v>
      </c>
      <c r="R832" s="696">
        <v>20110525</v>
      </c>
      <c r="S832" s="372" t="s">
        <v>5969</v>
      </c>
      <c r="T832" s="697">
        <v>0.23100000000000001</v>
      </c>
      <c r="U832" s="372" t="s">
        <v>15877</v>
      </c>
      <c r="V832" s="723">
        <v>2.77</v>
      </c>
      <c r="W832" s="723">
        <v>0.37</v>
      </c>
      <c r="X832" s="723">
        <v>0.42</v>
      </c>
      <c r="Y832" s="723">
        <v>1.65</v>
      </c>
      <c r="Z832" s="382" t="s">
        <v>927</v>
      </c>
      <c r="AA832" s="372">
        <v>2767.3341182999998</v>
      </c>
      <c r="AB832" s="372">
        <v>2889.4879086999999</v>
      </c>
      <c r="AC832" s="372">
        <v>3262.6609801999998</v>
      </c>
      <c r="AD832" s="372">
        <v>4030.5235361</v>
      </c>
      <c r="AE832" s="372">
        <v>4657</v>
      </c>
      <c r="AF832" s="372">
        <v>0</v>
      </c>
      <c r="AG832" s="372">
        <v>0</v>
      </c>
      <c r="AH832" s="372">
        <v>0</v>
      </c>
    </row>
    <row r="833" spans="1:34">
      <c r="A833" s="372" t="s">
        <v>5970</v>
      </c>
      <c r="B833" s="373" t="s">
        <v>5971</v>
      </c>
      <c r="C833" s="372" t="s">
        <v>5972</v>
      </c>
      <c r="D833" s="374">
        <v>1101111727332</v>
      </c>
      <c r="E833" s="372" t="s">
        <v>5973</v>
      </c>
      <c r="F833" s="375" t="s">
        <v>1796</v>
      </c>
      <c r="G833" s="375" t="s">
        <v>2797</v>
      </c>
      <c r="H833" s="375" t="s">
        <v>861</v>
      </c>
      <c r="I833" s="375" t="s">
        <v>862</v>
      </c>
      <c r="J833" s="375">
        <v>117697.04794</v>
      </c>
      <c r="K833" s="375">
        <v>20296.531029999998</v>
      </c>
      <c r="L833" s="375">
        <v>26032.59374</v>
      </c>
      <c r="M833" s="375">
        <v>235187.77541999999</v>
      </c>
      <c r="N833" s="372">
        <v>0.67500000000000004</v>
      </c>
      <c r="O833" s="704">
        <v>29.271025114598288</v>
      </c>
      <c r="P833" s="375" t="s">
        <v>622</v>
      </c>
      <c r="Q833" s="372" t="s">
        <v>622</v>
      </c>
      <c r="R833" s="696">
        <v>20140204</v>
      </c>
      <c r="S833" s="375" t="s">
        <v>5974</v>
      </c>
      <c r="T833" s="697">
        <v>0.23100000000000001</v>
      </c>
      <c r="U833" s="375" t="s">
        <v>15878</v>
      </c>
      <c r="V833" s="723">
        <v>7.26</v>
      </c>
      <c r="W833" s="723">
        <v>0.85</v>
      </c>
      <c r="X833" s="723">
        <v>1.43</v>
      </c>
      <c r="Y833" s="723">
        <v>9.2200000000000006</v>
      </c>
      <c r="Z833" s="382" t="s">
        <v>927</v>
      </c>
      <c r="AA833" s="372">
        <v>457.12275940000001</v>
      </c>
      <c r="AB833" s="372">
        <v>588.70575729999996</v>
      </c>
      <c r="AC833" s="372">
        <v>878.25669749999997</v>
      </c>
      <c r="AD833" s="372">
        <v>922.18769210000005</v>
      </c>
      <c r="AE833" s="372">
        <v>0</v>
      </c>
      <c r="AF833" s="372">
        <v>0</v>
      </c>
      <c r="AG833" s="372">
        <v>0</v>
      </c>
      <c r="AH833" s="372">
        <v>0</v>
      </c>
    </row>
    <row r="834" spans="1:34">
      <c r="A834" s="372" t="s">
        <v>5975</v>
      </c>
      <c r="B834" s="373" t="s">
        <v>5976</v>
      </c>
      <c r="C834" s="372" t="s">
        <v>15997</v>
      </c>
      <c r="D834" s="374">
        <v>1601110101016</v>
      </c>
      <c r="E834" s="372" t="s">
        <v>5977</v>
      </c>
      <c r="F834" s="375" t="s">
        <v>1116</v>
      </c>
      <c r="G834" s="375" t="s">
        <v>1336</v>
      </c>
      <c r="H834" s="375" t="s">
        <v>1337</v>
      </c>
      <c r="I834" s="375" t="s">
        <v>862</v>
      </c>
      <c r="J834" s="375">
        <v>5573.9767599999996</v>
      </c>
      <c r="K834" s="375">
        <v>-32252.105909999998</v>
      </c>
      <c r="L834" s="375">
        <v>-63798.381300000001</v>
      </c>
      <c r="M834" s="375">
        <v>117335.62095</v>
      </c>
      <c r="N834" s="372">
        <v>0.99199999999999999</v>
      </c>
      <c r="O834" s="704">
        <v>21.301182370182126</v>
      </c>
      <c r="P834" s="375" t="s">
        <v>622</v>
      </c>
      <c r="Q834" s="375" t="s">
        <v>622</v>
      </c>
      <c r="R834" s="696">
        <v>20060106</v>
      </c>
      <c r="S834" s="375" t="s">
        <v>5978</v>
      </c>
      <c r="T834" s="697" t="s">
        <v>771</v>
      </c>
      <c r="U834" s="372" t="s">
        <v>16120</v>
      </c>
      <c r="V834" s="723" t="s">
        <v>773</v>
      </c>
      <c r="W834" s="723">
        <v>1.89</v>
      </c>
      <c r="X834" s="723">
        <v>40.31</v>
      </c>
      <c r="Y834" s="723" t="s">
        <v>773</v>
      </c>
      <c r="Z834" s="382" t="s">
        <v>927</v>
      </c>
      <c r="AA834" s="372">
        <v>302.23479989999998</v>
      </c>
      <c r="AB834" s="372">
        <v>423.76294289999998</v>
      </c>
      <c r="AC834" s="372">
        <v>43.213296499999998</v>
      </c>
      <c r="AD834" s="372">
        <v>48.7866347</v>
      </c>
      <c r="AE834" s="372">
        <v>0</v>
      </c>
      <c r="AF834" s="372">
        <v>0</v>
      </c>
      <c r="AG834" s="372">
        <v>0</v>
      </c>
      <c r="AH834" s="372">
        <v>0</v>
      </c>
    </row>
    <row r="835" spans="1:34">
      <c r="A835" s="372" t="s">
        <v>5979</v>
      </c>
      <c r="B835" s="373" t="s">
        <v>5980</v>
      </c>
      <c r="C835" s="372" t="s">
        <v>5981</v>
      </c>
      <c r="D835" s="374">
        <v>1147110003729</v>
      </c>
      <c r="E835" s="372" t="s">
        <v>5982</v>
      </c>
      <c r="F835" s="375" t="s">
        <v>2864</v>
      </c>
      <c r="G835" s="375" t="s">
        <v>5983</v>
      </c>
      <c r="H835" s="375" t="s">
        <v>826</v>
      </c>
      <c r="I835" s="375" t="s">
        <v>754</v>
      </c>
      <c r="J835" s="375">
        <v>463539.65460000001</v>
      </c>
      <c r="K835" s="375">
        <v>68481.789290000001</v>
      </c>
      <c r="L835" s="375">
        <v>65494.28845</v>
      </c>
      <c r="M835" s="375">
        <v>233331.57123</v>
      </c>
      <c r="N835" s="372">
        <v>0.84099999999999997</v>
      </c>
      <c r="O835" s="704">
        <v>38.4311293143789</v>
      </c>
      <c r="P835" s="375" t="s">
        <v>622</v>
      </c>
      <c r="Q835" s="375" t="s">
        <v>622</v>
      </c>
      <c r="R835" s="696">
        <v>19990811</v>
      </c>
      <c r="S835" s="375" t="s">
        <v>5984</v>
      </c>
      <c r="T835" s="697">
        <v>0.23100000000000001</v>
      </c>
      <c r="U835" s="372" t="s">
        <v>5985</v>
      </c>
      <c r="V835" s="723">
        <v>5.09</v>
      </c>
      <c r="W835" s="723">
        <v>1.4</v>
      </c>
      <c r="X835" s="723">
        <v>0.72</v>
      </c>
      <c r="Y835" s="723">
        <v>6.65</v>
      </c>
      <c r="Z835" s="382">
        <v>8.9931400409372086E-2</v>
      </c>
      <c r="AA835" s="372">
        <v>3831.1124630999998</v>
      </c>
      <c r="AB835" s="372">
        <v>3710.7693257000001</v>
      </c>
      <c r="AC835" s="372">
        <v>4758.9524062</v>
      </c>
      <c r="AD835" s="372">
        <v>4177.2180995999997</v>
      </c>
      <c r="AE835" s="372">
        <v>5119.5</v>
      </c>
      <c r="AF835" s="372">
        <v>5643</v>
      </c>
      <c r="AG835" s="372">
        <v>5895</v>
      </c>
      <c r="AH835" s="372">
        <v>0</v>
      </c>
    </row>
    <row r="836" spans="1:34">
      <c r="A836" s="372" t="s">
        <v>5986</v>
      </c>
      <c r="B836" s="373" t="s">
        <v>5987</v>
      </c>
      <c r="C836" s="372" t="s">
        <v>5988</v>
      </c>
      <c r="D836" s="374">
        <v>1101111227077</v>
      </c>
      <c r="E836" s="372" t="s">
        <v>5989</v>
      </c>
      <c r="F836" s="375" t="s">
        <v>1249</v>
      </c>
      <c r="G836" s="375" t="s">
        <v>1249</v>
      </c>
      <c r="H836" s="375" t="s">
        <v>861</v>
      </c>
      <c r="I836" s="375" t="s">
        <v>862</v>
      </c>
      <c r="J836" s="375">
        <v>138949.31586999999</v>
      </c>
      <c r="K836" s="375">
        <v>-7263.7005399999998</v>
      </c>
      <c r="L836" s="375">
        <v>-17323.270990000001</v>
      </c>
      <c r="M836" s="375">
        <v>69745.397330000007</v>
      </c>
      <c r="N836" s="372">
        <v>0.27400000000000002</v>
      </c>
      <c r="O836" s="704">
        <v>21.9518101638842</v>
      </c>
      <c r="P836" s="375" t="s">
        <v>622</v>
      </c>
      <c r="Q836" s="375" t="s">
        <v>622</v>
      </c>
      <c r="R836" s="696">
        <v>20020219</v>
      </c>
      <c r="S836" s="375" t="s">
        <v>5990</v>
      </c>
      <c r="T836" s="697" t="s">
        <v>771</v>
      </c>
      <c r="U836" s="372" t="s">
        <v>5991</v>
      </c>
      <c r="V836" s="723" t="s">
        <v>773</v>
      </c>
      <c r="W836" s="723">
        <v>2.2999999999999998</v>
      </c>
      <c r="X836" s="723">
        <v>1.23</v>
      </c>
      <c r="Y836" s="723" t="s">
        <v>773</v>
      </c>
      <c r="Z836" s="382" t="s">
        <v>927</v>
      </c>
      <c r="AA836" s="372">
        <v>1300.3177508000001</v>
      </c>
      <c r="AB836" s="372">
        <v>1403.1798842999999</v>
      </c>
      <c r="AC836" s="372">
        <v>1652.0551370999999</v>
      </c>
      <c r="AD836" s="372">
        <v>1378.7803721</v>
      </c>
      <c r="AE836" s="372">
        <v>0</v>
      </c>
      <c r="AF836" s="372">
        <v>0</v>
      </c>
      <c r="AG836" s="372">
        <v>0</v>
      </c>
      <c r="AH836" s="372">
        <v>0</v>
      </c>
    </row>
    <row r="837" spans="1:34">
      <c r="A837" s="372" t="s">
        <v>5992</v>
      </c>
      <c r="B837" s="373" t="s">
        <v>5993</v>
      </c>
      <c r="C837" s="372" t="s">
        <v>5994</v>
      </c>
      <c r="D837" s="374">
        <v>1501110077665</v>
      </c>
      <c r="E837" s="372" t="s">
        <v>5995</v>
      </c>
      <c r="F837" s="375" t="s">
        <v>1323</v>
      </c>
      <c r="G837" s="375" t="s">
        <v>16106</v>
      </c>
      <c r="H837" s="375" t="s">
        <v>861</v>
      </c>
      <c r="I837" s="375" t="s">
        <v>862</v>
      </c>
      <c r="J837" s="375">
        <v>32265.4843</v>
      </c>
      <c r="K837" s="375">
        <v>-20463.499159999999</v>
      </c>
      <c r="L837" s="375">
        <v>-34585.783089999997</v>
      </c>
      <c r="M837" s="375">
        <v>24139.496190000002</v>
      </c>
      <c r="N837" s="372">
        <v>0.70899999999999996</v>
      </c>
      <c r="O837" s="704">
        <v>12.436568596717642</v>
      </c>
      <c r="P837" s="375" t="s">
        <v>622</v>
      </c>
      <c r="Q837" s="375" t="s">
        <v>622</v>
      </c>
      <c r="R837" s="696">
        <v>20150626</v>
      </c>
      <c r="S837" s="372" t="s">
        <v>5996</v>
      </c>
      <c r="T837" s="697" t="s">
        <v>771</v>
      </c>
      <c r="U837" s="372" t="s">
        <v>5997</v>
      </c>
      <c r="V837" s="723" t="s">
        <v>773</v>
      </c>
      <c r="W837" s="723">
        <v>7.31</v>
      </c>
      <c r="X837" s="723">
        <v>12.2</v>
      </c>
      <c r="Y837" s="723" t="s">
        <v>773</v>
      </c>
      <c r="Z837" s="382" t="s">
        <v>927</v>
      </c>
      <c r="AA837" s="372">
        <v>263.57703199999997</v>
      </c>
      <c r="AB837" s="372">
        <v>302.40039380000002</v>
      </c>
      <c r="AC837" s="372">
        <v>458.77628490000001</v>
      </c>
      <c r="AD837" s="372">
        <v>336.57156170000002</v>
      </c>
      <c r="AE837" s="372">
        <v>400</v>
      </c>
      <c r="AF837" s="372">
        <v>0</v>
      </c>
      <c r="AG837" s="372">
        <v>0</v>
      </c>
      <c r="AH837" s="372">
        <v>0</v>
      </c>
    </row>
    <row r="838" spans="1:34">
      <c r="A838" s="372" t="s">
        <v>5998</v>
      </c>
      <c r="B838" s="373" t="s">
        <v>5999</v>
      </c>
      <c r="C838" s="372" t="s">
        <v>6000</v>
      </c>
      <c r="D838" s="374">
        <v>2046110071943</v>
      </c>
      <c r="E838" s="372" t="s">
        <v>6001</v>
      </c>
      <c r="F838" s="372" t="s">
        <v>5055</v>
      </c>
      <c r="G838" s="375" t="s">
        <v>5055</v>
      </c>
      <c r="H838" s="375" t="s">
        <v>1468</v>
      </c>
      <c r="I838" s="375" t="s">
        <v>754</v>
      </c>
      <c r="J838" s="375">
        <v>536516.17478</v>
      </c>
      <c r="K838" s="375">
        <v>49815.821580000003</v>
      </c>
      <c r="L838" s="375">
        <v>45779.744769999998</v>
      </c>
      <c r="M838" s="375">
        <v>232954.16816</v>
      </c>
      <c r="N838" s="372" t="s">
        <v>1026</v>
      </c>
      <c r="O838" s="704">
        <v>128.94593008969807</v>
      </c>
      <c r="P838" s="375" t="s">
        <v>622</v>
      </c>
      <c r="Q838" s="372" t="s">
        <v>622</v>
      </c>
      <c r="R838" s="696">
        <v>20230728</v>
      </c>
      <c r="S838" s="372" t="s">
        <v>6002</v>
      </c>
      <c r="T838" s="697">
        <v>0.23100000000000001</v>
      </c>
      <c r="U838" s="372" t="s">
        <v>5057</v>
      </c>
      <c r="V838" s="723">
        <v>6.65</v>
      </c>
      <c r="W838" s="723">
        <v>0.9</v>
      </c>
      <c r="X838" s="723">
        <v>0.37</v>
      </c>
      <c r="Y838" s="723">
        <v>5.91</v>
      </c>
      <c r="Z838" s="382" t="s">
        <v>927</v>
      </c>
      <c r="AA838" s="372">
        <v>0</v>
      </c>
      <c r="AB838" s="372">
        <v>0</v>
      </c>
      <c r="AC838" s="372">
        <v>0</v>
      </c>
      <c r="AD838" s="372">
        <v>2793.6690828999999</v>
      </c>
      <c r="AE838" s="372">
        <v>0</v>
      </c>
      <c r="AF838" s="372">
        <v>0</v>
      </c>
      <c r="AG838" s="372">
        <v>0</v>
      </c>
      <c r="AH838" s="372">
        <v>0</v>
      </c>
    </row>
    <row r="839" spans="1:34">
      <c r="A839" s="372" t="s">
        <v>6003</v>
      </c>
      <c r="B839" s="373" t="s">
        <v>6004</v>
      </c>
      <c r="C839" s="372" t="s">
        <v>6005</v>
      </c>
      <c r="D839" s="374">
        <v>1101110377055</v>
      </c>
      <c r="E839" s="372" t="s">
        <v>6006</v>
      </c>
      <c r="F839" s="375" t="s">
        <v>907</v>
      </c>
      <c r="G839" s="375" t="s">
        <v>908</v>
      </c>
      <c r="H839" s="375" t="s">
        <v>909</v>
      </c>
      <c r="I839" s="375" t="s">
        <v>754</v>
      </c>
      <c r="J839" s="375">
        <v>509028.57533999998</v>
      </c>
      <c r="K839" s="375">
        <v>100108.38312</v>
      </c>
      <c r="L839" s="375">
        <v>20646.268230000001</v>
      </c>
      <c r="M839" s="375">
        <v>445583.60336000001</v>
      </c>
      <c r="N839" s="372">
        <v>0.629</v>
      </c>
      <c r="O839" s="704">
        <v>556.74134548909149</v>
      </c>
      <c r="P839" s="375" t="s">
        <v>622</v>
      </c>
      <c r="Q839" s="375" t="s">
        <v>622</v>
      </c>
      <c r="R839" s="696">
        <v>20071026</v>
      </c>
      <c r="S839" s="375" t="s">
        <v>6007</v>
      </c>
      <c r="T839" s="697">
        <v>0.23100000000000001</v>
      </c>
      <c r="U839" s="372" t="s">
        <v>6008</v>
      </c>
      <c r="V839" s="723">
        <v>6.64</v>
      </c>
      <c r="W839" s="723">
        <v>0.49</v>
      </c>
      <c r="X839" s="723">
        <v>0.43</v>
      </c>
      <c r="Y839" s="723">
        <v>10.92</v>
      </c>
      <c r="Z839" s="382" t="s">
        <v>927</v>
      </c>
      <c r="AA839" s="372">
        <v>2261.8116703999999</v>
      </c>
      <c r="AB839" s="372">
        <v>3240.0126681000002</v>
      </c>
      <c r="AC839" s="372">
        <v>4453.7578970000004</v>
      </c>
      <c r="AD839" s="372">
        <v>4726.0285991999999</v>
      </c>
      <c r="AE839" s="372">
        <v>5083</v>
      </c>
      <c r="AF839" s="372">
        <v>5191</v>
      </c>
      <c r="AG839" s="372">
        <v>0</v>
      </c>
      <c r="AH839" s="372">
        <v>0</v>
      </c>
    </row>
    <row r="840" spans="1:34">
      <c r="A840" s="372" t="s">
        <v>6009</v>
      </c>
      <c r="B840" s="373" t="s">
        <v>6010</v>
      </c>
      <c r="C840" s="372" t="s">
        <v>6011</v>
      </c>
      <c r="D840" s="374">
        <v>1101111712309</v>
      </c>
      <c r="E840" s="372" t="s">
        <v>6012</v>
      </c>
      <c r="F840" s="372" t="s">
        <v>6013</v>
      </c>
      <c r="G840" s="375" t="s">
        <v>6013</v>
      </c>
      <c r="H840" s="375" t="s">
        <v>1531</v>
      </c>
      <c r="I840" s="375" t="s">
        <v>862</v>
      </c>
      <c r="J840" s="375">
        <v>92618.417079999999</v>
      </c>
      <c r="K840" s="375">
        <v>18699.587530000001</v>
      </c>
      <c r="L840" s="375">
        <v>18365.24048</v>
      </c>
      <c r="M840" s="375">
        <v>131483.61248000001</v>
      </c>
      <c r="N840" s="372">
        <v>0.52700000000000002</v>
      </c>
      <c r="O840" s="704">
        <v>0.49589369535312977</v>
      </c>
      <c r="P840" s="375" t="s">
        <v>622</v>
      </c>
      <c r="Q840" s="375" t="s">
        <v>622</v>
      </c>
      <c r="R840" s="696">
        <v>20060707</v>
      </c>
      <c r="S840" s="375" t="s">
        <v>6014</v>
      </c>
      <c r="T840" s="697">
        <v>0.20900000000000002</v>
      </c>
      <c r="U840" s="372" t="s">
        <v>6015</v>
      </c>
      <c r="V840" s="723">
        <v>4.3099999999999996</v>
      </c>
      <c r="W840" s="723">
        <v>1.8</v>
      </c>
      <c r="X840" s="723">
        <v>2.57</v>
      </c>
      <c r="Y840" s="723">
        <v>17.649999999999999</v>
      </c>
      <c r="Z840" s="382" t="s">
        <v>927</v>
      </c>
      <c r="AA840" s="372">
        <v>467.99889150000001</v>
      </c>
      <c r="AB840" s="372">
        <v>509.33935059999999</v>
      </c>
      <c r="AC840" s="372">
        <v>566.843073</v>
      </c>
      <c r="AD840" s="372">
        <v>401.702088</v>
      </c>
      <c r="AE840" s="372">
        <v>0</v>
      </c>
      <c r="AF840" s="372">
        <v>0</v>
      </c>
      <c r="AG840" s="372">
        <v>0</v>
      </c>
      <c r="AH840" s="372">
        <v>0</v>
      </c>
    </row>
    <row r="841" spans="1:34">
      <c r="A841" s="372" t="s">
        <v>6016</v>
      </c>
      <c r="B841" s="373" t="s">
        <v>6017</v>
      </c>
      <c r="C841" s="372" t="s">
        <v>6018</v>
      </c>
      <c r="D841" s="374">
        <v>1801110633031</v>
      </c>
      <c r="E841" s="372" t="s">
        <v>6019</v>
      </c>
      <c r="F841" s="375" t="s">
        <v>2625</v>
      </c>
      <c r="G841" s="375" t="s">
        <v>2626</v>
      </c>
      <c r="H841" s="375" t="s">
        <v>817</v>
      </c>
      <c r="I841" s="375" t="s">
        <v>754</v>
      </c>
      <c r="J841" s="375">
        <v>1133560.1740900001</v>
      </c>
      <c r="K841" s="375">
        <v>87872.912230000002</v>
      </c>
      <c r="L841" s="375">
        <v>66140.649709999998</v>
      </c>
      <c r="M841" s="375">
        <v>563761.01658000005</v>
      </c>
      <c r="N841" s="372">
        <v>0.61</v>
      </c>
      <c r="O841" s="704">
        <v>67.083433134420318</v>
      </c>
      <c r="P841" s="375" t="s">
        <v>622</v>
      </c>
      <c r="Q841" s="372" t="s">
        <v>622</v>
      </c>
      <c r="R841" s="696">
        <v>20080623</v>
      </c>
      <c r="S841" s="375">
        <v>0</v>
      </c>
      <c r="T841" s="697">
        <v>0.23100000000000001</v>
      </c>
      <c r="U841" s="372" t="s">
        <v>6020</v>
      </c>
      <c r="V841" s="723">
        <v>3.47</v>
      </c>
      <c r="W841" s="723">
        <v>0.5</v>
      </c>
      <c r="X841" s="723">
        <v>0.19</v>
      </c>
      <c r="Y841" s="723">
        <v>6.24</v>
      </c>
      <c r="Z841" s="382" t="s">
        <v>927</v>
      </c>
      <c r="AA841" s="372">
        <v>8640.0986809999995</v>
      </c>
      <c r="AB841" s="372">
        <v>9259.7852003999997</v>
      </c>
      <c r="AC841" s="372">
        <v>11401.236199299999</v>
      </c>
      <c r="AD841" s="372">
        <v>11179.988535099999</v>
      </c>
      <c r="AE841" s="372">
        <v>0</v>
      </c>
      <c r="AF841" s="372">
        <v>0</v>
      </c>
      <c r="AG841" s="372">
        <v>0</v>
      </c>
      <c r="AH841" s="372">
        <v>0</v>
      </c>
    </row>
    <row r="842" spans="1:34">
      <c r="A842" s="372" t="s">
        <v>6021</v>
      </c>
      <c r="B842" s="373" t="s">
        <v>6022</v>
      </c>
      <c r="C842" s="372" t="s">
        <v>6023</v>
      </c>
      <c r="D842" s="374">
        <v>1346110018221</v>
      </c>
      <c r="E842" s="372" t="s">
        <v>6024</v>
      </c>
      <c r="F842" s="375" t="s">
        <v>2607</v>
      </c>
      <c r="G842" s="375" t="s">
        <v>2607</v>
      </c>
      <c r="H842" s="375" t="s">
        <v>861</v>
      </c>
      <c r="I842" s="375" t="s">
        <v>862</v>
      </c>
      <c r="J842" s="375">
        <v>45495.217770000003</v>
      </c>
      <c r="K842" s="375">
        <v>-1376.7791</v>
      </c>
      <c r="L842" s="375">
        <v>-21664.99942</v>
      </c>
      <c r="M842" s="375">
        <v>240690.72210000001</v>
      </c>
      <c r="N842" s="372">
        <v>1.34</v>
      </c>
      <c r="O842" s="704">
        <v>52.63499887129489</v>
      </c>
      <c r="P842" s="375" t="s">
        <v>622</v>
      </c>
      <c r="Q842" s="372" t="s">
        <v>622</v>
      </c>
      <c r="R842" s="696">
        <v>20061020</v>
      </c>
      <c r="S842" s="372" t="s">
        <v>6025</v>
      </c>
      <c r="T842" s="697" t="s">
        <v>771</v>
      </c>
      <c r="U842" s="372" t="s">
        <v>6026</v>
      </c>
      <c r="V842" s="723">
        <v>193.46</v>
      </c>
      <c r="W842" s="723">
        <v>0.57999999999999996</v>
      </c>
      <c r="X842" s="723">
        <v>2.63</v>
      </c>
      <c r="Y842" s="723" t="s">
        <v>773</v>
      </c>
      <c r="Z842" s="382" t="s">
        <v>927</v>
      </c>
      <c r="AA842" s="372">
        <v>543.60697359999995</v>
      </c>
      <c r="AB842" s="372">
        <v>751.42445339999995</v>
      </c>
      <c r="AC842" s="372">
        <v>804.22379999999998</v>
      </c>
      <c r="AD842" s="372">
        <v>616.97133220000001</v>
      </c>
      <c r="AE842" s="372">
        <v>0</v>
      </c>
      <c r="AF842" s="372">
        <v>0</v>
      </c>
      <c r="AG842" s="372">
        <v>0</v>
      </c>
      <c r="AH842" s="372">
        <v>0</v>
      </c>
    </row>
    <row r="843" spans="1:34">
      <c r="A843" s="372" t="s">
        <v>6027</v>
      </c>
      <c r="B843" s="373" t="s">
        <v>6028</v>
      </c>
      <c r="C843" s="372" t="s">
        <v>6029</v>
      </c>
      <c r="D843" s="374">
        <v>1101110645353</v>
      </c>
      <c r="E843" s="372" t="s">
        <v>6030</v>
      </c>
      <c r="F843" s="375" t="s">
        <v>2414</v>
      </c>
      <c r="G843" s="375" t="s">
        <v>2414</v>
      </c>
      <c r="H843" s="375" t="s">
        <v>861</v>
      </c>
      <c r="I843" s="375" t="s">
        <v>862</v>
      </c>
      <c r="J843" s="375">
        <v>577722.87441000005</v>
      </c>
      <c r="K843" s="375">
        <v>31868.585050000002</v>
      </c>
      <c r="L843" s="375">
        <v>23937.15337</v>
      </c>
      <c r="M843" s="375">
        <v>176041.51788</v>
      </c>
      <c r="N843" s="372">
        <v>0.73</v>
      </c>
      <c r="O843" s="704">
        <v>58.004457519961996</v>
      </c>
      <c r="P843" s="375" t="s">
        <v>622</v>
      </c>
      <c r="Q843" s="375" t="s">
        <v>622</v>
      </c>
      <c r="R843" s="696">
        <v>20200924</v>
      </c>
      <c r="S843" s="375" t="s">
        <v>6031</v>
      </c>
      <c r="T843" s="697">
        <v>0.23100000000000001</v>
      </c>
      <c r="U843" s="375" t="s">
        <v>6032</v>
      </c>
      <c r="V843" s="723">
        <v>7.42</v>
      </c>
      <c r="W843" s="723">
        <v>1.19</v>
      </c>
      <c r="X843" s="723">
        <v>0.36</v>
      </c>
      <c r="Y843" s="723">
        <v>13.55</v>
      </c>
      <c r="Z843" s="382">
        <v>0.12547891954238932</v>
      </c>
      <c r="AA843" s="372">
        <v>3268.9526065999999</v>
      </c>
      <c r="AB843" s="372">
        <v>3110.9734463999998</v>
      </c>
      <c r="AC843" s="372">
        <v>3888.0923431000001</v>
      </c>
      <c r="AD843" s="372">
        <v>4174.4155858000004</v>
      </c>
      <c r="AE843" s="372">
        <v>5842</v>
      </c>
      <c r="AF843" s="372">
        <v>7028</v>
      </c>
      <c r="AG843" s="372">
        <v>6698</v>
      </c>
      <c r="AH843" s="372">
        <v>0</v>
      </c>
    </row>
    <row r="844" spans="1:34">
      <c r="A844" s="372" t="s">
        <v>6033</v>
      </c>
      <c r="B844" s="373" t="s">
        <v>6034</v>
      </c>
      <c r="C844" s="372" t="s">
        <v>6035</v>
      </c>
      <c r="D844" s="374">
        <v>1601110100688</v>
      </c>
      <c r="E844" s="372" t="s">
        <v>6036</v>
      </c>
      <c r="F844" s="375" t="s">
        <v>1096</v>
      </c>
      <c r="G844" s="375" t="s">
        <v>1097</v>
      </c>
      <c r="H844" s="375" t="s">
        <v>861</v>
      </c>
      <c r="I844" s="375" t="s">
        <v>862</v>
      </c>
      <c r="J844" s="375">
        <v>112200.12202</v>
      </c>
      <c r="K844" s="375">
        <v>24915.335739999999</v>
      </c>
      <c r="L844" s="375">
        <v>28274.012060000001</v>
      </c>
      <c r="M844" s="375">
        <v>170506.70311</v>
      </c>
      <c r="N844" s="372">
        <v>0.58099999999999996</v>
      </c>
      <c r="O844" s="704">
        <v>0.65591004750157356</v>
      </c>
      <c r="P844" s="375" t="s">
        <v>622</v>
      </c>
      <c r="Q844" s="375" t="s">
        <v>622</v>
      </c>
      <c r="R844" s="696">
        <v>20070130</v>
      </c>
      <c r="S844" s="375" t="s">
        <v>6037</v>
      </c>
      <c r="T844" s="697">
        <v>0.23100000000000001</v>
      </c>
      <c r="U844" s="372" t="s">
        <v>6038</v>
      </c>
      <c r="V844" s="723">
        <v>7.83</v>
      </c>
      <c r="W844" s="723">
        <v>1.25</v>
      </c>
      <c r="X844" s="723">
        <v>1.93</v>
      </c>
      <c r="Y844" s="723">
        <v>9.6999999999999993</v>
      </c>
      <c r="Z844" s="382">
        <v>0.11409601979555806</v>
      </c>
      <c r="AA844" s="372">
        <v>816.2534756</v>
      </c>
      <c r="AB844" s="372">
        <v>879.30719729999998</v>
      </c>
      <c r="AC844" s="372">
        <v>850.33138229999997</v>
      </c>
      <c r="AD844" s="372">
        <v>971.04890490000003</v>
      </c>
      <c r="AE844" s="372">
        <v>1194.5</v>
      </c>
      <c r="AF844" s="372">
        <v>1340</v>
      </c>
      <c r="AG844" s="372">
        <v>1496</v>
      </c>
      <c r="AH844" s="372">
        <v>0</v>
      </c>
    </row>
    <row r="845" spans="1:34">
      <c r="A845" s="372" t="s">
        <v>6039</v>
      </c>
      <c r="B845" s="373" t="s">
        <v>6040</v>
      </c>
      <c r="C845" s="372" t="s">
        <v>6041</v>
      </c>
      <c r="D845" s="374">
        <v>1101111114589</v>
      </c>
      <c r="E845" s="372" t="s">
        <v>6042</v>
      </c>
      <c r="F845" s="375" t="s">
        <v>5687</v>
      </c>
      <c r="G845" s="375" t="s">
        <v>6043</v>
      </c>
      <c r="H845" s="375" t="s">
        <v>861</v>
      </c>
      <c r="I845" s="375" t="s">
        <v>862</v>
      </c>
      <c r="J845" s="375">
        <v>29388.96673</v>
      </c>
      <c r="K845" s="375">
        <v>-5502.3190100000002</v>
      </c>
      <c r="L845" s="375">
        <v>-14595.97956</v>
      </c>
      <c r="M845" s="375">
        <v>65335.897190000003</v>
      </c>
      <c r="N845" s="372">
        <v>1.232</v>
      </c>
      <c r="O845" s="704">
        <v>3.308429126525815</v>
      </c>
      <c r="P845" s="375" t="s">
        <v>622</v>
      </c>
      <c r="Q845" s="375" t="s">
        <v>622</v>
      </c>
      <c r="R845" s="696">
        <v>20181106</v>
      </c>
      <c r="S845" s="375" t="s">
        <v>6044</v>
      </c>
      <c r="T845" s="697" t="s">
        <v>771</v>
      </c>
      <c r="U845" s="375" t="s">
        <v>6045</v>
      </c>
      <c r="V845" s="723" t="s">
        <v>773</v>
      </c>
      <c r="W845" s="723">
        <v>1.81</v>
      </c>
      <c r="X845" s="723">
        <v>4.74</v>
      </c>
      <c r="Y845" s="723" t="s">
        <v>773</v>
      </c>
      <c r="Z845" s="382" t="s">
        <v>927</v>
      </c>
      <c r="AA845" s="372">
        <v>157.97067809999999</v>
      </c>
      <c r="AB845" s="372">
        <v>429.19554640000001</v>
      </c>
      <c r="AC845" s="372">
        <v>1085.6009733000001</v>
      </c>
      <c r="AD845" s="372">
        <v>399.99530909999999</v>
      </c>
      <c r="AE845" s="372">
        <v>0</v>
      </c>
      <c r="AF845" s="372">
        <v>0</v>
      </c>
      <c r="AG845" s="372">
        <v>0</v>
      </c>
      <c r="AH845" s="372">
        <v>0</v>
      </c>
    </row>
    <row r="846" spans="1:34">
      <c r="A846" s="372" t="s">
        <v>6046</v>
      </c>
      <c r="B846" s="373" t="s">
        <v>6047</v>
      </c>
      <c r="C846" s="372" t="s">
        <v>6048</v>
      </c>
      <c r="D846" s="374">
        <v>1101110003733</v>
      </c>
      <c r="E846" s="372" t="s">
        <v>6049</v>
      </c>
      <c r="F846" s="375" t="s">
        <v>4833</v>
      </c>
      <c r="G846" s="375" t="s">
        <v>4833</v>
      </c>
      <c r="H846" s="375" t="s">
        <v>1316</v>
      </c>
      <c r="I846" s="375" t="s">
        <v>754</v>
      </c>
      <c r="J846" s="375">
        <v>1370114.0947400001</v>
      </c>
      <c r="K846" s="375">
        <v>78952.15105</v>
      </c>
      <c r="L846" s="375">
        <v>117957.88516999999</v>
      </c>
      <c r="M846" s="375">
        <v>1031537.25896</v>
      </c>
      <c r="N846" s="372">
        <v>0.68200000000000005</v>
      </c>
      <c r="O846" s="704">
        <v>143.6480857316227</v>
      </c>
      <c r="P846" s="375" t="s">
        <v>622</v>
      </c>
      <c r="Q846" s="372" t="s">
        <v>622</v>
      </c>
      <c r="R846" s="696">
        <v>19701125</v>
      </c>
      <c r="S846" s="372" t="s">
        <v>6050</v>
      </c>
      <c r="T846" s="697">
        <v>0.23100000000000001</v>
      </c>
      <c r="U846" s="372" t="s">
        <v>6051</v>
      </c>
      <c r="V846" s="723">
        <v>1.96</v>
      </c>
      <c r="W846" s="723">
        <v>0.23</v>
      </c>
      <c r="X846" s="723">
        <v>0.17</v>
      </c>
      <c r="Y846" s="723">
        <v>2.54</v>
      </c>
      <c r="Z846" s="382" t="s">
        <v>927</v>
      </c>
      <c r="AA846" s="372">
        <v>9702.4826816999994</v>
      </c>
      <c r="AB846" s="372">
        <v>11113.417341300001</v>
      </c>
      <c r="AC846" s="372">
        <v>13681.700514300001</v>
      </c>
      <c r="AD846" s="372">
        <v>14414.585475100001</v>
      </c>
      <c r="AE846" s="372">
        <v>12767</v>
      </c>
      <c r="AF846" s="372">
        <v>12348</v>
      </c>
      <c r="AG846" s="372">
        <v>0</v>
      </c>
      <c r="AH846" s="372">
        <v>0</v>
      </c>
    </row>
    <row r="847" spans="1:34">
      <c r="A847" s="372" t="s">
        <v>6052</v>
      </c>
      <c r="B847" s="373" t="s">
        <v>6053</v>
      </c>
      <c r="C847" s="372" t="s">
        <v>6054</v>
      </c>
      <c r="D847" s="374">
        <v>1101110004682</v>
      </c>
      <c r="E847" s="372" t="s">
        <v>6055</v>
      </c>
      <c r="F847" s="375" t="s">
        <v>1276</v>
      </c>
      <c r="G847" s="375" t="s">
        <v>1452</v>
      </c>
      <c r="H847" s="375" t="s">
        <v>753</v>
      </c>
      <c r="I847" s="375" t="s">
        <v>754</v>
      </c>
      <c r="J847" s="375">
        <v>1146562.37314</v>
      </c>
      <c r="K847" s="375">
        <v>28789.912469999999</v>
      </c>
      <c r="L847" s="375">
        <v>27322.932130000001</v>
      </c>
      <c r="M847" s="375">
        <v>507159.1139</v>
      </c>
      <c r="N847" s="372">
        <v>0.86</v>
      </c>
      <c r="O847" s="704">
        <v>208.8315032483429</v>
      </c>
      <c r="P847" s="375" t="s">
        <v>622</v>
      </c>
      <c r="Q847" s="375" t="s">
        <v>622</v>
      </c>
      <c r="R847" s="696">
        <v>19880706</v>
      </c>
      <c r="S847" s="375" t="s">
        <v>6056</v>
      </c>
      <c r="T847" s="697">
        <v>0.23100000000000001</v>
      </c>
      <c r="U847" s="372" t="s">
        <v>6057</v>
      </c>
      <c r="V847" s="723">
        <v>5.6</v>
      </c>
      <c r="W847" s="723">
        <v>0.37</v>
      </c>
      <c r="X847" s="723">
        <v>0.13</v>
      </c>
      <c r="Y847" s="723">
        <v>14.2</v>
      </c>
      <c r="Z847" s="382">
        <v>6.7556153212534165E-2</v>
      </c>
      <c r="AA847" s="372">
        <v>11948.9214718</v>
      </c>
      <c r="AB847" s="372">
        <v>14906.2098776</v>
      </c>
      <c r="AC847" s="372">
        <v>13607.700966599999</v>
      </c>
      <c r="AD847" s="372">
        <v>13026.7910271</v>
      </c>
      <c r="AE847" s="372">
        <v>13930</v>
      </c>
      <c r="AF847" s="372">
        <v>15670</v>
      </c>
      <c r="AG847" s="372">
        <v>16920</v>
      </c>
      <c r="AH847" s="372">
        <v>0</v>
      </c>
    </row>
    <row r="848" spans="1:34">
      <c r="A848" s="372" t="s">
        <v>6058</v>
      </c>
      <c r="B848" s="373" t="s">
        <v>6059</v>
      </c>
      <c r="C848" s="372" t="s">
        <v>6060</v>
      </c>
      <c r="D848" s="374">
        <v>1101110574453</v>
      </c>
      <c r="E848" s="372" t="s">
        <v>6061</v>
      </c>
      <c r="F848" s="375" t="s">
        <v>4266</v>
      </c>
      <c r="G848" s="375" t="s">
        <v>4267</v>
      </c>
      <c r="H848" s="375" t="s">
        <v>1337</v>
      </c>
      <c r="I848" s="375" t="s">
        <v>862</v>
      </c>
      <c r="J848" s="375">
        <v>960073.57082999998</v>
      </c>
      <c r="K848" s="375">
        <v>37005.490550000002</v>
      </c>
      <c r="L848" s="375">
        <v>39954.438750000001</v>
      </c>
      <c r="M848" s="375">
        <v>378139.36378000001</v>
      </c>
      <c r="N848" s="372">
        <v>0.496</v>
      </c>
      <c r="O848" s="704">
        <v>11.08417791293008</v>
      </c>
      <c r="P848" s="375" t="s">
        <v>622</v>
      </c>
      <c r="Q848" s="372" t="s">
        <v>622</v>
      </c>
      <c r="R848" s="696">
        <v>20000428</v>
      </c>
      <c r="S848" s="372" t="s">
        <v>6062</v>
      </c>
      <c r="T848" s="697">
        <v>0.23100000000000001</v>
      </c>
      <c r="U848" s="372" t="s">
        <v>6063</v>
      </c>
      <c r="V848" s="723">
        <v>3.37</v>
      </c>
      <c r="W848" s="723">
        <v>0.52</v>
      </c>
      <c r="X848" s="723">
        <v>0.2</v>
      </c>
      <c r="Y848" s="723">
        <v>6.16</v>
      </c>
      <c r="Z848" s="382">
        <v>4.9317974672008047E-2</v>
      </c>
      <c r="AA848" s="372">
        <v>5193.2582616</v>
      </c>
      <c r="AB848" s="372">
        <v>6704.5515670000004</v>
      </c>
      <c r="AC848" s="372">
        <v>8048.6139653</v>
      </c>
      <c r="AD848" s="372">
        <v>8916.2859193999993</v>
      </c>
      <c r="AE848" s="372">
        <v>9711</v>
      </c>
      <c r="AF848" s="372">
        <v>10206</v>
      </c>
      <c r="AG848" s="372">
        <v>10809.67</v>
      </c>
      <c r="AH848" s="372">
        <v>0</v>
      </c>
    </row>
    <row r="849" spans="1:34">
      <c r="A849" s="372" t="s">
        <v>6064</v>
      </c>
      <c r="B849" s="373" t="s">
        <v>6065</v>
      </c>
      <c r="C849" s="372" t="s">
        <v>6066</v>
      </c>
      <c r="D849" s="374">
        <v>1701110000935</v>
      </c>
      <c r="E849" s="372" t="s">
        <v>6067</v>
      </c>
      <c r="F849" s="372" t="s">
        <v>5410</v>
      </c>
      <c r="G849" s="375" t="s">
        <v>5411</v>
      </c>
      <c r="H849" s="375" t="s">
        <v>1043</v>
      </c>
      <c r="I849" s="375" t="s">
        <v>754</v>
      </c>
      <c r="J849" s="375">
        <v>314265.42457999999</v>
      </c>
      <c r="K849" s="375">
        <v>3066.09492</v>
      </c>
      <c r="L849" s="375">
        <v>-75.069940000000003</v>
      </c>
      <c r="M849" s="375">
        <v>203108.43721</v>
      </c>
      <c r="N849" s="372">
        <v>0.91300000000000003</v>
      </c>
      <c r="O849" s="704">
        <v>107.35301271152133</v>
      </c>
      <c r="P849" s="375" t="s">
        <v>622</v>
      </c>
      <c r="Q849" s="375" t="s">
        <v>622</v>
      </c>
      <c r="R849" s="696">
        <v>19890926</v>
      </c>
      <c r="S849" s="375" t="s">
        <v>6068</v>
      </c>
      <c r="T849" s="697" t="s">
        <v>771</v>
      </c>
      <c r="U849" s="375" t="s">
        <v>6069</v>
      </c>
      <c r="V849" s="723">
        <v>18.07</v>
      </c>
      <c r="W849" s="723">
        <v>1.01</v>
      </c>
      <c r="X849" s="723">
        <v>0.66</v>
      </c>
      <c r="Y849" s="723">
        <v>1096.26</v>
      </c>
      <c r="Z849" s="382" t="s">
        <v>927</v>
      </c>
      <c r="AA849" s="372">
        <v>2638.5644391000001</v>
      </c>
      <c r="AB849" s="372">
        <v>3104.8461963999998</v>
      </c>
      <c r="AC849" s="372">
        <v>3391.3393132000001</v>
      </c>
      <c r="AD849" s="372">
        <v>3156.4047473000001</v>
      </c>
      <c r="AE849" s="372">
        <v>0</v>
      </c>
      <c r="AF849" s="372">
        <v>0</v>
      </c>
      <c r="AG849" s="372">
        <v>0</v>
      </c>
      <c r="AH849" s="372">
        <v>0</v>
      </c>
    </row>
    <row r="850" spans="1:34">
      <c r="A850" s="372" t="s">
        <v>6070</v>
      </c>
      <c r="B850" s="373" t="s">
        <v>6071</v>
      </c>
      <c r="C850" s="372" t="s">
        <v>6072</v>
      </c>
      <c r="D850" s="374">
        <v>1201110592130</v>
      </c>
      <c r="E850" s="372" t="s">
        <v>6073</v>
      </c>
      <c r="F850" s="375" t="s">
        <v>2426</v>
      </c>
      <c r="G850" s="375" t="s">
        <v>6074</v>
      </c>
      <c r="H850" s="375" t="s">
        <v>861</v>
      </c>
      <c r="I850" s="375" t="s">
        <v>862</v>
      </c>
      <c r="J850" s="375">
        <v>36216.470090000003</v>
      </c>
      <c r="K850" s="375">
        <v>-1778.67832</v>
      </c>
      <c r="L850" s="375">
        <v>-14396.78946</v>
      </c>
      <c r="M850" s="375">
        <v>94814.853799999997</v>
      </c>
      <c r="N850" s="372">
        <v>0.872</v>
      </c>
      <c r="O850" s="704">
        <v>1.9244165446883763</v>
      </c>
      <c r="P850" s="375" t="s">
        <v>622</v>
      </c>
      <c r="Q850" s="375" t="s">
        <v>622</v>
      </c>
      <c r="R850" s="696">
        <v>20220318</v>
      </c>
      <c r="S850" s="375" t="s">
        <v>6075</v>
      </c>
      <c r="T850" s="697" t="s">
        <v>771</v>
      </c>
      <c r="U850" s="372" t="s">
        <v>6076</v>
      </c>
      <c r="V850" s="723">
        <v>0</v>
      </c>
      <c r="W850" s="723">
        <v>0</v>
      </c>
      <c r="X850" s="723">
        <v>0</v>
      </c>
      <c r="Y850" s="723">
        <v>0</v>
      </c>
      <c r="Z850" s="382" t="s">
        <v>927</v>
      </c>
      <c r="AA850" s="372">
        <v>288.08838479999997</v>
      </c>
      <c r="AB850" s="372">
        <v>349.88701759999998</v>
      </c>
      <c r="AC850" s="372">
        <v>384.4504566</v>
      </c>
      <c r="AD850" s="372">
        <v>294.5438671</v>
      </c>
      <c r="AE850" s="372">
        <v>725</v>
      </c>
      <c r="AF850" s="372">
        <v>0</v>
      </c>
      <c r="AG850" s="372">
        <v>0</v>
      </c>
      <c r="AH850" s="372">
        <v>0</v>
      </c>
    </row>
    <row r="851" spans="1:34">
      <c r="A851" s="372" t="s">
        <v>6077</v>
      </c>
      <c r="B851" s="373" t="s">
        <v>6078</v>
      </c>
      <c r="C851" s="372" t="s">
        <v>6079</v>
      </c>
      <c r="D851" s="374">
        <v>1101111874654</v>
      </c>
      <c r="E851" s="372" t="s">
        <v>6080</v>
      </c>
      <c r="F851" s="375" t="s">
        <v>6081</v>
      </c>
      <c r="G851" s="375" t="s">
        <v>6081</v>
      </c>
      <c r="H851" s="375" t="s">
        <v>817</v>
      </c>
      <c r="I851" s="375" t="s">
        <v>754</v>
      </c>
      <c r="J851" s="375">
        <v>1061801.83302</v>
      </c>
      <c r="K851" s="375">
        <v>80266.842770000003</v>
      </c>
      <c r="L851" s="375">
        <v>47233.941460000002</v>
      </c>
      <c r="M851" s="375">
        <v>428293.90604999999</v>
      </c>
      <c r="N851" s="372">
        <v>0.81799999999999995</v>
      </c>
      <c r="O851" s="704">
        <v>546.84787686911477</v>
      </c>
      <c r="P851" s="375" t="s">
        <v>622</v>
      </c>
      <c r="Q851" s="372" t="s">
        <v>622</v>
      </c>
      <c r="R851" s="696">
        <v>20150821</v>
      </c>
      <c r="S851" s="372" t="s">
        <v>6082</v>
      </c>
      <c r="T851" s="697">
        <v>0.23100000000000001</v>
      </c>
      <c r="U851" s="372" t="s">
        <v>6083</v>
      </c>
      <c r="V851" s="723">
        <v>4.91</v>
      </c>
      <c r="W851" s="723">
        <v>0.49</v>
      </c>
      <c r="X851" s="723">
        <v>0.2</v>
      </c>
      <c r="Y851" s="723">
        <v>7.25</v>
      </c>
      <c r="Z851" s="382">
        <v>3.8352428220956858E-2</v>
      </c>
      <c r="AA851" s="372">
        <v>8719.5609315000002</v>
      </c>
      <c r="AB851" s="372">
        <v>9819.4765683000005</v>
      </c>
      <c r="AC851" s="372">
        <v>11936.516659499999</v>
      </c>
      <c r="AD851" s="372">
        <v>10019.7599355</v>
      </c>
      <c r="AE851" s="372">
        <v>10431.4</v>
      </c>
      <c r="AF851" s="372">
        <v>11061.4</v>
      </c>
      <c r="AG851" s="372">
        <v>11647.6</v>
      </c>
      <c r="AH851" s="372">
        <v>0</v>
      </c>
    </row>
    <row r="852" spans="1:34">
      <c r="A852" s="372" t="s">
        <v>6084</v>
      </c>
      <c r="B852" s="373" t="s">
        <v>6085</v>
      </c>
      <c r="C852" s="372" t="s">
        <v>6086</v>
      </c>
      <c r="D852" s="374">
        <v>1101110878706</v>
      </c>
      <c r="E852" s="372" t="s">
        <v>6087</v>
      </c>
      <c r="F852" s="375" t="s">
        <v>1262</v>
      </c>
      <c r="G852" s="375" t="s">
        <v>1263</v>
      </c>
      <c r="H852" s="375" t="s">
        <v>1264</v>
      </c>
      <c r="I852" s="375" t="s">
        <v>754</v>
      </c>
      <c r="J852" s="375">
        <v>220392.05024000001</v>
      </c>
      <c r="K852" s="375">
        <v>-25234.857919999999</v>
      </c>
      <c r="L852" s="375">
        <v>-14687.77392</v>
      </c>
      <c r="M852" s="375">
        <v>798948.73907999997</v>
      </c>
      <c r="N852" s="372">
        <v>0.68</v>
      </c>
      <c r="O852" s="704">
        <v>2470.289512974743</v>
      </c>
      <c r="P852" s="375" t="s">
        <v>622</v>
      </c>
      <c r="Q852" s="375" t="s">
        <v>622</v>
      </c>
      <c r="R852" s="696">
        <v>19961119</v>
      </c>
      <c r="S852" s="375" t="s">
        <v>6088</v>
      </c>
      <c r="T852" s="697" t="s">
        <v>771</v>
      </c>
      <c r="U852" s="372" t="s">
        <v>6089</v>
      </c>
      <c r="V852" s="723">
        <v>0</v>
      </c>
      <c r="W852" s="723">
        <v>0.34</v>
      </c>
      <c r="X852" s="723">
        <v>0.16</v>
      </c>
      <c r="Y852" s="723" t="s">
        <v>773</v>
      </c>
      <c r="Z852" s="382" t="s">
        <v>927</v>
      </c>
      <c r="AA852" s="372">
        <v>2995.8019763000002</v>
      </c>
      <c r="AB852" s="372">
        <v>4290.2685914000003</v>
      </c>
      <c r="AC852" s="372">
        <v>4483.3983344999997</v>
      </c>
      <c r="AD852" s="372">
        <v>2047.6977420000001</v>
      </c>
      <c r="AE852" s="372">
        <v>7960</v>
      </c>
      <c r="AF852" s="372">
        <v>0</v>
      </c>
      <c r="AG852" s="372">
        <v>0</v>
      </c>
      <c r="AH852" s="372">
        <v>0</v>
      </c>
    </row>
    <row r="853" spans="1:34">
      <c r="A853" s="372" t="s">
        <v>6090</v>
      </c>
      <c r="B853" s="373" t="s">
        <v>6091</v>
      </c>
      <c r="C853" s="372" t="s">
        <v>6092</v>
      </c>
      <c r="D853" s="374">
        <v>1341110065636</v>
      </c>
      <c r="E853" s="372" t="s">
        <v>6093</v>
      </c>
      <c r="F853" s="375" t="s">
        <v>2124</v>
      </c>
      <c r="G853" s="375" t="s">
        <v>4231</v>
      </c>
      <c r="H853" s="375" t="s">
        <v>861</v>
      </c>
      <c r="I853" s="375" t="s">
        <v>862</v>
      </c>
      <c r="J853" s="375">
        <v>116448.49625</v>
      </c>
      <c r="K853" s="375">
        <v>13500.20405</v>
      </c>
      <c r="L853" s="375">
        <v>7053.5555299999996</v>
      </c>
      <c r="M853" s="375">
        <v>126551.79728</v>
      </c>
      <c r="N853" s="372">
        <v>0.96199999999999997</v>
      </c>
      <c r="O853" s="704">
        <v>75.301540147734258</v>
      </c>
      <c r="P853" s="375" t="s">
        <v>622</v>
      </c>
      <c r="Q853" s="372" t="s">
        <v>622</v>
      </c>
      <c r="R853" s="696">
        <v>20031029</v>
      </c>
      <c r="S853" s="375" t="s">
        <v>6094</v>
      </c>
      <c r="T853" s="697">
        <v>0.20900000000000002</v>
      </c>
      <c r="U853" s="375" t="s">
        <v>6095</v>
      </c>
      <c r="V853" s="723">
        <v>9.4499999999999993</v>
      </c>
      <c r="W853" s="723">
        <v>0.89</v>
      </c>
      <c r="X853" s="723">
        <v>1</v>
      </c>
      <c r="Y853" s="723">
        <v>12.58</v>
      </c>
      <c r="Z853" s="382">
        <v>8.3556110228004687E-2</v>
      </c>
      <c r="AA853" s="372">
        <v>700.87743980000005</v>
      </c>
      <c r="AB853" s="372">
        <v>950.18598450000002</v>
      </c>
      <c r="AC853" s="372">
        <v>1087.8172990999999</v>
      </c>
      <c r="AD853" s="372">
        <v>1177.3698165000001</v>
      </c>
      <c r="AE853" s="372">
        <v>1250</v>
      </c>
      <c r="AF853" s="372">
        <v>1417</v>
      </c>
      <c r="AG853" s="372">
        <v>1623</v>
      </c>
      <c r="AH853" s="372">
        <v>0</v>
      </c>
    </row>
    <row r="854" spans="1:34">
      <c r="A854" s="372" t="s">
        <v>6096</v>
      </c>
      <c r="B854" s="373" t="s">
        <v>6097</v>
      </c>
      <c r="C854" s="372" t="s">
        <v>15998</v>
      </c>
      <c r="D854" s="374">
        <v>1313110088017</v>
      </c>
      <c r="E854" s="372" t="s">
        <v>6098</v>
      </c>
      <c r="F854" s="375" t="s">
        <v>621</v>
      </c>
      <c r="G854" s="375" t="s">
        <v>621</v>
      </c>
      <c r="H854" s="375" t="s">
        <v>753</v>
      </c>
      <c r="I854" s="375" t="s">
        <v>754</v>
      </c>
      <c r="J854" s="375">
        <v>55803.555529999998</v>
      </c>
      <c r="K854" s="375">
        <v>2411.31934</v>
      </c>
      <c r="L854" s="375">
        <v>1598.62123</v>
      </c>
      <c r="M854" s="375">
        <v>25822.666140000001</v>
      </c>
      <c r="N854" s="372" t="s">
        <v>1026</v>
      </c>
      <c r="O854" s="704">
        <v>2.7258398268104962</v>
      </c>
      <c r="P854" s="375" t="s">
        <v>16115</v>
      </c>
      <c r="Q854" s="372" t="s">
        <v>622</v>
      </c>
      <c r="R854" s="696">
        <v>20090317</v>
      </c>
      <c r="S854" s="372" t="s">
        <v>6099</v>
      </c>
      <c r="T854" s="697">
        <v>0.20900000000000002</v>
      </c>
      <c r="U854" s="372" t="s">
        <v>6100</v>
      </c>
      <c r="V854" s="723">
        <v>69.28</v>
      </c>
      <c r="W854" s="723">
        <v>8.3699999999999992</v>
      </c>
      <c r="X854" s="723">
        <v>3.6</v>
      </c>
      <c r="Y854" s="723">
        <v>142.44999999999999</v>
      </c>
      <c r="Z854" s="382" t="s">
        <v>927</v>
      </c>
      <c r="AA854" s="372">
        <v>204.47824510000001</v>
      </c>
      <c r="AB854" s="372">
        <v>399.46492319999999</v>
      </c>
      <c r="AC854" s="372">
        <v>229.67075800000001</v>
      </c>
      <c r="AD854" s="372">
        <v>239.4736025</v>
      </c>
      <c r="AE854" s="372">
        <v>0</v>
      </c>
      <c r="AF854" s="372">
        <v>0</v>
      </c>
      <c r="AG854" s="372">
        <v>0</v>
      </c>
      <c r="AH854" s="372">
        <v>0</v>
      </c>
    </row>
    <row r="855" spans="1:34">
      <c r="A855" s="372" t="s">
        <v>6101</v>
      </c>
      <c r="B855" s="373" t="s">
        <v>6102</v>
      </c>
      <c r="C855" s="372" t="s">
        <v>15999</v>
      </c>
      <c r="D855" s="374">
        <v>1101116114451</v>
      </c>
      <c r="E855" s="372" t="s">
        <v>6103</v>
      </c>
      <c r="F855" s="375" t="s">
        <v>6364</v>
      </c>
      <c r="G855" s="375" t="s">
        <v>6364</v>
      </c>
      <c r="H855" s="375" t="s">
        <v>1337</v>
      </c>
      <c r="I855" s="375" t="s">
        <v>862</v>
      </c>
      <c r="J855" s="375">
        <v>69061.694499999998</v>
      </c>
      <c r="K855" s="375">
        <v>12621.24699</v>
      </c>
      <c r="L855" s="375">
        <v>14478.441580000001</v>
      </c>
      <c r="M855" s="375">
        <v>68628.691869999995</v>
      </c>
      <c r="N855" s="372" t="s">
        <v>1026</v>
      </c>
      <c r="O855" s="704">
        <v>0.76074652805677612</v>
      </c>
      <c r="P855" s="375" t="s">
        <v>622</v>
      </c>
      <c r="Q855" s="375" t="s">
        <v>622</v>
      </c>
      <c r="R855" s="696">
        <v>20230927</v>
      </c>
      <c r="S855" s="375" t="s">
        <v>6104</v>
      </c>
      <c r="T855" s="697">
        <v>0.20900000000000002</v>
      </c>
      <c r="U855" s="375" t="s">
        <v>6105</v>
      </c>
      <c r="V855" s="723">
        <v>0</v>
      </c>
      <c r="W855" s="723">
        <v>0</v>
      </c>
      <c r="X855" s="723">
        <v>0</v>
      </c>
      <c r="Y855" s="723">
        <v>0</v>
      </c>
      <c r="Z855" s="382" t="s">
        <v>927</v>
      </c>
      <c r="AA855" s="372">
        <v>179.50833209999999</v>
      </c>
      <c r="AB855" s="372">
        <v>288.56986419999998</v>
      </c>
      <c r="AC855" s="372">
        <v>458.29673550000001</v>
      </c>
      <c r="AD855" s="372">
        <v>565.72748960000001</v>
      </c>
      <c r="AE855" s="372">
        <v>700</v>
      </c>
      <c r="AF855" s="372">
        <v>0</v>
      </c>
      <c r="AG855" s="372">
        <v>0</v>
      </c>
      <c r="AH855" s="372">
        <v>0</v>
      </c>
    </row>
    <row r="856" spans="1:34">
      <c r="A856" s="372" t="s">
        <v>6106</v>
      </c>
      <c r="B856" s="373" t="s">
        <v>6107</v>
      </c>
      <c r="C856" s="372" t="s">
        <v>6108</v>
      </c>
      <c r="D856" s="374">
        <v>1301110007608</v>
      </c>
      <c r="E856" s="372" t="s">
        <v>6109</v>
      </c>
      <c r="F856" s="375" t="s">
        <v>893</v>
      </c>
      <c r="G856" s="375" t="s">
        <v>894</v>
      </c>
      <c r="H856" s="375" t="s">
        <v>855</v>
      </c>
      <c r="I856" s="375" t="s">
        <v>754</v>
      </c>
      <c r="J856" s="375">
        <v>1300264.11044</v>
      </c>
      <c r="K856" s="375">
        <v>28879.222659999999</v>
      </c>
      <c r="L856" s="375">
        <v>49521.129829999998</v>
      </c>
      <c r="M856" s="375">
        <v>1500376.6646799999</v>
      </c>
      <c r="N856" s="372">
        <v>0.68500000000000005</v>
      </c>
      <c r="O856" s="704">
        <v>12.538158430567329</v>
      </c>
      <c r="P856" s="375" t="s">
        <v>622</v>
      </c>
      <c r="Q856" s="375" t="s">
        <v>622</v>
      </c>
      <c r="R856" s="696">
        <v>19890126</v>
      </c>
      <c r="S856" s="375" t="s">
        <v>6110</v>
      </c>
      <c r="T856" s="697">
        <v>0.23100000000000001</v>
      </c>
      <c r="U856" s="375" t="s">
        <v>6111</v>
      </c>
      <c r="V856" s="723">
        <v>5.43</v>
      </c>
      <c r="W856" s="723">
        <v>0.36</v>
      </c>
      <c r="X856" s="723">
        <v>0.17</v>
      </c>
      <c r="Y856" s="723">
        <v>14.72</v>
      </c>
      <c r="Z856" s="382" t="s">
        <v>927</v>
      </c>
      <c r="AA856" s="372">
        <v>33.625927599999997</v>
      </c>
      <c r="AB856" s="372">
        <v>13717.088824099999</v>
      </c>
      <c r="AC856" s="372">
        <v>16619.069692100002</v>
      </c>
      <c r="AD856" s="372">
        <v>12792.5657324</v>
      </c>
      <c r="AE856" s="372">
        <v>0</v>
      </c>
      <c r="AF856" s="372">
        <v>0</v>
      </c>
      <c r="AG856" s="372">
        <v>0</v>
      </c>
      <c r="AH856" s="372">
        <v>0</v>
      </c>
    </row>
    <row r="857" spans="1:34">
      <c r="A857" s="372" t="s">
        <v>6112</v>
      </c>
      <c r="B857" s="373" t="s">
        <v>6113</v>
      </c>
      <c r="C857" s="372" t="s">
        <v>6114</v>
      </c>
      <c r="D857" s="374">
        <v>1101110801848</v>
      </c>
      <c r="E857" s="372" t="s">
        <v>6115</v>
      </c>
      <c r="F857" s="375" t="s">
        <v>975</v>
      </c>
      <c r="G857" s="375" t="s">
        <v>976</v>
      </c>
      <c r="H857" s="375" t="s">
        <v>817</v>
      </c>
      <c r="I857" s="375" t="s">
        <v>754</v>
      </c>
      <c r="J857" s="375">
        <v>196108.87104</v>
      </c>
      <c r="K857" s="375">
        <v>6082.1931500000001</v>
      </c>
      <c r="L857" s="375">
        <v>10149.60887</v>
      </c>
      <c r="M857" s="375">
        <v>167532.56121000001</v>
      </c>
      <c r="N857" s="372">
        <v>0.85399999999999998</v>
      </c>
      <c r="O857" s="704">
        <v>4.0455569219219214</v>
      </c>
      <c r="P857" s="375" t="s">
        <v>622</v>
      </c>
      <c r="Q857" s="372" t="s">
        <v>622</v>
      </c>
      <c r="R857" s="696">
        <v>20181123</v>
      </c>
      <c r="S857" s="372" t="s">
        <v>6116</v>
      </c>
      <c r="T857" s="697">
        <v>0.20900000000000002</v>
      </c>
      <c r="U857" s="372" t="s">
        <v>6117</v>
      </c>
      <c r="V857" s="723">
        <v>0</v>
      </c>
      <c r="W857" s="723">
        <v>0</v>
      </c>
      <c r="X857" s="723">
        <v>0</v>
      </c>
      <c r="Y857" s="723">
        <v>0</v>
      </c>
      <c r="Z857" s="382" t="s">
        <v>927</v>
      </c>
      <c r="AA857" s="372">
        <v>1958.5507545999999</v>
      </c>
      <c r="AB857" s="372">
        <v>1747.2267758</v>
      </c>
      <c r="AC857" s="372">
        <v>1813.6595656</v>
      </c>
      <c r="AD857" s="372">
        <v>1883.5392053999999</v>
      </c>
      <c r="AE857" s="372">
        <v>0</v>
      </c>
      <c r="AF857" s="372">
        <v>0</v>
      </c>
      <c r="AG857" s="372">
        <v>0</v>
      </c>
      <c r="AH857" s="372">
        <v>0</v>
      </c>
    </row>
    <row r="858" spans="1:34">
      <c r="A858" s="372" t="s">
        <v>6118</v>
      </c>
      <c r="B858" s="373" t="s">
        <v>6119</v>
      </c>
      <c r="C858" s="372" t="s">
        <v>6120</v>
      </c>
      <c r="D858" s="374">
        <v>1358110154111</v>
      </c>
      <c r="E858" s="372" t="s">
        <v>6121</v>
      </c>
      <c r="F858" s="375" t="s">
        <v>1276</v>
      </c>
      <c r="G858" s="375" t="s">
        <v>1452</v>
      </c>
      <c r="H858" s="375" t="s">
        <v>861</v>
      </c>
      <c r="I858" s="375" t="s">
        <v>862</v>
      </c>
      <c r="J858" s="375">
        <v>380157.94005999999</v>
      </c>
      <c r="K858" s="375">
        <v>9798.9331000000002</v>
      </c>
      <c r="L858" s="375">
        <v>13490.775960000001</v>
      </c>
      <c r="M858" s="375">
        <v>351824.75636</v>
      </c>
      <c r="N858" s="372">
        <v>0.77600000000000002</v>
      </c>
      <c r="O858" s="704">
        <v>6.0760220924561894</v>
      </c>
      <c r="P858" s="375" t="s">
        <v>622</v>
      </c>
      <c r="Q858" s="375" t="s">
        <v>622</v>
      </c>
      <c r="R858" s="696">
        <v>20100910</v>
      </c>
      <c r="S858" s="375" t="s">
        <v>6122</v>
      </c>
      <c r="T858" s="697">
        <v>0.20900000000000002</v>
      </c>
      <c r="U858" s="372" t="s">
        <v>6123</v>
      </c>
      <c r="V858" s="723">
        <v>3.19</v>
      </c>
      <c r="W858" s="723">
        <v>0.5</v>
      </c>
      <c r="X858" s="723">
        <v>0.47</v>
      </c>
      <c r="Y858" s="723">
        <v>26.41</v>
      </c>
      <c r="Z858" s="382">
        <v>3.4421437537255573E-2</v>
      </c>
      <c r="AA858" s="372">
        <v>3350.2861296000001</v>
      </c>
      <c r="AB858" s="372">
        <v>3709.1010191999999</v>
      </c>
      <c r="AC858" s="372">
        <v>3458.8543088000001</v>
      </c>
      <c r="AD858" s="372">
        <v>3697.3628634000002</v>
      </c>
      <c r="AE858" s="372">
        <v>3875</v>
      </c>
      <c r="AF858" s="372">
        <v>4022.33</v>
      </c>
      <c r="AG858" s="372">
        <v>4233.33</v>
      </c>
      <c r="AH858" s="372">
        <v>0</v>
      </c>
    </row>
    <row r="859" spans="1:34">
      <c r="A859" s="372" t="s">
        <v>6124</v>
      </c>
      <c r="B859" s="373" t="s">
        <v>6125</v>
      </c>
      <c r="C859" s="372" t="s">
        <v>6126</v>
      </c>
      <c r="D859" s="374">
        <v>1348110002155</v>
      </c>
      <c r="E859" s="372" t="s">
        <v>6127</v>
      </c>
      <c r="F859" s="375" t="s">
        <v>1282</v>
      </c>
      <c r="G859" s="375" t="s">
        <v>1283</v>
      </c>
      <c r="H859" s="375" t="s">
        <v>861</v>
      </c>
      <c r="I859" s="375" t="s">
        <v>862</v>
      </c>
      <c r="J859" s="375">
        <v>406849.26997999998</v>
      </c>
      <c r="K859" s="375">
        <v>21941.58683</v>
      </c>
      <c r="L859" s="375">
        <v>19657.050200000001</v>
      </c>
      <c r="M859" s="375">
        <v>244130.28690000001</v>
      </c>
      <c r="N859" s="372">
        <v>1.1040000000000001</v>
      </c>
      <c r="O859" s="704">
        <v>57.628364023187828</v>
      </c>
      <c r="P859" s="375" t="s">
        <v>622</v>
      </c>
      <c r="Q859" s="375" t="s">
        <v>622</v>
      </c>
      <c r="R859" s="696">
        <v>20000718</v>
      </c>
      <c r="S859" s="375" t="s">
        <v>6128</v>
      </c>
      <c r="T859" s="697">
        <v>0.20900000000000002</v>
      </c>
      <c r="U859" s="372" t="s">
        <v>6129</v>
      </c>
      <c r="V859" s="723">
        <v>5.71</v>
      </c>
      <c r="W859" s="723">
        <v>0.78</v>
      </c>
      <c r="X859" s="723">
        <v>0.47</v>
      </c>
      <c r="Y859" s="723">
        <v>12.21</v>
      </c>
      <c r="Z859" s="382">
        <v>5.6804879949551967E-2</v>
      </c>
      <c r="AA859" s="372">
        <v>3112.4136398000001</v>
      </c>
      <c r="AB859" s="372">
        <v>4383.2370776999996</v>
      </c>
      <c r="AC859" s="372">
        <v>5410.1404593999996</v>
      </c>
      <c r="AD859" s="372">
        <v>4851.1858494999997</v>
      </c>
      <c r="AE859" s="372">
        <v>3935</v>
      </c>
      <c r="AF859" s="372">
        <v>4045</v>
      </c>
      <c r="AG859" s="372">
        <v>6051</v>
      </c>
      <c r="AH859" s="372">
        <v>0</v>
      </c>
    </row>
    <row r="860" spans="1:34">
      <c r="A860" s="372" t="s">
        <v>6130</v>
      </c>
      <c r="B860" s="373" t="s">
        <v>6131</v>
      </c>
      <c r="C860" s="372" t="s">
        <v>6132</v>
      </c>
      <c r="D860" s="374">
        <v>1615110128011</v>
      </c>
      <c r="E860" s="372" t="s">
        <v>6133</v>
      </c>
      <c r="F860" s="375" t="s">
        <v>3236</v>
      </c>
      <c r="G860" s="375" t="s">
        <v>3236</v>
      </c>
      <c r="H860" s="375" t="s">
        <v>861</v>
      </c>
      <c r="I860" s="375" t="s">
        <v>862</v>
      </c>
      <c r="J860" s="375">
        <v>17354.460599999999</v>
      </c>
      <c r="K860" s="375">
        <v>2493.9715700000002</v>
      </c>
      <c r="L860" s="375">
        <v>3015.5613499999999</v>
      </c>
      <c r="M860" s="375">
        <v>58680.022470000004</v>
      </c>
      <c r="N860" s="372" t="s">
        <v>1026</v>
      </c>
      <c r="O860" s="704">
        <v>19.393201683084079</v>
      </c>
      <c r="P860" s="375" t="s">
        <v>622</v>
      </c>
      <c r="Q860" s="375" t="s">
        <v>622</v>
      </c>
      <c r="R860" s="696">
        <v>20231124</v>
      </c>
      <c r="S860" s="375" t="s">
        <v>6134</v>
      </c>
      <c r="T860" s="697">
        <v>0.20900000000000002</v>
      </c>
      <c r="U860" s="375" t="s">
        <v>6135</v>
      </c>
      <c r="V860" s="723">
        <v>34.61</v>
      </c>
      <c r="W860" s="723">
        <v>2.34</v>
      </c>
      <c r="X860" s="723">
        <v>7.68</v>
      </c>
      <c r="Y860" s="723">
        <v>50.07</v>
      </c>
      <c r="Z860" s="382" t="s">
        <v>927</v>
      </c>
      <c r="AA860" s="372">
        <v>111.11180229999999</v>
      </c>
      <c r="AB860" s="372">
        <v>136.59500879999999</v>
      </c>
      <c r="AC860" s="372">
        <v>250.8470317</v>
      </c>
      <c r="AD860" s="372">
        <v>165.0134305</v>
      </c>
      <c r="AE860" s="372">
        <v>0</v>
      </c>
      <c r="AF860" s="372">
        <v>0</v>
      </c>
      <c r="AG860" s="372">
        <v>0</v>
      </c>
      <c r="AH860" s="372">
        <v>0</v>
      </c>
    </row>
    <row r="861" spans="1:34">
      <c r="A861" s="372" t="s">
        <v>6136</v>
      </c>
      <c r="B861" s="373" t="s">
        <v>6137</v>
      </c>
      <c r="C861" s="372" t="s">
        <v>6138</v>
      </c>
      <c r="D861" s="374">
        <v>1311110496206</v>
      </c>
      <c r="E861" s="372" t="s">
        <v>6139</v>
      </c>
      <c r="F861" s="375" t="s">
        <v>3121</v>
      </c>
      <c r="G861" s="375" t="s">
        <v>3121</v>
      </c>
      <c r="H861" s="375" t="s">
        <v>861</v>
      </c>
      <c r="I861" s="375" t="s">
        <v>862</v>
      </c>
      <c r="J861" s="375">
        <v>5192.2444299999997</v>
      </c>
      <c r="K861" s="375">
        <v>-6802.2324699999999</v>
      </c>
      <c r="L861" s="375">
        <v>-4936.3256600000004</v>
      </c>
      <c r="M861" s="375">
        <v>19102.742289999998</v>
      </c>
      <c r="N861" s="372" t="s">
        <v>1026</v>
      </c>
      <c r="O861" s="704">
        <v>4.4995635137781891</v>
      </c>
      <c r="P861" s="375" t="s">
        <v>622</v>
      </c>
      <c r="Q861" s="372" t="s">
        <v>622</v>
      </c>
      <c r="R861" s="696">
        <v>20230822</v>
      </c>
      <c r="S861" s="372" t="s">
        <v>6140</v>
      </c>
      <c r="T861" s="697" t="s">
        <v>771</v>
      </c>
      <c r="U861" s="372" t="s">
        <v>6141</v>
      </c>
      <c r="V861" s="723" t="s">
        <v>773</v>
      </c>
      <c r="W861" s="723">
        <v>8.4600000000000009</v>
      </c>
      <c r="X861" s="723">
        <v>30.67</v>
      </c>
      <c r="Y861" s="723" t="s">
        <v>773</v>
      </c>
      <c r="Z861" s="382">
        <v>0.71911800426761863</v>
      </c>
      <c r="AA861" s="372">
        <v>46.790623600000004</v>
      </c>
      <c r="AB861" s="372">
        <v>34.853578200000001</v>
      </c>
      <c r="AC861" s="372">
        <v>40.248845299999999</v>
      </c>
      <c r="AD861" s="372">
        <v>40.759349399999998</v>
      </c>
      <c r="AE861" s="372">
        <v>51</v>
      </c>
      <c r="AF861" s="372">
        <v>206</v>
      </c>
      <c r="AG861" s="372">
        <v>356</v>
      </c>
      <c r="AH861" s="372">
        <v>0</v>
      </c>
    </row>
    <row r="862" spans="1:34">
      <c r="A862" s="372" t="s">
        <v>6142</v>
      </c>
      <c r="B862" s="373" t="s">
        <v>6143</v>
      </c>
      <c r="C862" s="372" t="s">
        <v>6144</v>
      </c>
      <c r="D862" s="374">
        <v>1101110041717</v>
      </c>
      <c r="E862" s="372" t="s">
        <v>6145</v>
      </c>
      <c r="F862" s="375" t="s">
        <v>6146</v>
      </c>
      <c r="G862" s="375" t="s">
        <v>6147</v>
      </c>
      <c r="H862" s="375" t="s">
        <v>1539</v>
      </c>
      <c r="I862" s="375" t="s">
        <v>754</v>
      </c>
      <c r="J862" s="375">
        <v>517309.64305999997</v>
      </c>
      <c r="K862" s="375">
        <v>9769.1436699999995</v>
      </c>
      <c r="L862" s="375">
        <v>32227.95795</v>
      </c>
      <c r="M862" s="375">
        <v>904116.84236999997</v>
      </c>
      <c r="N862" s="372">
        <v>0.7</v>
      </c>
      <c r="O862" s="704">
        <v>65.541879613417493</v>
      </c>
      <c r="P862" s="375" t="s">
        <v>622</v>
      </c>
      <c r="Q862" s="375" t="s">
        <v>622</v>
      </c>
      <c r="R862" s="696">
        <v>19730523</v>
      </c>
      <c r="S862" s="375" t="s">
        <v>6148</v>
      </c>
      <c r="T862" s="697">
        <v>0.23100000000000001</v>
      </c>
      <c r="U862" s="372" t="s">
        <v>6149</v>
      </c>
      <c r="V862" s="723">
        <v>5.99</v>
      </c>
      <c r="W862" s="723">
        <v>0.21</v>
      </c>
      <c r="X862" s="723">
        <v>0.37</v>
      </c>
      <c r="Y862" s="723">
        <v>6.56</v>
      </c>
      <c r="Z862" s="382" t="s">
        <v>927</v>
      </c>
      <c r="AA862" s="372">
        <v>4648.7149337999999</v>
      </c>
      <c r="AB862" s="372">
        <v>6010.2858766999998</v>
      </c>
      <c r="AC862" s="372">
        <v>5930.5876840000001</v>
      </c>
      <c r="AD862" s="372">
        <v>5394.0904774999999</v>
      </c>
      <c r="AE862" s="372">
        <v>0</v>
      </c>
      <c r="AF862" s="372">
        <v>0</v>
      </c>
      <c r="AG862" s="372">
        <v>0</v>
      </c>
      <c r="AH862" s="372">
        <v>0</v>
      </c>
    </row>
    <row r="863" spans="1:34">
      <c r="A863" s="372" t="s">
        <v>6150</v>
      </c>
      <c r="B863" s="373" t="s">
        <v>6151</v>
      </c>
      <c r="C863" s="372" t="s">
        <v>6152</v>
      </c>
      <c r="D863" s="374">
        <v>1101110031479</v>
      </c>
      <c r="E863" s="372" t="s">
        <v>6153</v>
      </c>
      <c r="F863" s="375" t="s">
        <v>1743</v>
      </c>
      <c r="G863" s="375" t="s">
        <v>1743</v>
      </c>
      <c r="H863" s="375" t="s">
        <v>846</v>
      </c>
      <c r="I863" s="375" t="s">
        <v>754</v>
      </c>
      <c r="J863" s="375">
        <v>3960774.8313500001</v>
      </c>
      <c r="K863" s="375">
        <v>76115.120980000007</v>
      </c>
      <c r="L863" s="375">
        <v>67076.107980000001</v>
      </c>
      <c r="M863" s="375">
        <v>551839.40700000001</v>
      </c>
      <c r="N863" s="372">
        <v>0.875</v>
      </c>
      <c r="O863" s="704">
        <v>168.48249400007529</v>
      </c>
      <c r="P863" s="375" t="s">
        <v>622</v>
      </c>
      <c r="Q863" s="372" t="s">
        <v>622</v>
      </c>
      <c r="R863" s="696">
        <v>19760626</v>
      </c>
      <c r="S863" s="372" t="s">
        <v>6154</v>
      </c>
      <c r="T863" s="697">
        <v>0.23100000000000001</v>
      </c>
      <c r="U863" s="372" t="s">
        <v>6155</v>
      </c>
      <c r="V863" s="723">
        <v>6.87</v>
      </c>
      <c r="W863" s="723">
        <v>0.62</v>
      </c>
      <c r="X863" s="723">
        <v>0.08</v>
      </c>
      <c r="Y863" s="723">
        <v>7.28</v>
      </c>
      <c r="Z863" s="382" t="s">
        <v>927</v>
      </c>
      <c r="AA863" s="372">
        <v>28150.209794599999</v>
      </c>
      <c r="AB863" s="372">
        <v>38490.405202800001</v>
      </c>
      <c r="AC863" s="372">
        <v>50709.231173499997</v>
      </c>
      <c r="AD863" s="372">
        <v>39164.925667800002</v>
      </c>
      <c r="AE863" s="372">
        <v>39944</v>
      </c>
      <c r="AF863" s="372">
        <v>0</v>
      </c>
      <c r="AG863" s="372">
        <v>0</v>
      </c>
      <c r="AH863" s="372">
        <v>0</v>
      </c>
    </row>
    <row r="864" spans="1:34">
      <c r="A864" s="372" t="s">
        <v>6156</v>
      </c>
      <c r="B864" s="373" t="s">
        <v>6157</v>
      </c>
      <c r="C864" s="372" t="s">
        <v>6158</v>
      </c>
      <c r="D864" s="374">
        <v>1355110144291</v>
      </c>
      <c r="E864" s="372" t="s">
        <v>6159</v>
      </c>
      <c r="F864" s="372" t="s">
        <v>4126</v>
      </c>
      <c r="G864" s="375" t="s">
        <v>6160</v>
      </c>
      <c r="H864" s="375" t="s">
        <v>1043</v>
      </c>
      <c r="I864" s="375" t="s">
        <v>754</v>
      </c>
      <c r="J864" s="375">
        <v>62872.440179999998</v>
      </c>
      <c r="K864" s="375">
        <v>-27930.328119999998</v>
      </c>
      <c r="L864" s="375">
        <v>-2704.6892800000001</v>
      </c>
      <c r="M864" s="375">
        <v>55890.286760000003</v>
      </c>
      <c r="N864" s="372">
        <v>1.768</v>
      </c>
      <c r="O864" s="704">
        <v>55.508249746971849</v>
      </c>
      <c r="P864" s="375" t="s">
        <v>622</v>
      </c>
      <c r="Q864" s="375" t="s">
        <v>622</v>
      </c>
      <c r="R864" s="696">
        <v>20031223</v>
      </c>
      <c r="S864" s="375" t="s">
        <v>6161</v>
      </c>
      <c r="T864" s="697" t="s">
        <v>771</v>
      </c>
      <c r="U864" s="375" t="s">
        <v>6162</v>
      </c>
      <c r="V864" s="723" t="s">
        <v>773</v>
      </c>
      <c r="W864" s="723">
        <v>2.14</v>
      </c>
      <c r="X864" s="723">
        <v>1.95</v>
      </c>
      <c r="Y864" s="723">
        <v>144.07</v>
      </c>
      <c r="Z864" s="382" t="s">
        <v>927</v>
      </c>
      <c r="AA864" s="372">
        <v>274.47157659999999</v>
      </c>
      <c r="AB864" s="372">
        <v>553.95307030000004</v>
      </c>
      <c r="AC864" s="372">
        <v>268.95279579999999</v>
      </c>
      <c r="AD864" s="372">
        <v>448.87669099999999</v>
      </c>
      <c r="AE864" s="372">
        <v>0</v>
      </c>
      <c r="AF864" s="372">
        <v>0</v>
      </c>
      <c r="AG864" s="372">
        <v>0</v>
      </c>
      <c r="AH864" s="372">
        <v>0</v>
      </c>
    </row>
    <row r="865" spans="1:34">
      <c r="A865" s="372" t="s">
        <v>6163</v>
      </c>
      <c r="B865" s="373" t="s">
        <v>6164</v>
      </c>
      <c r="C865" s="372" t="s">
        <v>6165</v>
      </c>
      <c r="D865" s="374">
        <v>1101110112328</v>
      </c>
      <c r="E865" s="372" t="s">
        <v>6166</v>
      </c>
      <c r="F865" s="375" t="s">
        <v>6167</v>
      </c>
      <c r="G865" s="375" t="s">
        <v>6168</v>
      </c>
      <c r="H865" s="375">
        <v>0</v>
      </c>
      <c r="I865" s="375" t="s">
        <v>754</v>
      </c>
      <c r="J865" s="375">
        <v>647827.45947999996</v>
      </c>
      <c r="K865" s="375">
        <v>2166.1001900000001</v>
      </c>
      <c r="L865" s="375">
        <v>54346.559029999997</v>
      </c>
      <c r="M865" s="375">
        <v>698320.73551999999</v>
      </c>
      <c r="N865" s="372">
        <v>0.41699999999999998</v>
      </c>
      <c r="O865" s="704">
        <v>98.297984109504043</v>
      </c>
      <c r="P865" s="375" t="s">
        <v>622</v>
      </c>
      <c r="Q865" s="375" t="s">
        <v>622</v>
      </c>
      <c r="R865" s="696">
        <v>19890725</v>
      </c>
      <c r="S865" s="375" t="s">
        <v>6169</v>
      </c>
      <c r="T865" s="697">
        <v>0.23100000000000001</v>
      </c>
      <c r="U865" s="375" t="s">
        <v>6170</v>
      </c>
      <c r="V865" s="723">
        <v>29.67</v>
      </c>
      <c r="W865" s="723">
        <v>0.55000000000000004</v>
      </c>
      <c r="X865" s="723">
        <v>0.5</v>
      </c>
      <c r="Y865" s="723">
        <v>8.9600000000000009</v>
      </c>
      <c r="Z865" s="382" t="s">
        <v>927</v>
      </c>
      <c r="AA865" s="372">
        <v>6219.2741994999997</v>
      </c>
      <c r="AB865" s="372">
        <v>5903.9376417000003</v>
      </c>
      <c r="AC865" s="372">
        <v>6609.8631874000002</v>
      </c>
      <c r="AD865" s="372">
        <v>6322.4027562000001</v>
      </c>
      <c r="AE865" s="372">
        <v>0</v>
      </c>
      <c r="AF865" s="372">
        <v>0</v>
      </c>
      <c r="AG865" s="372">
        <v>0</v>
      </c>
      <c r="AH865" s="372">
        <v>0</v>
      </c>
    </row>
    <row r="866" spans="1:34">
      <c r="A866" s="372" t="s">
        <v>6171</v>
      </c>
      <c r="B866" s="373" t="s">
        <v>6172</v>
      </c>
      <c r="C866" s="372" t="s">
        <v>6173</v>
      </c>
      <c r="D866" s="374">
        <v>1101110029721</v>
      </c>
      <c r="E866" s="372" t="s">
        <v>6174</v>
      </c>
      <c r="F866" s="375" t="s">
        <v>893</v>
      </c>
      <c r="G866" s="375" t="s">
        <v>894</v>
      </c>
      <c r="H866" s="375" t="s">
        <v>855</v>
      </c>
      <c r="I866" s="375" t="s">
        <v>754</v>
      </c>
      <c r="J866" s="375">
        <v>4606470.6445000004</v>
      </c>
      <c r="K866" s="375">
        <v>227439.11610000001</v>
      </c>
      <c r="L866" s="375">
        <v>122713.13628000001</v>
      </c>
      <c r="M866" s="375">
        <v>1324913.93622</v>
      </c>
      <c r="N866" s="372">
        <v>0.66500000000000004</v>
      </c>
      <c r="O866" s="704">
        <v>1538.1539094806292</v>
      </c>
      <c r="P866" s="375" t="s">
        <v>622</v>
      </c>
      <c r="Q866" s="372" t="s">
        <v>622</v>
      </c>
      <c r="R866" s="696">
        <v>19990811</v>
      </c>
      <c r="S866" s="372" t="s">
        <v>2638</v>
      </c>
      <c r="T866" s="697">
        <v>0.23100000000000001</v>
      </c>
      <c r="U866" s="372" t="s">
        <v>6175</v>
      </c>
      <c r="V866" s="723">
        <v>5.88</v>
      </c>
      <c r="W866" s="723">
        <v>0.28999999999999998</v>
      </c>
      <c r="X866" s="723">
        <v>0.04</v>
      </c>
      <c r="Y866" s="723">
        <v>12.6</v>
      </c>
      <c r="Z866" s="382" t="s">
        <v>927</v>
      </c>
      <c r="AA866" s="372">
        <v>26199.772182500001</v>
      </c>
      <c r="AB866" s="372">
        <v>31676.9965209</v>
      </c>
      <c r="AC866" s="372">
        <v>37879.598553299998</v>
      </c>
      <c r="AD866" s="372">
        <v>44796.601416199999</v>
      </c>
      <c r="AE866" s="372">
        <v>0</v>
      </c>
      <c r="AF866" s="372">
        <v>0</v>
      </c>
      <c r="AG866" s="372">
        <v>0</v>
      </c>
      <c r="AH866" s="372">
        <v>0</v>
      </c>
    </row>
    <row r="867" spans="1:34">
      <c r="A867" s="372" t="s">
        <v>6176</v>
      </c>
      <c r="B867" s="373" t="s">
        <v>6177</v>
      </c>
      <c r="C867" s="372" t="s">
        <v>6178</v>
      </c>
      <c r="D867" s="374">
        <v>1311110230307</v>
      </c>
      <c r="E867" s="372" t="s">
        <v>6179</v>
      </c>
      <c r="F867" s="375" t="s">
        <v>2184</v>
      </c>
      <c r="G867" s="375" t="s">
        <v>6180</v>
      </c>
      <c r="H867" s="375" t="s">
        <v>861</v>
      </c>
      <c r="I867" s="375" t="s">
        <v>862</v>
      </c>
      <c r="J867" s="375">
        <v>27786.154760000001</v>
      </c>
      <c r="K867" s="375">
        <v>-1308.7193</v>
      </c>
      <c r="L867" s="375">
        <v>-681.88991999999996</v>
      </c>
      <c r="M867" s="375">
        <v>49602.411090000001</v>
      </c>
      <c r="N867" s="372">
        <v>1.016</v>
      </c>
      <c r="O867" s="704">
        <v>0.46092617361102889</v>
      </c>
      <c r="P867" s="375" t="s">
        <v>622</v>
      </c>
      <c r="Q867" s="372" t="s">
        <v>622</v>
      </c>
      <c r="R867" s="696">
        <v>20220223</v>
      </c>
      <c r="S867" s="372" t="s">
        <v>6181</v>
      </c>
      <c r="T867" s="697" t="s">
        <v>771</v>
      </c>
      <c r="U867" s="372" t="s">
        <v>6182</v>
      </c>
      <c r="V867" s="723">
        <v>0</v>
      </c>
      <c r="W867" s="723">
        <v>0</v>
      </c>
      <c r="X867" s="723">
        <v>0</v>
      </c>
      <c r="Y867" s="723">
        <v>0</v>
      </c>
      <c r="Z867" s="382" t="s">
        <v>927</v>
      </c>
      <c r="AA867" s="372">
        <v>150.8163811</v>
      </c>
      <c r="AB867" s="372">
        <v>221.7195562</v>
      </c>
      <c r="AC867" s="372">
        <v>269.04546549999998</v>
      </c>
      <c r="AD867" s="372">
        <v>465.46986729999998</v>
      </c>
      <c r="AE867" s="372">
        <v>0</v>
      </c>
      <c r="AF867" s="372">
        <v>0</v>
      </c>
      <c r="AG867" s="372">
        <v>0</v>
      </c>
      <c r="AH867" s="372">
        <v>0</v>
      </c>
    </row>
    <row r="868" spans="1:34">
      <c r="A868" s="372" t="s">
        <v>6183</v>
      </c>
      <c r="B868" s="373" t="s">
        <v>6184</v>
      </c>
      <c r="C868" s="372" t="s">
        <v>6185</v>
      </c>
      <c r="D868" s="374">
        <v>1101117616620</v>
      </c>
      <c r="E868" s="372" t="s">
        <v>6186</v>
      </c>
      <c r="F868" s="375" t="s">
        <v>3236</v>
      </c>
      <c r="G868" s="375" t="s">
        <v>3236</v>
      </c>
      <c r="H868" s="375" t="s">
        <v>861</v>
      </c>
      <c r="I868" s="375" t="s">
        <v>862</v>
      </c>
      <c r="J868" s="375">
        <v>5172.2863100000004</v>
      </c>
      <c r="K868" s="375">
        <v>-11942.54009</v>
      </c>
      <c r="L868" s="375">
        <v>-12956.75778</v>
      </c>
      <c r="M868" s="375">
        <v>9265.7077000000008</v>
      </c>
      <c r="N868" s="372">
        <v>1.278</v>
      </c>
      <c r="O868" s="704">
        <v>6.3854439356054042</v>
      </c>
      <c r="P868" s="375" t="s">
        <v>622</v>
      </c>
      <c r="Q868" s="375" t="s">
        <v>622</v>
      </c>
      <c r="R868" s="696">
        <v>20201221</v>
      </c>
      <c r="S868" s="375" t="s">
        <v>6187</v>
      </c>
      <c r="T868" s="697" t="s">
        <v>771</v>
      </c>
      <c r="U868" s="375" t="s">
        <v>6188</v>
      </c>
      <c r="V868" s="723">
        <v>0</v>
      </c>
      <c r="W868" s="723">
        <v>0</v>
      </c>
      <c r="X868" s="723">
        <v>0</v>
      </c>
      <c r="Y868" s="723">
        <v>0</v>
      </c>
      <c r="Z868" s="382" t="s">
        <v>927</v>
      </c>
      <c r="AA868" s="372">
        <v>14.703639799999999</v>
      </c>
      <c r="AB868" s="372">
        <v>133.0888697</v>
      </c>
      <c r="AC868" s="372">
        <v>181.45498839999999</v>
      </c>
      <c r="AD868" s="372">
        <v>104.83522720000001</v>
      </c>
      <c r="AE868" s="372">
        <v>0</v>
      </c>
      <c r="AF868" s="372">
        <v>0</v>
      </c>
      <c r="AG868" s="372">
        <v>0</v>
      </c>
      <c r="AH868" s="372">
        <v>0</v>
      </c>
    </row>
    <row r="869" spans="1:34">
      <c r="A869" s="372" t="s">
        <v>6189</v>
      </c>
      <c r="B869" s="373" t="s">
        <v>6190</v>
      </c>
      <c r="C869" s="372" t="s">
        <v>6191</v>
      </c>
      <c r="D869" s="374">
        <v>1355110106027</v>
      </c>
      <c r="E869" s="372" t="s">
        <v>6192</v>
      </c>
      <c r="F869" s="375" t="s">
        <v>3451</v>
      </c>
      <c r="G869" s="375" t="s">
        <v>3451</v>
      </c>
      <c r="H869" s="375" t="s">
        <v>3099</v>
      </c>
      <c r="I869" s="375" t="s">
        <v>862</v>
      </c>
      <c r="J869" s="375">
        <v>398413.35200000001</v>
      </c>
      <c r="K869" s="375">
        <v>33886.238129999998</v>
      </c>
      <c r="L869" s="375">
        <v>12737</v>
      </c>
      <c r="M869" s="375">
        <v>381479.05706000002</v>
      </c>
      <c r="N869" s="372">
        <v>0.71199999999999997</v>
      </c>
      <c r="O869" s="704">
        <v>320.28582177542978</v>
      </c>
      <c r="P869" s="375" t="s">
        <v>622</v>
      </c>
      <c r="Q869" s="375" t="s">
        <v>622</v>
      </c>
      <c r="R869" s="696">
        <v>20051206</v>
      </c>
      <c r="S869" s="375" t="s">
        <v>6193</v>
      </c>
      <c r="T869" s="697">
        <v>0.20900000000000002</v>
      </c>
      <c r="U869" s="372" t="s">
        <v>6194</v>
      </c>
      <c r="V869" s="723">
        <v>9.86</v>
      </c>
      <c r="W869" s="723">
        <v>0.43</v>
      </c>
      <c r="X869" s="723">
        <v>0.39</v>
      </c>
      <c r="Y869" s="723">
        <v>27.67</v>
      </c>
      <c r="Z869" s="382" t="s">
        <v>927</v>
      </c>
      <c r="AA869" s="372">
        <v>4121.9597709</v>
      </c>
      <c r="AB869" s="372">
        <v>3995.0095468</v>
      </c>
      <c r="AC869" s="372">
        <v>4112.8801498000003</v>
      </c>
      <c r="AD869" s="372">
        <v>3900.3388457999999</v>
      </c>
      <c r="AE869" s="372">
        <v>0</v>
      </c>
      <c r="AF869" s="372">
        <v>0</v>
      </c>
      <c r="AG869" s="372">
        <v>0</v>
      </c>
      <c r="AH869" s="372">
        <v>0</v>
      </c>
    </row>
    <row r="870" spans="1:34">
      <c r="A870" s="372" t="s">
        <v>6195</v>
      </c>
      <c r="B870" s="373" t="s">
        <v>6196</v>
      </c>
      <c r="C870" s="372" t="s">
        <v>6197</v>
      </c>
      <c r="D870" s="374">
        <v>1501110075164</v>
      </c>
      <c r="E870" s="372" t="s">
        <v>6198</v>
      </c>
      <c r="F870" s="375" t="s">
        <v>769</v>
      </c>
      <c r="G870" s="375" t="s">
        <v>769</v>
      </c>
      <c r="H870" s="375" t="s">
        <v>861</v>
      </c>
      <c r="I870" s="375" t="s">
        <v>862</v>
      </c>
      <c r="J870" s="375">
        <v>38258.990279999998</v>
      </c>
      <c r="K870" s="375">
        <v>-8954.3664599999993</v>
      </c>
      <c r="L870" s="375">
        <v>-11510.499879999999</v>
      </c>
      <c r="M870" s="375">
        <v>104325.57004000001</v>
      </c>
      <c r="N870" s="372" t="s">
        <v>1026</v>
      </c>
      <c r="O870" s="704">
        <v>128.62238970487007</v>
      </c>
      <c r="P870" s="375" t="s">
        <v>622</v>
      </c>
      <c r="Q870" s="372" t="s">
        <v>622</v>
      </c>
      <c r="R870" s="696">
        <v>20230727</v>
      </c>
      <c r="S870" s="375" t="s">
        <v>6199</v>
      </c>
      <c r="T870" s="697" t="s">
        <v>771</v>
      </c>
      <c r="U870" s="375" t="s">
        <v>6200</v>
      </c>
      <c r="V870" s="723">
        <v>15.74</v>
      </c>
      <c r="W870" s="723">
        <v>0.84</v>
      </c>
      <c r="X870" s="723">
        <v>2.3199999999999998</v>
      </c>
      <c r="Y870" s="723" t="s">
        <v>773</v>
      </c>
      <c r="Z870" s="382">
        <v>0.13485925835614587</v>
      </c>
      <c r="AA870" s="372">
        <v>306.99181670000002</v>
      </c>
      <c r="AB870" s="372">
        <v>418.41806889999998</v>
      </c>
      <c r="AC870" s="372">
        <v>443.1885436</v>
      </c>
      <c r="AD870" s="372">
        <v>476.87929120000001</v>
      </c>
      <c r="AE870" s="372">
        <v>602</v>
      </c>
      <c r="AF870" s="372">
        <v>671</v>
      </c>
      <c r="AG870" s="372">
        <v>791</v>
      </c>
      <c r="AH870" s="372">
        <v>0</v>
      </c>
    </row>
    <row r="871" spans="1:34">
      <c r="A871" s="372" t="s">
        <v>6201</v>
      </c>
      <c r="B871" s="373" t="s">
        <v>6202</v>
      </c>
      <c r="C871" s="372" t="s">
        <v>6203</v>
      </c>
      <c r="D871" s="374">
        <v>1601110072738</v>
      </c>
      <c r="E871" s="372" t="s">
        <v>6204</v>
      </c>
      <c r="F871" s="375" t="s">
        <v>1276</v>
      </c>
      <c r="G871" s="375" t="s">
        <v>1452</v>
      </c>
      <c r="H871" s="375" t="s">
        <v>861</v>
      </c>
      <c r="I871" s="375" t="s">
        <v>862</v>
      </c>
      <c r="J871" s="375">
        <v>121742.39649</v>
      </c>
      <c r="K871" s="375">
        <v>13590.11464</v>
      </c>
      <c r="L871" s="375">
        <v>14458.3922</v>
      </c>
      <c r="M871" s="375">
        <v>98004.441560000007</v>
      </c>
      <c r="N871" s="372">
        <v>1.163</v>
      </c>
      <c r="O871" s="704">
        <v>1.6114120168869439</v>
      </c>
      <c r="P871" s="375" t="s">
        <v>622</v>
      </c>
      <c r="Q871" s="375" t="s">
        <v>622</v>
      </c>
      <c r="R871" s="696">
        <v>20150730</v>
      </c>
      <c r="S871" s="375" t="s">
        <v>6205</v>
      </c>
      <c r="T871" s="697">
        <v>0.20900000000000002</v>
      </c>
      <c r="U871" s="372" t="s">
        <v>6206</v>
      </c>
      <c r="V871" s="723">
        <v>0</v>
      </c>
      <c r="W871" s="723">
        <v>0</v>
      </c>
      <c r="X871" s="723">
        <v>0</v>
      </c>
      <c r="Y871" s="723">
        <v>0</v>
      </c>
      <c r="Z871" s="382" t="s">
        <v>927</v>
      </c>
      <c r="AA871" s="372">
        <v>665.32479369999999</v>
      </c>
      <c r="AB871" s="372">
        <v>797.23131599999999</v>
      </c>
      <c r="AC871" s="372">
        <v>838.45591809999996</v>
      </c>
      <c r="AD871" s="372">
        <v>1215.3920545000001</v>
      </c>
      <c r="AE871" s="372">
        <v>0</v>
      </c>
      <c r="AF871" s="372">
        <v>0</v>
      </c>
      <c r="AG871" s="372">
        <v>0</v>
      </c>
      <c r="AH871" s="372">
        <v>0</v>
      </c>
    </row>
    <row r="872" spans="1:34">
      <c r="A872" s="372" t="s">
        <v>6207</v>
      </c>
      <c r="B872" s="373" t="s">
        <v>6208</v>
      </c>
      <c r="C872" s="372" t="s">
        <v>6209</v>
      </c>
      <c r="D872" s="374">
        <v>1101113841627</v>
      </c>
      <c r="E872" s="372" t="s">
        <v>6210</v>
      </c>
      <c r="F872" s="375" t="s">
        <v>1370</v>
      </c>
      <c r="G872" s="375" t="s">
        <v>1370</v>
      </c>
      <c r="H872" s="375" t="s">
        <v>861</v>
      </c>
      <c r="I872" s="375" t="s">
        <v>862</v>
      </c>
      <c r="J872" s="375">
        <v>9281.9745700000003</v>
      </c>
      <c r="K872" s="375">
        <v>-8704.9422400000003</v>
      </c>
      <c r="L872" s="375">
        <v>-8063.6400700000004</v>
      </c>
      <c r="M872" s="375">
        <v>21595.53527</v>
      </c>
      <c r="N872" s="372">
        <v>1.1120000000000001</v>
      </c>
      <c r="O872" s="704">
        <v>5.0408955976016232</v>
      </c>
      <c r="P872" s="375" t="s">
        <v>622</v>
      </c>
      <c r="Q872" s="375" t="s">
        <v>622</v>
      </c>
      <c r="R872" s="696">
        <v>20210817</v>
      </c>
      <c r="S872" s="375" t="s">
        <v>6211</v>
      </c>
      <c r="T872" s="697" t="s">
        <v>771</v>
      </c>
      <c r="U872" s="372" t="s">
        <v>6212</v>
      </c>
      <c r="V872" s="723">
        <v>0</v>
      </c>
      <c r="W872" s="723">
        <v>0</v>
      </c>
      <c r="X872" s="723">
        <v>0</v>
      </c>
      <c r="Y872" s="723">
        <v>0</v>
      </c>
      <c r="Z872" s="382" t="s">
        <v>927</v>
      </c>
      <c r="AA872" s="372">
        <v>10.399446599999999</v>
      </c>
      <c r="AB872" s="372">
        <v>9.4367049000000005</v>
      </c>
      <c r="AC872" s="372">
        <v>31.8154854</v>
      </c>
      <c r="AD872" s="372">
        <v>19.330658499999998</v>
      </c>
      <c r="AE872" s="372">
        <v>0</v>
      </c>
      <c r="AF872" s="372">
        <v>0</v>
      </c>
      <c r="AG872" s="372">
        <v>0</v>
      </c>
      <c r="AH872" s="372">
        <v>0</v>
      </c>
    </row>
    <row r="873" spans="1:34">
      <c r="A873" s="372" t="s">
        <v>6213</v>
      </c>
      <c r="B873" s="373" t="s">
        <v>6214</v>
      </c>
      <c r="C873" s="372" t="s">
        <v>6215</v>
      </c>
      <c r="D873" s="374">
        <v>1101110016728</v>
      </c>
      <c r="E873" s="372" t="s">
        <v>6216</v>
      </c>
      <c r="F873" s="375" t="s">
        <v>958</v>
      </c>
      <c r="G873" s="375" t="s">
        <v>959</v>
      </c>
      <c r="H873" s="375" t="s">
        <v>933</v>
      </c>
      <c r="I873" s="375" t="s">
        <v>754</v>
      </c>
      <c r="J873" s="375">
        <v>2524928</v>
      </c>
      <c r="K873" s="375">
        <v>457451</v>
      </c>
      <c r="L873" s="375">
        <v>456647</v>
      </c>
      <c r="M873" s="375">
        <v>931787</v>
      </c>
      <c r="N873" s="372">
        <v>1.0049999999999999</v>
      </c>
      <c r="O873" s="704">
        <v>190.22274645033716</v>
      </c>
      <c r="P873" s="375" t="s">
        <v>622</v>
      </c>
      <c r="Q873" s="375" t="s">
        <v>622</v>
      </c>
      <c r="R873" s="696">
        <v>19741205</v>
      </c>
      <c r="S873" s="375" t="s">
        <v>3471</v>
      </c>
      <c r="T873" s="697">
        <v>0.26400000000000001</v>
      </c>
      <c r="U873" s="372" t="s">
        <v>6217</v>
      </c>
      <c r="V873" s="723">
        <v>0</v>
      </c>
      <c r="W873" s="723">
        <v>0</v>
      </c>
      <c r="X873" s="723">
        <v>0</v>
      </c>
      <c r="Y873" s="723">
        <v>0</v>
      </c>
      <c r="Z873" s="382" t="s">
        <v>927</v>
      </c>
      <c r="AA873" s="372">
        <v>32046.98</v>
      </c>
      <c r="AB873" s="372">
        <v>32266.639999999999</v>
      </c>
      <c r="AC873" s="372">
        <v>24754.62</v>
      </c>
      <c r="AD873" s="372">
        <v>25254.38</v>
      </c>
      <c r="AE873" s="372">
        <v>0</v>
      </c>
      <c r="AF873" s="372">
        <v>0</v>
      </c>
      <c r="AG873" s="372">
        <v>0</v>
      </c>
      <c r="AH873" s="372">
        <v>0</v>
      </c>
    </row>
    <row r="874" spans="1:34">
      <c r="A874" s="372" t="s">
        <v>6218</v>
      </c>
      <c r="B874" s="373" t="s">
        <v>6219</v>
      </c>
      <c r="C874" s="372" t="s">
        <v>6220</v>
      </c>
      <c r="D874" s="374">
        <v>1101111960792</v>
      </c>
      <c r="E874" s="372" t="s">
        <v>6221</v>
      </c>
      <c r="F874" s="375" t="s">
        <v>6222</v>
      </c>
      <c r="G874" s="375" t="s">
        <v>6222</v>
      </c>
      <c r="H874" s="375" t="s">
        <v>1337</v>
      </c>
      <c r="I874" s="375" t="s">
        <v>862</v>
      </c>
      <c r="J874" s="375">
        <v>354038.48596000002</v>
      </c>
      <c r="K874" s="375">
        <v>40347.279280000002</v>
      </c>
      <c r="L874" s="375">
        <v>44137.934789999999</v>
      </c>
      <c r="M874" s="375">
        <v>210646.72969000001</v>
      </c>
      <c r="N874" s="372">
        <v>0.59799999999999998</v>
      </c>
      <c r="O874" s="704">
        <v>22.605890847959117</v>
      </c>
      <c r="P874" s="375" t="s">
        <v>622</v>
      </c>
      <c r="Q874" s="372" t="s">
        <v>622</v>
      </c>
      <c r="R874" s="696">
        <v>20061116</v>
      </c>
      <c r="S874" s="372" t="s">
        <v>6223</v>
      </c>
      <c r="T874" s="697">
        <v>0.23100000000000001</v>
      </c>
      <c r="U874" s="372" t="s">
        <v>6224</v>
      </c>
      <c r="V874" s="723">
        <v>3.2</v>
      </c>
      <c r="W874" s="723">
        <v>0.87</v>
      </c>
      <c r="X874" s="723">
        <v>0.51</v>
      </c>
      <c r="Y874" s="723">
        <v>5.72</v>
      </c>
      <c r="Z874" s="382" t="s">
        <v>927</v>
      </c>
      <c r="AA874" s="372">
        <v>2600.1856508999999</v>
      </c>
      <c r="AB874" s="372">
        <v>3082.8159145</v>
      </c>
      <c r="AC874" s="372">
        <v>3574.8684790000002</v>
      </c>
      <c r="AD874" s="372">
        <v>3585.9825142</v>
      </c>
      <c r="AE874" s="372">
        <v>0</v>
      </c>
      <c r="AF874" s="372">
        <v>0</v>
      </c>
      <c r="AG874" s="372">
        <v>0</v>
      </c>
      <c r="AH874" s="372">
        <v>0</v>
      </c>
    </row>
    <row r="875" spans="1:34">
      <c r="A875" s="372" t="s">
        <v>6225</v>
      </c>
      <c r="B875" s="373" t="s">
        <v>6226</v>
      </c>
      <c r="C875" s="372" t="s">
        <v>6227</v>
      </c>
      <c r="D875" s="374">
        <v>1348110016007</v>
      </c>
      <c r="E875" s="372" t="s">
        <v>6228</v>
      </c>
      <c r="F875" s="375" t="s">
        <v>16100</v>
      </c>
      <c r="G875" s="375" t="s">
        <v>16103</v>
      </c>
      <c r="H875" s="375" t="s">
        <v>861</v>
      </c>
      <c r="I875" s="375" t="s">
        <v>862</v>
      </c>
      <c r="J875" s="375">
        <v>273162.45698999998</v>
      </c>
      <c r="K875" s="375">
        <v>6457.6537399999997</v>
      </c>
      <c r="L875" s="375">
        <v>5264.4864600000001</v>
      </c>
      <c r="M875" s="375">
        <v>148971.60404000001</v>
      </c>
      <c r="N875" s="372">
        <v>1.113</v>
      </c>
      <c r="O875" s="704">
        <v>84.910116967629264</v>
      </c>
      <c r="P875" s="375" t="s">
        <v>622</v>
      </c>
      <c r="Q875" s="372" t="s">
        <v>622</v>
      </c>
      <c r="R875" s="696">
        <v>20070523</v>
      </c>
      <c r="S875" s="372" t="s">
        <v>6229</v>
      </c>
      <c r="T875" s="697">
        <v>0.20900000000000002</v>
      </c>
      <c r="U875" s="372" t="s">
        <v>6230</v>
      </c>
      <c r="V875" s="723">
        <v>9.5399999999999991</v>
      </c>
      <c r="W875" s="723">
        <v>1.05</v>
      </c>
      <c r="X875" s="723">
        <v>0.57999999999999996</v>
      </c>
      <c r="Y875" s="723">
        <v>31.19</v>
      </c>
      <c r="Z875" s="382" t="s">
        <v>927</v>
      </c>
      <c r="AA875" s="372">
        <v>1517.1332176999999</v>
      </c>
      <c r="AB875" s="372">
        <v>1975.0916704000001</v>
      </c>
      <c r="AC875" s="372">
        <v>2908.1112668000001</v>
      </c>
      <c r="AD875" s="372">
        <v>3016.3571874999998</v>
      </c>
      <c r="AE875" s="372">
        <v>4544</v>
      </c>
      <c r="AF875" s="372">
        <v>0</v>
      </c>
      <c r="AG875" s="372">
        <v>0</v>
      </c>
      <c r="AH875" s="372">
        <v>0</v>
      </c>
    </row>
    <row r="876" spans="1:34">
      <c r="A876" s="372" t="s">
        <v>6231</v>
      </c>
      <c r="B876" s="373" t="s">
        <v>6232</v>
      </c>
      <c r="C876" s="372" t="s">
        <v>6233</v>
      </c>
      <c r="D876" s="374">
        <v>1801110019843</v>
      </c>
      <c r="E876" s="372" t="s">
        <v>6234</v>
      </c>
      <c r="F876" s="375" t="s">
        <v>6235</v>
      </c>
      <c r="G876" s="375" t="s">
        <v>6236</v>
      </c>
      <c r="H876" s="375" t="s">
        <v>1386</v>
      </c>
      <c r="I876" s="375" t="s">
        <v>754</v>
      </c>
      <c r="J876" s="375">
        <v>373159.06138999999</v>
      </c>
      <c r="K876" s="375">
        <v>7205.6084099999998</v>
      </c>
      <c r="L876" s="375">
        <v>11516.85168</v>
      </c>
      <c r="M876" s="375">
        <v>221459.31154</v>
      </c>
      <c r="N876" s="372">
        <v>0.82399999999999995</v>
      </c>
      <c r="O876" s="704">
        <v>39.861428543416075</v>
      </c>
      <c r="P876" s="375" t="s">
        <v>622</v>
      </c>
      <c r="Q876" s="375" t="s">
        <v>622</v>
      </c>
      <c r="R876" s="696">
        <v>20090612</v>
      </c>
      <c r="S876" s="375" t="s">
        <v>6237</v>
      </c>
      <c r="T876" s="697">
        <v>0.20900000000000002</v>
      </c>
      <c r="U876" s="375" t="s">
        <v>6238</v>
      </c>
      <c r="V876" s="723">
        <v>6.51</v>
      </c>
      <c r="W876" s="723">
        <v>0.75</v>
      </c>
      <c r="X876" s="723">
        <v>0.47</v>
      </c>
      <c r="Y876" s="723">
        <v>17.66</v>
      </c>
      <c r="Z876" s="382" t="s">
        <v>927</v>
      </c>
      <c r="AA876" s="372">
        <v>3146.4774650999998</v>
      </c>
      <c r="AB876" s="372">
        <v>2894.8237672</v>
      </c>
      <c r="AC876" s="372">
        <v>2662.8278028</v>
      </c>
      <c r="AD876" s="372">
        <v>3449.6413149</v>
      </c>
      <c r="AE876" s="372">
        <v>0</v>
      </c>
      <c r="AF876" s="372">
        <v>0</v>
      </c>
      <c r="AG876" s="372">
        <v>0</v>
      </c>
      <c r="AH876" s="372">
        <v>0</v>
      </c>
    </row>
    <row r="877" spans="1:34">
      <c r="A877" s="372" t="s">
        <v>6239</v>
      </c>
      <c r="B877" s="373" t="s">
        <v>6240</v>
      </c>
      <c r="C877" s="372" t="s">
        <v>6241</v>
      </c>
      <c r="D877" s="374">
        <v>1101110030528</v>
      </c>
      <c r="E877" s="372" t="s">
        <v>6242</v>
      </c>
      <c r="F877" s="375" t="s">
        <v>893</v>
      </c>
      <c r="G877" s="375" t="s">
        <v>894</v>
      </c>
      <c r="H877" s="375" t="s">
        <v>855</v>
      </c>
      <c r="I877" s="375" t="s">
        <v>754</v>
      </c>
      <c r="J877" s="375">
        <v>6096437.3125299998</v>
      </c>
      <c r="K877" s="375">
        <v>3238.0219900000002</v>
      </c>
      <c r="L877" s="375">
        <v>126175.22403</v>
      </c>
      <c r="M877" s="375">
        <v>1630803.5358599999</v>
      </c>
      <c r="N877" s="372">
        <v>0.92700000000000005</v>
      </c>
      <c r="O877" s="704">
        <v>1657.807200105118</v>
      </c>
      <c r="P877" s="375" t="s">
        <v>622</v>
      </c>
      <c r="Q877" s="375" t="s">
        <v>622</v>
      </c>
      <c r="R877" s="696">
        <v>19750623</v>
      </c>
      <c r="S877" s="372" t="s">
        <v>854</v>
      </c>
      <c r="T877" s="697">
        <v>0.23100000000000001</v>
      </c>
      <c r="U877" s="372" t="s">
        <v>6243</v>
      </c>
      <c r="V877" s="723">
        <v>28.53</v>
      </c>
      <c r="W877" s="723">
        <v>0.15</v>
      </c>
      <c r="X877" s="723">
        <v>0.03</v>
      </c>
      <c r="Y877" s="723">
        <v>1.03</v>
      </c>
      <c r="Z877" s="382" t="s">
        <v>927</v>
      </c>
      <c r="AA877" s="372">
        <v>48901.505365700003</v>
      </c>
      <c r="AB877" s="372">
        <v>54104.149570000001</v>
      </c>
      <c r="AC877" s="372">
        <v>56599.223746900003</v>
      </c>
      <c r="AD877" s="372">
        <v>58942.312821</v>
      </c>
      <c r="AE877" s="372">
        <v>0</v>
      </c>
      <c r="AF877" s="372">
        <v>0</v>
      </c>
      <c r="AG877" s="372">
        <v>0</v>
      </c>
      <c r="AH877" s="372">
        <v>0</v>
      </c>
    </row>
    <row r="878" spans="1:34">
      <c r="A878" s="372" t="s">
        <v>6244</v>
      </c>
      <c r="B878" s="373" t="s">
        <v>6245</v>
      </c>
      <c r="C878" s="372" t="s">
        <v>6246</v>
      </c>
      <c r="D878" s="374">
        <v>1101110166903</v>
      </c>
      <c r="E878" s="372" t="s">
        <v>6247</v>
      </c>
      <c r="F878" s="375" t="s">
        <v>824</v>
      </c>
      <c r="G878" s="375" t="s">
        <v>16108</v>
      </c>
      <c r="H878" s="375" t="s">
        <v>826</v>
      </c>
      <c r="I878" s="375" t="s">
        <v>754</v>
      </c>
      <c r="J878" s="375">
        <v>905390.11629999999</v>
      </c>
      <c r="K878" s="375">
        <v>55054.856919999998</v>
      </c>
      <c r="L878" s="375">
        <v>78718.712910000002</v>
      </c>
      <c r="M878" s="375">
        <v>680415.70510999998</v>
      </c>
      <c r="N878" s="372">
        <v>0.495</v>
      </c>
      <c r="O878" s="704">
        <v>34.032052435328183</v>
      </c>
      <c r="P878" s="375" t="s">
        <v>622</v>
      </c>
      <c r="Q878" s="375" t="s">
        <v>622</v>
      </c>
      <c r="R878" s="696">
        <v>19941227</v>
      </c>
      <c r="S878" s="375" t="s">
        <v>6248</v>
      </c>
      <c r="T878" s="697">
        <v>0.23100000000000001</v>
      </c>
      <c r="U878" s="372" t="s">
        <v>6249</v>
      </c>
      <c r="V878" s="723">
        <v>2.94</v>
      </c>
      <c r="W878" s="723">
        <v>0.34</v>
      </c>
      <c r="X878" s="723">
        <v>0.26</v>
      </c>
      <c r="Y878" s="723">
        <v>3.7</v>
      </c>
      <c r="Z878" s="382">
        <v>1.9941768330216103E-2</v>
      </c>
      <c r="AA878" s="372">
        <v>7466.6232323000004</v>
      </c>
      <c r="AB878" s="372">
        <v>10207.861007899999</v>
      </c>
      <c r="AC878" s="372">
        <v>9835.7955865999993</v>
      </c>
      <c r="AD878" s="372">
        <v>9111.1963505999993</v>
      </c>
      <c r="AE878" s="372">
        <v>9356</v>
      </c>
      <c r="AF878" s="372">
        <v>9581</v>
      </c>
      <c r="AG878" s="372">
        <v>9860</v>
      </c>
      <c r="AH878" s="372">
        <v>0</v>
      </c>
    </row>
    <row r="879" spans="1:34">
      <c r="A879" s="372" t="s">
        <v>6250</v>
      </c>
      <c r="B879" s="373" t="s">
        <v>6251</v>
      </c>
      <c r="C879" s="372" t="s">
        <v>6252</v>
      </c>
      <c r="D879" s="374">
        <v>0</v>
      </c>
      <c r="E879" s="372" t="s">
        <v>6253</v>
      </c>
      <c r="F879" s="375" t="s">
        <v>3861</v>
      </c>
      <c r="G879" s="375" t="s">
        <v>3861</v>
      </c>
      <c r="H879" s="375">
        <v>0</v>
      </c>
      <c r="I879" s="375" t="s">
        <v>862</v>
      </c>
      <c r="J879" s="375">
        <v>0</v>
      </c>
      <c r="K879" s="375">
        <v>0</v>
      </c>
      <c r="L879" s="375">
        <v>0</v>
      </c>
      <c r="M879" s="375">
        <v>0</v>
      </c>
      <c r="N879" s="372">
        <v>0.40600000000000003</v>
      </c>
      <c r="O879" s="704" t="s">
        <v>16301</v>
      </c>
      <c r="P879" s="375" t="s">
        <v>622</v>
      </c>
      <c r="Q879" s="372" t="s">
        <v>622</v>
      </c>
      <c r="R879" s="696">
        <v>20180406</v>
      </c>
      <c r="S879" s="372" t="s">
        <v>6254</v>
      </c>
      <c r="T879" s="697" t="s">
        <v>771</v>
      </c>
      <c r="U879" s="372" t="s">
        <v>6255</v>
      </c>
      <c r="V879" s="723">
        <v>0</v>
      </c>
      <c r="W879" s="723">
        <v>0</v>
      </c>
      <c r="X879" s="723">
        <v>0</v>
      </c>
      <c r="Y879" s="723">
        <v>0</v>
      </c>
      <c r="Z879" s="382">
        <v>0.42644568310407793</v>
      </c>
      <c r="AA879" s="372">
        <v>181.71020999999999</v>
      </c>
      <c r="AB879" s="372">
        <v>139.69253</v>
      </c>
      <c r="AC879" s="372">
        <v>358.09965</v>
      </c>
      <c r="AD879" s="372">
        <v>1499.9287999999999</v>
      </c>
      <c r="AE879" s="372">
        <v>3924.5</v>
      </c>
      <c r="AF879" s="372">
        <v>5361.5</v>
      </c>
      <c r="AG879" s="372">
        <v>6210</v>
      </c>
      <c r="AH879" s="372">
        <v>0</v>
      </c>
    </row>
    <row r="880" spans="1:34">
      <c r="A880" s="372" t="s">
        <v>6256</v>
      </c>
      <c r="B880" s="373" t="s">
        <v>6257</v>
      </c>
      <c r="C880" s="372" t="s">
        <v>6258</v>
      </c>
      <c r="D880" s="374">
        <v>1301110010015</v>
      </c>
      <c r="E880" s="372" t="s">
        <v>6259</v>
      </c>
      <c r="F880" s="375" t="s">
        <v>6260</v>
      </c>
      <c r="G880" s="375" t="s">
        <v>6260</v>
      </c>
      <c r="H880" s="375" t="s">
        <v>3957</v>
      </c>
      <c r="I880" s="375" t="s">
        <v>754</v>
      </c>
      <c r="J880" s="375">
        <v>703960.80221999995</v>
      </c>
      <c r="K880" s="375">
        <v>-2897.7597300000002</v>
      </c>
      <c r="L880" s="375">
        <v>-14475.087299999999</v>
      </c>
      <c r="M880" s="375">
        <v>345333.67502999998</v>
      </c>
      <c r="N880" s="372">
        <v>0.97699999999999998</v>
      </c>
      <c r="O880" s="704">
        <v>217.71865024674969</v>
      </c>
      <c r="P880" s="375" t="s">
        <v>622</v>
      </c>
      <c r="Q880" s="375" t="s">
        <v>622</v>
      </c>
      <c r="R880" s="696">
        <v>19881220</v>
      </c>
      <c r="S880" s="375" t="s">
        <v>6261</v>
      </c>
      <c r="T880" s="697" t="s">
        <v>771</v>
      </c>
      <c r="U880" s="372" t="s">
        <v>6262</v>
      </c>
      <c r="V880" s="723">
        <v>17.72</v>
      </c>
      <c r="W880" s="723">
        <v>0.49</v>
      </c>
      <c r="X880" s="723">
        <v>0.23</v>
      </c>
      <c r="Y880" s="723" t="s">
        <v>773</v>
      </c>
      <c r="Z880" s="382" t="s">
        <v>927</v>
      </c>
      <c r="AA880" s="372">
        <v>5620.1203355999996</v>
      </c>
      <c r="AB880" s="372">
        <v>7128.6712442999997</v>
      </c>
      <c r="AC880" s="372">
        <v>7840.2245598</v>
      </c>
      <c r="AD880" s="372">
        <v>7195.9776658999999</v>
      </c>
      <c r="AE880" s="372">
        <v>0</v>
      </c>
      <c r="AF880" s="372">
        <v>0</v>
      </c>
      <c r="AG880" s="372">
        <v>0</v>
      </c>
      <c r="AH880" s="372">
        <v>0</v>
      </c>
    </row>
    <row r="881" spans="1:34">
      <c r="A881" s="372" t="s">
        <v>6263</v>
      </c>
      <c r="B881" s="373" t="s">
        <v>6264</v>
      </c>
      <c r="C881" s="372" t="s">
        <v>6265</v>
      </c>
      <c r="D881" s="374">
        <v>1101110742406</v>
      </c>
      <c r="E881" s="372" t="s">
        <v>6266</v>
      </c>
      <c r="F881" s="375" t="s">
        <v>2124</v>
      </c>
      <c r="G881" s="375" t="s">
        <v>4466</v>
      </c>
      <c r="H881" s="375" t="s">
        <v>861</v>
      </c>
      <c r="I881" s="375" t="s">
        <v>862</v>
      </c>
      <c r="J881" s="375">
        <v>56979.187689999999</v>
      </c>
      <c r="K881" s="375">
        <v>20432.263360000001</v>
      </c>
      <c r="L881" s="375">
        <v>24179.30934</v>
      </c>
      <c r="M881" s="375">
        <v>105285.67576</v>
      </c>
      <c r="N881" s="372">
        <v>0.73299999999999998</v>
      </c>
      <c r="O881" s="704">
        <v>0.19714135280427211</v>
      </c>
      <c r="P881" s="375" t="s">
        <v>622</v>
      </c>
      <c r="Q881" s="372" t="s">
        <v>622</v>
      </c>
      <c r="R881" s="696">
        <v>20181129</v>
      </c>
      <c r="S881" s="375" t="s">
        <v>6267</v>
      </c>
      <c r="T881" s="697">
        <v>0.23100000000000001</v>
      </c>
      <c r="U881" s="372" t="s">
        <v>6268</v>
      </c>
      <c r="V881" s="723">
        <v>0</v>
      </c>
      <c r="W881" s="723">
        <v>0</v>
      </c>
      <c r="X881" s="723">
        <v>0</v>
      </c>
      <c r="Y881" s="723">
        <v>0</v>
      </c>
      <c r="Z881" s="382" t="s">
        <v>927</v>
      </c>
      <c r="AA881" s="372">
        <v>402.03173509999999</v>
      </c>
      <c r="AB881" s="372">
        <v>502.58893849999998</v>
      </c>
      <c r="AC881" s="372">
        <v>562.20138280000003</v>
      </c>
      <c r="AD881" s="372">
        <v>463.87389200000001</v>
      </c>
      <c r="AE881" s="372">
        <v>0</v>
      </c>
      <c r="AF881" s="372">
        <v>0</v>
      </c>
      <c r="AG881" s="372">
        <v>0</v>
      </c>
      <c r="AH881" s="372">
        <v>0</v>
      </c>
    </row>
    <row r="882" spans="1:34">
      <c r="A882" s="372" t="s">
        <v>6269</v>
      </c>
      <c r="B882" s="373" t="s">
        <v>6270</v>
      </c>
      <c r="C882" s="372" t="s">
        <v>6271</v>
      </c>
      <c r="D882" s="374">
        <v>1101111283657</v>
      </c>
      <c r="E882" s="372" t="s">
        <v>6272</v>
      </c>
      <c r="F882" s="375" t="s">
        <v>6273</v>
      </c>
      <c r="G882" s="375" t="s">
        <v>6274</v>
      </c>
      <c r="H882" s="375" t="s">
        <v>817</v>
      </c>
      <c r="I882" s="375" t="s">
        <v>754</v>
      </c>
      <c r="J882" s="375">
        <v>411050.03263999999</v>
      </c>
      <c r="K882" s="375">
        <v>32031.738140000001</v>
      </c>
      <c r="L882" s="375">
        <v>22906.318619999998</v>
      </c>
      <c r="M882" s="375">
        <v>216024.64416</v>
      </c>
      <c r="N882" s="372">
        <v>1.081</v>
      </c>
      <c r="O882" s="704">
        <v>82.160032879813159</v>
      </c>
      <c r="P882" s="375" t="s">
        <v>622</v>
      </c>
      <c r="Q882" s="375" t="s">
        <v>622</v>
      </c>
      <c r="R882" s="696">
        <v>20090623</v>
      </c>
      <c r="S882" s="375" t="s">
        <v>6275</v>
      </c>
      <c r="T882" s="697">
        <v>0.23100000000000001</v>
      </c>
      <c r="U882" s="375" t="s">
        <v>6276</v>
      </c>
      <c r="V882" s="723">
        <v>5.56</v>
      </c>
      <c r="W882" s="723">
        <v>0.79</v>
      </c>
      <c r="X882" s="723">
        <v>0.39</v>
      </c>
      <c r="Y882" s="723">
        <v>12.48</v>
      </c>
      <c r="Z882" s="382">
        <v>2.0312251436783724E-2</v>
      </c>
      <c r="AA882" s="372">
        <v>2325.7311528</v>
      </c>
      <c r="AB882" s="372">
        <v>2700.9169479000002</v>
      </c>
      <c r="AC882" s="372">
        <v>3744.1432384</v>
      </c>
      <c r="AD882" s="372">
        <v>4129.1497515999999</v>
      </c>
      <c r="AE882" s="372">
        <v>4164.5</v>
      </c>
      <c r="AF882" s="372">
        <v>4364.5</v>
      </c>
      <c r="AG882" s="372">
        <v>4475</v>
      </c>
      <c r="AH882" s="372">
        <v>0</v>
      </c>
    </row>
    <row r="883" spans="1:34">
      <c r="A883" s="372" t="s">
        <v>6277</v>
      </c>
      <c r="B883" s="373" t="s">
        <v>6278</v>
      </c>
      <c r="C883" s="372" t="s">
        <v>6279</v>
      </c>
      <c r="D883" s="374">
        <v>1101114253681</v>
      </c>
      <c r="E883" s="372" t="s">
        <v>6280</v>
      </c>
      <c r="F883" s="375" t="s">
        <v>824</v>
      </c>
      <c r="G883" s="375" t="s">
        <v>16108</v>
      </c>
      <c r="H883" s="375" t="s">
        <v>861</v>
      </c>
      <c r="I883" s="375" t="s">
        <v>862</v>
      </c>
      <c r="J883" s="375">
        <v>118207.14195999999</v>
      </c>
      <c r="K883" s="375">
        <v>11779.380450000001</v>
      </c>
      <c r="L883" s="375">
        <v>12115.73143</v>
      </c>
      <c r="M883" s="375">
        <v>90650.644469999999</v>
      </c>
      <c r="N883" s="372" t="s">
        <v>1026</v>
      </c>
      <c r="O883" s="704">
        <v>9.9586211888468237E-2</v>
      </c>
      <c r="P883" s="375" t="s">
        <v>622</v>
      </c>
      <c r="Q883" s="372" t="s">
        <v>622</v>
      </c>
      <c r="R883" s="696">
        <v>20231018</v>
      </c>
      <c r="S883" s="372" t="s">
        <v>6281</v>
      </c>
      <c r="T883" s="697">
        <v>0.20900000000000002</v>
      </c>
      <c r="U883" s="372" t="s">
        <v>6282</v>
      </c>
      <c r="V883" s="723">
        <v>0</v>
      </c>
      <c r="W883" s="723">
        <v>0</v>
      </c>
      <c r="X883" s="723">
        <v>0</v>
      </c>
      <c r="Y883" s="723">
        <v>0</v>
      </c>
      <c r="Z883" s="382" t="s">
        <v>927</v>
      </c>
      <c r="AA883" s="372">
        <v>689.92741790000002</v>
      </c>
      <c r="AB883" s="372">
        <v>1066.6499573000001</v>
      </c>
      <c r="AC883" s="372">
        <v>1373.7295369000001</v>
      </c>
      <c r="AD883" s="372">
        <v>1204.5897219999999</v>
      </c>
      <c r="AE883" s="372">
        <v>0</v>
      </c>
      <c r="AF883" s="372">
        <v>0</v>
      </c>
      <c r="AG883" s="372">
        <v>0</v>
      </c>
      <c r="AH883" s="372">
        <v>0</v>
      </c>
    </row>
    <row r="884" spans="1:34">
      <c r="A884" s="372" t="s">
        <v>6283</v>
      </c>
      <c r="B884" s="373" t="s">
        <v>6284</v>
      </c>
      <c r="C884" s="372" t="s">
        <v>6285</v>
      </c>
      <c r="D884" s="374">
        <v>1101112085523</v>
      </c>
      <c r="E884" s="372" t="s">
        <v>6286</v>
      </c>
      <c r="F884" s="375" t="s">
        <v>3180</v>
      </c>
      <c r="G884" s="375" t="s">
        <v>16121</v>
      </c>
      <c r="H884" s="375" t="s">
        <v>1337</v>
      </c>
      <c r="I884" s="375" t="s">
        <v>862</v>
      </c>
      <c r="J884" s="375">
        <v>153195.64092999999</v>
      </c>
      <c r="K884" s="375">
        <v>14643.373579999999</v>
      </c>
      <c r="L884" s="375">
        <v>14191.50678</v>
      </c>
      <c r="M884" s="375">
        <v>153756.68022000001</v>
      </c>
      <c r="N884" s="372">
        <v>0.85799999999999998</v>
      </c>
      <c r="O884" s="704">
        <v>9.3024832932200567</v>
      </c>
      <c r="P884" s="375" t="s">
        <v>622</v>
      </c>
      <c r="Q884" s="375" t="s">
        <v>622</v>
      </c>
      <c r="R884" s="696">
        <v>20190712</v>
      </c>
      <c r="S884" s="375" t="s">
        <v>6287</v>
      </c>
      <c r="T884" s="697">
        <v>0.20900000000000002</v>
      </c>
      <c r="U884" s="372" t="s">
        <v>15879</v>
      </c>
      <c r="V884" s="723">
        <v>8.56</v>
      </c>
      <c r="W884" s="723">
        <v>0.93</v>
      </c>
      <c r="X884" s="723">
        <v>1.06</v>
      </c>
      <c r="Y884" s="723">
        <v>12.27</v>
      </c>
      <c r="Z884" s="382">
        <v>5.0578040770738353E-2</v>
      </c>
      <c r="AA884" s="372">
        <v>781.10259570000005</v>
      </c>
      <c r="AB884" s="372">
        <v>1103.7421105999999</v>
      </c>
      <c r="AC884" s="372">
        <v>1292.5055141</v>
      </c>
      <c r="AD884" s="372">
        <v>1530.7608279999999</v>
      </c>
      <c r="AE884" s="372">
        <v>1571.8</v>
      </c>
      <c r="AF884" s="372">
        <v>1713.4</v>
      </c>
      <c r="AG884" s="372">
        <v>1864.75</v>
      </c>
      <c r="AH884" s="372">
        <v>0</v>
      </c>
    </row>
    <row r="885" spans="1:34">
      <c r="A885" s="372" t="s">
        <v>6288</v>
      </c>
      <c r="B885" s="373" t="s">
        <v>6289</v>
      </c>
      <c r="C885" s="372" t="s">
        <v>6290</v>
      </c>
      <c r="D885" s="374">
        <v>1101113318387</v>
      </c>
      <c r="E885" s="372" t="s">
        <v>6291</v>
      </c>
      <c r="F885" s="375" t="s">
        <v>2518</v>
      </c>
      <c r="G885" s="375" t="s">
        <v>2518</v>
      </c>
      <c r="H885" s="375" t="s">
        <v>1337</v>
      </c>
      <c r="I885" s="375" t="s">
        <v>862</v>
      </c>
      <c r="J885" s="375">
        <v>128801.82438000001</v>
      </c>
      <c r="K885" s="375">
        <v>21249.528579999998</v>
      </c>
      <c r="L885" s="375">
        <v>18292.91778</v>
      </c>
      <c r="M885" s="375">
        <v>184505.18093</v>
      </c>
      <c r="N885" s="372">
        <v>0.61399999999999999</v>
      </c>
      <c r="O885" s="704">
        <v>1.49893060567256</v>
      </c>
      <c r="P885" s="375" t="s">
        <v>622</v>
      </c>
      <c r="Q885" s="375" t="s">
        <v>622</v>
      </c>
      <c r="R885" s="696">
        <v>20120221</v>
      </c>
      <c r="S885" s="375" t="s">
        <v>6292</v>
      </c>
      <c r="T885" s="697">
        <v>0.20900000000000002</v>
      </c>
      <c r="U885" s="375" t="s">
        <v>15880</v>
      </c>
      <c r="V885" s="723">
        <v>7.55</v>
      </c>
      <c r="W885" s="723">
        <v>0.99</v>
      </c>
      <c r="X885" s="723">
        <v>1.5</v>
      </c>
      <c r="Y885" s="723">
        <v>12.96</v>
      </c>
      <c r="Z885" s="382" t="s">
        <v>927</v>
      </c>
      <c r="AA885" s="372">
        <v>962.94900949999999</v>
      </c>
      <c r="AB885" s="372">
        <v>1290.1287835000001</v>
      </c>
      <c r="AC885" s="372">
        <v>1489.3486425000001</v>
      </c>
      <c r="AD885" s="372">
        <v>1315.4384348000001</v>
      </c>
      <c r="AE885" s="372">
        <v>1583</v>
      </c>
      <c r="AF885" s="372">
        <v>0</v>
      </c>
      <c r="AG885" s="372">
        <v>0</v>
      </c>
      <c r="AH885" s="372">
        <v>0</v>
      </c>
    </row>
    <row r="886" spans="1:34">
      <c r="A886" s="372" t="s">
        <v>6293</v>
      </c>
      <c r="B886" s="373" t="s">
        <v>6294</v>
      </c>
      <c r="C886" s="372" t="s">
        <v>6295</v>
      </c>
      <c r="D886" s="374">
        <v>1701110021006</v>
      </c>
      <c r="E886" s="372" t="s">
        <v>6296</v>
      </c>
      <c r="F886" s="375" t="s">
        <v>2992</v>
      </c>
      <c r="G886" s="375" t="s">
        <v>2992</v>
      </c>
      <c r="H886" s="375" t="s">
        <v>861</v>
      </c>
      <c r="I886" s="375" t="s">
        <v>862</v>
      </c>
      <c r="J886" s="375">
        <v>1188520.00881</v>
      </c>
      <c r="K886" s="375">
        <v>50845.315049999997</v>
      </c>
      <c r="L886" s="375">
        <v>67112.220780000003</v>
      </c>
      <c r="M886" s="375">
        <v>763602.60884999996</v>
      </c>
      <c r="N886" s="372">
        <v>0.98499999999999999</v>
      </c>
      <c r="O886" s="704">
        <v>15.42573986288085</v>
      </c>
      <c r="P886" s="375" t="s">
        <v>622</v>
      </c>
      <c r="Q886" s="375" t="s">
        <v>622</v>
      </c>
      <c r="R886" s="696">
        <v>20011211</v>
      </c>
      <c r="S886" s="372" t="s">
        <v>6297</v>
      </c>
      <c r="T886" s="697">
        <v>0.23100000000000001</v>
      </c>
      <c r="U886" s="375" t="s">
        <v>6298</v>
      </c>
      <c r="V886" s="723">
        <v>2.37</v>
      </c>
      <c r="W886" s="723">
        <v>0.27</v>
      </c>
      <c r="X886" s="723">
        <v>0.18</v>
      </c>
      <c r="Y886" s="723">
        <v>3.58</v>
      </c>
      <c r="Z886" s="382">
        <v>6.3538088056523279E-2</v>
      </c>
      <c r="AA886" s="372">
        <v>9490.5978209000004</v>
      </c>
      <c r="AB886" s="372">
        <v>9276.1373903000003</v>
      </c>
      <c r="AC886" s="372">
        <v>10244.3546713</v>
      </c>
      <c r="AD886" s="372">
        <v>11346.1815265</v>
      </c>
      <c r="AE886" s="372">
        <v>12124</v>
      </c>
      <c r="AF886" s="372">
        <v>13343.5</v>
      </c>
      <c r="AG886" s="372">
        <v>14516.5</v>
      </c>
      <c r="AH886" s="372">
        <v>0</v>
      </c>
    </row>
    <row r="887" spans="1:34">
      <c r="A887" s="372" t="s">
        <v>6299</v>
      </c>
      <c r="B887" s="373" t="s">
        <v>6300</v>
      </c>
      <c r="C887" s="372" t="s">
        <v>16078</v>
      </c>
      <c r="D887" s="374">
        <v>1311110033389</v>
      </c>
      <c r="E887" s="372" t="s">
        <v>16079</v>
      </c>
      <c r="F887" s="375" t="s">
        <v>3451</v>
      </c>
      <c r="G887" s="375" t="s">
        <v>3451</v>
      </c>
      <c r="H887" s="375" t="s">
        <v>3099</v>
      </c>
      <c r="I887" s="375" t="s">
        <v>862</v>
      </c>
      <c r="J887" s="375">
        <v>2333.2147799999998</v>
      </c>
      <c r="K887" s="375">
        <v>-2132.3509399999998</v>
      </c>
      <c r="L887" s="375">
        <v>-7782.26944</v>
      </c>
      <c r="M887" s="375">
        <v>8661.6318599999995</v>
      </c>
      <c r="N887" s="372" t="s">
        <v>1026</v>
      </c>
      <c r="O887" s="704">
        <v>1.0566147745291137</v>
      </c>
      <c r="P887" s="375" t="s">
        <v>16115</v>
      </c>
      <c r="Q887" s="372" t="s">
        <v>16116</v>
      </c>
      <c r="R887" s="696">
        <v>20031224</v>
      </c>
      <c r="S887" s="372" t="s">
        <v>3666</v>
      </c>
      <c r="T887" s="697" t="s">
        <v>771</v>
      </c>
      <c r="U887" s="372" t="s">
        <v>6301</v>
      </c>
      <c r="V887" s="723" t="s">
        <v>773</v>
      </c>
      <c r="W887" s="723">
        <v>23.94</v>
      </c>
      <c r="X887" s="723">
        <v>56.87</v>
      </c>
      <c r="Y887" s="723" t="s">
        <v>773</v>
      </c>
      <c r="Z887" s="382" t="s">
        <v>927</v>
      </c>
      <c r="AA887" s="372">
        <v>131.10394239999999</v>
      </c>
      <c r="AB887" s="372">
        <v>181.52724000000001</v>
      </c>
      <c r="AC887" s="372">
        <v>116.25004939999999</v>
      </c>
      <c r="AD887" s="372">
        <v>20.2257243</v>
      </c>
      <c r="AE887" s="372">
        <v>0</v>
      </c>
      <c r="AF887" s="372">
        <v>0</v>
      </c>
      <c r="AG887" s="372">
        <v>0</v>
      </c>
      <c r="AH887" s="372">
        <v>0</v>
      </c>
    </row>
    <row r="888" spans="1:34">
      <c r="A888" s="372" t="s">
        <v>6302</v>
      </c>
      <c r="B888" s="373" t="s">
        <v>6303</v>
      </c>
      <c r="C888" s="372" t="s">
        <v>6304</v>
      </c>
      <c r="D888" s="374">
        <v>1101114379213</v>
      </c>
      <c r="E888" s="372" t="s">
        <v>6305</v>
      </c>
      <c r="F888" s="375" t="s">
        <v>1055</v>
      </c>
      <c r="G888" s="375" t="s">
        <v>1055</v>
      </c>
      <c r="H888" s="375" t="s">
        <v>861</v>
      </c>
      <c r="I888" s="375" t="s">
        <v>862</v>
      </c>
      <c r="J888" s="375">
        <v>2399.1296900000002</v>
      </c>
      <c r="K888" s="375">
        <v>-15469.50488</v>
      </c>
      <c r="L888" s="375">
        <v>-17827.61735</v>
      </c>
      <c r="M888" s="375">
        <v>23627.771260000001</v>
      </c>
      <c r="N888" s="372">
        <v>1.3759999999999999</v>
      </c>
      <c r="O888" s="704">
        <v>2.5207218687937405</v>
      </c>
      <c r="P888" s="375" t="s">
        <v>622</v>
      </c>
      <c r="Q888" s="375" t="s">
        <v>622</v>
      </c>
      <c r="R888" s="696">
        <v>20170918</v>
      </c>
      <c r="S888" s="375" t="s">
        <v>6306</v>
      </c>
      <c r="T888" s="697" t="s">
        <v>771</v>
      </c>
      <c r="U888" s="372" t="s">
        <v>6307</v>
      </c>
      <c r="V888" s="723">
        <v>0</v>
      </c>
      <c r="W888" s="723">
        <v>0</v>
      </c>
      <c r="X888" s="723">
        <v>0</v>
      </c>
      <c r="Y888" s="723">
        <v>0</v>
      </c>
      <c r="Z888" s="382" t="s">
        <v>927</v>
      </c>
      <c r="AA888" s="372">
        <v>27.711791900000001</v>
      </c>
      <c r="AB888" s="372">
        <v>30.1805412</v>
      </c>
      <c r="AC888" s="372">
        <v>34.064457300000001</v>
      </c>
      <c r="AD888" s="372">
        <v>30.828043099999999</v>
      </c>
      <c r="AE888" s="372">
        <v>0</v>
      </c>
      <c r="AF888" s="372">
        <v>0</v>
      </c>
      <c r="AG888" s="372">
        <v>0</v>
      </c>
      <c r="AH888" s="372">
        <v>0</v>
      </c>
    </row>
    <row r="889" spans="1:34">
      <c r="A889" s="372" t="s">
        <v>6308</v>
      </c>
      <c r="B889" s="373" t="s">
        <v>6309</v>
      </c>
      <c r="C889" s="372" t="s">
        <v>16000</v>
      </c>
      <c r="D889" s="374">
        <v>1101114391837</v>
      </c>
      <c r="E889" s="372" t="s">
        <v>16001</v>
      </c>
      <c r="F889" s="372" t="s">
        <v>1370</v>
      </c>
      <c r="G889" s="375" t="s">
        <v>1370</v>
      </c>
      <c r="H889" s="375" t="s">
        <v>861</v>
      </c>
      <c r="I889" s="375" t="s">
        <v>862</v>
      </c>
      <c r="J889" s="375">
        <v>20726.478899999998</v>
      </c>
      <c r="K889" s="375">
        <v>-3475.6305900000002</v>
      </c>
      <c r="L889" s="375">
        <v>-5130.4833399999998</v>
      </c>
      <c r="M889" s="375">
        <v>23734.86205</v>
      </c>
      <c r="N889" s="372">
        <v>1.0349999999999999</v>
      </c>
      <c r="O889" s="704">
        <v>3.6830238176807</v>
      </c>
      <c r="P889" s="375" t="s">
        <v>622</v>
      </c>
      <c r="Q889" s="372" t="s">
        <v>622</v>
      </c>
      <c r="R889" s="696">
        <v>20210203</v>
      </c>
      <c r="S889" s="372" t="s">
        <v>6310</v>
      </c>
      <c r="T889" s="697" t="s">
        <v>771</v>
      </c>
      <c r="U889" s="372" t="s">
        <v>6311</v>
      </c>
      <c r="V889" s="723" t="s">
        <v>773</v>
      </c>
      <c r="W889" s="723">
        <v>9.6300000000000008</v>
      </c>
      <c r="X889" s="723">
        <v>9.82</v>
      </c>
      <c r="Y889" s="723" t="s">
        <v>773</v>
      </c>
      <c r="Z889" s="382">
        <v>0.23069632648255567</v>
      </c>
      <c r="AA889" s="372">
        <v>290.1270897</v>
      </c>
      <c r="AB889" s="372">
        <v>354.2094894</v>
      </c>
      <c r="AC889" s="372">
        <v>301.10649999999998</v>
      </c>
      <c r="AD889" s="372">
        <v>212.72386</v>
      </c>
      <c r="AE889" s="372">
        <v>406</v>
      </c>
      <c r="AF889" s="372">
        <v>447</v>
      </c>
      <c r="AG889" s="372">
        <v>488</v>
      </c>
      <c r="AH889" s="372">
        <v>529</v>
      </c>
    </row>
    <row r="890" spans="1:34">
      <c r="A890" s="372" t="s">
        <v>6312</v>
      </c>
      <c r="B890" s="373" t="s">
        <v>6313</v>
      </c>
      <c r="C890" s="372" t="s">
        <v>6314</v>
      </c>
      <c r="D890" s="374">
        <v>1301110064351</v>
      </c>
      <c r="E890" s="372" t="s">
        <v>6315</v>
      </c>
      <c r="F890" s="375" t="s">
        <v>1576</v>
      </c>
      <c r="G890" s="375" t="s">
        <v>6316</v>
      </c>
      <c r="H890" s="375" t="s">
        <v>861</v>
      </c>
      <c r="I890" s="375" t="s">
        <v>862</v>
      </c>
      <c r="J890" s="375">
        <v>563352.78550999996</v>
      </c>
      <c r="K890" s="375">
        <v>11191.817300000001</v>
      </c>
      <c r="L890" s="375">
        <v>-5774.7907999999998</v>
      </c>
      <c r="M890" s="375">
        <v>197023.44263999999</v>
      </c>
      <c r="N890" s="372">
        <v>0.65100000000000002</v>
      </c>
      <c r="O890" s="704">
        <v>79.511278623342889</v>
      </c>
      <c r="P890" s="375" t="s">
        <v>622</v>
      </c>
      <c r="Q890" s="375" t="s">
        <v>622</v>
      </c>
      <c r="R890" s="696">
        <v>20151229</v>
      </c>
      <c r="S890" s="375" t="s">
        <v>6317</v>
      </c>
      <c r="T890" s="697" t="s">
        <v>771</v>
      </c>
      <c r="U890" s="372" t="s">
        <v>6318</v>
      </c>
      <c r="V890" s="723">
        <v>14.7</v>
      </c>
      <c r="W890" s="723">
        <v>1</v>
      </c>
      <c r="X890" s="723">
        <v>0.33</v>
      </c>
      <c r="Y890" s="723" t="s">
        <v>773</v>
      </c>
      <c r="Z890" s="382" t="s">
        <v>927</v>
      </c>
      <c r="AA890" s="372">
        <v>3100.7256839000001</v>
      </c>
      <c r="AB890" s="372">
        <v>4240.9780025</v>
      </c>
      <c r="AC890" s="372">
        <v>5372.0245902999995</v>
      </c>
      <c r="AD890" s="372">
        <v>5536.7014879999997</v>
      </c>
      <c r="AE890" s="372">
        <v>0</v>
      </c>
      <c r="AF890" s="372">
        <v>0</v>
      </c>
      <c r="AG890" s="372">
        <v>0</v>
      </c>
      <c r="AH890" s="372">
        <v>0</v>
      </c>
    </row>
    <row r="891" spans="1:34">
      <c r="A891" s="372" t="s">
        <v>6319</v>
      </c>
      <c r="B891" s="373" t="s">
        <v>6320</v>
      </c>
      <c r="C891" s="372" t="s">
        <v>6321</v>
      </c>
      <c r="D891" s="374">
        <v>1101110290778</v>
      </c>
      <c r="E891" s="372" t="s">
        <v>6322</v>
      </c>
      <c r="F891" s="375" t="s">
        <v>2625</v>
      </c>
      <c r="G891" s="375" t="s">
        <v>2626</v>
      </c>
      <c r="H891" s="375" t="s">
        <v>817</v>
      </c>
      <c r="I891" s="375" t="s">
        <v>754</v>
      </c>
      <c r="J891" s="375">
        <v>1412122.5120000001</v>
      </c>
      <c r="K891" s="375">
        <v>37823.053999999996</v>
      </c>
      <c r="L891" s="375">
        <v>34315.298999999999</v>
      </c>
      <c r="M891" s="375">
        <v>485603.22700000001</v>
      </c>
      <c r="N891" s="372">
        <v>0.40400000000000003</v>
      </c>
      <c r="O891" s="704">
        <v>119.40425958750704</v>
      </c>
      <c r="P891" s="375" t="s">
        <v>622</v>
      </c>
      <c r="Q891" s="375" t="s">
        <v>622</v>
      </c>
      <c r="R891" s="696">
        <v>19961224</v>
      </c>
      <c r="S891" s="375" t="s">
        <v>2638</v>
      </c>
      <c r="T891" s="697">
        <v>0.23100000000000001</v>
      </c>
      <c r="U891" s="372" t="s">
        <v>6323</v>
      </c>
      <c r="V891" s="723">
        <v>4.82</v>
      </c>
      <c r="W891" s="723">
        <v>0.51</v>
      </c>
      <c r="X891" s="723">
        <v>0.19</v>
      </c>
      <c r="Y891" s="723">
        <v>18.100000000000001</v>
      </c>
      <c r="Z891" s="382" t="s">
        <v>927</v>
      </c>
      <c r="AA891" s="372">
        <v>11014.250770000001</v>
      </c>
      <c r="AB891" s="372">
        <v>12900.055619999999</v>
      </c>
      <c r="AC891" s="372">
        <v>14701.670109999999</v>
      </c>
      <c r="AD891" s="372">
        <v>14305.058440000001</v>
      </c>
      <c r="AE891" s="372">
        <v>0</v>
      </c>
      <c r="AF891" s="372">
        <v>0</v>
      </c>
      <c r="AG891" s="372">
        <v>0</v>
      </c>
      <c r="AH891" s="372">
        <v>0</v>
      </c>
    </row>
    <row r="892" spans="1:34">
      <c r="A892" s="372" t="s">
        <v>6324</v>
      </c>
      <c r="B892" s="373" t="s">
        <v>6325</v>
      </c>
      <c r="C892" s="372" t="s">
        <v>6326</v>
      </c>
      <c r="D892" s="374">
        <v>1101110939326</v>
      </c>
      <c r="E892" s="372" t="s">
        <v>6327</v>
      </c>
      <c r="F892" s="375" t="s">
        <v>5278</v>
      </c>
      <c r="G892" s="375" t="s">
        <v>5278</v>
      </c>
      <c r="H892" s="375" t="s">
        <v>861</v>
      </c>
      <c r="I892" s="375" t="s">
        <v>862</v>
      </c>
      <c r="J892" s="375">
        <v>85617.676019999999</v>
      </c>
      <c r="K892" s="375">
        <v>2552.1877399999998</v>
      </c>
      <c r="L892" s="375">
        <v>874.56628000000001</v>
      </c>
      <c r="M892" s="375">
        <v>58623.70306</v>
      </c>
      <c r="N892" s="372" t="s">
        <v>1026</v>
      </c>
      <c r="O892" s="704">
        <v>21.434080787782499</v>
      </c>
      <c r="P892" s="375" t="s">
        <v>622</v>
      </c>
      <c r="Q892" s="372" t="s">
        <v>622</v>
      </c>
      <c r="R892" s="696">
        <v>19971103</v>
      </c>
      <c r="S892" s="372" t="s">
        <v>6328</v>
      </c>
      <c r="T892" s="697">
        <v>0.20900000000000002</v>
      </c>
      <c r="U892" s="372" t="s">
        <v>6329</v>
      </c>
      <c r="V892" s="723">
        <v>14.16</v>
      </c>
      <c r="W892" s="723">
        <v>1.06</v>
      </c>
      <c r="X892" s="723">
        <v>0.72</v>
      </c>
      <c r="Y892" s="723">
        <v>74.849999999999994</v>
      </c>
      <c r="Z892" s="382" t="s">
        <v>927</v>
      </c>
      <c r="AA892" s="372">
        <v>1120.2902876000001</v>
      </c>
      <c r="AB892" s="372">
        <v>943.82871909999994</v>
      </c>
      <c r="AC892" s="372">
        <v>804.70105660000002</v>
      </c>
      <c r="AD892" s="372">
        <v>825.68061620000003</v>
      </c>
      <c r="AE892" s="372">
        <v>0</v>
      </c>
      <c r="AF892" s="372">
        <v>0</v>
      </c>
      <c r="AG892" s="372">
        <v>0</v>
      </c>
      <c r="AH892" s="372">
        <v>0</v>
      </c>
    </row>
    <row r="893" spans="1:34">
      <c r="A893" s="372" t="s">
        <v>6330</v>
      </c>
      <c r="B893" s="373" t="s">
        <v>6331</v>
      </c>
      <c r="C893" s="372" t="s">
        <v>6332</v>
      </c>
      <c r="D893" s="374">
        <v>1101115535038</v>
      </c>
      <c r="E893" s="372" t="s">
        <v>6333</v>
      </c>
      <c r="F893" s="375" t="s">
        <v>3180</v>
      </c>
      <c r="G893" s="375" t="s">
        <v>3181</v>
      </c>
      <c r="H893" s="375" t="s">
        <v>1337</v>
      </c>
      <c r="I893" s="375" t="s">
        <v>862</v>
      </c>
      <c r="J893" s="375">
        <v>68764.187049999993</v>
      </c>
      <c r="K893" s="375">
        <v>-12053.48798</v>
      </c>
      <c r="L893" s="375">
        <v>-22351.572240000001</v>
      </c>
      <c r="M893" s="375">
        <v>67582.965809999994</v>
      </c>
      <c r="N893" s="372">
        <v>0.627</v>
      </c>
      <c r="O893" s="704">
        <v>9.8058548475859659</v>
      </c>
      <c r="P893" s="375" t="s">
        <v>622</v>
      </c>
      <c r="Q893" s="372" t="s">
        <v>622</v>
      </c>
      <c r="R893" s="696">
        <v>20141212</v>
      </c>
      <c r="S893" s="372" t="s">
        <v>6334</v>
      </c>
      <c r="T893" s="697" t="s">
        <v>771</v>
      </c>
      <c r="U893" s="372" t="s">
        <v>6335</v>
      </c>
      <c r="V893" s="723" t="s">
        <v>773</v>
      </c>
      <c r="W893" s="723">
        <v>1.7</v>
      </c>
      <c r="X893" s="723">
        <v>1.68</v>
      </c>
      <c r="Y893" s="723" t="s">
        <v>773</v>
      </c>
      <c r="Z893" s="382" t="s">
        <v>927</v>
      </c>
      <c r="AA893" s="372">
        <v>806.87721439999996</v>
      </c>
      <c r="AB893" s="372">
        <v>614.54693989999998</v>
      </c>
      <c r="AC893" s="372">
        <v>771.5740131</v>
      </c>
      <c r="AD893" s="372">
        <v>741.26065819999997</v>
      </c>
      <c r="AE893" s="372">
        <v>774</v>
      </c>
      <c r="AF893" s="372">
        <v>866</v>
      </c>
      <c r="AG893" s="372">
        <v>0</v>
      </c>
      <c r="AH893" s="372">
        <v>0</v>
      </c>
    </row>
    <row r="894" spans="1:34">
      <c r="A894" s="372" t="s">
        <v>6336</v>
      </c>
      <c r="B894" s="373" t="s">
        <v>6337</v>
      </c>
      <c r="C894" s="372" t="s">
        <v>6338</v>
      </c>
      <c r="D894" s="374">
        <v>1311110030335</v>
      </c>
      <c r="E894" s="372" t="s">
        <v>6339</v>
      </c>
      <c r="F894" s="375" t="s">
        <v>1185</v>
      </c>
      <c r="G894" s="375" t="s">
        <v>3115</v>
      </c>
      <c r="H894" s="375" t="s">
        <v>861</v>
      </c>
      <c r="I894" s="375" t="s">
        <v>862</v>
      </c>
      <c r="J894" s="375">
        <v>105048.15829000001</v>
      </c>
      <c r="K894" s="375">
        <v>-66637.897899999996</v>
      </c>
      <c r="L894" s="375">
        <v>8909.3289700000005</v>
      </c>
      <c r="M894" s="375">
        <v>286300.85794000002</v>
      </c>
      <c r="N894" s="372">
        <v>1.0049999999999999</v>
      </c>
      <c r="O894" s="704">
        <v>20.871805309199555</v>
      </c>
      <c r="P894" s="375" t="s">
        <v>622</v>
      </c>
      <c r="Q894" s="375" t="s">
        <v>622</v>
      </c>
      <c r="R894" s="696">
        <v>20041206</v>
      </c>
      <c r="S894" s="375" t="s">
        <v>6340</v>
      </c>
      <c r="T894" s="697">
        <v>0.20900000000000002</v>
      </c>
      <c r="U894" s="375" t="s">
        <v>6341</v>
      </c>
      <c r="V894" s="723" t="s">
        <v>773</v>
      </c>
      <c r="W894" s="723">
        <v>0.82</v>
      </c>
      <c r="X894" s="723">
        <v>2.29</v>
      </c>
      <c r="Y894" s="723">
        <v>10.4</v>
      </c>
      <c r="Z894" s="382" t="s">
        <v>927</v>
      </c>
      <c r="AA894" s="372">
        <v>2742.4808779</v>
      </c>
      <c r="AB894" s="372">
        <v>1588.9116323999999</v>
      </c>
      <c r="AC894" s="372">
        <v>1480.5451425000001</v>
      </c>
      <c r="AD894" s="372">
        <v>1116.4744473999999</v>
      </c>
      <c r="AE894" s="372">
        <v>1680</v>
      </c>
      <c r="AF894" s="372">
        <v>2348</v>
      </c>
      <c r="AG894" s="372">
        <v>0</v>
      </c>
      <c r="AH894" s="372">
        <v>0</v>
      </c>
    </row>
    <row r="895" spans="1:34">
      <c r="A895" s="372" t="s">
        <v>6342</v>
      </c>
      <c r="B895" s="373" t="s">
        <v>6343</v>
      </c>
      <c r="C895" s="372" t="s">
        <v>6344</v>
      </c>
      <c r="D895" s="374">
        <v>1501110120399</v>
      </c>
      <c r="E895" s="372" t="s">
        <v>6345</v>
      </c>
      <c r="F895" s="375" t="s">
        <v>2222</v>
      </c>
      <c r="G895" s="375" t="s">
        <v>2222</v>
      </c>
      <c r="H895" s="375" t="s">
        <v>861</v>
      </c>
      <c r="I895" s="375" t="s">
        <v>862</v>
      </c>
      <c r="J895" s="375">
        <v>291968.55789</v>
      </c>
      <c r="K895" s="375">
        <v>22089.997200000002</v>
      </c>
      <c r="L895" s="375">
        <v>22347.027719999998</v>
      </c>
      <c r="M895" s="375">
        <v>211334.44177999999</v>
      </c>
      <c r="N895" s="372">
        <v>0.54300000000000004</v>
      </c>
      <c r="O895" s="704">
        <v>18.8279821752059</v>
      </c>
      <c r="P895" s="375" t="s">
        <v>622</v>
      </c>
      <c r="Q895" s="375" t="s">
        <v>622</v>
      </c>
      <c r="R895" s="696">
        <v>20181114</v>
      </c>
      <c r="S895" s="375" t="s">
        <v>6346</v>
      </c>
      <c r="T895" s="697">
        <v>0.23100000000000001</v>
      </c>
      <c r="U895" s="375" t="s">
        <v>6347</v>
      </c>
      <c r="V895" s="723">
        <v>6.14</v>
      </c>
      <c r="W895" s="723">
        <v>0.87</v>
      </c>
      <c r="X895" s="723">
        <v>0.63</v>
      </c>
      <c r="Y895" s="723">
        <v>9.82</v>
      </c>
      <c r="Z895" s="382">
        <v>2.9930363498426704E-2</v>
      </c>
      <c r="AA895" s="372">
        <v>2228.3174963000001</v>
      </c>
      <c r="AB895" s="372">
        <v>2787.8961144</v>
      </c>
      <c r="AC895" s="372">
        <v>2816.7520132999998</v>
      </c>
      <c r="AD895" s="372">
        <v>3021.6730401999998</v>
      </c>
      <c r="AE895" s="372">
        <v>3064</v>
      </c>
      <c r="AF895" s="372">
        <v>3318</v>
      </c>
      <c r="AG895" s="372">
        <v>3400</v>
      </c>
      <c r="AH895" s="372">
        <v>0</v>
      </c>
    </row>
    <row r="896" spans="1:34">
      <c r="A896" s="372" t="s">
        <v>6348</v>
      </c>
      <c r="B896" s="373" t="s">
        <v>6349</v>
      </c>
      <c r="C896" s="372" t="s">
        <v>6350</v>
      </c>
      <c r="D896" s="374">
        <v>1201110397241</v>
      </c>
      <c r="E896" s="372" t="s">
        <v>6351</v>
      </c>
      <c r="F896" s="372" t="s">
        <v>2834</v>
      </c>
      <c r="G896" s="375" t="s">
        <v>2834</v>
      </c>
      <c r="H896" s="375" t="s">
        <v>861</v>
      </c>
      <c r="I896" s="375" t="s">
        <v>862</v>
      </c>
      <c r="J896" s="375">
        <v>130348.84376</v>
      </c>
      <c r="K896" s="375">
        <v>-40013.823109999998</v>
      </c>
      <c r="L896" s="375">
        <v>-47647.812870000002</v>
      </c>
      <c r="M896" s="375">
        <v>30693.275239999999</v>
      </c>
      <c r="N896" s="372">
        <v>0.55600000000000005</v>
      </c>
      <c r="O896" s="704">
        <v>81.270877773580239</v>
      </c>
      <c r="P896" s="375" t="s">
        <v>622</v>
      </c>
      <c r="Q896" s="375" t="s">
        <v>622</v>
      </c>
      <c r="R896" s="696">
        <v>20060327</v>
      </c>
      <c r="S896" s="375" t="s">
        <v>6352</v>
      </c>
      <c r="T896" s="697" t="s">
        <v>771</v>
      </c>
      <c r="U896" s="372" t="s">
        <v>6353</v>
      </c>
      <c r="V896" s="723" t="s">
        <v>773</v>
      </c>
      <c r="W896" s="723">
        <v>4.12</v>
      </c>
      <c r="X896" s="723">
        <v>0.61</v>
      </c>
      <c r="Y896" s="723" t="s">
        <v>773</v>
      </c>
      <c r="Z896" s="382" t="s">
        <v>927</v>
      </c>
      <c r="AA896" s="372">
        <v>2107.5509757999998</v>
      </c>
      <c r="AB896" s="372">
        <v>2327.7881821000001</v>
      </c>
      <c r="AC896" s="372">
        <v>2404.0546608999998</v>
      </c>
      <c r="AD896" s="372">
        <v>1400.4744309</v>
      </c>
      <c r="AE896" s="372">
        <v>4587</v>
      </c>
      <c r="AF896" s="372">
        <v>0</v>
      </c>
      <c r="AG896" s="372">
        <v>0</v>
      </c>
      <c r="AH896" s="372">
        <v>0</v>
      </c>
    </row>
    <row r="897" spans="1:34">
      <c r="A897" s="372" t="s">
        <v>6354</v>
      </c>
      <c r="B897" s="373" t="s">
        <v>6355</v>
      </c>
      <c r="C897" s="372" t="s">
        <v>6356</v>
      </c>
      <c r="D897" s="374">
        <v>1545110029242</v>
      </c>
      <c r="E897" s="372" t="s">
        <v>6357</v>
      </c>
      <c r="F897" s="372" t="s">
        <v>1357</v>
      </c>
      <c r="G897" s="375" t="s">
        <v>1357</v>
      </c>
      <c r="H897" s="375" t="s">
        <v>826</v>
      </c>
      <c r="I897" s="375" t="s">
        <v>754</v>
      </c>
      <c r="J897" s="375">
        <v>148502.64485000001</v>
      </c>
      <c r="K897" s="375">
        <v>-3512.2552300000002</v>
      </c>
      <c r="L897" s="375">
        <v>8296.6366999999991</v>
      </c>
      <c r="M897" s="375">
        <v>535724.21704000002</v>
      </c>
      <c r="N897" s="372">
        <v>1.1539999999999999</v>
      </c>
      <c r="O897" s="704">
        <v>9.3665469169567235</v>
      </c>
      <c r="P897" s="375" t="s">
        <v>622</v>
      </c>
      <c r="Q897" s="372" t="s">
        <v>622</v>
      </c>
      <c r="R897" s="696">
        <v>20041222</v>
      </c>
      <c r="S897" s="372" t="s">
        <v>6358</v>
      </c>
      <c r="T897" s="697">
        <v>0.20900000000000002</v>
      </c>
      <c r="U897" s="372" t="s">
        <v>6359</v>
      </c>
      <c r="V897" s="723">
        <v>44.85</v>
      </c>
      <c r="W897" s="723">
        <v>0.46</v>
      </c>
      <c r="X897" s="723">
        <v>1.26</v>
      </c>
      <c r="Y897" s="723">
        <v>21.21</v>
      </c>
      <c r="Z897" s="382" t="s">
        <v>927</v>
      </c>
      <c r="AA897" s="372">
        <v>1686.5678598</v>
      </c>
      <c r="AB897" s="372">
        <v>1876.6397595999999</v>
      </c>
      <c r="AC897" s="372">
        <v>1868.3681403000001</v>
      </c>
      <c r="AD897" s="372">
        <v>1544.5787049</v>
      </c>
      <c r="AE897" s="372">
        <v>4855</v>
      </c>
      <c r="AF897" s="372">
        <v>0</v>
      </c>
      <c r="AG897" s="372">
        <v>0</v>
      </c>
      <c r="AH897" s="372">
        <v>0</v>
      </c>
    </row>
    <row r="898" spans="1:34">
      <c r="A898" s="372" t="s">
        <v>6360</v>
      </c>
      <c r="B898" s="373" t="s">
        <v>6361</v>
      </c>
      <c r="C898" s="372" t="s">
        <v>6362</v>
      </c>
      <c r="D898" s="374">
        <v>1101112559411</v>
      </c>
      <c r="E898" s="372" t="s">
        <v>6363</v>
      </c>
      <c r="F898" s="375" t="s">
        <v>6364</v>
      </c>
      <c r="G898" s="375" t="s">
        <v>6364</v>
      </c>
      <c r="H898" s="375" t="s">
        <v>817</v>
      </c>
      <c r="I898" s="375" t="s">
        <v>754</v>
      </c>
      <c r="J898" s="375">
        <v>40879.939729999998</v>
      </c>
      <c r="K898" s="375">
        <v>-756.90156999999999</v>
      </c>
      <c r="L898" s="375">
        <v>8994.4415800000006</v>
      </c>
      <c r="M898" s="375">
        <v>174442.97289999999</v>
      </c>
      <c r="N898" s="372">
        <v>0.67300000000000004</v>
      </c>
      <c r="O898" s="704">
        <v>7.9927427356484768E-2</v>
      </c>
      <c r="P898" s="375" t="s">
        <v>622</v>
      </c>
      <c r="Q898" s="375" t="s">
        <v>622</v>
      </c>
      <c r="R898" s="696">
        <v>20020805</v>
      </c>
      <c r="S898" s="375" t="s">
        <v>6365</v>
      </c>
      <c r="T898" s="697">
        <v>0.20900000000000002</v>
      </c>
      <c r="U898" s="372" t="s">
        <v>6366</v>
      </c>
      <c r="V898" s="723">
        <v>0</v>
      </c>
      <c r="W898" s="723">
        <v>0</v>
      </c>
      <c r="X898" s="723">
        <v>0</v>
      </c>
      <c r="Y898" s="723">
        <v>0</v>
      </c>
      <c r="Z898" s="382" t="s">
        <v>927</v>
      </c>
      <c r="AA898" s="372">
        <v>1671.0617597999999</v>
      </c>
      <c r="AB898" s="372">
        <v>1874.7954015</v>
      </c>
      <c r="AC898" s="372">
        <v>449.23919260000002</v>
      </c>
      <c r="AD898" s="372">
        <v>418.0558264</v>
      </c>
      <c r="AE898" s="372">
        <v>0</v>
      </c>
      <c r="AF898" s="372">
        <v>0</v>
      </c>
      <c r="AG898" s="372">
        <v>0</v>
      </c>
      <c r="AH898" s="372">
        <v>0</v>
      </c>
    </row>
    <row r="899" spans="1:34">
      <c r="A899" s="372" t="s">
        <v>6367</v>
      </c>
      <c r="B899" s="373" t="s">
        <v>6368</v>
      </c>
      <c r="C899" s="372" t="s">
        <v>6369</v>
      </c>
      <c r="D899" s="374">
        <v>1101114045848</v>
      </c>
      <c r="E899" s="372" t="s">
        <v>6370</v>
      </c>
      <c r="F899" s="375" t="s">
        <v>5514</v>
      </c>
      <c r="G899" s="375" t="s">
        <v>5514</v>
      </c>
      <c r="H899" s="375" t="s">
        <v>861</v>
      </c>
      <c r="I899" s="375" t="s">
        <v>862</v>
      </c>
      <c r="J899" s="375">
        <v>469299.19912</v>
      </c>
      <c r="K899" s="375">
        <v>25833.868210000001</v>
      </c>
      <c r="L899" s="375">
        <v>36785.503490000003</v>
      </c>
      <c r="M899" s="375">
        <v>488589.70288</v>
      </c>
      <c r="N899" s="372">
        <v>0.71299999999999997</v>
      </c>
      <c r="O899" s="704">
        <v>1.7391664997839891</v>
      </c>
      <c r="P899" s="375" t="s">
        <v>622</v>
      </c>
      <c r="Q899" s="372" t="s">
        <v>622</v>
      </c>
      <c r="R899" s="696">
        <v>20141105</v>
      </c>
      <c r="S899" s="372" t="s">
        <v>6371</v>
      </c>
      <c r="T899" s="697">
        <v>0.23100000000000001</v>
      </c>
      <c r="U899" s="372" t="s">
        <v>6372</v>
      </c>
      <c r="V899" s="723">
        <v>3.84</v>
      </c>
      <c r="W899" s="723">
        <v>0.28999999999999998</v>
      </c>
      <c r="X899" s="723">
        <v>0.3</v>
      </c>
      <c r="Y899" s="723">
        <v>5.32</v>
      </c>
      <c r="Z899" s="382" t="s">
        <v>927</v>
      </c>
      <c r="AA899" s="372">
        <v>4033.1902624999998</v>
      </c>
      <c r="AB899" s="372">
        <v>3857.5121066000002</v>
      </c>
      <c r="AC899" s="372">
        <v>4458.9642629999998</v>
      </c>
      <c r="AD899" s="372">
        <v>4473.9885943999998</v>
      </c>
      <c r="AE899" s="372">
        <v>4630</v>
      </c>
      <c r="AF899" s="372">
        <v>4840</v>
      </c>
      <c r="AG899" s="372">
        <v>0</v>
      </c>
      <c r="AH899" s="372">
        <v>0</v>
      </c>
    </row>
    <row r="900" spans="1:34">
      <c r="A900" s="372" t="s">
        <v>6373</v>
      </c>
      <c r="B900" s="373" t="s">
        <v>6374</v>
      </c>
      <c r="C900" s="372" t="s">
        <v>6375</v>
      </c>
      <c r="D900" s="374">
        <v>1101110191562</v>
      </c>
      <c r="E900" s="372" t="s">
        <v>6376</v>
      </c>
      <c r="F900" s="372" t="s">
        <v>1249</v>
      </c>
      <c r="G900" s="375" t="s">
        <v>1249</v>
      </c>
      <c r="H900" s="375" t="s">
        <v>784</v>
      </c>
      <c r="I900" s="375" t="s">
        <v>754</v>
      </c>
      <c r="J900" s="375">
        <v>37969.421719999998</v>
      </c>
      <c r="K900" s="375">
        <v>-44450.147830000002</v>
      </c>
      <c r="L900" s="375">
        <v>-72557.203380000006</v>
      </c>
      <c r="M900" s="375">
        <v>88279.389169999995</v>
      </c>
      <c r="N900" s="372">
        <v>0.49299999999999999</v>
      </c>
      <c r="O900" s="704">
        <v>11.684091520421674</v>
      </c>
      <c r="P900" s="375" t="s">
        <v>622</v>
      </c>
      <c r="Q900" s="375" t="s">
        <v>622</v>
      </c>
      <c r="R900" s="696">
        <v>19871116</v>
      </c>
      <c r="S900" s="375" t="s">
        <v>6377</v>
      </c>
      <c r="T900" s="697" t="s">
        <v>771</v>
      </c>
      <c r="U900" s="375" t="s">
        <v>6378</v>
      </c>
      <c r="V900" s="723" t="s">
        <v>773</v>
      </c>
      <c r="W900" s="723">
        <v>2.29</v>
      </c>
      <c r="X900" s="723">
        <v>5.46</v>
      </c>
      <c r="Y900" s="723" t="s">
        <v>773</v>
      </c>
      <c r="Z900" s="382" t="s">
        <v>927</v>
      </c>
      <c r="AA900" s="372">
        <v>415.02728969999998</v>
      </c>
      <c r="AB900" s="372">
        <v>387.00355309999998</v>
      </c>
      <c r="AC900" s="372">
        <v>487.18300169999998</v>
      </c>
      <c r="AD900" s="372">
        <v>402.029111</v>
      </c>
      <c r="AE900" s="372">
        <v>0</v>
      </c>
      <c r="AF900" s="372">
        <v>0</v>
      </c>
      <c r="AG900" s="372">
        <v>0</v>
      </c>
      <c r="AH900" s="372">
        <v>0</v>
      </c>
    </row>
    <row r="901" spans="1:34">
      <c r="A901" s="372" t="s">
        <v>6379</v>
      </c>
      <c r="B901" s="373" t="s">
        <v>6380</v>
      </c>
      <c r="C901" s="372" t="s">
        <v>6381</v>
      </c>
      <c r="D901" s="374">
        <v>1101116250940</v>
      </c>
      <c r="E901" s="372" t="s">
        <v>6382</v>
      </c>
      <c r="F901" s="375" t="s">
        <v>1116</v>
      </c>
      <c r="G901" s="375" t="s">
        <v>1336</v>
      </c>
      <c r="H901" s="375" t="s">
        <v>1337</v>
      </c>
      <c r="I901" s="375" t="s">
        <v>862</v>
      </c>
      <c r="J901" s="375">
        <v>7670.6927800000003</v>
      </c>
      <c r="K901" s="375">
        <v>-18082.430380000002</v>
      </c>
      <c r="L901" s="375">
        <v>-22390.388940000001</v>
      </c>
      <c r="M901" s="375">
        <v>44143.617539999999</v>
      </c>
      <c r="N901" s="372">
        <v>0.78800000000000003</v>
      </c>
      <c r="O901" s="704">
        <v>28.198946566591086</v>
      </c>
      <c r="P901" s="375" t="s">
        <v>622</v>
      </c>
      <c r="Q901" s="375" t="s">
        <v>622</v>
      </c>
      <c r="R901" s="696">
        <v>20191122</v>
      </c>
      <c r="S901" s="375" t="s">
        <v>6383</v>
      </c>
      <c r="T901" s="697" t="s">
        <v>771</v>
      </c>
      <c r="U901" s="372" t="s">
        <v>6384</v>
      </c>
      <c r="V901" s="723" t="s">
        <v>773</v>
      </c>
      <c r="W901" s="723">
        <v>4.18</v>
      </c>
      <c r="X901" s="723">
        <v>24</v>
      </c>
      <c r="Y901" s="723" t="s">
        <v>773</v>
      </c>
      <c r="Z901" s="382" t="s">
        <v>927</v>
      </c>
      <c r="AA901" s="372">
        <v>10.4895</v>
      </c>
      <c r="AB901" s="372">
        <v>0.56797540000000002</v>
      </c>
      <c r="AC901" s="372">
        <v>91.175698100000005</v>
      </c>
      <c r="AD901" s="372">
        <v>48.987751899999999</v>
      </c>
      <c r="AE901" s="372">
        <v>11</v>
      </c>
      <c r="AF901" s="372">
        <v>0</v>
      </c>
      <c r="AG901" s="372">
        <v>0</v>
      </c>
      <c r="AH901" s="372">
        <v>0</v>
      </c>
    </row>
    <row r="902" spans="1:34">
      <c r="A902" s="372" t="s">
        <v>6385</v>
      </c>
      <c r="B902" s="373" t="s">
        <v>6386</v>
      </c>
      <c r="C902" s="372" t="s">
        <v>6387</v>
      </c>
      <c r="D902" s="374">
        <v>1101117608502</v>
      </c>
      <c r="E902" s="372" t="s">
        <v>6388</v>
      </c>
      <c r="F902" s="375" t="s">
        <v>893</v>
      </c>
      <c r="G902" s="375" t="s">
        <v>894</v>
      </c>
      <c r="H902" s="375" t="s">
        <v>855</v>
      </c>
      <c r="I902" s="375" t="s">
        <v>754</v>
      </c>
      <c r="J902" s="375">
        <v>321938.32326999999</v>
      </c>
      <c r="K902" s="375">
        <v>-379337.19169000001</v>
      </c>
      <c r="L902" s="375">
        <v>-687112.24815999996</v>
      </c>
      <c r="M902" s="375">
        <v>901750.55374</v>
      </c>
      <c r="N902" s="372">
        <v>0.68300000000000005</v>
      </c>
      <c r="O902" s="704">
        <v>560.53821937336102</v>
      </c>
      <c r="P902" s="375" t="s">
        <v>622</v>
      </c>
      <c r="Q902" s="372" t="s">
        <v>622</v>
      </c>
      <c r="R902" s="696">
        <v>20200922</v>
      </c>
      <c r="S902" s="372" t="s">
        <v>2638</v>
      </c>
      <c r="T902" s="697" t="s">
        <v>771</v>
      </c>
      <c r="U902" s="372" t="s">
        <v>6389</v>
      </c>
      <c r="V902" s="723" t="s">
        <v>773</v>
      </c>
      <c r="W902" s="723">
        <v>0.2</v>
      </c>
      <c r="X902" s="723">
        <v>0.56999999999999995</v>
      </c>
      <c r="Y902" s="723" t="s">
        <v>773</v>
      </c>
      <c r="Z902" s="382" t="s">
        <v>927</v>
      </c>
      <c r="AA902" s="372">
        <v>928.98822800000005</v>
      </c>
      <c r="AB902" s="372">
        <v>2952.1001848000001</v>
      </c>
      <c r="AC902" s="372">
        <v>3326.2410558000001</v>
      </c>
      <c r="AD902" s="372">
        <v>3253.9195243999998</v>
      </c>
      <c r="AE902" s="372">
        <v>3800</v>
      </c>
      <c r="AF902" s="372">
        <v>3588</v>
      </c>
      <c r="AG902" s="372">
        <v>0</v>
      </c>
      <c r="AH902" s="372">
        <v>0</v>
      </c>
    </row>
    <row r="903" spans="1:34">
      <c r="A903" s="372" t="s">
        <v>6390</v>
      </c>
      <c r="B903" s="373" t="s">
        <v>6391</v>
      </c>
      <c r="C903" s="372" t="s">
        <v>6392</v>
      </c>
      <c r="D903" s="374">
        <v>1741110000618</v>
      </c>
      <c r="E903" s="372" t="s">
        <v>6393</v>
      </c>
      <c r="F903" s="375" t="s">
        <v>7212</v>
      </c>
      <c r="G903" s="375" t="s">
        <v>16122</v>
      </c>
      <c r="H903" s="375" t="s">
        <v>3957</v>
      </c>
      <c r="I903" s="375" t="s">
        <v>754</v>
      </c>
      <c r="J903" s="375">
        <v>809667.02127999999</v>
      </c>
      <c r="K903" s="375">
        <v>34734.390339999998</v>
      </c>
      <c r="L903" s="375">
        <v>-6564.8947099999996</v>
      </c>
      <c r="M903" s="375">
        <v>450210.84869000001</v>
      </c>
      <c r="N903" s="372">
        <v>0.67600000000000005</v>
      </c>
      <c r="O903" s="704">
        <v>108.79452768817559</v>
      </c>
      <c r="P903" s="375" t="s">
        <v>622</v>
      </c>
      <c r="Q903" s="372" t="s">
        <v>622</v>
      </c>
      <c r="R903" s="696">
        <v>19960703</v>
      </c>
      <c r="S903" s="372" t="s">
        <v>6394</v>
      </c>
      <c r="T903" s="697" t="s">
        <v>771</v>
      </c>
      <c r="U903" s="375" t="s">
        <v>6395</v>
      </c>
      <c r="V903" s="723">
        <v>8.26</v>
      </c>
      <c r="W903" s="723">
        <v>0.45</v>
      </c>
      <c r="X903" s="723">
        <v>0.25</v>
      </c>
      <c r="Y903" s="723" t="s">
        <v>773</v>
      </c>
      <c r="Z903" s="382" t="s">
        <v>927</v>
      </c>
      <c r="AA903" s="372">
        <v>1895.1684716</v>
      </c>
      <c r="AB903" s="372">
        <v>2044.3456325</v>
      </c>
      <c r="AC903" s="372">
        <v>6847.8284600999996</v>
      </c>
      <c r="AD903" s="372">
        <v>7120.2709484999996</v>
      </c>
      <c r="AE903" s="372">
        <v>0</v>
      </c>
      <c r="AF903" s="372">
        <v>0</v>
      </c>
      <c r="AG903" s="372">
        <v>0</v>
      </c>
      <c r="AH903" s="372">
        <v>0</v>
      </c>
    </row>
    <row r="904" spans="1:34">
      <c r="A904" s="372" t="s">
        <v>6396</v>
      </c>
      <c r="B904" s="373" t="s">
        <v>6397</v>
      </c>
      <c r="C904" s="372" t="s">
        <v>6398</v>
      </c>
      <c r="D904" s="374">
        <v>1311110237931</v>
      </c>
      <c r="E904" s="372" t="s">
        <v>6399</v>
      </c>
      <c r="F904" s="375" t="s">
        <v>824</v>
      </c>
      <c r="G904" s="375" t="s">
        <v>16108</v>
      </c>
      <c r="H904" s="375" t="s">
        <v>861</v>
      </c>
      <c r="I904" s="375" t="s">
        <v>862</v>
      </c>
      <c r="J904" s="375">
        <v>37048.472750000001</v>
      </c>
      <c r="K904" s="375">
        <v>4668.2289700000001</v>
      </c>
      <c r="L904" s="375">
        <v>4728.1929600000003</v>
      </c>
      <c r="M904" s="375">
        <v>52244.742250000003</v>
      </c>
      <c r="N904" s="372">
        <v>0.625</v>
      </c>
      <c r="O904" s="704">
        <v>15.71130105872521</v>
      </c>
      <c r="P904" s="375" t="s">
        <v>622</v>
      </c>
      <c r="Q904" s="375" t="s">
        <v>622</v>
      </c>
      <c r="R904" s="696">
        <v>20160816</v>
      </c>
      <c r="S904" s="375" t="s">
        <v>6400</v>
      </c>
      <c r="T904" s="697">
        <v>0.20900000000000002</v>
      </c>
      <c r="U904" s="372" t="s">
        <v>6401</v>
      </c>
      <c r="V904" s="723">
        <v>0</v>
      </c>
      <c r="W904" s="723">
        <v>0</v>
      </c>
      <c r="X904" s="723">
        <v>0</v>
      </c>
      <c r="Y904" s="723">
        <v>0</v>
      </c>
      <c r="Z904" s="382" t="s">
        <v>927</v>
      </c>
      <c r="AA904" s="372">
        <v>85.398042700000005</v>
      </c>
      <c r="AB904" s="372">
        <v>240.58981</v>
      </c>
      <c r="AC904" s="372">
        <v>350.43741540000002</v>
      </c>
      <c r="AD904" s="372">
        <v>401.81180330000001</v>
      </c>
      <c r="AE904" s="372">
        <v>0</v>
      </c>
      <c r="AF904" s="372">
        <v>64</v>
      </c>
      <c r="AG904" s="372">
        <v>0</v>
      </c>
      <c r="AH904" s="372">
        <v>0</v>
      </c>
    </row>
    <row r="905" spans="1:34">
      <c r="A905" s="372" t="s">
        <v>6402</v>
      </c>
      <c r="B905" s="373" t="s">
        <v>6403</v>
      </c>
      <c r="C905" s="372" t="s">
        <v>6404</v>
      </c>
      <c r="D905" s="374">
        <v>1101111911050</v>
      </c>
      <c r="E905" s="372" t="s">
        <v>6405</v>
      </c>
      <c r="F905" s="375" t="s">
        <v>1370</v>
      </c>
      <c r="G905" s="375" t="s">
        <v>1370</v>
      </c>
      <c r="H905" s="375" t="s">
        <v>861</v>
      </c>
      <c r="I905" s="375" t="s">
        <v>862</v>
      </c>
      <c r="J905" s="375">
        <v>287220.71885</v>
      </c>
      <c r="K905" s="375">
        <v>10678.251109999999</v>
      </c>
      <c r="L905" s="375">
        <v>35009.65612</v>
      </c>
      <c r="M905" s="375">
        <v>344873.00169</v>
      </c>
      <c r="N905" s="372">
        <v>0.78300000000000003</v>
      </c>
      <c r="O905" s="704">
        <v>33.863526400881369</v>
      </c>
      <c r="P905" s="375" t="s">
        <v>622</v>
      </c>
      <c r="Q905" s="372" t="s">
        <v>622</v>
      </c>
      <c r="R905" s="696">
        <v>20041210</v>
      </c>
      <c r="S905" s="372" t="s">
        <v>6406</v>
      </c>
      <c r="T905" s="697">
        <v>0.23100000000000001</v>
      </c>
      <c r="U905" s="372" t="s">
        <v>6407</v>
      </c>
      <c r="V905" s="723">
        <v>9.61</v>
      </c>
      <c r="W905" s="723">
        <v>0.5</v>
      </c>
      <c r="X905" s="723">
        <v>0.61</v>
      </c>
      <c r="Y905" s="723">
        <v>6.42</v>
      </c>
      <c r="Z905" s="382">
        <v>5.2285881806055423E-2</v>
      </c>
      <c r="AA905" s="372">
        <v>2690.4301034999999</v>
      </c>
      <c r="AB905" s="372">
        <v>3064.6382924</v>
      </c>
      <c r="AC905" s="372">
        <v>2761.1684215999999</v>
      </c>
      <c r="AD905" s="372">
        <v>2795.7983141999998</v>
      </c>
      <c r="AE905" s="372">
        <v>3187</v>
      </c>
      <c r="AF905" s="372">
        <v>3202</v>
      </c>
      <c r="AG905" s="372">
        <v>3428</v>
      </c>
      <c r="AH905" s="372">
        <v>0</v>
      </c>
    </row>
    <row r="906" spans="1:34">
      <c r="A906" s="372" t="s">
        <v>6408</v>
      </c>
      <c r="B906" s="373" t="s">
        <v>6409</v>
      </c>
      <c r="C906" s="372" t="s">
        <v>6410</v>
      </c>
      <c r="D906" s="374">
        <v>1701110179623</v>
      </c>
      <c r="E906" s="372" t="s">
        <v>6411</v>
      </c>
      <c r="F906" s="375" t="s">
        <v>1177</v>
      </c>
      <c r="G906" s="375" t="s">
        <v>1178</v>
      </c>
      <c r="H906" s="375" t="s">
        <v>861</v>
      </c>
      <c r="I906" s="375" t="s">
        <v>862</v>
      </c>
      <c r="J906" s="375">
        <v>87006.771470000007</v>
      </c>
      <c r="K906" s="375">
        <v>9737.4748099999997</v>
      </c>
      <c r="L906" s="375">
        <v>11435.453369999999</v>
      </c>
      <c r="M906" s="375">
        <v>151040.12075</v>
      </c>
      <c r="N906" s="372">
        <v>0.86299999999999999</v>
      </c>
      <c r="O906" s="704">
        <v>0</v>
      </c>
      <c r="P906" s="375" t="s">
        <v>622</v>
      </c>
      <c r="Q906" s="375" t="s">
        <v>622</v>
      </c>
      <c r="R906" s="696">
        <v>20121106</v>
      </c>
      <c r="S906" s="372" t="s">
        <v>6412</v>
      </c>
      <c r="T906" s="697">
        <v>0.20900000000000002</v>
      </c>
      <c r="U906" s="372" t="s">
        <v>6413</v>
      </c>
      <c r="V906" s="723">
        <v>0</v>
      </c>
      <c r="W906" s="723">
        <v>0</v>
      </c>
      <c r="X906" s="723">
        <v>0</v>
      </c>
      <c r="Y906" s="723">
        <v>0</v>
      </c>
      <c r="Z906" s="382" t="s">
        <v>927</v>
      </c>
      <c r="AA906" s="372">
        <v>757.26669319999996</v>
      </c>
      <c r="AB906" s="372">
        <v>807.47035229999994</v>
      </c>
      <c r="AC906" s="372">
        <v>731.83893390000003</v>
      </c>
      <c r="AD906" s="372">
        <v>757.71249550000005</v>
      </c>
      <c r="AE906" s="372">
        <v>0</v>
      </c>
      <c r="AF906" s="372">
        <v>0</v>
      </c>
      <c r="AG906" s="372">
        <v>0</v>
      </c>
      <c r="AH906" s="372">
        <v>0</v>
      </c>
    </row>
    <row r="907" spans="1:34">
      <c r="A907" s="372" t="s">
        <v>6414</v>
      </c>
      <c r="B907" s="373" t="s">
        <v>6415</v>
      </c>
      <c r="C907" s="372" t="s">
        <v>6416</v>
      </c>
      <c r="D907" s="374">
        <v>1101110086169</v>
      </c>
      <c r="E907" s="372" t="s">
        <v>6417</v>
      </c>
      <c r="F907" s="375" t="s">
        <v>893</v>
      </c>
      <c r="G907" s="375" t="s">
        <v>894</v>
      </c>
      <c r="H907" s="375" t="s">
        <v>895</v>
      </c>
      <c r="I907" s="375" t="s">
        <v>862</v>
      </c>
      <c r="J907" s="375">
        <v>383563.23454999999</v>
      </c>
      <c r="K907" s="375">
        <v>35794.096140000001</v>
      </c>
      <c r="L907" s="375">
        <v>36937.715459999999</v>
      </c>
      <c r="M907" s="375">
        <v>394674.31001999998</v>
      </c>
      <c r="N907" s="372">
        <v>0.59899999999999998</v>
      </c>
      <c r="O907" s="704">
        <v>22.890507286661631</v>
      </c>
      <c r="P907" s="375" t="s">
        <v>622</v>
      </c>
      <c r="Q907" s="375" t="s">
        <v>622</v>
      </c>
      <c r="R907" s="696">
        <v>20000801</v>
      </c>
      <c r="S907" s="375" t="s">
        <v>6418</v>
      </c>
      <c r="T907" s="697">
        <v>0.23100000000000001</v>
      </c>
      <c r="U907" s="372" t="s">
        <v>6419</v>
      </c>
      <c r="V907" s="723">
        <v>6.37</v>
      </c>
      <c r="W907" s="723">
        <v>0.85</v>
      </c>
      <c r="X907" s="723">
        <v>0.5</v>
      </c>
      <c r="Y907" s="723">
        <v>204.82</v>
      </c>
      <c r="Z907" s="382" t="s">
        <v>927</v>
      </c>
      <c r="AA907" s="372">
        <v>3075.9221421000002</v>
      </c>
      <c r="AB907" s="372">
        <v>3238.0258130000002</v>
      </c>
      <c r="AC907" s="372">
        <v>3476.8937261999999</v>
      </c>
      <c r="AD907" s="372">
        <v>3528.9250906000002</v>
      </c>
      <c r="AE907" s="372">
        <v>0</v>
      </c>
      <c r="AF907" s="372">
        <v>0</v>
      </c>
      <c r="AG907" s="372">
        <v>0</v>
      </c>
      <c r="AH907" s="372">
        <v>0</v>
      </c>
    </row>
    <row r="908" spans="1:34">
      <c r="A908" s="372" t="s">
        <v>6420</v>
      </c>
      <c r="B908" s="373" t="s">
        <v>6421</v>
      </c>
      <c r="C908" s="372" t="s">
        <v>6422</v>
      </c>
      <c r="D908" s="374">
        <v>1201110038639</v>
      </c>
      <c r="E908" s="372" t="s">
        <v>6423</v>
      </c>
      <c r="F908" s="375" t="s">
        <v>6424</v>
      </c>
      <c r="G908" s="375" t="s">
        <v>6425</v>
      </c>
      <c r="H908" s="375" t="s">
        <v>861</v>
      </c>
      <c r="I908" s="375" t="s">
        <v>862</v>
      </c>
      <c r="J908" s="375">
        <v>561703.69085000001</v>
      </c>
      <c r="K908" s="375">
        <v>49372.8986</v>
      </c>
      <c r="L908" s="375">
        <v>22267.732639999998</v>
      </c>
      <c r="M908" s="375">
        <v>387446.80742000003</v>
      </c>
      <c r="N908" s="372">
        <v>0.81200000000000006</v>
      </c>
      <c r="O908" s="704">
        <v>337.04652286751571</v>
      </c>
      <c r="P908" s="375" t="s">
        <v>622</v>
      </c>
      <c r="Q908" s="375" t="s">
        <v>622</v>
      </c>
      <c r="R908" s="696">
        <v>19970806</v>
      </c>
      <c r="S908" s="375" t="s">
        <v>6426</v>
      </c>
      <c r="T908" s="697">
        <v>0.23100000000000001</v>
      </c>
      <c r="U908" s="372" t="s">
        <v>6427</v>
      </c>
      <c r="V908" s="723">
        <v>7.41</v>
      </c>
      <c r="W908" s="723">
        <v>0.52</v>
      </c>
      <c r="X908" s="723">
        <v>0.34</v>
      </c>
      <c r="Y908" s="723">
        <v>12.81</v>
      </c>
      <c r="Z908" s="382" t="s">
        <v>927</v>
      </c>
      <c r="AA908" s="372">
        <v>3742.0967006000001</v>
      </c>
      <c r="AB908" s="372">
        <v>4578.1319413000001</v>
      </c>
      <c r="AC908" s="372">
        <v>5498.0069006000003</v>
      </c>
      <c r="AD908" s="372">
        <v>5531.8169584999996</v>
      </c>
      <c r="AE908" s="372">
        <v>0</v>
      </c>
      <c r="AF908" s="372">
        <v>0</v>
      </c>
      <c r="AG908" s="372">
        <v>0</v>
      </c>
      <c r="AH908" s="372">
        <v>0</v>
      </c>
    </row>
    <row r="909" spans="1:34">
      <c r="A909" s="372" t="s">
        <v>6428</v>
      </c>
      <c r="B909" s="373" t="s">
        <v>6429</v>
      </c>
      <c r="C909" s="372" t="s">
        <v>6430</v>
      </c>
      <c r="D909" s="374">
        <v>1812110000443</v>
      </c>
      <c r="E909" s="372" t="s">
        <v>6431</v>
      </c>
      <c r="F909" s="375" t="s">
        <v>2007</v>
      </c>
      <c r="G909" s="375" t="s">
        <v>2007</v>
      </c>
      <c r="H909" s="375" t="s">
        <v>792</v>
      </c>
      <c r="I909" s="375" t="s">
        <v>754</v>
      </c>
      <c r="J909" s="375">
        <v>1541021.38882</v>
      </c>
      <c r="K909" s="375">
        <v>52928.338389999997</v>
      </c>
      <c r="L909" s="375">
        <v>62128.083740000002</v>
      </c>
      <c r="M909" s="375">
        <v>382018.83558000001</v>
      </c>
      <c r="N909" s="372">
        <v>0.82399999999999995</v>
      </c>
      <c r="O909" s="704">
        <v>159.89841560078</v>
      </c>
      <c r="P909" s="375" t="s">
        <v>622</v>
      </c>
      <c r="Q909" s="375" t="s">
        <v>622</v>
      </c>
      <c r="R909" s="696">
        <v>19871002</v>
      </c>
      <c r="S909" s="375" t="s">
        <v>6432</v>
      </c>
      <c r="T909" s="697">
        <v>0.23100000000000001</v>
      </c>
      <c r="U909" s="372" t="s">
        <v>6433</v>
      </c>
      <c r="V909" s="723">
        <v>3.08</v>
      </c>
      <c r="W909" s="723">
        <v>0.33</v>
      </c>
      <c r="X909" s="723">
        <v>0.08</v>
      </c>
      <c r="Y909" s="723">
        <v>3.14</v>
      </c>
      <c r="Z909" s="382" t="s">
        <v>927</v>
      </c>
      <c r="AA909" s="372">
        <v>8815.6828590999994</v>
      </c>
      <c r="AB909" s="372">
        <v>10039.278308499999</v>
      </c>
      <c r="AC909" s="372">
        <v>13713.538480200001</v>
      </c>
      <c r="AD909" s="372">
        <v>15108.058666000001</v>
      </c>
      <c r="AE909" s="372">
        <v>0</v>
      </c>
      <c r="AF909" s="372">
        <v>0</v>
      </c>
      <c r="AG909" s="372">
        <v>0</v>
      </c>
      <c r="AH909" s="372">
        <v>0</v>
      </c>
    </row>
    <row r="910" spans="1:34">
      <c r="A910" s="372" t="s">
        <v>6434</v>
      </c>
      <c r="B910" s="373" t="s">
        <v>6435</v>
      </c>
      <c r="C910" s="372" t="s">
        <v>6436</v>
      </c>
      <c r="D910" s="374">
        <v>1101110072928</v>
      </c>
      <c r="E910" s="372" t="s">
        <v>6437</v>
      </c>
      <c r="F910" s="372" t="s">
        <v>1466</v>
      </c>
      <c r="G910" s="375" t="s">
        <v>1467</v>
      </c>
      <c r="H910" s="375" t="s">
        <v>1468</v>
      </c>
      <c r="I910" s="375" t="s">
        <v>754</v>
      </c>
      <c r="J910" s="375">
        <v>1177131.7402300001</v>
      </c>
      <c r="K910" s="375">
        <v>92291.411670000001</v>
      </c>
      <c r="L910" s="375">
        <v>85403.108630000002</v>
      </c>
      <c r="M910" s="375">
        <v>567979.22843999998</v>
      </c>
      <c r="N910" s="372">
        <v>0.80400000000000005</v>
      </c>
      <c r="O910" s="704">
        <v>258.07817600012498</v>
      </c>
      <c r="P910" s="375" t="s">
        <v>622</v>
      </c>
      <c r="Q910" s="372" t="s">
        <v>622</v>
      </c>
      <c r="R910" s="696">
        <v>19760630</v>
      </c>
      <c r="S910" s="372" t="s">
        <v>6438</v>
      </c>
      <c r="T910" s="697">
        <v>0.23100000000000001</v>
      </c>
      <c r="U910" s="372" t="s">
        <v>6439</v>
      </c>
      <c r="V910" s="723">
        <v>4.5199999999999996</v>
      </c>
      <c r="W910" s="723">
        <v>0.36</v>
      </c>
      <c r="X910" s="723">
        <v>0.17</v>
      </c>
      <c r="Y910" s="723">
        <v>2.63</v>
      </c>
      <c r="Z910" s="382">
        <v>3.5906818042912958E-2</v>
      </c>
      <c r="AA910" s="372">
        <v>7223.0559585999999</v>
      </c>
      <c r="AB910" s="372">
        <v>8335.4356384000002</v>
      </c>
      <c r="AC910" s="372">
        <v>10304.143299400001</v>
      </c>
      <c r="AD910" s="372">
        <v>11132.821845300001</v>
      </c>
      <c r="AE910" s="372">
        <v>11830</v>
      </c>
      <c r="AF910" s="372">
        <v>12100</v>
      </c>
      <c r="AG910" s="372">
        <v>12820</v>
      </c>
      <c r="AH910" s="372">
        <v>0</v>
      </c>
    </row>
    <row r="911" spans="1:34">
      <c r="A911" s="372" t="s">
        <v>6440</v>
      </c>
      <c r="B911" s="373" t="s">
        <v>6441</v>
      </c>
      <c r="C911" s="372" t="s">
        <v>6442</v>
      </c>
      <c r="D911" s="374">
        <v>1101114179457</v>
      </c>
      <c r="E911" s="372" t="s">
        <v>6443</v>
      </c>
      <c r="F911" s="375" t="s">
        <v>1370</v>
      </c>
      <c r="G911" s="375" t="s">
        <v>1370</v>
      </c>
      <c r="H911" s="375" t="s">
        <v>861</v>
      </c>
      <c r="I911" s="375" t="s">
        <v>862</v>
      </c>
      <c r="J911" s="375">
        <v>122.33404</v>
      </c>
      <c r="K911" s="375">
        <v>-13494.37451</v>
      </c>
      <c r="L911" s="375">
        <v>-16377.4918</v>
      </c>
      <c r="M911" s="375">
        <v>29081.272229999999</v>
      </c>
      <c r="N911" s="372">
        <v>0.98299999999999998</v>
      </c>
      <c r="O911" s="704">
        <v>10.691679079902674</v>
      </c>
      <c r="P911" s="375" t="s">
        <v>622</v>
      </c>
      <c r="Q911" s="375" t="s">
        <v>622</v>
      </c>
      <c r="R911" s="696">
        <v>20191217</v>
      </c>
      <c r="S911" s="375" t="s">
        <v>6444</v>
      </c>
      <c r="T911" s="697" t="s">
        <v>771</v>
      </c>
      <c r="U911" s="375" t="s">
        <v>6445</v>
      </c>
      <c r="V911" s="723" t="s">
        <v>773</v>
      </c>
      <c r="W911" s="723">
        <v>3.01</v>
      </c>
      <c r="X911" s="723">
        <v>715.43</v>
      </c>
      <c r="Y911" s="723" t="s">
        <v>773</v>
      </c>
      <c r="Z911" s="382" t="s">
        <v>927</v>
      </c>
      <c r="AA911" s="372">
        <v>6.0967668000000002</v>
      </c>
      <c r="AB911" s="372">
        <v>3.1665855999999999</v>
      </c>
      <c r="AC911" s="372">
        <v>2.4399156</v>
      </c>
      <c r="AD911" s="372">
        <v>1.2340580000000001</v>
      </c>
      <c r="AE911" s="372">
        <v>0</v>
      </c>
      <c r="AF911" s="372">
        <v>0</v>
      </c>
      <c r="AG911" s="372">
        <v>0</v>
      </c>
      <c r="AH911" s="372">
        <v>0</v>
      </c>
    </row>
    <row r="912" spans="1:34">
      <c r="A912" s="372" t="s">
        <v>6446</v>
      </c>
      <c r="B912" s="373" t="s">
        <v>6447</v>
      </c>
      <c r="C912" s="372" t="s">
        <v>6448</v>
      </c>
      <c r="D912" s="374">
        <v>1311110000205</v>
      </c>
      <c r="E912" s="372" t="s">
        <v>6449</v>
      </c>
      <c r="F912" s="375" t="s">
        <v>1276</v>
      </c>
      <c r="G912" s="375" t="s">
        <v>1718</v>
      </c>
      <c r="H912" s="375" t="s">
        <v>753</v>
      </c>
      <c r="I912" s="375" t="s">
        <v>754</v>
      </c>
      <c r="J912" s="375">
        <v>160388.76921</v>
      </c>
      <c r="K912" s="375">
        <v>4190.0633399999997</v>
      </c>
      <c r="L912" s="375">
        <v>14661.609990000001</v>
      </c>
      <c r="M912" s="375">
        <v>536811.37918000005</v>
      </c>
      <c r="N912" s="372">
        <v>0.68600000000000005</v>
      </c>
      <c r="O912" s="704">
        <v>6.2141191473047636E-3</v>
      </c>
      <c r="P912" s="375" t="s">
        <v>622</v>
      </c>
      <c r="Q912" s="375" t="s">
        <v>622</v>
      </c>
      <c r="R912" s="696">
        <v>19761228</v>
      </c>
      <c r="S912" s="375" t="s">
        <v>6450</v>
      </c>
      <c r="T912" s="697">
        <v>0.20900000000000002</v>
      </c>
      <c r="U912" s="372" t="s">
        <v>6451</v>
      </c>
      <c r="V912" s="723">
        <v>16.989999999999998</v>
      </c>
      <c r="W912" s="723">
        <v>0.35</v>
      </c>
      <c r="X912" s="723">
        <v>1.18</v>
      </c>
      <c r="Y912" s="723">
        <v>16.84</v>
      </c>
      <c r="Z912" s="382">
        <v>2.605300744939143E-2</v>
      </c>
      <c r="AA912" s="372">
        <v>2005.6803030999999</v>
      </c>
      <c r="AB912" s="372">
        <v>2388.7779497000001</v>
      </c>
      <c r="AC912" s="372">
        <v>2278.0650995000001</v>
      </c>
      <c r="AD912" s="372">
        <v>1772.8964241000001</v>
      </c>
      <c r="AE912" s="372">
        <v>1717</v>
      </c>
      <c r="AF912" s="372">
        <v>1833</v>
      </c>
      <c r="AG912" s="372">
        <v>1965</v>
      </c>
      <c r="AH912" s="372">
        <v>2108</v>
      </c>
    </row>
    <row r="913" spans="1:34">
      <c r="A913" s="372" t="s">
        <v>6452</v>
      </c>
      <c r="B913" s="373" t="s">
        <v>6453</v>
      </c>
      <c r="C913" s="372" t="s">
        <v>6454</v>
      </c>
      <c r="D913" s="374">
        <v>1301110026228</v>
      </c>
      <c r="E913" s="372" t="s">
        <v>6455</v>
      </c>
      <c r="F913" s="372" t="s">
        <v>1710</v>
      </c>
      <c r="G913" s="375" t="s">
        <v>1711</v>
      </c>
      <c r="H913" s="375" t="s">
        <v>861</v>
      </c>
      <c r="I913" s="375" t="s">
        <v>862</v>
      </c>
      <c r="J913" s="375">
        <v>148287.57021000001</v>
      </c>
      <c r="K913" s="375">
        <v>-8223.3331300000009</v>
      </c>
      <c r="L913" s="375">
        <v>-8238.3382999999994</v>
      </c>
      <c r="M913" s="375">
        <v>96816.943039999998</v>
      </c>
      <c r="N913" s="372">
        <v>0.77800000000000002</v>
      </c>
      <c r="O913" s="704">
        <v>9.7592761125650824</v>
      </c>
      <c r="P913" s="375" t="s">
        <v>622</v>
      </c>
      <c r="Q913" s="372" t="s">
        <v>622</v>
      </c>
      <c r="R913" s="696">
        <v>19991229</v>
      </c>
      <c r="S913" s="372" t="s">
        <v>6456</v>
      </c>
      <c r="T913" s="697" t="s">
        <v>771</v>
      </c>
      <c r="U913" s="372" t="s">
        <v>6457</v>
      </c>
      <c r="V913" s="723">
        <v>0</v>
      </c>
      <c r="W913" s="723">
        <v>0</v>
      </c>
      <c r="X913" s="723">
        <v>0</v>
      </c>
      <c r="Y913" s="723">
        <v>0</v>
      </c>
      <c r="Z913" s="382" t="s">
        <v>927</v>
      </c>
      <c r="AA913" s="372">
        <v>1981.0992747</v>
      </c>
      <c r="AB913" s="372">
        <v>2271.8494764000002</v>
      </c>
      <c r="AC913" s="372">
        <v>2004.7525316000001</v>
      </c>
      <c r="AD913" s="372">
        <v>1475.4086933999999</v>
      </c>
      <c r="AE913" s="372">
        <v>0</v>
      </c>
      <c r="AF913" s="372">
        <v>0</v>
      </c>
      <c r="AG913" s="372">
        <v>0</v>
      </c>
      <c r="AH913" s="372">
        <v>0</v>
      </c>
    </row>
    <row r="914" spans="1:34">
      <c r="A914" s="372" t="s">
        <v>6458</v>
      </c>
      <c r="B914" s="373" t="s">
        <v>6459</v>
      </c>
      <c r="C914" s="372" t="s">
        <v>6460</v>
      </c>
      <c r="D914" s="374">
        <v>1351110074800</v>
      </c>
      <c r="E914" s="372" t="s">
        <v>6461</v>
      </c>
      <c r="F914" s="375" t="s">
        <v>1764</v>
      </c>
      <c r="G914" s="375" t="s">
        <v>2238</v>
      </c>
      <c r="H914" s="375" t="s">
        <v>861</v>
      </c>
      <c r="I914" s="375" t="s">
        <v>862</v>
      </c>
      <c r="J914" s="375">
        <v>48885.216099999998</v>
      </c>
      <c r="K914" s="375">
        <v>9463.3151500000004</v>
      </c>
      <c r="L914" s="375">
        <v>9677.4809299999997</v>
      </c>
      <c r="M914" s="375">
        <v>54612.842570000001</v>
      </c>
      <c r="N914" s="372" t="s">
        <v>1026</v>
      </c>
      <c r="O914" s="704">
        <v>11.57739489109651</v>
      </c>
      <c r="P914" s="375" t="s">
        <v>622</v>
      </c>
      <c r="Q914" s="372" t="s">
        <v>622</v>
      </c>
      <c r="R914" s="696">
        <v>20231128</v>
      </c>
      <c r="S914" s="372" t="s">
        <v>6462</v>
      </c>
      <c r="T914" s="697">
        <v>0.20900000000000002</v>
      </c>
      <c r="U914" s="372" t="s">
        <v>6463</v>
      </c>
      <c r="V914" s="723">
        <v>0</v>
      </c>
      <c r="W914" s="723">
        <v>0</v>
      </c>
      <c r="X914" s="723">
        <v>0</v>
      </c>
      <c r="Y914" s="723">
        <v>0</v>
      </c>
      <c r="Z914" s="382" t="s">
        <v>927</v>
      </c>
      <c r="AA914" s="372">
        <v>89.505197499999994</v>
      </c>
      <c r="AB914" s="372">
        <v>146.45597559999999</v>
      </c>
      <c r="AC914" s="372">
        <v>321.63647980000002</v>
      </c>
      <c r="AD914" s="372">
        <v>473.39369979999998</v>
      </c>
      <c r="AE914" s="372">
        <v>0</v>
      </c>
      <c r="AF914" s="372">
        <v>0</v>
      </c>
      <c r="AG914" s="372">
        <v>0</v>
      </c>
      <c r="AH914" s="372">
        <v>0</v>
      </c>
    </row>
    <row r="915" spans="1:34">
      <c r="A915" s="372" t="s">
        <v>6464</v>
      </c>
      <c r="B915" s="373" t="s">
        <v>6465</v>
      </c>
      <c r="C915" s="372" t="s">
        <v>6466</v>
      </c>
      <c r="D915" s="374">
        <v>1101118651659</v>
      </c>
      <c r="E915" s="372" t="s">
        <v>6467</v>
      </c>
      <c r="F915" s="375" t="s">
        <v>2747</v>
      </c>
      <c r="G915" s="375" t="s">
        <v>2748</v>
      </c>
      <c r="H915" s="375" t="s">
        <v>812</v>
      </c>
      <c r="I915" s="375" t="s">
        <v>754</v>
      </c>
      <c r="J915" s="375">
        <v>2182014.3056000001</v>
      </c>
      <c r="K915" s="375">
        <v>64293.581319999998</v>
      </c>
      <c r="L915" s="375">
        <v>48442.828509999999</v>
      </c>
      <c r="M915" s="375">
        <v>1015108.42658</v>
      </c>
      <c r="N915" s="372" t="s">
        <v>1026</v>
      </c>
      <c r="O915" s="704">
        <v>213.45956358151471</v>
      </c>
      <c r="P915" s="375" t="s">
        <v>622</v>
      </c>
      <c r="Q915" s="375" t="s">
        <v>622</v>
      </c>
      <c r="R915" s="696">
        <v>20230616</v>
      </c>
      <c r="S915" s="375" t="s">
        <v>6468</v>
      </c>
      <c r="T915" s="697">
        <v>0.23100000000000001</v>
      </c>
      <c r="U915" s="375">
        <v>0</v>
      </c>
      <c r="V915" s="723">
        <v>0</v>
      </c>
      <c r="W915" s="723">
        <v>0</v>
      </c>
      <c r="X915" s="723">
        <v>0</v>
      </c>
      <c r="Y915" s="723">
        <v>0</v>
      </c>
      <c r="Z915" s="382" t="s">
        <v>927</v>
      </c>
      <c r="AA915" s="372">
        <v>0</v>
      </c>
      <c r="AB915" s="372">
        <v>0</v>
      </c>
      <c r="AC915" s="372">
        <v>0</v>
      </c>
      <c r="AD915" s="372">
        <v>12661.4907028</v>
      </c>
      <c r="AE915" s="372">
        <v>0</v>
      </c>
      <c r="AF915" s="372">
        <v>0</v>
      </c>
      <c r="AG915" s="372">
        <v>0</v>
      </c>
      <c r="AH915" s="372">
        <v>0</v>
      </c>
    </row>
    <row r="916" spans="1:34">
      <c r="A916" s="372" t="s">
        <v>6469</v>
      </c>
      <c r="B916" s="373" t="s">
        <v>6470</v>
      </c>
      <c r="C916" s="372" t="s">
        <v>6471</v>
      </c>
      <c r="D916" s="374">
        <v>1101110013766</v>
      </c>
      <c r="E916" s="372" t="s">
        <v>6472</v>
      </c>
      <c r="F916" s="375" t="s">
        <v>893</v>
      </c>
      <c r="G916" s="375" t="s">
        <v>894</v>
      </c>
      <c r="H916" s="375" t="s">
        <v>855</v>
      </c>
      <c r="I916" s="375" t="s">
        <v>754</v>
      </c>
      <c r="J916" s="375">
        <v>2578664.9669400002</v>
      </c>
      <c r="K916" s="375">
        <v>231917.43956999999</v>
      </c>
      <c r="L916" s="375">
        <v>143144.34349999999</v>
      </c>
      <c r="M916" s="375">
        <v>1167708.45524</v>
      </c>
      <c r="N916" s="372">
        <v>0.63900000000000001</v>
      </c>
      <c r="O916" s="704">
        <v>796.60638553104513</v>
      </c>
      <c r="P916" s="375" t="s">
        <v>622</v>
      </c>
      <c r="Q916" s="372" t="s">
        <v>622</v>
      </c>
      <c r="R916" s="696">
        <v>19730919</v>
      </c>
      <c r="S916" s="372" t="s">
        <v>854</v>
      </c>
      <c r="T916" s="697">
        <v>0.23100000000000001</v>
      </c>
      <c r="U916" s="372" t="s">
        <v>6473</v>
      </c>
      <c r="V916" s="723">
        <v>5.83</v>
      </c>
      <c r="W916" s="723">
        <v>0.33</v>
      </c>
      <c r="X916" s="723">
        <v>0.09</v>
      </c>
      <c r="Y916" s="723">
        <v>5.73</v>
      </c>
      <c r="Z916" s="382" t="s">
        <v>927</v>
      </c>
      <c r="AA916" s="372">
        <v>22470.059698699999</v>
      </c>
      <c r="AB916" s="372">
        <v>21920.075046800001</v>
      </c>
      <c r="AC916" s="372">
        <v>24842.7705437</v>
      </c>
      <c r="AD916" s="372">
        <v>25068.692819899999</v>
      </c>
      <c r="AE916" s="372">
        <v>0</v>
      </c>
      <c r="AF916" s="372">
        <v>0</v>
      </c>
      <c r="AG916" s="372">
        <v>0</v>
      </c>
      <c r="AH916" s="372">
        <v>0</v>
      </c>
    </row>
    <row r="917" spans="1:34">
      <c r="A917" s="372" t="s">
        <v>6474</v>
      </c>
      <c r="B917" s="373" t="s">
        <v>6475</v>
      </c>
      <c r="C917" s="372" t="s">
        <v>6476</v>
      </c>
      <c r="D917" s="374">
        <v>1101110342496</v>
      </c>
      <c r="E917" s="372" t="s">
        <v>6477</v>
      </c>
      <c r="F917" s="372" t="s">
        <v>6478</v>
      </c>
      <c r="G917" s="375" t="s">
        <v>6478</v>
      </c>
      <c r="H917" s="375" t="s">
        <v>861</v>
      </c>
      <c r="I917" s="375" t="s">
        <v>862</v>
      </c>
      <c r="J917" s="375">
        <v>114713.045</v>
      </c>
      <c r="K917" s="375">
        <v>16954.383989999998</v>
      </c>
      <c r="L917" s="375">
        <v>25994.409830000001</v>
      </c>
      <c r="M917" s="375">
        <v>391350.66477999999</v>
      </c>
      <c r="N917" s="372">
        <v>1.0329999999999999</v>
      </c>
      <c r="O917" s="704">
        <v>0.1422012764207583</v>
      </c>
      <c r="P917" s="375" t="s">
        <v>622</v>
      </c>
      <c r="Q917" s="372" t="s">
        <v>622</v>
      </c>
      <c r="R917" s="696">
        <v>19991224</v>
      </c>
      <c r="S917" s="372" t="s">
        <v>6479</v>
      </c>
      <c r="T917" s="697">
        <v>0.23100000000000001</v>
      </c>
      <c r="U917" s="372" t="s">
        <v>6480</v>
      </c>
      <c r="V917" s="723">
        <v>0</v>
      </c>
      <c r="W917" s="723">
        <v>0</v>
      </c>
      <c r="X917" s="723">
        <v>0</v>
      </c>
      <c r="Y917" s="723">
        <v>0</v>
      </c>
      <c r="Z917" s="382" t="s">
        <v>927</v>
      </c>
      <c r="AA917" s="372">
        <v>908.4101197</v>
      </c>
      <c r="AB917" s="372">
        <v>787.42909150000003</v>
      </c>
      <c r="AC917" s="372">
        <v>890.66055500000004</v>
      </c>
      <c r="AD917" s="372">
        <v>1387.0214484999999</v>
      </c>
      <c r="AE917" s="372">
        <v>0</v>
      </c>
      <c r="AF917" s="372">
        <v>0</v>
      </c>
      <c r="AG917" s="372">
        <v>0</v>
      </c>
      <c r="AH917" s="372">
        <v>0</v>
      </c>
    </row>
    <row r="918" spans="1:34">
      <c r="A918" s="372" t="s">
        <v>6481</v>
      </c>
      <c r="B918" s="373" t="s">
        <v>6482</v>
      </c>
      <c r="C918" s="372" t="s">
        <v>6483</v>
      </c>
      <c r="D918" s="374">
        <v>1101111775365</v>
      </c>
      <c r="E918" s="372" t="s">
        <v>6484</v>
      </c>
      <c r="F918" s="375" t="s">
        <v>1936</v>
      </c>
      <c r="G918" s="375" t="s">
        <v>6485</v>
      </c>
      <c r="H918" s="375" t="s">
        <v>1386</v>
      </c>
      <c r="I918" s="375" t="s">
        <v>754</v>
      </c>
      <c r="J918" s="375">
        <v>621869.75996000005</v>
      </c>
      <c r="K918" s="375">
        <v>7711.47775</v>
      </c>
      <c r="L918" s="375">
        <v>15037.008330000001</v>
      </c>
      <c r="M918" s="375">
        <v>253910.89314</v>
      </c>
      <c r="N918" s="372">
        <v>0.60799999999999998</v>
      </c>
      <c r="O918" s="704">
        <v>3.9882876856783538</v>
      </c>
      <c r="P918" s="375" t="s">
        <v>622</v>
      </c>
      <c r="Q918" s="372" t="s">
        <v>622</v>
      </c>
      <c r="R918" s="696">
        <v>20150924</v>
      </c>
      <c r="S918" s="372" t="s">
        <v>6486</v>
      </c>
      <c r="T918" s="697">
        <v>0.20900000000000002</v>
      </c>
      <c r="U918" s="372" t="s">
        <v>6487</v>
      </c>
      <c r="V918" s="723">
        <v>13.91</v>
      </c>
      <c r="W918" s="723">
        <v>0.75</v>
      </c>
      <c r="X918" s="723">
        <v>0.34</v>
      </c>
      <c r="Y918" s="723">
        <v>18.28</v>
      </c>
      <c r="Z918" s="382">
        <v>9.6398614120924986E-3</v>
      </c>
      <c r="AA918" s="372">
        <v>2604.1743393000002</v>
      </c>
      <c r="AB918" s="372">
        <v>2745.7952825000002</v>
      </c>
      <c r="AC918" s="372">
        <v>6107.3107704000004</v>
      </c>
      <c r="AD918" s="372">
        <v>6062.8188928999998</v>
      </c>
      <c r="AE918" s="372">
        <v>6224</v>
      </c>
      <c r="AF918" s="372">
        <v>6298</v>
      </c>
      <c r="AG918" s="372">
        <v>6300</v>
      </c>
      <c r="AH918" s="372">
        <v>0</v>
      </c>
    </row>
    <row r="919" spans="1:34">
      <c r="A919" s="372" t="s">
        <v>6488</v>
      </c>
      <c r="B919" s="373" t="s">
        <v>6489</v>
      </c>
      <c r="C919" s="372" t="s">
        <v>6490</v>
      </c>
      <c r="D919" s="374">
        <v>1812110002548</v>
      </c>
      <c r="E919" s="372" t="s">
        <v>6491</v>
      </c>
      <c r="F919" s="375" t="s">
        <v>7212</v>
      </c>
      <c r="G919" s="375" t="s">
        <v>6492</v>
      </c>
      <c r="H919" s="375" t="s">
        <v>3957</v>
      </c>
      <c r="I919" s="375" t="s">
        <v>754</v>
      </c>
      <c r="J919" s="375">
        <v>811596.47472000006</v>
      </c>
      <c r="K919" s="375">
        <v>35564.209580000002</v>
      </c>
      <c r="L919" s="375">
        <v>501.39157999999998</v>
      </c>
      <c r="M919" s="375">
        <v>642680.05148999998</v>
      </c>
      <c r="N919" s="372">
        <v>0.624</v>
      </c>
      <c r="O919" s="704">
        <v>492.3165013919691</v>
      </c>
      <c r="P919" s="375" t="s">
        <v>622</v>
      </c>
      <c r="Q919" s="372" t="s">
        <v>622</v>
      </c>
      <c r="R919" s="696">
        <v>19890620</v>
      </c>
      <c r="S919" s="372" t="s">
        <v>6493</v>
      </c>
      <c r="T919" s="697">
        <v>0.20900000000000002</v>
      </c>
      <c r="U919" s="372" t="s">
        <v>6494</v>
      </c>
      <c r="V919" s="723">
        <v>8.07</v>
      </c>
      <c r="W919" s="723">
        <v>0.28999999999999998</v>
      </c>
      <c r="X919" s="723">
        <v>0.22</v>
      </c>
      <c r="Y919" s="723">
        <v>80.16</v>
      </c>
      <c r="Z919" s="382">
        <v>3.209826287581552E-2</v>
      </c>
      <c r="AA919" s="372">
        <v>5279.0765578999999</v>
      </c>
      <c r="AB919" s="372">
        <v>6136.9910582000002</v>
      </c>
      <c r="AC919" s="372">
        <v>7741.0360123</v>
      </c>
      <c r="AD919" s="372">
        <v>7689.2015934000001</v>
      </c>
      <c r="AE919" s="372">
        <v>8250</v>
      </c>
      <c r="AF919" s="372">
        <v>8530</v>
      </c>
      <c r="AG919" s="372">
        <v>8725</v>
      </c>
      <c r="AH919" s="372">
        <v>0</v>
      </c>
    </row>
    <row r="920" spans="1:34">
      <c r="A920" s="372" t="s">
        <v>6495</v>
      </c>
      <c r="B920" s="373" t="s">
        <v>6496</v>
      </c>
      <c r="C920" s="372" t="s">
        <v>6497</v>
      </c>
      <c r="D920" s="374">
        <v>1101111118656</v>
      </c>
      <c r="E920" s="372" t="s">
        <v>6498</v>
      </c>
      <c r="F920" s="375" t="s">
        <v>1756</v>
      </c>
      <c r="G920" s="375" t="s">
        <v>6499</v>
      </c>
      <c r="H920" s="375" t="s">
        <v>861</v>
      </c>
      <c r="I920" s="375" t="s">
        <v>862</v>
      </c>
      <c r="J920" s="375">
        <v>63327.373760000002</v>
      </c>
      <c r="K920" s="375">
        <v>-1038.37201</v>
      </c>
      <c r="L920" s="375">
        <v>-1030.0775699999999</v>
      </c>
      <c r="M920" s="375">
        <v>110586.26011</v>
      </c>
      <c r="N920" s="372">
        <v>0.90200000000000002</v>
      </c>
      <c r="O920" s="704">
        <v>25.135701997591912</v>
      </c>
      <c r="P920" s="375" t="s">
        <v>622</v>
      </c>
      <c r="Q920" s="372" t="s">
        <v>622</v>
      </c>
      <c r="R920" s="696">
        <v>20000620</v>
      </c>
      <c r="S920" s="372" t="s">
        <v>6500</v>
      </c>
      <c r="T920" s="697" t="s">
        <v>771</v>
      </c>
      <c r="U920" s="372" t="s">
        <v>6501</v>
      </c>
      <c r="V920" s="723">
        <v>126.72</v>
      </c>
      <c r="W920" s="723">
        <v>3.22</v>
      </c>
      <c r="X920" s="723">
        <v>5.62</v>
      </c>
      <c r="Y920" s="723">
        <v>1095.54</v>
      </c>
      <c r="Z920" s="382" t="s">
        <v>927</v>
      </c>
      <c r="AA920" s="372">
        <v>499.11171539999998</v>
      </c>
      <c r="AB920" s="372">
        <v>521.41052239999999</v>
      </c>
      <c r="AC920" s="372">
        <v>494.94570479999999</v>
      </c>
      <c r="AD920" s="372">
        <v>631.66127540000002</v>
      </c>
      <c r="AE920" s="372">
        <v>566</v>
      </c>
      <c r="AF920" s="372">
        <v>0</v>
      </c>
      <c r="AG920" s="372">
        <v>0</v>
      </c>
      <c r="AH920" s="372">
        <v>0</v>
      </c>
    </row>
    <row r="921" spans="1:34">
      <c r="A921" s="372" t="s">
        <v>6502</v>
      </c>
      <c r="B921" s="373" t="s">
        <v>6503</v>
      </c>
      <c r="C921" s="372" t="s">
        <v>6504</v>
      </c>
      <c r="D921" s="374">
        <v>1101113108465</v>
      </c>
      <c r="E921" s="372" t="s">
        <v>6505</v>
      </c>
      <c r="F921" s="372" t="s">
        <v>1370</v>
      </c>
      <c r="G921" s="375" t="s">
        <v>1370</v>
      </c>
      <c r="H921" s="375" t="s">
        <v>861</v>
      </c>
      <c r="I921" s="375" t="s">
        <v>862</v>
      </c>
      <c r="J921" s="375">
        <v>12292.53125</v>
      </c>
      <c r="K921" s="375">
        <v>-1805.98658</v>
      </c>
      <c r="L921" s="375">
        <v>-562.69271000000003</v>
      </c>
      <c r="M921" s="375">
        <v>47473.603629999998</v>
      </c>
      <c r="N921" s="372" t="s">
        <v>1026</v>
      </c>
      <c r="O921" s="704">
        <v>2.9694406357782758E-2</v>
      </c>
      <c r="P921" s="375" t="s">
        <v>622</v>
      </c>
      <c r="Q921" s="375" t="s">
        <v>622</v>
      </c>
      <c r="R921" s="696">
        <v>20230215</v>
      </c>
      <c r="S921" s="375" t="s">
        <v>6506</v>
      </c>
      <c r="T921" s="697" t="s">
        <v>771</v>
      </c>
      <c r="U921" s="372" t="s">
        <v>6507</v>
      </c>
      <c r="V921" s="723">
        <v>0</v>
      </c>
      <c r="W921" s="723">
        <v>0</v>
      </c>
      <c r="X921" s="723">
        <v>0</v>
      </c>
      <c r="Y921" s="723">
        <v>0</v>
      </c>
      <c r="Z921" s="382" t="s">
        <v>927</v>
      </c>
      <c r="AA921" s="372">
        <v>52.468959699999999</v>
      </c>
      <c r="AB921" s="372">
        <v>54.1384726</v>
      </c>
      <c r="AC921" s="372">
        <v>92.995381600000002</v>
      </c>
      <c r="AD921" s="372">
        <v>117.21914030000001</v>
      </c>
      <c r="AE921" s="372">
        <v>0</v>
      </c>
      <c r="AF921" s="372">
        <v>0</v>
      </c>
      <c r="AG921" s="372">
        <v>0</v>
      </c>
      <c r="AH921" s="372">
        <v>0</v>
      </c>
    </row>
    <row r="922" spans="1:34">
      <c r="A922" s="372" t="s">
        <v>6508</v>
      </c>
      <c r="B922" s="373" t="s">
        <v>6509</v>
      </c>
      <c r="C922" s="372" t="s">
        <v>6510</v>
      </c>
      <c r="D922" s="374">
        <v>1801110054659</v>
      </c>
      <c r="E922" s="372" t="s">
        <v>6511</v>
      </c>
      <c r="F922" s="375" t="s">
        <v>2747</v>
      </c>
      <c r="G922" s="375" t="s">
        <v>6512</v>
      </c>
      <c r="H922" s="375" t="s">
        <v>812</v>
      </c>
      <c r="I922" s="375" t="s">
        <v>754</v>
      </c>
      <c r="J922" s="375">
        <v>174168.11679</v>
      </c>
      <c r="K922" s="375">
        <v>-42365.231809999997</v>
      </c>
      <c r="L922" s="375">
        <v>-47820.150739999997</v>
      </c>
      <c r="M922" s="375">
        <v>228242.16318999999</v>
      </c>
      <c r="N922" s="372">
        <v>0.40200000000000002</v>
      </c>
      <c r="O922" s="704">
        <v>0.31076270008339146</v>
      </c>
      <c r="P922" s="375" t="s">
        <v>622</v>
      </c>
      <c r="Q922" s="372" t="s">
        <v>622</v>
      </c>
      <c r="R922" s="696">
        <v>19770618</v>
      </c>
      <c r="S922" s="375" t="s">
        <v>6513</v>
      </c>
      <c r="T922" s="697" t="s">
        <v>771</v>
      </c>
      <c r="U922" s="372" t="s">
        <v>6514</v>
      </c>
      <c r="V922" s="723">
        <v>0</v>
      </c>
      <c r="W922" s="723">
        <v>0</v>
      </c>
      <c r="X922" s="723">
        <v>0</v>
      </c>
      <c r="Y922" s="723">
        <v>0</v>
      </c>
      <c r="Z922" s="382" t="s">
        <v>927</v>
      </c>
      <c r="AA922" s="372">
        <v>1964.1961673999999</v>
      </c>
      <c r="AB922" s="372">
        <v>1961.2392331000001</v>
      </c>
      <c r="AC922" s="372">
        <v>2537.0501736000001</v>
      </c>
      <c r="AD922" s="372">
        <v>2193.3987065000001</v>
      </c>
      <c r="AE922" s="372">
        <v>0</v>
      </c>
      <c r="AF922" s="372">
        <v>0</v>
      </c>
      <c r="AG922" s="372">
        <v>0</v>
      </c>
      <c r="AH922" s="372">
        <v>0</v>
      </c>
    </row>
    <row r="923" spans="1:34">
      <c r="A923" s="372" t="s">
        <v>6515</v>
      </c>
      <c r="B923" s="373" t="s">
        <v>6516</v>
      </c>
      <c r="C923" s="372" t="s">
        <v>6517</v>
      </c>
      <c r="D923" s="374">
        <v>1601110024284</v>
      </c>
      <c r="E923" s="372" t="s">
        <v>6518</v>
      </c>
      <c r="F923" s="375" t="s">
        <v>16119</v>
      </c>
      <c r="G923" s="375" t="s">
        <v>16119</v>
      </c>
      <c r="H923" s="375" t="s">
        <v>1531</v>
      </c>
      <c r="I923" s="375" t="s">
        <v>862</v>
      </c>
      <c r="J923" s="375">
        <v>301246.26358000003</v>
      </c>
      <c r="K923" s="375">
        <v>14735.38055</v>
      </c>
      <c r="L923" s="375">
        <v>14926.01496</v>
      </c>
      <c r="M923" s="375">
        <v>244771.04848</v>
      </c>
      <c r="N923" s="372">
        <v>0.91300000000000003</v>
      </c>
      <c r="O923" s="704">
        <v>23.440291958362206</v>
      </c>
      <c r="P923" s="375" t="s">
        <v>622</v>
      </c>
      <c r="Q923" s="372" t="s">
        <v>622</v>
      </c>
      <c r="R923" s="696">
        <v>20000718</v>
      </c>
      <c r="S923" s="372" t="s">
        <v>6519</v>
      </c>
      <c r="T923" s="697">
        <v>0.20900000000000002</v>
      </c>
      <c r="U923" s="372" t="s">
        <v>6520</v>
      </c>
      <c r="V923" s="723">
        <v>8.74</v>
      </c>
      <c r="W923" s="723">
        <v>0.75</v>
      </c>
      <c r="X923" s="723">
        <v>0.46</v>
      </c>
      <c r="Y923" s="723">
        <v>21.14</v>
      </c>
      <c r="Z923" s="382" t="s">
        <v>927</v>
      </c>
      <c r="AA923" s="372">
        <v>2469.6753216000002</v>
      </c>
      <c r="AB923" s="372">
        <v>2520.0695003000001</v>
      </c>
      <c r="AC923" s="372">
        <v>2861.0615201000001</v>
      </c>
      <c r="AD923" s="372">
        <v>3070.4086523000001</v>
      </c>
      <c r="AE923" s="372">
        <v>3181</v>
      </c>
      <c r="AF923" s="372">
        <v>3554</v>
      </c>
      <c r="AG923" s="372">
        <v>0</v>
      </c>
      <c r="AH923" s="372">
        <v>0</v>
      </c>
    </row>
    <row r="924" spans="1:34">
      <c r="A924" s="372" t="s">
        <v>6521</v>
      </c>
      <c r="B924" s="373" t="s">
        <v>6522</v>
      </c>
      <c r="C924" s="372" t="s">
        <v>6523</v>
      </c>
      <c r="D924" s="374">
        <v>1350110057395</v>
      </c>
      <c r="E924" s="372" t="s">
        <v>6524</v>
      </c>
      <c r="F924" s="375" t="s">
        <v>1323</v>
      </c>
      <c r="G924" s="375" t="s">
        <v>16106</v>
      </c>
      <c r="H924" s="375" t="s">
        <v>784</v>
      </c>
      <c r="I924" s="375" t="s">
        <v>754</v>
      </c>
      <c r="J924" s="375">
        <v>221320.74148</v>
      </c>
      <c r="K924" s="375">
        <v>34251.528550000003</v>
      </c>
      <c r="L924" s="375">
        <v>34965.527549999999</v>
      </c>
      <c r="M924" s="375">
        <v>170202.74338</v>
      </c>
      <c r="N924" s="372">
        <v>0.66300000000000003</v>
      </c>
      <c r="O924" s="704">
        <v>26.508298663951948</v>
      </c>
      <c r="P924" s="375" t="s">
        <v>622</v>
      </c>
      <c r="Q924" s="372" t="s">
        <v>622</v>
      </c>
      <c r="R924" s="696">
        <v>20161027</v>
      </c>
      <c r="S924" s="372" t="s">
        <v>6525</v>
      </c>
      <c r="T924" s="697">
        <v>0.23100000000000001</v>
      </c>
      <c r="U924" s="372" t="s">
        <v>6526</v>
      </c>
      <c r="V924" s="723">
        <v>3.45</v>
      </c>
      <c r="W924" s="723">
        <v>0.97</v>
      </c>
      <c r="X924" s="723">
        <v>0.78</v>
      </c>
      <c r="Y924" s="723">
        <v>5.98</v>
      </c>
      <c r="Z924" s="382">
        <v>5.5448730702545079E-2</v>
      </c>
      <c r="AA924" s="372">
        <v>1835.2104508</v>
      </c>
      <c r="AB924" s="372">
        <v>1698.1695001000001</v>
      </c>
      <c r="AC924" s="372">
        <v>1889.3116524</v>
      </c>
      <c r="AD924" s="372">
        <v>2068.6037179</v>
      </c>
      <c r="AE924" s="372">
        <v>2239</v>
      </c>
      <c r="AF924" s="372">
        <v>2400</v>
      </c>
      <c r="AG924" s="372">
        <v>2567</v>
      </c>
      <c r="AH924" s="372">
        <v>0</v>
      </c>
    </row>
    <row r="925" spans="1:34">
      <c r="A925" s="372" t="s">
        <v>6527</v>
      </c>
      <c r="B925" s="373" t="s">
        <v>6528</v>
      </c>
      <c r="C925" s="372" t="s">
        <v>6529</v>
      </c>
      <c r="D925" s="374">
        <v>1348110105579</v>
      </c>
      <c r="E925" s="372" t="s">
        <v>6530</v>
      </c>
      <c r="F925" s="375" t="s">
        <v>1185</v>
      </c>
      <c r="G925" s="375" t="s">
        <v>1186</v>
      </c>
      <c r="H925" s="375" t="s">
        <v>861</v>
      </c>
      <c r="I925" s="375" t="s">
        <v>862</v>
      </c>
      <c r="J925" s="375">
        <v>0</v>
      </c>
      <c r="K925" s="375">
        <v>0</v>
      </c>
      <c r="L925" s="375">
        <v>0</v>
      </c>
      <c r="M925" s="375">
        <v>108067.96943</v>
      </c>
      <c r="N925" s="372">
        <v>0.81100000000000005</v>
      </c>
      <c r="O925" s="704">
        <v>13.063893975460585</v>
      </c>
      <c r="P925" s="375" t="s">
        <v>622</v>
      </c>
      <c r="Q925" s="375" t="s">
        <v>622</v>
      </c>
      <c r="R925" s="696">
        <v>20211029</v>
      </c>
      <c r="S925" s="375" t="s">
        <v>6531</v>
      </c>
      <c r="T925" s="697" t="s">
        <v>771</v>
      </c>
      <c r="U925" s="372" t="s">
        <v>6532</v>
      </c>
      <c r="V925" s="723">
        <v>0</v>
      </c>
      <c r="W925" s="723">
        <v>1.08</v>
      </c>
      <c r="X925" s="723">
        <v>0</v>
      </c>
      <c r="Y925" s="723">
        <v>0</v>
      </c>
      <c r="Z925" s="382" t="s">
        <v>927</v>
      </c>
      <c r="AA925" s="372">
        <v>423.9168846</v>
      </c>
      <c r="AB925" s="372">
        <v>521.12857340000005</v>
      </c>
      <c r="AC925" s="372">
        <v>655.92093139999997</v>
      </c>
      <c r="AD925" s="372">
        <v>893.20182339999997</v>
      </c>
      <c r="AE925" s="372">
        <v>0</v>
      </c>
      <c r="AF925" s="372">
        <v>0</v>
      </c>
      <c r="AG925" s="372">
        <v>0</v>
      </c>
      <c r="AH925" s="372">
        <v>0</v>
      </c>
    </row>
    <row r="926" spans="1:34">
      <c r="A926" s="372" t="s">
        <v>6533</v>
      </c>
      <c r="B926" s="373" t="s">
        <v>6534</v>
      </c>
      <c r="C926" s="372" t="s">
        <v>6535</v>
      </c>
      <c r="D926" s="374">
        <v>1701110262452</v>
      </c>
      <c r="E926" s="372" t="s">
        <v>6536</v>
      </c>
      <c r="F926" s="375" t="s">
        <v>998</v>
      </c>
      <c r="G926" s="375" t="s">
        <v>999</v>
      </c>
      <c r="H926" s="375" t="s">
        <v>861</v>
      </c>
      <c r="I926" s="375" t="s">
        <v>862</v>
      </c>
      <c r="J926" s="375">
        <v>76207.177299999996</v>
      </c>
      <c r="K926" s="375">
        <v>168.7817</v>
      </c>
      <c r="L926" s="375">
        <v>-4141.0290599999998</v>
      </c>
      <c r="M926" s="375">
        <v>127915.34589</v>
      </c>
      <c r="N926" s="372">
        <v>1.4550000000000001</v>
      </c>
      <c r="O926" s="704">
        <v>0.44188617286644177</v>
      </c>
      <c r="P926" s="375" t="s">
        <v>622</v>
      </c>
      <c r="Q926" s="375" t="s">
        <v>622</v>
      </c>
      <c r="R926" s="696">
        <v>20101227</v>
      </c>
      <c r="S926" s="375" t="s">
        <v>6537</v>
      </c>
      <c r="T926" s="697" t="s">
        <v>771</v>
      </c>
      <c r="U926" s="372" t="s">
        <v>15881</v>
      </c>
      <c r="V926" s="723">
        <v>35.39</v>
      </c>
      <c r="W926" s="723">
        <v>1.1200000000000001</v>
      </c>
      <c r="X926" s="723">
        <v>1.88</v>
      </c>
      <c r="Y926" s="723" t="s">
        <v>773</v>
      </c>
      <c r="Z926" s="382" t="s">
        <v>927</v>
      </c>
      <c r="AA926" s="372">
        <v>458.02738590000001</v>
      </c>
      <c r="AB926" s="372">
        <v>635.07396500000004</v>
      </c>
      <c r="AC926" s="372">
        <v>580.70355119999999</v>
      </c>
      <c r="AD926" s="372">
        <v>627.97170559999995</v>
      </c>
      <c r="AE926" s="372">
        <v>0</v>
      </c>
      <c r="AF926" s="372">
        <v>0</v>
      </c>
      <c r="AG926" s="372">
        <v>0</v>
      </c>
      <c r="AH926" s="372">
        <v>0</v>
      </c>
    </row>
    <row r="927" spans="1:34">
      <c r="A927" s="372" t="s">
        <v>6538</v>
      </c>
      <c r="B927" s="373" t="s">
        <v>6539</v>
      </c>
      <c r="C927" s="372" t="s">
        <v>6540</v>
      </c>
      <c r="D927" s="374">
        <v>1101110089395</v>
      </c>
      <c r="E927" s="372" t="s">
        <v>6541</v>
      </c>
      <c r="F927" s="375" t="s">
        <v>16123</v>
      </c>
      <c r="G927" s="375" t="s">
        <v>16123</v>
      </c>
      <c r="H927" s="375" t="s">
        <v>826</v>
      </c>
      <c r="I927" s="375" t="s">
        <v>754</v>
      </c>
      <c r="J927" s="375">
        <v>329811.49505999999</v>
      </c>
      <c r="K927" s="375">
        <v>33012.855929999998</v>
      </c>
      <c r="L927" s="375">
        <v>30690.276450000001</v>
      </c>
      <c r="M927" s="375">
        <v>294858.84073</v>
      </c>
      <c r="N927" s="372">
        <v>0.69499999999999995</v>
      </c>
      <c r="O927" s="704">
        <v>84.636800546224052</v>
      </c>
      <c r="P927" s="375" t="s">
        <v>622</v>
      </c>
      <c r="Q927" s="372" t="s">
        <v>622</v>
      </c>
      <c r="R927" s="696">
        <v>19770630</v>
      </c>
      <c r="S927" s="372" t="s">
        <v>6542</v>
      </c>
      <c r="T927" s="697">
        <v>0.23100000000000001</v>
      </c>
      <c r="U927" s="375" t="s">
        <v>6543</v>
      </c>
      <c r="V927" s="723">
        <v>7.82</v>
      </c>
      <c r="W927" s="723">
        <v>0.67</v>
      </c>
      <c r="X927" s="723">
        <v>0.55000000000000004</v>
      </c>
      <c r="Y927" s="723">
        <v>8.3699999999999992</v>
      </c>
      <c r="Z927" s="382" t="s">
        <v>927</v>
      </c>
      <c r="AA927" s="372">
        <v>2482.955238</v>
      </c>
      <c r="AB927" s="372">
        <v>2702.6944963999999</v>
      </c>
      <c r="AC927" s="372">
        <v>3616.0457308</v>
      </c>
      <c r="AD927" s="372">
        <v>3474.0778894</v>
      </c>
      <c r="AE927" s="372">
        <v>0</v>
      </c>
      <c r="AF927" s="372">
        <v>0</v>
      </c>
      <c r="AG927" s="372">
        <v>0</v>
      </c>
      <c r="AH927" s="372">
        <v>0</v>
      </c>
    </row>
    <row r="928" spans="1:34">
      <c r="A928" s="372" t="s">
        <v>6544</v>
      </c>
      <c r="B928" s="373" t="s">
        <v>6545</v>
      </c>
      <c r="C928" s="372" t="s">
        <v>6546</v>
      </c>
      <c r="D928" s="374">
        <v>1301110011807</v>
      </c>
      <c r="E928" s="372" t="s">
        <v>6547</v>
      </c>
      <c r="F928" s="372" t="s">
        <v>4299</v>
      </c>
      <c r="G928" s="375" t="s">
        <v>4299</v>
      </c>
      <c r="H928" s="375" t="s">
        <v>968</v>
      </c>
      <c r="I928" s="375" t="s">
        <v>754</v>
      </c>
      <c r="J928" s="375">
        <v>74368.407370000001</v>
      </c>
      <c r="K928" s="375">
        <v>-2709.4173700000001</v>
      </c>
      <c r="L928" s="375">
        <v>-3472.2292200000002</v>
      </c>
      <c r="M928" s="375">
        <v>126697.11702999999</v>
      </c>
      <c r="N928" s="372">
        <v>0.84499999999999997</v>
      </c>
      <c r="O928" s="704">
        <v>39.189940192201448</v>
      </c>
      <c r="P928" s="375" t="s">
        <v>622</v>
      </c>
      <c r="Q928" s="375" t="s">
        <v>622</v>
      </c>
      <c r="R928" s="696">
        <v>19891214</v>
      </c>
      <c r="S928" s="375" t="s">
        <v>6548</v>
      </c>
      <c r="T928" s="697" t="s">
        <v>771</v>
      </c>
      <c r="U928" s="375" t="s">
        <v>6549</v>
      </c>
      <c r="V928" s="723">
        <v>0</v>
      </c>
      <c r="W928" s="723">
        <v>0</v>
      </c>
      <c r="X928" s="723">
        <v>0</v>
      </c>
      <c r="Y928" s="723">
        <v>0</v>
      </c>
      <c r="Z928" s="382" t="s">
        <v>927</v>
      </c>
      <c r="AA928" s="372">
        <v>1262.4878174</v>
      </c>
      <c r="AB928" s="372">
        <v>1233.4336976</v>
      </c>
      <c r="AC928" s="372">
        <v>1204.4464556999999</v>
      </c>
      <c r="AD928" s="372">
        <v>1082.8813680000001</v>
      </c>
      <c r="AE928" s="372">
        <v>0</v>
      </c>
      <c r="AF928" s="372">
        <v>0</v>
      </c>
      <c r="AG928" s="372">
        <v>0</v>
      </c>
      <c r="AH928" s="372">
        <v>0</v>
      </c>
    </row>
    <row r="929" spans="1:34">
      <c r="A929" s="372" t="s">
        <v>6550</v>
      </c>
      <c r="B929" s="373" t="s">
        <v>6551</v>
      </c>
      <c r="C929" s="372" t="s">
        <v>6552</v>
      </c>
      <c r="D929" s="374">
        <v>1101110032568</v>
      </c>
      <c r="E929" s="372" t="s">
        <v>6553</v>
      </c>
      <c r="F929" s="375" t="s">
        <v>1323</v>
      </c>
      <c r="G929" s="375" t="s">
        <v>16106</v>
      </c>
      <c r="H929" s="375" t="s">
        <v>784</v>
      </c>
      <c r="I929" s="375" t="s">
        <v>754</v>
      </c>
      <c r="J929" s="375">
        <v>45847.420330000001</v>
      </c>
      <c r="K929" s="375">
        <v>-17132.621579999999</v>
      </c>
      <c r="L929" s="375">
        <v>-7783.3136199999999</v>
      </c>
      <c r="M929" s="375">
        <v>120472.59884000001</v>
      </c>
      <c r="N929" s="372">
        <v>0.71899999999999997</v>
      </c>
      <c r="O929" s="704">
        <v>3.6378749923529483</v>
      </c>
      <c r="P929" s="375" t="s">
        <v>622</v>
      </c>
      <c r="Q929" s="372" t="s">
        <v>622</v>
      </c>
      <c r="R929" s="696">
        <v>19750704</v>
      </c>
      <c r="S929" s="372" t="s">
        <v>6554</v>
      </c>
      <c r="T929" s="697" t="s">
        <v>771</v>
      </c>
      <c r="U929" s="372" t="s">
        <v>6555</v>
      </c>
      <c r="V929" s="723">
        <v>0</v>
      </c>
      <c r="W929" s="723">
        <v>0</v>
      </c>
      <c r="X929" s="723">
        <v>0</v>
      </c>
      <c r="Y929" s="723">
        <v>0</v>
      </c>
      <c r="Z929" s="382" t="s">
        <v>927</v>
      </c>
      <c r="AA929" s="372">
        <v>482.6917224</v>
      </c>
      <c r="AB929" s="372">
        <v>549.01130220000005</v>
      </c>
      <c r="AC929" s="372">
        <v>518.3223385</v>
      </c>
      <c r="AD929" s="372">
        <v>519.55037960000004</v>
      </c>
      <c r="AE929" s="372">
        <v>0</v>
      </c>
      <c r="AF929" s="372">
        <v>0</v>
      </c>
      <c r="AG929" s="372">
        <v>0</v>
      </c>
      <c r="AH929" s="372">
        <v>0</v>
      </c>
    </row>
    <row r="930" spans="1:34">
      <c r="A930" s="372" t="s">
        <v>6556</v>
      </c>
      <c r="B930" s="373" t="s">
        <v>6557</v>
      </c>
      <c r="C930" s="372" t="s">
        <v>6558</v>
      </c>
      <c r="D930" s="374">
        <v>1101112203951</v>
      </c>
      <c r="E930" s="372" t="s">
        <v>6559</v>
      </c>
      <c r="F930" s="375" t="s">
        <v>1055</v>
      </c>
      <c r="G930" s="375" t="s">
        <v>1055</v>
      </c>
      <c r="H930" s="375" t="s">
        <v>861</v>
      </c>
      <c r="I930" s="375" t="s">
        <v>862</v>
      </c>
      <c r="J930" s="375">
        <v>56176.178169999999</v>
      </c>
      <c r="K930" s="375">
        <v>12562.876490000001</v>
      </c>
      <c r="L930" s="375">
        <v>-4673.9618600000003</v>
      </c>
      <c r="M930" s="375">
        <v>73060.528760000001</v>
      </c>
      <c r="N930" s="372">
        <v>0.82899999999999996</v>
      </c>
      <c r="O930" s="704">
        <v>11.925340573026979</v>
      </c>
      <c r="P930" s="375" t="s">
        <v>622</v>
      </c>
      <c r="Q930" s="372" t="s">
        <v>622</v>
      </c>
      <c r="R930" s="696">
        <v>20090203</v>
      </c>
      <c r="S930" s="375" t="s">
        <v>6560</v>
      </c>
      <c r="T930" s="697" t="s">
        <v>771</v>
      </c>
      <c r="U930" s="375" t="s">
        <v>6561</v>
      </c>
      <c r="V930" s="723">
        <v>0</v>
      </c>
      <c r="W930" s="723">
        <v>0</v>
      </c>
      <c r="X930" s="723">
        <v>0</v>
      </c>
      <c r="Y930" s="723">
        <v>0</v>
      </c>
      <c r="Z930" s="382" t="s">
        <v>927</v>
      </c>
      <c r="AA930" s="372">
        <v>256.07265319999999</v>
      </c>
      <c r="AB930" s="372">
        <v>280.18475230000001</v>
      </c>
      <c r="AC930" s="372">
        <v>411.69946640000001</v>
      </c>
      <c r="AD930" s="372">
        <v>543.05557869999996</v>
      </c>
      <c r="AE930" s="372">
        <v>0</v>
      </c>
      <c r="AF930" s="372">
        <v>0</v>
      </c>
      <c r="AG930" s="372">
        <v>0</v>
      </c>
      <c r="AH930" s="372">
        <v>0</v>
      </c>
    </row>
    <row r="931" spans="1:34">
      <c r="A931" s="372" t="s">
        <v>6562</v>
      </c>
      <c r="B931" s="373" t="s">
        <v>6563</v>
      </c>
      <c r="C931" s="372" t="s">
        <v>6564</v>
      </c>
      <c r="D931" s="374">
        <v>1101110037005</v>
      </c>
      <c r="E931" s="372" t="s">
        <v>6565</v>
      </c>
      <c r="F931" s="375" t="s">
        <v>1323</v>
      </c>
      <c r="G931" s="375" t="s">
        <v>16106</v>
      </c>
      <c r="H931" s="375" t="s">
        <v>784</v>
      </c>
      <c r="I931" s="375" t="s">
        <v>754</v>
      </c>
      <c r="J931" s="375">
        <v>512660.04706999997</v>
      </c>
      <c r="K931" s="375">
        <v>1230.51973</v>
      </c>
      <c r="L931" s="375">
        <v>-40074.311139999998</v>
      </c>
      <c r="M931" s="375">
        <v>320354.99481</v>
      </c>
      <c r="N931" s="372">
        <v>0.8</v>
      </c>
      <c r="O931" s="704">
        <v>189.29434535433867</v>
      </c>
      <c r="P931" s="375" t="s">
        <v>622</v>
      </c>
      <c r="Q931" s="372" t="s">
        <v>622</v>
      </c>
      <c r="R931" s="696">
        <v>19760630</v>
      </c>
      <c r="S931" s="372" t="s">
        <v>6566</v>
      </c>
      <c r="T931" s="697" t="s">
        <v>771</v>
      </c>
      <c r="U931" s="372" t="s">
        <v>6567</v>
      </c>
      <c r="V931" s="723">
        <v>21.24</v>
      </c>
      <c r="W931" s="723">
        <v>0.59</v>
      </c>
      <c r="X931" s="723">
        <v>0.37</v>
      </c>
      <c r="Y931" s="723" t="s">
        <v>773</v>
      </c>
      <c r="Z931" s="382" t="s">
        <v>927</v>
      </c>
      <c r="AA931" s="372">
        <v>5036.1187969000002</v>
      </c>
      <c r="AB931" s="372">
        <v>5176.4106942999997</v>
      </c>
      <c r="AC931" s="372">
        <v>5437.5915191000004</v>
      </c>
      <c r="AD931" s="372">
        <v>5227.4107953000002</v>
      </c>
      <c r="AE931" s="372">
        <v>0</v>
      </c>
      <c r="AF931" s="372">
        <v>0</v>
      </c>
      <c r="AG931" s="372">
        <v>0</v>
      </c>
      <c r="AH931" s="372">
        <v>0</v>
      </c>
    </row>
    <row r="932" spans="1:34">
      <c r="A932" s="372" t="s">
        <v>6568</v>
      </c>
      <c r="B932" s="373" t="s">
        <v>6569</v>
      </c>
      <c r="C932" s="372" t="s">
        <v>6570</v>
      </c>
      <c r="D932" s="374">
        <v>1752110009005</v>
      </c>
      <c r="E932" s="372" t="s">
        <v>6571</v>
      </c>
      <c r="F932" s="375" t="s">
        <v>6572</v>
      </c>
      <c r="G932" s="375" t="s">
        <v>6573</v>
      </c>
      <c r="H932" s="375" t="s">
        <v>846</v>
      </c>
      <c r="I932" s="375" t="s">
        <v>754</v>
      </c>
      <c r="J932" s="375">
        <v>465910.80063999997</v>
      </c>
      <c r="K932" s="375">
        <v>16856.504509999999</v>
      </c>
      <c r="L932" s="375">
        <v>7942.1440000000002</v>
      </c>
      <c r="M932" s="375">
        <v>183612.03187999999</v>
      </c>
      <c r="N932" s="372">
        <v>0.57699999999999996</v>
      </c>
      <c r="O932" s="704">
        <v>38.059055233200404</v>
      </c>
      <c r="P932" s="375" t="s">
        <v>622</v>
      </c>
      <c r="Q932" s="375" t="s">
        <v>622</v>
      </c>
      <c r="R932" s="696">
        <v>20201112</v>
      </c>
      <c r="S932" s="375" t="s">
        <v>6574</v>
      </c>
      <c r="T932" s="697">
        <v>0.20900000000000002</v>
      </c>
      <c r="U932" s="372" t="s">
        <v>6575</v>
      </c>
      <c r="V932" s="723">
        <v>8.61</v>
      </c>
      <c r="W932" s="723">
        <v>1.17</v>
      </c>
      <c r="X932" s="723">
        <v>0.46</v>
      </c>
      <c r="Y932" s="723">
        <v>33.840000000000003</v>
      </c>
      <c r="Z932" s="382">
        <v>5.6853462419998335E-2</v>
      </c>
      <c r="AA932" s="372">
        <v>4476.2819890999999</v>
      </c>
      <c r="AB932" s="372">
        <v>5076.2821543999999</v>
      </c>
      <c r="AC932" s="372">
        <v>5174.5745788000004</v>
      </c>
      <c r="AD932" s="372">
        <v>4449.5094050999996</v>
      </c>
      <c r="AE932" s="372">
        <v>4746.6499999999996</v>
      </c>
      <c r="AF932" s="372">
        <v>5137.28</v>
      </c>
      <c r="AG932" s="372">
        <v>5551</v>
      </c>
      <c r="AH932" s="372">
        <v>0</v>
      </c>
    </row>
    <row r="933" spans="1:34">
      <c r="A933" s="372" t="s">
        <v>6576</v>
      </c>
      <c r="B933" s="373" t="s">
        <v>6577</v>
      </c>
      <c r="C933" s="372" t="s">
        <v>6578</v>
      </c>
      <c r="D933" s="374">
        <v>1101110134877</v>
      </c>
      <c r="E933" s="372" t="s">
        <v>6579</v>
      </c>
      <c r="F933" s="375" t="s">
        <v>1849</v>
      </c>
      <c r="G933" s="375" t="s">
        <v>1850</v>
      </c>
      <c r="H933" s="375" t="s">
        <v>1386</v>
      </c>
      <c r="I933" s="375" t="s">
        <v>754</v>
      </c>
      <c r="J933" s="375">
        <v>2004981.74597</v>
      </c>
      <c r="K933" s="375">
        <v>-182224.96354999999</v>
      </c>
      <c r="L933" s="375">
        <v>-309450.13916999998</v>
      </c>
      <c r="M933" s="375">
        <v>209758.22834999999</v>
      </c>
      <c r="N933" s="372">
        <v>0.75700000000000001</v>
      </c>
      <c r="O933" s="704">
        <v>312.18503203387525</v>
      </c>
      <c r="P933" s="375" t="s">
        <v>622</v>
      </c>
      <c r="Q933" s="375" t="s">
        <v>622</v>
      </c>
      <c r="R933" s="696">
        <v>19760626</v>
      </c>
      <c r="S933" s="375" t="s">
        <v>6580</v>
      </c>
      <c r="T933" s="697" t="s">
        <v>771</v>
      </c>
      <c r="U933" s="372" t="s">
        <v>6581</v>
      </c>
      <c r="V933" s="723" t="s">
        <v>773</v>
      </c>
      <c r="W933" s="723">
        <v>0.54</v>
      </c>
      <c r="X933" s="723">
        <v>0.06</v>
      </c>
      <c r="Y933" s="723" t="s">
        <v>773</v>
      </c>
      <c r="Z933" s="382">
        <v>-1.7612316964391916E-2</v>
      </c>
      <c r="AA933" s="372">
        <v>18295.790649300001</v>
      </c>
      <c r="AB933" s="372">
        <v>20650.762153899999</v>
      </c>
      <c r="AC933" s="372">
        <v>20485.071748400002</v>
      </c>
      <c r="AD933" s="372">
        <v>22176.260155700002</v>
      </c>
      <c r="AE933" s="372">
        <v>18714.75</v>
      </c>
      <c r="AF933" s="372">
        <v>19702</v>
      </c>
      <c r="AG933" s="372">
        <v>20654.75</v>
      </c>
      <c r="AH933" s="372">
        <v>22730</v>
      </c>
    </row>
    <row r="934" spans="1:34">
      <c r="A934" s="372" t="s">
        <v>6582</v>
      </c>
      <c r="B934" s="373" t="s">
        <v>6583</v>
      </c>
      <c r="C934" s="372" t="s">
        <v>6584</v>
      </c>
      <c r="D934" s="374">
        <v>1345110044939</v>
      </c>
      <c r="E934" s="372" t="s">
        <v>6585</v>
      </c>
      <c r="F934" s="375" t="s">
        <v>2426</v>
      </c>
      <c r="G934" s="375" t="s">
        <v>2427</v>
      </c>
      <c r="H934" s="375" t="s">
        <v>861</v>
      </c>
      <c r="I934" s="375" t="s">
        <v>862</v>
      </c>
      <c r="J934" s="375">
        <v>9307.4713599999995</v>
      </c>
      <c r="K934" s="375">
        <v>-2082.36364</v>
      </c>
      <c r="L934" s="375">
        <v>-2300.9196499999998</v>
      </c>
      <c r="M934" s="375">
        <v>31175.593290000001</v>
      </c>
      <c r="N934" s="372" t="s">
        <v>1026</v>
      </c>
      <c r="O934" s="704">
        <v>11.608890635044503</v>
      </c>
      <c r="P934" s="375" t="s">
        <v>622</v>
      </c>
      <c r="Q934" s="372" t="s">
        <v>622</v>
      </c>
      <c r="R934" s="696">
        <v>20231010</v>
      </c>
      <c r="S934" s="372" t="s">
        <v>6586</v>
      </c>
      <c r="T934" s="697" t="s">
        <v>771</v>
      </c>
      <c r="U934" s="372" t="s">
        <v>6587</v>
      </c>
      <c r="V934" s="723" t="s">
        <v>773</v>
      </c>
      <c r="W934" s="723">
        <v>2.4300000000000002</v>
      </c>
      <c r="X934" s="723">
        <v>8.18</v>
      </c>
      <c r="Y934" s="723" t="s">
        <v>773</v>
      </c>
      <c r="Z934" s="382" t="s">
        <v>927</v>
      </c>
      <c r="AA934" s="372">
        <v>57.65</v>
      </c>
      <c r="AB934" s="372">
        <v>73.278784200000004</v>
      </c>
      <c r="AC934" s="372">
        <v>107.567177</v>
      </c>
      <c r="AD934" s="372">
        <v>64.698052200000006</v>
      </c>
      <c r="AE934" s="372">
        <v>135</v>
      </c>
      <c r="AF934" s="372">
        <v>0</v>
      </c>
      <c r="AG934" s="372">
        <v>0</v>
      </c>
      <c r="AH934" s="372">
        <v>0</v>
      </c>
    </row>
    <row r="935" spans="1:34">
      <c r="A935" s="372" t="s">
        <v>6588</v>
      </c>
      <c r="B935" s="373" t="s">
        <v>6589</v>
      </c>
      <c r="C935" s="372" t="s">
        <v>6590</v>
      </c>
      <c r="D935" s="374">
        <v>1246110260311</v>
      </c>
      <c r="E935" s="372" t="s">
        <v>6591</v>
      </c>
      <c r="F935" s="375" t="s">
        <v>1249</v>
      </c>
      <c r="G935" s="375" t="s">
        <v>1249</v>
      </c>
      <c r="H935" s="375" t="s">
        <v>861</v>
      </c>
      <c r="I935" s="375" t="s">
        <v>862</v>
      </c>
      <c r="J935" s="375">
        <v>15733.5044</v>
      </c>
      <c r="K935" s="375">
        <v>-9199.6407999999992</v>
      </c>
      <c r="L935" s="375">
        <v>-10563.914769999999</v>
      </c>
      <c r="M935" s="375">
        <v>55057.362860000001</v>
      </c>
      <c r="N935" s="372">
        <v>0.48</v>
      </c>
      <c r="O935" s="704">
        <v>2.5659531588911286</v>
      </c>
      <c r="P935" s="375" t="s">
        <v>622</v>
      </c>
      <c r="Q935" s="375" t="s">
        <v>622</v>
      </c>
      <c r="R935" s="696">
        <v>20150813</v>
      </c>
      <c r="S935" s="375" t="s">
        <v>6592</v>
      </c>
      <c r="T935" s="697" t="s">
        <v>771</v>
      </c>
      <c r="U935" s="375" t="s">
        <v>6593</v>
      </c>
      <c r="V935" s="723" t="s">
        <v>773</v>
      </c>
      <c r="W935" s="723">
        <v>11</v>
      </c>
      <c r="X935" s="723">
        <v>37.950000000000003</v>
      </c>
      <c r="Y935" s="723" t="s">
        <v>773</v>
      </c>
      <c r="Z935" s="382" t="s">
        <v>927</v>
      </c>
      <c r="AA935" s="372">
        <v>110.1329775</v>
      </c>
      <c r="AB935" s="372">
        <v>118.18366829999999</v>
      </c>
      <c r="AC935" s="372">
        <v>125.73624100000001</v>
      </c>
      <c r="AD935" s="372">
        <v>139.68016470000001</v>
      </c>
      <c r="AE935" s="372">
        <v>0</v>
      </c>
      <c r="AF935" s="372">
        <v>0</v>
      </c>
      <c r="AG935" s="372">
        <v>0</v>
      </c>
      <c r="AH935" s="372">
        <v>0</v>
      </c>
    </row>
    <row r="936" spans="1:34">
      <c r="A936" s="372" t="s">
        <v>6594</v>
      </c>
      <c r="B936" s="373" t="s">
        <v>6595</v>
      </c>
      <c r="C936" s="372" t="s">
        <v>6596</v>
      </c>
      <c r="D936" s="374">
        <v>1201110003765</v>
      </c>
      <c r="E936" s="372" t="s">
        <v>6597</v>
      </c>
      <c r="F936" s="375" t="s">
        <v>1323</v>
      </c>
      <c r="G936" s="375" t="s">
        <v>16106</v>
      </c>
      <c r="H936" s="375" t="s">
        <v>861</v>
      </c>
      <c r="I936" s="375" t="s">
        <v>862</v>
      </c>
      <c r="J936" s="375">
        <v>189187.80041</v>
      </c>
      <c r="K936" s="375">
        <v>-15278.620360000001</v>
      </c>
      <c r="L936" s="375">
        <v>-13320.49019</v>
      </c>
      <c r="M936" s="375">
        <v>218550.69208000001</v>
      </c>
      <c r="N936" s="372">
        <v>0.57799999999999996</v>
      </c>
      <c r="O936" s="704">
        <v>23.644102715418843</v>
      </c>
      <c r="P936" s="375" t="s">
        <v>622</v>
      </c>
      <c r="Q936" s="375" t="s">
        <v>622</v>
      </c>
      <c r="R936" s="696">
        <v>19921211</v>
      </c>
      <c r="S936" s="375" t="s">
        <v>6598</v>
      </c>
      <c r="T936" s="697" t="s">
        <v>771</v>
      </c>
      <c r="U936" s="375" t="s">
        <v>6599</v>
      </c>
      <c r="V936" s="723" t="s">
        <v>773</v>
      </c>
      <c r="W936" s="723">
        <v>0.77</v>
      </c>
      <c r="X936" s="723">
        <v>1.01</v>
      </c>
      <c r="Y936" s="723" t="s">
        <v>773</v>
      </c>
      <c r="Z936" s="382" t="s">
        <v>927</v>
      </c>
      <c r="AA936" s="372">
        <v>1738.2765999999999</v>
      </c>
      <c r="AB936" s="372">
        <v>1776.1083001</v>
      </c>
      <c r="AC936" s="372">
        <v>1827.1815721999999</v>
      </c>
      <c r="AD936" s="372">
        <v>1626.7409895000001</v>
      </c>
      <c r="AE936" s="372">
        <v>0</v>
      </c>
      <c r="AF936" s="372">
        <v>0</v>
      </c>
      <c r="AG936" s="372">
        <v>0</v>
      </c>
      <c r="AH936" s="372">
        <v>0</v>
      </c>
    </row>
    <row r="937" spans="1:34">
      <c r="A937" s="372" t="s">
        <v>6600</v>
      </c>
      <c r="B937" s="373" t="s">
        <v>6601</v>
      </c>
      <c r="C937" s="372" t="s">
        <v>6602</v>
      </c>
      <c r="D937" s="374">
        <v>1101111627011</v>
      </c>
      <c r="E937" s="372" t="s">
        <v>6603</v>
      </c>
      <c r="F937" s="375" t="s">
        <v>1069</v>
      </c>
      <c r="G937" s="375" t="s">
        <v>2331</v>
      </c>
      <c r="H937" s="375" t="s">
        <v>3099</v>
      </c>
      <c r="I937" s="375" t="s">
        <v>862</v>
      </c>
      <c r="J937" s="375">
        <v>21167.212009999999</v>
      </c>
      <c r="K937" s="375">
        <v>-2592.47588</v>
      </c>
      <c r="L937" s="375">
        <v>-8165.9316799999997</v>
      </c>
      <c r="M937" s="375">
        <v>112158.91325</v>
      </c>
      <c r="N937" s="372">
        <v>0.64200000000000002</v>
      </c>
      <c r="O937" s="704">
        <v>70.531616386987665</v>
      </c>
      <c r="P937" s="375" t="s">
        <v>622</v>
      </c>
      <c r="Q937" s="375" t="s">
        <v>622</v>
      </c>
      <c r="R937" s="696">
        <v>20080701</v>
      </c>
      <c r="S937" s="375" t="s">
        <v>6604</v>
      </c>
      <c r="T937" s="697" t="s">
        <v>771</v>
      </c>
      <c r="U937" s="375" t="s">
        <v>6605</v>
      </c>
      <c r="V937" s="723" t="s">
        <v>773</v>
      </c>
      <c r="W937" s="723">
        <v>1.1000000000000001</v>
      </c>
      <c r="X937" s="723">
        <v>6.07</v>
      </c>
      <c r="Y937" s="723" t="s">
        <v>773</v>
      </c>
      <c r="Z937" s="382" t="s">
        <v>927</v>
      </c>
      <c r="AA937" s="372">
        <v>288.50755679999997</v>
      </c>
      <c r="AB937" s="372">
        <v>790.20050509999999</v>
      </c>
      <c r="AC937" s="372">
        <v>551.37015980000001</v>
      </c>
      <c r="AD937" s="372">
        <v>449.65867800000001</v>
      </c>
      <c r="AE937" s="372">
        <v>1120</v>
      </c>
      <c r="AF937" s="372">
        <v>0</v>
      </c>
      <c r="AG937" s="372">
        <v>0</v>
      </c>
      <c r="AH937" s="372">
        <v>0</v>
      </c>
    </row>
    <row r="938" spans="1:34">
      <c r="A938" s="372" t="s">
        <v>6606</v>
      </c>
      <c r="B938" s="373" t="s">
        <v>6607</v>
      </c>
      <c r="C938" s="372" t="s">
        <v>6608</v>
      </c>
      <c r="D938" s="374">
        <v>1311110433589</v>
      </c>
      <c r="E938" s="372" t="s">
        <v>6609</v>
      </c>
      <c r="F938" s="375" t="s">
        <v>6610</v>
      </c>
      <c r="G938" s="375" t="s">
        <v>6610</v>
      </c>
      <c r="H938" s="375" t="s">
        <v>861</v>
      </c>
      <c r="I938" s="375" t="s">
        <v>862</v>
      </c>
      <c r="J938" s="375">
        <v>103921.85122</v>
      </c>
      <c r="K938" s="375">
        <v>23405.331630000001</v>
      </c>
      <c r="L938" s="375">
        <v>30676.051660000001</v>
      </c>
      <c r="M938" s="375">
        <v>223496.20705</v>
      </c>
      <c r="N938" s="372">
        <v>0.65</v>
      </c>
      <c r="O938" s="704">
        <v>6.2589897281369572E-2</v>
      </c>
      <c r="P938" s="375" t="s">
        <v>622</v>
      </c>
      <c r="Q938" s="375" t="s">
        <v>622</v>
      </c>
      <c r="R938" s="696">
        <v>20160205</v>
      </c>
      <c r="S938" s="375" t="s">
        <v>6611</v>
      </c>
      <c r="T938" s="697">
        <v>0.23100000000000001</v>
      </c>
      <c r="U938" s="375" t="s">
        <v>6612</v>
      </c>
      <c r="V938" s="723">
        <v>6.67</v>
      </c>
      <c r="W938" s="723">
        <v>0.78</v>
      </c>
      <c r="X938" s="723">
        <v>1.73</v>
      </c>
      <c r="Y938" s="723">
        <v>6.56</v>
      </c>
      <c r="Z938" s="382">
        <v>0.10561731709509137</v>
      </c>
      <c r="AA938" s="372">
        <v>577.69865909999999</v>
      </c>
      <c r="AB938" s="372">
        <v>725.72220100000004</v>
      </c>
      <c r="AC938" s="372">
        <v>893.97131100000001</v>
      </c>
      <c r="AD938" s="372">
        <v>946.30270169999994</v>
      </c>
      <c r="AE938" s="372">
        <v>1091</v>
      </c>
      <c r="AF938" s="372">
        <v>1239</v>
      </c>
      <c r="AG938" s="372">
        <v>1414</v>
      </c>
      <c r="AH938" s="372">
        <v>0</v>
      </c>
    </row>
    <row r="939" spans="1:34">
      <c r="A939" s="372" t="s">
        <v>6613</v>
      </c>
      <c r="B939" s="373" t="s">
        <v>6614</v>
      </c>
      <c r="C939" s="372" t="s">
        <v>6615</v>
      </c>
      <c r="D939" s="374">
        <v>1101111468093</v>
      </c>
      <c r="E939" s="372" t="s">
        <v>6616</v>
      </c>
      <c r="F939" s="375" t="s">
        <v>6617</v>
      </c>
      <c r="G939" s="375" t="s">
        <v>6617</v>
      </c>
      <c r="H939" s="375" t="s">
        <v>3099</v>
      </c>
      <c r="I939" s="375" t="s">
        <v>862</v>
      </c>
      <c r="J939" s="375">
        <v>3426670.9841</v>
      </c>
      <c r="K939" s="375">
        <v>-5537.7425300000004</v>
      </c>
      <c r="L939" s="375">
        <v>-23694.262060000001</v>
      </c>
      <c r="M939" s="375">
        <v>794222.24395999999</v>
      </c>
      <c r="N939" s="372">
        <v>1.234</v>
      </c>
      <c r="O939" s="704">
        <v>96.062189952879478</v>
      </c>
      <c r="P939" s="375" t="s">
        <v>622</v>
      </c>
      <c r="Q939" s="372" t="s">
        <v>622</v>
      </c>
      <c r="R939" s="696">
        <v>19990701</v>
      </c>
      <c r="S939" s="372" t="s">
        <v>6618</v>
      </c>
      <c r="T939" s="697" t="s">
        <v>771</v>
      </c>
      <c r="U939" s="372" t="s">
        <v>6619</v>
      </c>
      <c r="V939" s="723">
        <v>11.16</v>
      </c>
      <c r="W939" s="723">
        <v>0.33</v>
      </c>
      <c r="X939" s="723">
        <v>0.05</v>
      </c>
      <c r="Y939" s="723" t="s">
        <v>773</v>
      </c>
      <c r="Z939" s="382" t="s">
        <v>927</v>
      </c>
      <c r="AA939" s="372">
        <v>28365.474869999998</v>
      </c>
      <c r="AB939" s="372">
        <v>31157.784964300001</v>
      </c>
      <c r="AC939" s="372">
        <v>35848.457931299999</v>
      </c>
      <c r="AD939" s="372">
        <v>34238.665803999997</v>
      </c>
      <c r="AE939" s="372">
        <v>0</v>
      </c>
      <c r="AF939" s="372">
        <v>0</v>
      </c>
      <c r="AG939" s="372">
        <v>0</v>
      </c>
      <c r="AH939" s="372">
        <v>0</v>
      </c>
    </row>
    <row r="940" spans="1:34">
      <c r="A940" s="372" t="s">
        <v>6620</v>
      </c>
      <c r="B940" s="373" t="s">
        <v>6621</v>
      </c>
      <c r="C940" s="372" t="s">
        <v>6622</v>
      </c>
      <c r="D940" s="374">
        <v>1101110244965</v>
      </c>
      <c r="E940" s="372" t="s">
        <v>6623</v>
      </c>
      <c r="F940" s="375" t="s">
        <v>6624</v>
      </c>
      <c r="G940" s="375" t="s">
        <v>6625</v>
      </c>
      <c r="H940" s="375" t="s">
        <v>861</v>
      </c>
      <c r="I940" s="375" t="s">
        <v>862</v>
      </c>
      <c r="J940" s="375">
        <v>58363.402459999998</v>
      </c>
      <c r="K940" s="375">
        <v>-1108.9818</v>
      </c>
      <c r="L940" s="375">
        <v>2439.93174</v>
      </c>
      <c r="M940" s="375">
        <v>189350.59323999999</v>
      </c>
      <c r="N940" s="372">
        <v>0.55900000000000005</v>
      </c>
      <c r="O940" s="704">
        <v>0</v>
      </c>
      <c r="P940" s="375" t="s">
        <v>622</v>
      </c>
      <c r="Q940" s="372" t="s">
        <v>622</v>
      </c>
      <c r="R940" s="696">
        <v>19961024</v>
      </c>
      <c r="S940" s="372" t="s">
        <v>6626</v>
      </c>
      <c r="T940" s="697">
        <v>0.20900000000000002</v>
      </c>
      <c r="U940" s="372" t="s">
        <v>6627</v>
      </c>
      <c r="V940" s="723">
        <v>0</v>
      </c>
      <c r="W940" s="723">
        <v>0</v>
      </c>
      <c r="X940" s="723">
        <v>0</v>
      </c>
      <c r="Y940" s="723">
        <v>0</v>
      </c>
      <c r="Z940" s="382" t="s">
        <v>927</v>
      </c>
      <c r="AA940" s="372">
        <v>488.50783130000002</v>
      </c>
      <c r="AB940" s="372">
        <v>443.9850879</v>
      </c>
      <c r="AC940" s="372">
        <v>448.97819850000002</v>
      </c>
      <c r="AD940" s="372">
        <v>621.34749169999998</v>
      </c>
      <c r="AE940" s="372">
        <v>0</v>
      </c>
      <c r="AF940" s="372">
        <v>0</v>
      </c>
      <c r="AG940" s="372">
        <v>0</v>
      </c>
      <c r="AH940" s="372">
        <v>0</v>
      </c>
    </row>
    <row r="941" spans="1:34">
      <c r="A941" s="372" t="s">
        <v>6628</v>
      </c>
      <c r="B941" s="373" t="s">
        <v>6629</v>
      </c>
      <c r="C941" s="372" t="s">
        <v>6630</v>
      </c>
      <c r="D941" s="374">
        <v>1358110266776</v>
      </c>
      <c r="E941" s="372" t="s">
        <v>6631</v>
      </c>
      <c r="F941" s="375" t="s">
        <v>845</v>
      </c>
      <c r="G941" s="375" t="s">
        <v>845</v>
      </c>
      <c r="H941" s="375" t="s">
        <v>3099</v>
      </c>
      <c r="I941" s="375" t="s">
        <v>862</v>
      </c>
      <c r="J941" s="375">
        <v>0</v>
      </c>
      <c r="K941" s="375">
        <v>0</v>
      </c>
      <c r="L941" s="375">
        <v>0</v>
      </c>
      <c r="M941" s="375">
        <v>49235.343860000001</v>
      </c>
      <c r="N941" s="372" t="s">
        <v>1026</v>
      </c>
      <c r="O941" s="704">
        <v>18.12857781353711</v>
      </c>
      <c r="P941" s="375" t="s">
        <v>622</v>
      </c>
      <c r="Q941" s="375" t="s">
        <v>622</v>
      </c>
      <c r="R941" s="696">
        <v>20231213</v>
      </c>
      <c r="S941" s="375" t="s">
        <v>6632</v>
      </c>
      <c r="T941" s="697" t="s">
        <v>771</v>
      </c>
      <c r="U941" s="375" t="s">
        <v>6633</v>
      </c>
      <c r="V941" s="723">
        <v>0</v>
      </c>
      <c r="W941" s="723">
        <v>5.51</v>
      </c>
      <c r="X941" s="723">
        <v>0</v>
      </c>
      <c r="Y941" s="723">
        <v>0</v>
      </c>
      <c r="Z941" s="382" t="s">
        <v>927</v>
      </c>
      <c r="AA941" s="372">
        <v>299.51107860000002</v>
      </c>
      <c r="AB941" s="372">
        <v>518.72728189999998</v>
      </c>
      <c r="AC941" s="372">
        <v>771.4675191</v>
      </c>
      <c r="AD941" s="372">
        <v>1138.5274913999999</v>
      </c>
      <c r="AE941" s="372">
        <v>0</v>
      </c>
      <c r="AF941" s="372">
        <v>0</v>
      </c>
      <c r="AG941" s="372">
        <v>0</v>
      </c>
      <c r="AH941" s="372">
        <v>0</v>
      </c>
    </row>
    <row r="942" spans="1:34">
      <c r="A942" s="372" t="s">
        <v>6634</v>
      </c>
      <c r="B942" s="373" t="s">
        <v>6635</v>
      </c>
      <c r="C942" s="372" t="s">
        <v>6636</v>
      </c>
      <c r="D942" s="374">
        <v>1101110529747</v>
      </c>
      <c r="E942" s="372" t="s">
        <v>6637</v>
      </c>
      <c r="F942" s="375" t="s">
        <v>6638</v>
      </c>
      <c r="G942" s="375" t="s">
        <v>6638</v>
      </c>
      <c r="H942" s="375" t="s">
        <v>861</v>
      </c>
      <c r="I942" s="375" t="s">
        <v>4413</v>
      </c>
      <c r="J942" s="375">
        <v>6431.8893399999997</v>
      </c>
      <c r="K942" s="375">
        <v>372.11950000000002</v>
      </c>
      <c r="L942" s="375">
        <v>-9344.4817700000003</v>
      </c>
      <c r="M942" s="375">
        <v>38847.364459999997</v>
      </c>
      <c r="N942" s="372" t="s">
        <v>1026</v>
      </c>
      <c r="O942" s="704" t="e">
        <v>#DIV/0!</v>
      </c>
      <c r="P942" s="375" t="s">
        <v>622</v>
      </c>
      <c r="Q942" s="372" t="s">
        <v>622</v>
      </c>
      <c r="R942" s="696">
        <v>20030627</v>
      </c>
      <c r="S942" s="372" t="e">
        <v>#N/A</v>
      </c>
      <c r="T942" s="697" t="s">
        <v>771</v>
      </c>
      <c r="U942" s="372" t="s">
        <v>6639</v>
      </c>
      <c r="V942" s="723">
        <v>3.57</v>
      </c>
      <c r="W942" s="723">
        <v>0.17</v>
      </c>
      <c r="X942" s="723">
        <v>0</v>
      </c>
      <c r="Y942" s="723">
        <v>0</v>
      </c>
      <c r="Z942" s="382" t="s">
        <v>927</v>
      </c>
      <c r="AA942" s="372">
        <v>191.76815819999999</v>
      </c>
      <c r="AB942" s="372">
        <v>154.47914</v>
      </c>
      <c r="AC942" s="372">
        <v>141.50229590000001</v>
      </c>
      <c r="AD942" s="372">
        <v>193.413725</v>
      </c>
      <c r="AE942" s="372">
        <v>0</v>
      </c>
      <c r="AF942" s="372">
        <v>0</v>
      </c>
      <c r="AG942" s="372">
        <v>0</v>
      </c>
      <c r="AH942" s="372">
        <v>0</v>
      </c>
    </row>
    <row r="943" spans="1:34">
      <c r="A943" s="372" t="s">
        <v>6640</v>
      </c>
      <c r="B943" s="373" t="s">
        <v>6641</v>
      </c>
      <c r="C943" s="372" t="s">
        <v>6642</v>
      </c>
      <c r="D943" s="374">
        <v>1701110166737</v>
      </c>
      <c r="E943" s="372" t="s">
        <v>6643</v>
      </c>
      <c r="F943" s="375" t="s">
        <v>1185</v>
      </c>
      <c r="G943" s="375" t="s">
        <v>3115</v>
      </c>
      <c r="H943" s="375" t="s">
        <v>861</v>
      </c>
      <c r="I943" s="375" t="s">
        <v>862</v>
      </c>
      <c r="J943" s="375">
        <v>282273.99917000002</v>
      </c>
      <c r="K943" s="375">
        <v>26272.233759999999</v>
      </c>
      <c r="L943" s="375">
        <v>21300.043369999999</v>
      </c>
      <c r="M943" s="375">
        <v>189155.87640000001</v>
      </c>
      <c r="N943" s="372">
        <v>1.0369999999999999</v>
      </c>
      <c r="O943" s="704">
        <v>8.0380984733605061</v>
      </c>
      <c r="P943" s="375" t="s">
        <v>622</v>
      </c>
      <c r="Q943" s="375" t="s">
        <v>622</v>
      </c>
      <c r="R943" s="696">
        <v>20051011</v>
      </c>
      <c r="S943" s="375" t="s">
        <v>6644</v>
      </c>
      <c r="T943" s="697">
        <v>0.23100000000000001</v>
      </c>
      <c r="U943" s="372" t="s">
        <v>6645</v>
      </c>
      <c r="V943" s="723">
        <v>7.65</v>
      </c>
      <c r="W943" s="723">
        <v>1.0900000000000001</v>
      </c>
      <c r="X943" s="723">
        <v>0.75</v>
      </c>
      <c r="Y943" s="723">
        <v>12.48</v>
      </c>
      <c r="Z943" s="382">
        <v>0.32435576213013206</v>
      </c>
      <c r="AA943" s="372">
        <v>2003.4798252000001</v>
      </c>
      <c r="AB943" s="372">
        <v>1798.082294</v>
      </c>
      <c r="AC943" s="372">
        <v>2172.6406550000002</v>
      </c>
      <c r="AD943" s="372">
        <v>1868.5214926000001</v>
      </c>
      <c r="AE943" s="372">
        <v>3119</v>
      </c>
      <c r="AF943" s="372">
        <v>4445</v>
      </c>
      <c r="AG943" s="372">
        <v>5748</v>
      </c>
      <c r="AH943" s="372">
        <v>0</v>
      </c>
    </row>
    <row r="944" spans="1:34">
      <c r="A944" s="372" t="s">
        <v>6646</v>
      </c>
      <c r="B944" s="373" t="s">
        <v>6647</v>
      </c>
      <c r="C944" s="372" t="s">
        <v>6648</v>
      </c>
      <c r="D944" s="374">
        <v>1101111846174</v>
      </c>
      <c r="E944" s="372" t="s">
        <v>6649</v>
      </c>
      <c r="F944" s="375" t="s">
        <v>1096</v>
      </c>
      <c r="G944" s="375" t="s">
        <v>1097</v>
      </c>
      <c r="H944" s="375" t="s">
        <v>826</v>
      </c>
      <c r="I944" s="375" t="s">
        <v>754</v>
      </c>
      <c r="J944" s="375">
        <v>266044.12313000002</v>
      </c>
      <c r="K944" s="375">
        <v>16319.150589999999</v>
      </c>
      <c r="L944" s="375">
        <v>13623.382879999999</v>
      </c>
      <c r="M944" s="375">
        <v>92055.85901</v>
      </c>
      <c r="N944" s="372">
        <v>0.61</v>
      </c>
      <c r="O944" s="704">
        <v>7.6717580268988881</v>
      </c>
      <c r="P944" s="375" t="s">
        <v>622</v>
      </c>
      <c r="Q944" s="375" t="s">
        <v>622</v>
      </c>
      <c r="R944" s="696">
        <v>20050202</v>
      </c>
      <c r="S944" s="375" t="s">
        <v>6650</v>
      </c>
      <c r="T944" s="697">
        <v>0.20900000000000002</v>
      </c>
      <c r="U944" s="372" t="s">
        <v>6651</v>
      </c>
      <c r="V944" s="723">
        <v>7.36</v>
      </c>
      <c r="W944" s="723">
        <v>2.19</v>
      </c>
      <c r="X944" s="723">
        <v>0.76</v>
      </c>
      <c r="Y944" s="723">
        <v>16.86</v>
      </c>
      <c r="Z944" s="382" t="s">
        <v>927</v>
      </c>
      <c r="AA944" s="372">
        <v>3075.1740221</v>
      </c>
      <c r="AB944" s="372">
        <v>2629.4593067000001</v>
      </c>
      <c r="AC944" s="372">
        <v>2478.7318844000001</v>
      </c>
      <c r="AD944" s="372">
        <v>2736.4524685000001</v>
      </c>
      <c r="AE944" s="372">
        <v>0</v>
      </c>
      <c r="AF944" s="372">
        <v>0</v>
      </c>
      <c r="AG944" s="372">
        <v>0</v>
      </c>
      <c r="AH944" s="372">
        <v>0</v>
      </c>
    </row>
    <row r="945" spans="1:34">
      <c r="A945" s="372" t="s">
        <v>6652</v>
      </c>
      <c r="B945" s="373" t="s">
        <v>6653</v>
      </c>
      <c r="C945" s="372" t="s">
        <v>6654</v>
      </c>
      <c r="D945" s="374">
        <v>1101110212699</v>
      </c>
      <c r="E945" s="372" t="s">
        <v>6654</v>
      </c>
      <c r="F945" s="372" t="s">
        <v>2842</v>
      </c>
      <c r="G945" s="375" t="s">
        <v>4678</v>
      </c>
      <c r="H945" s="375" t="s">
        <v>826</v>
      </c>
      <c r="I945" s="375" t="s">
        <v>754</v>
      </c>
      <c r="J945" s="375">
        <v>466603.53785999998</v>
      </c>
      <c r="K945" s="375">
        <v>22706.73762</v>
      </c>
      <c r="L945" s="375">
        <v>122825.32909</v>
      </c>
      <c r="M945" s="375">
        <v>450105.92317000002</v>
      </c>
      <c r="N945" s="372">
        <v>0.86099999999999999</v>
      </c>
      <c r="O945" s="704">
        <v>43.956497833272472</v>
      </c>
      <c r="P945" s="375" t="s">
        <v>622</v>
      </c>
      <c r="Q945" s="375" t="s">
        <v>622</v>
      </c>
      <c r="R945" s="696">
        <v>19690908</v>
      </c>
      <c r="S945" s="375" t="s">
        <v>6655</v>
      </c>
      <c r="T945" s="697">
        <v>0.23100000000000001</v>
      </c>
      <c r="U945" s="372" t="s">
        <v>6656</v>
      </c>
      <c r="V945" s="723">
        <v>3.19</v>
      </c>
      <c r="W945" s="723">
        <v>0.45</v>
      </c>
      <c r="X945" s="723">
        <v>0.45</v>
      </c>
      <c r="Y945" s="723">
        <v>2.2999999999999998</v>
      </c>
      <c r="Z945" s="382" t="s">
        <v>927</v>
      </c>
      <c r="AA945" s="372">
        <v>4313.3336738999997</v>
      </c>
      <c r="AB945" s="372">
        <v>4869.0215097</v>
      </c>
      <c r="AC945" s="372">
        <v>5445.8147570000001</v>
      </c>
      <c r="AD945" s="372">
        <v>5087.2124174999999</v>
      </c>
      <c r="AE945" s="372">
        <v>0</v>
      </c>
      <c r="AF945" s="372">
        <v>0</v>
      </c>
      <c r="AG945" s="372">
        <v>0</v>
      </c>
      <c r="AH945" s="372">
        <v>0</v>
      </c>
    </row>
    <row r="946" spans="1:34">
      <c r="A946" s="372" t="s">
        <v>6657</v>
      </c>
      <c r="B946" s="373" t="s">
        <v>6658</v>
      </c>
      <c r="C946" s="372" t="s">
        <v>6659</v>
      </c>
      <c r="D946" s="374">
        <v>1101110565163</v>
      </c>
      <c r="E946" s="372" t="s">
        <v>6660</v>
      </c>
      <c r="F946" s="375" t="s">
        <v>5301</v>
      </c>
      <c r="G946" s="375" t="s">
        <v>5301</v>
      </c>
      <c r="H946" s="375" t="s">
        <v>861</v>
      </c>
      <c r="I946" s="375" t="s">
        <v>862</v>
      </c>
      <c r="J946" s="375">
        <v>3235677.82815</v>
      </c>
      <c r="K946" s="375">
        <v>135056.57558999999</v>
      </c>
      <c r="L946" s="375">
        <v>110097.97356</v>
      </c>
      <c r="M946" s="375">
        <v>1080926.3649899999</v>
      </c>
      <c r="N946" s="372">
        <v>0.86299999999999999</v>
      </c>
      <c r="O946" s="704">
        <v>730.48956054491941</v>
      </c>
      <c r="P946" s="375" t="s">
        <v>622</v>
      </c>
      <c r="Q946" s="372" t="s">
        <v>622</v>
      </c>
      <c r="R946" s="696">
        <v>19991120</v>
      </c>
      <c r="S946" s="372" t="s">
        <v>854</v>
      </c>
      <c r="T946" s="697">
        <v>0.23100000000000001</v>
      </c>
      <c r="U946" s="372" t="s">
        <v>6661</v>
      </c>
      <c r="V946" s="723">
        <v>6.82</v>
      </c>
      <c r="W946" s="723">
        <v>0.28000000000000003</v>
      </c>
      <c r="X946" s="723">
        <v>0.05</v>
      </c>
      <c r="Y946" s="723">
        <v>3.25</v>
      </c>
      <c r="Z946" s="382" t="s">
        <v>927</v>
      </c>
      <c r="AA946" s="372">
        <v>16083.4254403</v>
      </c>
      <c r="AB946" s="372">
        <v>19840.455089800002</v>
      </c>
      <c r="AC946" s="372">
        <v>30102.552486100001</v>
      </c>
      <c r="AD946" s="372">
        <v>31191.6030522</v>
      </c>
      <c r="AE946" s="372">
        <v>0</v>
      </c>
      <c r="AF946" s="372">
        <v>0</v>
      </c>
      <c r="AG946" s="372">
        <v>0</v>
      </c>
      <c r="AH946" s="372">
        <v>0</v>
      </c>
    </row>
    <row r="947" spans="1:34">
      <c r="A947" s="372" t="s">
        <v>6662</v>
      </c>
      <c r="B947" s="373" t="s">
        <v>6663</v>
      </c>
      <c r="C947" s="372" t="s">
        <v>6664</v>
      </c>
      <c r="D947" s="374">
        <v>1101115487437</v>
      </c>
      <c r="E947" s="372" t="s">
        <v>6665</v>
      </c>
      <c r="F947" s="375" t="s">
        <v>1116</v>
      </c>
      <c r="G947" s="375" t="s">
        <v>1336</v>
      </c>
      <c r="H947" s="375" t="s">
        <v>1337</v>
      </c>
      <c r="I947" s="375" t="s">
        <v>862</v>
      </c>
      <c r="J947" s="375">
        <v>61320.364229999999</v>
      </c>
      <c r="K947" s="375">
        <v>-11302.07777</v>
      </c>
      <c r="L947" s="375">
        <v>-8510.5234999999993</v>
      </c>
      <c r="M947" s="375">
        <v>58279.579940000003</v>
      </c>
      <c r="N947" s="372">
        <v>0.88900000000000001</v>
      </c>
      <c r="O947" s="704">
        <v>12.453153884236585</v>
      </c>
      <c r="P947" s="375" t="s">
        <v>622</v>
      </c>
      <c r="Q947" s="375" t="s">
        <v>622</v>
      </c>
      <c r="R947" s="696">
        <v>20201118</v>
      </c>
      <c r="S947" s="375" t="s">
        <v>6666</v>
      </c>
      <c r="T947" s="697" t="s">
        <v>771</v>
      </c>
      <c r="U947" s="375" t="s">
        <v>6667</v>
      </c>
      <c r="V947" s="723" t="s">
        <v>773</v>
      </c>
      <c r="W947" s="723">
        <v>3.13</v>
      </c>
      <c r="X947" s="723">
        <v>2.08</v>
      </c>
      <c r="Y947" s="723" t="s">
        <v>773</v>
      </c>
      <c r="Z947" s="382" t="s">
        <v>927</v>
      </c>
      <c r="AA947" s="372">
        <v>45.914846699999998</v>
      </c>
      <c r="AB947" s="372">
        <v>28.933286800000001</v>
      </c>
      <c r="AC947" s="372">
        <v>116.0557668</v>
      </c>
      <c r="AD947" s="372">
        <v>331.38037059999999</v>
      </c>
      <c r="AE947" s="372">
        <v>0</v>
      </c>
      <c r="AF947" s="372">
        <v>0</v>
      </c>
      <c r="AG947" s="372">
        <v>0</v>
      </c>
      <c r="AH947" s="372">
        <v>0</v>
      </c>
    </row>
    <row r="948" spans="1:34">
      <c r="A948" s="372" t="s">
        <v>6668</v>
      </c>
      <c r="B948" s="373" t="s">
        <v>6669</v>
      </c>
      <c r="C948" s="372" t="s">
        <v>6670</v>
      </c>
      <c r="D948" s="374">
        <v>1201110050104</v>
      </c>
      <c r="E948" s="372" t="s">
        <v>6671</v>
      </c>
      <c r="F948" s="375" t="s">
        <v>5769</v>
      </c>
      <c r="G948" s="375" t="s">
        <v>5769</v>
      </c>
      <c r="H948" s="375" t="s">
        <v>1337</v>
      </c>
      <c r="I948" s="375" t="s">
        <v>862</v>
      </c>
      <c r="J948" s="375">
        <v>919404.78821999999</v>
      </c>
      <c r="K948" s="375">
        <v>-229812.22969000001</v>
      </c>
      <c r="L948" s="375">
        <v>-164974.84966000001</v>
      </c>
      <c r="M948" s="375">
        <v>665071.96687</v>
      </c>
      <c r="N948" s="372">
        <v>0.995</v>
      </c>
      <c r="O948" s="704">
        <v>1232.4273945446346</v>
      </c>
      <c r="P948" s="375" t="s">
        <v>622</v>
      </c>
      <c r="Q948" s="375" t="s">
        <v>622</v>
      </c>
      <c r="R948" s="696">
        <v>20000816</v>
      </c>
      <c r="S948" s="375" t="s">
        <v>6672</v>
      </c>
      <c r="T948" s="697" t="s">
        <v>771</v>
      </c>
      <c r="U948" s="372" t="s">
        <v>6673</v>
      </c>
      <c r="V948" s="723" t="s">
        <v>773</v>
      </c>
      <c r="W948" s="723">
        <v>0.18</v>
      </c>
      <c r="X948" s="723">
        <v>0.11</v>
      </c>
      <c r="Y948" s="723" t="s">
        <v>773</v>
      </c>
      <c r="Z948" s="382" t="s">
        <v>927</v>
      </c>
      <c r="AA948" s="372">
        <v>4541.8771665000004</v>
      </c>
      <c r="AB948" s="372">
        <v>5690.3384349999997</v>
      </c>
      <c r="AC948" s="372">
        <v>7646.2120113999999</v>
      </c>
      <c r="AD948" s="372">
        <v>9369.6270681999995</v>
      </c>
      <c r="AE948" s="372">
        <v>0</v>
      </c>
      <c r="AF948" s="372">
        <v>0</v>
      </c>
      <c r="AG948" s="372">
        <v>0</v>
      </c>
      <c r="AH948" s="372">
        <v>0</v>
      </c>
    </row>
    <row r="949" spans="1:34">
      <c r="A949" s="372" t="s">
        <v>6674</v>
      </c>
      <c r="B949" s="373" t="s">
        <v>6675</v>
      </c>
      <c r="C949" s="372" t="s">
        <v>6676</v>
      </c>
      <c r="D949" s="374">
        <v>1801110004323</v>
      </c>
      <c r="E949" s="372" t="s">
        <v>6677</v>
      </c>
      <c r="F949" s="372" t="s">
        <v>2864</v>
      </c>
      <c r="G949" s="375" t="s">
        <v>2865</v>
      </c>
      <c r="H949" s="375" t="s">
        <v>826</v>
      </c>
      <c r="I949" s="375" t="s">
        <v>754</v>
      </c>
      <c r="J949" s="375">
        <v>1711295.7737499999</v>
      </c>
      <c r="K949" s="375">
        <v>81403.955749999994</v>
      </c>
      <c r="L949" s="375">
        <v>26418.2752</v>
      </c>
      <c r="M949" s="375">
        <v>597828.51960999996</v>
      </c>
      <c r="N949" s="372">
        <v>0.57699999999999996</v>
      </c>
      <c r="O949" s="704">
        <v>396.89143006423222</v>
      </c>
      <c r="P949" s="375" t="s">
        <v>622</v>
      </c>
      <c r="Q949" s="375" t="s">
        <v>622</v>
      </c>
      <c r="R949" s="696">
        <v>19910204</v>
      </c>
      <c r="S949" s="375" t="s">
        <v>6678</v>
      </c>
      <c r="T949" s="697">
        <v>0.23100000000000001</v>
      </c>
      <c r="U949" s="372" t="s">
        <v>6679</v>
      </c>
      <c r="V949" s="723">
        <v>6.88</v>
      </c>
      <c r="W949" s="723">
        <v>0.62</v>
      </c>
      <c r="X949" s="723">
        <v>0.13</v>
      </c>
      <c r="Y949" s="723">
        <v>18.66</v>
      </c>
      <c r="Z949" s="382" t="s">
        <v>927</v>
      </c>
      <c r="AA949" s="372">
        <v>12987.736351199999</v>
      </c>
      <c r="AB949" s="372">
        <v>13655.176183600001</v>
      </c>
      <c r="AC949" s="372">
        <v>19129.556097000001</v>
      </c>
      <c r="AD949" s="372">
        <v>14665.511911699999</v>
      </c>
      <c r="AE949" s="372">
        <v>0</v>
      </c>
      <c r="AF949" s="372">
        <v>0</v>
      </c>
      <c r="AG949" s="372">
        <v>0</v>
      </c>
      <c r="AH949" s="372">
        <v>0</v>
      </c>
    </row>
    <row r="950" spans="1:34">
      <c r="A950" s="372" t="s">
        <v>6680</v>
      </c>
      <c r="B950" s="373" t="s">
        <v>6681</v>
      </c>
      <c r="C950" s="372" t="s">
        <v>6682</v>
      </c>
      <c r="D950" s="374">
        <v>1101112422379</v>
      </c>
      <c r="E950" s="372" t="s">
        <v>6683</v>
      </c>
      <c r="F950" s="375" t="s">
        <v>1962</v>
      </c>
      <c r="G950" s="375" t="s">
        <v>1962</v>
      </c>
      <c r="H950" s="375" t="s">
        <v>861</v>
      </c>
      <c r="I950" s="375" t="s">
        <v>862</v>
      </c>
      <c r="J950" s="375">
        <v>61925.953609999997</v>
      </c>
      <c r="K950" s="375">
        <v>-1718.91173</v>
      </c>
      <c r="L950" s="375">
        <v>-1918.0571199999999</v>
      </c>
      <c r="M950" s="375">
        <v>29581.17957</v>
      </c>
      <c r="N950" s="372">
        <v>1.4059999999999999</v>
      </c>
      <c r="O950" s="704">
        <v>15.125371869593952</v>
      </c>
      <c r="P950" s="375" t="s">
        <v>622</v>
      </c>
      <c r="Q950" s="375" t="s">
        <v>622</v>
      </c>
      <c r="R950" s="696">
        <v>20221124</v>
      </c>
      <c r="S950" s="375" t="s">
        <v>6684</v>
      </c>
      <c r="T950" s="697" t="s">
        <v>771</v>
      </c>
      <c r="U950" s="372" t="s">
        <v>6685</v>
      </c>
      <c r="V950" s="723" t="s">
        <v>773</v>
      </c>
      <c r="W950" s="723">
        <v>3.56</v>
      </c>
      <c r="X950" s="723">
        <v>1.7</v>
      </c>
      <c r="Y950" s="723" t="s">
        <v>773</v>
      </c>
      <c r="Z950" s="382" t="s">
        <v>927</v>
      </c>
      <c r="AA950" s="372">
        <v>435.32480070000003</v>
      </c>
      <c r="AB950" s="372">
        <v>578.70932259999995</v>
      </c>
      <c r="AC950" s="372">
        <v>611.58301940000001</v>
      </c>
      <c r="AD950" s="372">
        <v>737.15799860000004</v>
      </c>
      <c r="AE950" s="372">
        <v>916</v>
      </c>
      <c r="AF950" s="372">
        <v>1264</v>
      </c>
      <c r="AG950" s="372">
        <v>0</v>
      </c>
      <c r="AH950" s="372">
        <v>0</v>
      </c>
    </row>
    <row r="951" spans="1:34">
      <c r="A951" s="372" t="s">
        <v>6686</v>
      </c>
      <c r="B951" s="373" t="s">
        <v>6687</v>
      </c>
      <c r="C951" s="372" t="s">
        <v>6688</v>
      </c>
      <c r="D951" s="374">
        <v>1101113773094</v>
      </c>
      <c r="E951" s="372" t="s">
        <v>6689</v>
      </c>
      <c r="F951" s="375" t="s">
        <v>6690</v>
      </c>
      <c r="G951" s="375" t="s">
        <v>6691</v>
      </c>
      <c r="H951" s="375" t="s">
        <v>895</v>
      </c>
      <c r="I951" s="375" t="s">
        <v>862</v>
      </c>
      <c r="J951" s="375">
        <v>795878.85981000005</v>
      </c>
      <c r="K951" s="375">
        <v>84683.461030000006</v>
      </c>
      <c r="L951" s="375">
        <v>78036.146229999998</v>
      </c>
      <c r="M951" s="375">
        <v>135524.67061999999</v>
      </c>
      <c r="N951" s="372">
        <v>0.67800000000000005</v>
      </c>
      <c r="O951" s="704">
        <v>23.729234361014143</v>
      </c>
      <c r="P951" s="375" t="s">
        <v>622</v>
      </c>
      <c r="Q951" s="375" t="s">
        <v>622</v>
      </c>
      <c r="R951" s="696">
        <v>20151116</v>
      </c>
      <c r="S951" s="375" t="s">
        <v>6692</v>
      </c>
      <c r="T951" s="697">
        <v>0.23100000000000001</v>
      </c>
      <c r="U951" s="372" t="s">
        <v>6693</v>
      </c>
      <c r="V951" s="723">
        <v>2.4300000000000002</v>
      </c>
      <c r="W951" s="723">
        <v>1.65</v>
      </c>
      <c r="X951" s="723">
        <v>0.3</v>
      </c>
      <c r="Y951" s="723">
        <v>4.0999999999999996</v>
      </c>
      <c r="Z951" s="382">
        <v>0.14911754930960019</v>
      </c>
      <c r="AA951" s="372">
        <v>3010.2544200000002</v>
      </c>
      <c r="AB951" s="372">
        <v>3146.2345599999999</v>
      </c>
      <c r="AC951" s="372">
        <v>4014.4858599999998</v>
      </c>
      <c r="AD951" s="372">
        <v>5568.2236700000003</v>
      </c>
      <c r="AE951" s="372">
        <v>8051</v>
      </c>
      <c r="AF951" s="372">
        <v>9251</v>
      </c>
      <c r="AG951" s="372">
        <v>9709</v>
      </c>
      <c r="AH951" s="372">
        <v>0</v>
      </c>
    </row>
    <row r="952" spans="1:34">
      <c r="A952" s="372" t="s">
        <v>6694</v>
      </c>
      <c r="B952" s="373" t="s">
        <v>6695</v>
      </c>
      <c r="C952" s="372" t="s">
        <v>6696</v>
      </c>
      <c r="D952" s="374">
        <v>1760110038073</v>
      </c>
      <c r="E952" s="372" t="s">
        <v>6697</v>
      </c>
      <c r="F952" s="375" t="s">
        <v>1656</v>
      </c>
      <c r="G952" s="375" t="s">
        <v>1656</v>
      </c>
      <c r="H952" s="375" t="s">
        <v>861</v>
      </c>
      <c r="I952" s="375" t="s">
        <v>862</v>
      </c>
      <c r="J952" s="375">
        <v>176798.43953999999</v>
      </c>
      <c r="K952" s="375">
        <v>-380.86399</v>
      </c>
      <c r="L952" s="375">
        <v>512.84216000000004</v>
      </c>
      <c r="M952" s="375">
        <v>205646.32461000001</v>
      </c>
      <c r="N952" s="372">
        <v>0.81299999999999994</v>
      </c>
      <c r="O952" s="704">
        <v>2.0856861295885687</v>
      </c>
      <c r="P952" s="375" t="s">
        <v>622</v>
      </c>
      <c r="Q952" s="375" t="s">
        <v>622</v>
      </c>
      <c r="R952" s="696">
        <v>20210611</v>
      </c>
      <c r="S952" s="375" t="s">
        <v>6698</v>
      </c>
      <c r="T952" s="697">
        <v>0.20900000000000002</v>
      </c>
      <c r="U952" s="375" t="s">
        <v>6699</v>
      </c>
      <c r="V952" s="723">
        <v>0</v>
      </c>
      <c r="W952" s="723">
        <v>0</v>
      </c>
      <c r="X952" s="723">
        <v>0</v>
      </c>
      <c r="Y952" s="723">
        <v>0</v>
      </c>
      <c r="Z952" s="382" t="s">
        <v>927</v>
      </c>
      <c r="AA952" s="372">
        <v>2097.7031551999999</v>
      </c>
      <c r="AB952" s="372">
        <v>2329.849009</v>
      </c>
      <c r="AC952" s="372">
        <v>2030.6152076000001</v>
      </c>
      <c r="AD952" s="372">
        <v>1647.2713644999999</v>
      </c>
      <c r="AE952" s="372">
        <v>0</v>
      </c>
      <c r="AF952" s="372">
        <v>0</v>
      </c>
      <c r="AG952" s="372">
        <v>0</v>
      </c>
      <c r="AH952" s="372">
        <v>0</v>
      </c>
    </row>
    <row r="953" spans="1:34">
      <c r="A953" s="372" t="s">
        <v>6700</v>
      </c>
      <c r="B953" s="373" t="s">
        <v>6701</v>
      </c>
      <c r="C953" s="372" t="s">
        <v>6702</v>
      </c>
      <c r="D953" s="374">
        <v>1311110058402</v>
      </c>
      <c r="E953" s="372" t="s">
        <v>6703</v>
      </c>
      <c r="F953" s="375" t="s">
        <v>1185</v>
      </c>
      <c r="G953" s="375" t="s">
        <v>1186</v>
      </c>
      <c r="H953" s="375" t="s">
        <v>861</v>
      </c>
      <c r="I953" s="375" t="s">
        <v>862</v>
      </c>
      <c r="J953" s="375">
        <v>29864.20336</v>
      </c>
      <c r="K953" s="375">
        <v>-19194.461360000001</v>
      </c>
      <c r="L953" s="375">
        <v>-9681.4342500000002</v>
      </c>
      <c r="M953" s="375">
        <v>175008.11502</v>
      </c>
      <c r="N953" s="372">
        <v>1.1639999999999999</v>
      </c>
      <c r="O953" s="704">
        <v>4.8816613046998638</v>
      </c>
      <c r="P953" s="375" t="s">
        <v>622</v>
      </c>
      <c r="Q953" s="375" t="s">
        <v>622</v>
      </c>
      <c r="R953" s="696">
        <v>20141224</v>
      </c>
      <c r="S953" s="375" t="s">
        <v>3488</v>
      </c>
      <c r="T953" s="697" t="s">
        <v>771</v>
      </c>
      <c r="U953" s="372" t="s">
        <v>6704</v>
      </c>
      <c r="V953" s="723" t="s">
        <v>773</v>
      </c>
      <c r="W953" s="723">
        <v>0.94</v>
      </c>
      <c r="X953" s="723">
        <v>5.13</v>
      </c>
      <c r="Y953" s="723" t="s">
        <v>773</v>
      </c>
      <c r="Z953" s="382" t="s">
        <v>927</v>
      </c>
      <c r="AA953" s="372">
        <v>674.18497400000001</v>
      </c>
      <c r="AB953" s="372">
        <v>661.86071330000004</v>
      </c>
      <c r="AC953" s="372">
        <v>911.57419460000006</v>
      </c>
      <c r="AD953" s="372">
        <v>822.96331599999996</v>
      </c>
      <c r="AE953" s="372">
        <v>919</v>
      </c>
      <c r="AF953" s="372">
        <v>1290</v>
      </c>
      <c r="AG953" s="372">
        <v>0</v>
      </c>
      <c r="AH953" s="372">
        <v>0</v>
      </c>
    </row>
    <row r="954" spans="1:34">
      <c r="A954" s="372" t="s">
        <v>6705</v>
      </c>
      <c r="B954" s="373" t="s">
        <v>6706</v>
      </c>
      <c r="C954" s="372" t="s">
        <v>6707</v>
      </c>
      <c r="D954" s="374">
        <v>1701110007098</v>
      </c>
      <c r="E954" s="372" t="s">
        <v>6708</v>
      </c>
      <c r="F954" s="375" t="s">
        <v>1055</v>
      </c>
      <c r="G954" s="375" t="s">
        <v>16104</v>
      </c>
      <c r="H954" s="375" t="s">
        <v>861</v>
      </c>
      <c r="I954" s="375" t="s">
        <v>862</v>
      </c>
      <c r="J954" s="375">
        <v>0</v>
      </c>
      <c r="K954" s="375">
        <v>0</v>
      </c>
      <c r="L954" s="375">
        <v>0</v>
      </c>
      <c r="M954" s="375">
        <v>72576.721569999994</v>
      </c>
      <c r="N954" s="372">
        <v>0.55600000000000005</v>
      </c>
      <c r="O954" s="704">
        <v>22.420688429768475</v>
      </c>
      <c r="P954" s="375" t="s">
        <v>622</v>
      </c>
      <c r="Q954" s="375" t="s">
        <v>622</v>
      </c>
      <c r="R954" s="696">
        <v>20000811</v>
      </c>
      <c r="S954" s="375" t="s">
        <v>6709</v>
      </c>
      <c r="T954" s="697" t="s">
        <v>771</v>
      </c>
      <c r="U954" s="372" t="s">
        <v>6710</v>
      </c>
      <c r="V954" s="723">
        <v>0</v>
      </c>
      <c r="W954" s="723">
        <v>1.84</v>
      </c>
      <c r="X954" s="723">
        <v>0</v>
      </c>
      <c r="Y954" s="723">
        <v>0</v>
      </c>
      <c r="Z954" s="382" t="s">
        <v>927</v>
      </c>
      <c r="AA954" s="372">
        <v>162.66901010000001</v>
      </c>
      <c r="AB954" s="372">
        <v>156.00833689999999</v>
      </c>
      <c r="AC954" s="372">
        <v>141.71271709999999</v>
      </c>
      <c r="AD954" s="372">
        <v>122.5203056</v>
      </c>
      <c r="AE954" s="372">
        <v>0</v>
      </c>
      <c r="AF954" s="372">
        <v>0</v>
      </c>
      <c r="AG954" s="372">
        <v>0</v>
      </c>
      <c r="AH954" s="372">
        <v>0</v>
      </c>
    </row>
    <row r="955" spans="1:34">
      <c r="A955" s="372" t="s">
        <v>6711</v>
      </c>
      <c r="B955" s="373" t="s">
        <v>6712</v>
      </c>
      <c r="C955" s="372" t="s">
        <v>6713</v>
      </c>
      <c r="D955" s="374">
        <v>1101111216757</v>
      </c>
      <c r="E955" s="372" t="s">
        <v>6714</v>
      </c>
      <c r="F955" s="375" t="s">
        <v>5132</v>
      </c>
      <c r="G955" s="375" t="s">
        <v>5133</v>
      </c>
      <c r="H955" s="375" t="s">
        <v>846</v>
      </c>
      <c r="I955" s="375" t="s">
        <v>754</v>
      </c>
      <c r="J955" s="375">
        <v>696074.71487000003</v>
      </c>
      <c r="K955" s="375">
        <v>32555.88708</v>
      </c>
      <c r="L955" s="375">
        <v>19321.416099999999</v>
      </c>
      <c r="M955" s="375">
        <v>227761.99757000001</v>
      </c>
      <c r="N955" s="372">
        <v>0.92600000000000005</v>
      </c>
      <c r="O955" s="704">
        <v>132.29260500931468</v>
      </c>
      <c r="P955" s="375" t="s">
        <v>622</v>
      </c>
      <c r="Q955" s="372" t="s">
        <v>622</v>
      </c>
      <c r="R955" s="696">
        <v>20040805</v>
      </c>
      <c r="S955" s="372" t="s">
        <v>6715</v>
      </c>
      <c r="T955" s="697">
        <v>0.20900000000000002</v>
      </c>
      <c r="U955" s="372" t="s">
        <v>6716</v>
      </c>
      <c r="V955" s="723">
        <v>3.56</v>
      </c>
      <c r="W955" s="723">
        <v>0.46</v>
      </c>
      <c r="X955" s="723">
        <v>0.15</v>
      </c>
      <c r="Y955" s="723">
        <v>8.42</v>
      </c>
      <c r="Z955" s="382" t="s">
        <v>927</v>
      </c>
      <c r="AA955" s="372">
        <v>4028.0942730000002</v>
      </c>
      <c r="AB955" s="372">
        <v>5909.8323090000004</v>
      </c>
      <c r="AC955" s="372">
        <v>7295.4754888999996</v>
      </c>
      <c r="AD955" s="372">
        <v>6659.2633016999998</v>
      </c>
      <c r="AE955" s="372">
        <v>7823</v>
      </c>
      <c r="AF955" s="372">
        <v>8763</v>
      </c>
      <c r="AG955" s="372">
        <v>0</v>
      </c>
      <c r="AH955" s="372">
        <v>0</v>
      </c>
    </row>
    <row r="956" spans="1:34">
      <c r="A956" s="372" t="s">
        <v>6717</v>
      </c>
      <c r="B956" s="373" t="s">
        <v>6718</v>
      </c>
      <c r="C956" s="372" t="s">
        <v>6719</v>
      </c>
      <c r="D956" s="374">
        <v>1101114063535</v>
      </c>
      <c r="E956" s="372" t="s">
        <v>6720</v>
      </c>
      <c r="F956" s="375" t="s">
        <v>3180</v>
      </c>
      <c r="G956" s="375" t="s">
        <v>3181</v>
      </c>
      <c r="H956" s="375" t="s">
        <v>1337</v>
      </c>
      <c r="I956" s="375" t="s">
        <v>862</v>
      </c>
      <c r="J956" s="375">
        <v>305110.95577</v>
      </c>
      <c r="K956" s="375">
        <v>42244.625390000001</v>
      </c>
      <c r="L956" s="375">
        <v>47399.630949999999</v>
      </c>
      <c r="M956" s="375">
        <v>323190.52828000003</v>
      </c>
      <c r="N956" s="372">
        <v>0.56999999999999995</v>
      </c>
      <c r="O956" s="704">
        <v>16.763401565907284</v>
      </c>
      <c r="P956" s="375" t="s">
        <v>622</v>
      </c>
      <c r="Q956" s="375" t="s">
        <v>622</v>
      </c>
      <c r="R956" s="696">
        <v>20150630</v>
      </c>
      <c r="S956" s="375" t="s">
        <v>6721</v>
      </c>
      <c r="T956" s="697">
        <v>0.23100000000000001</v>
      </c>
      <c r="U956" s="372" t="s">
        <v>15882</v>
      </c>
      <c r="V956" s="723">
        <v>5.03</v>
      </c>
      <c r="W956" s="723">
        <v>0.78</v>
      </c>
      <c r="X956" s="723">
        <v>0.55000000000000004</v>
      </c>
      <c r="Y956" s="723">
        <v>5.42</v>
      </c>
      <c r="Z956" s="382">
        <v>7.2009904134944458E-2</v>
      </c>
      <c r="AA956" s="372">
        <v>1709.3207815999999</v>
      </c>
      <c r="AB956" s="372">
        <v>2210.4138785999999</v>
      </c>
      <c r="AC956" s="372">
        <v>2629.6708226000001</v>
      </c>
      <c r="AD956" s="372">
        <v>2884.8934964999999</v>
      </c>
      <c r="AE956" s="372">
        <v>3131</v>
      </c>
      <c r="AF956" s="372">
        <v>3450</v>
      </c>
      <c r="AG956" s="372">
        <v>3810</v>
      </c>
      <c r="AH956" s="372">
        <v>0</v>
      </c>
    </row>
    <row r="957" spans="1:34">
      <c r="A957" s="372" t="s">
        <v>6722</v>
      </c>
      <c r="B957" s="373" t="s">
        <v>6723</v>
      </c>
      <c r="C957" s="372" t="s">
        <v>6724</v>
      </c>
      <c r="D957" s="374">
        <v>1648110001961</v>
      </c>
      <c r="E957" s="372" t="s">
        <v>6725</v>
      </c>
      <c r="F957" s="375" t="s">
        <v>16101</v>
      </c>
      <c r="G957" s="375" t="s">
        <v>16101</v>
      </c>
      <c r="H957" s="375" t="s">
        <v>784</v>
      </c>
      <c r="I957" s="375" t="s">
        <v>754</v>
      </c>
      <c r="J957" s="375">
        <v>240510.03784</v>
      </c>
      <c r="K957" s="375">
        <v>10308.41231</v>
      </c>
      <c r="L957" s="375">
        <v>5325.0405300000002</v>
      </c>
      <c r="M957" s="375">
        <v>145730.62067999999</v>
      </c>
      <c r="N957" s="372">
        <v>0.57199999999999995</v>
      </c>
      <c r="O957" s="704">
        <v>50.714885181334424</v>
      </c>
      <c r="P957" s="375" t="s">
        <v>16115</v>
      </c>
      <c r="Q957" s="375" t="s">
        <v>622</v>
      </c>
      <c r="R957" s="696">
        <v>20150629</v>
      </c>
      <c r="S957" s="375" t="s">
        <v>6726</v>
      </c>
      <c r="T957" s="697">
        <v>0.20900000000000002</v>
      </c>
      <c r="U957" s="372" t="s">
        <v>6727</v>
      </c>
      <c r="V957" s="723">
        <v>0</v>
      </c>
      <c r="W957" s="723">
        <v>0</v>
      </c>
      <c r="X957" s="723">
        <v>0</v>
      </c>
      <c r="Y957" s="723">
        <v>0</v>
      </c>
      <c r="Z957" s="382" t="s">
        <v>927</v>
      </c>
      <c r="AA957" s="372">
        <v>2152.8509514000002</v>
      </c>
      <c r="AB957" s="372">
        <v>1706.5964503</v>
      </c>
      <c r="AC957" s="372">
        <v>1962.6490208</v>
      </c>
      <c r="AD957" s="372">
        <v>2163.5748179000002</v>
      </c>
      <c r="AE957" s="372">
        <v>0</v>
      </c>
      <c r="AF957" s="372">
        <v>0</v>
      </c>
      <c r="AG957" s="372">
        <v>0</v>
      </c>
      <c r="AH957" s="372">
        <v>0</v>
      </c>
    </row>
    <row r="958" spans="1:34">
      <c r="A958" s="372" t="s">
        <v>6728</v>
      </c>
      <c r="B958" s="373" t="s">
        <v>6729</v>
      </c>
      <c r="C958" s="372" t="s">
        <v>6730</v>
      </c>
      <c r="D958" s="374">
        <v>1101112541575</v>
      </c>
      <c r="E958" s="372" t="s">
        <v>6731</v>
      </c>
      <c r="F958" s="375" t="s">
        <v>2856</v>
      </c>
      <c r="G958" s="375" t="s">
        <v>6732</v>
      </c>
      <c r="H958" s="375" t="s">
        <v>1337</v>
      </c>
      <c r="I958" s="375" t="s">
        <v>862</v>
      </c>
      <c r="J958" s="375">
        <v>228362.00104999999</v>
      </c>
      <c r="K958" s="375">
        <v>13159.6358</v>
      </c>
      <c r="L958" s="375">
        <v>6930.1672500000004</v>
      </c>
      <c r="M958" s="375">
        <v>36907.608690000001</v>
      </c>
      <c r="N958" s="372">
        <v>0.61199999999999999</v>
      </c>
      <c r="O958" s="704">
        <v>57.266494430552108</v>
      </c>
      <c r="P958" s="375" t="s">
        <v>622</v>
      </c>
      <c r="Q958" s="375" t="s">
        <v>622</v>
      </c>
      <c r="R958" s="696">
        <v>20080627</v>
      </c>
      <c r="S958" s="375" t="s">
        <v>6733</v>
      </c>
      <c r="T958" s="697">
        <v>0.20900000000000002</v>
      </c>
      <c r="U958" s="375" t="s">
        <v>15883</v>
      </c>
      <c r="V958" s="723">
        <v>5.98</v>
      </c>
      <c r="W958" s="723">
        <v>1.74</v>
      </c>
      <c r="X958" s="723">
        <v>0.79</v>
      </c>
      <c r="Y958" s="723">
        <v>29.15</v>
      </c>
      <c r="Z958" s="382" t="s">
        <v>927</v>
      </c>
      <c r="AA958" s="372">
        <v>1800.1991410000001</v>
      </c>
      <c r="AB958" s="372">
        <v>2107.3591209000001</v>
      </c>
      <c r="AC958" s="372">
        <v>2274.9958173</v>
      </c>
      <c r="AD958" s="372">
        <v>2334.8512171000002</v>
      </c>
      <c r="AE958" s="372">
        <v>0</v>
      </c>
      <c r="AF958" s="372">
        <v>0</v>
      </c>
      <c r="AG958" s="372">
        <v>0</v>
      </c>
      <c r="AH958" s="372">
        <v>0</v>
      </c>
    </row>
    <row r="959" spans="1:34">
      <c r="A959" s="372" t="s">
        <v>6734</v>
      </c>
      <c r="B959" s="373" t="s">
        <v>6735</v>
      </c>
      <c r="C959" s="372" t="s">
        <v>6736</v>
      </c>
      <c r="D959" s="374">
        <v>1355110249041</v>
      </c>
      <c r="E959" s="372" t="s">
        <v>6737</v>
      </c>
      <c r="F959" s="375" t="s">
        <v>16101</v>
      </c>
      <c r="G959" s="375" t="s">
        <v>16101</v>
      </c>
      <c r="H959" s="375" t="s">
        <v>861</v>
      </c>
      <c r="I959" s="375" t="s">
        <v>862</v>
      </c>
      <c r="J959" s="375">
        <v>5080.8702499999999</v>
      </c>
      <c r="K959" s="375">
        <v>-14585.31997</v>
      </c>
      <c r="L959" s="375">
        <v>-13739.943649999999</v>
      </c>
      <c r="M959" s="375">
        <v>18356.067179999998</v>
      </c>
      <c r="N959" s="372">
        <v>0.67400000000000004</v>
      </c>
      <c r="O959" s="704">
        <v>26.722304750538374</v>
      </c>
      <c r="P959" s="375" t="s">
        <v>622</v>
      </c>
      <c r="Q959" s="372" t="s">
        <v>622</v>
      </c>
      <c r="R959" s="696">
        <v>20181128</v>
      </c>
      <c r="S959" s="372" t="s">
        <v>6738</v>
      </c>
      <c r="T959" s="697" t="s">
        <v>771</v>
      </c>
      <c r="U959" s="375" t="s">
        <v>6739</v>
      </c>
      <c r="V959" s="723">
        <v>0</v>
      </c>
      <c r="W959" s="723">
        <v>0</v>
      </c>
      <c r="X959" s="723">
        <v>0</v>
      </c>
      <c r="Y959" s="723">
        <v>0</v>
      </c>
      <c r="Z959" s="382" t="s">
        <v>927</v>
      </c>
      <c r="AA959" s="372">
        <v>68.0510685</v>
      </c>
      <c r="AB959" s="372">
        <v>32.346792899999997</v>
      </c>
      <c r="AC959" s="372">
        <v>57.546462599999998</v>
      </c>
      <c r="AD959" s="372">
        <v>51.991944599999997</v>
      </c>
      <c r="AE959" s="372">
        <v>0</v>
      </c>
      <c r="AF959" s="372">
        <v>0</v>
      </c>
      <c r="AG959" s="372">
        <v>0</v>
      </c>
      <c r="AH959" s="372">
        <v>0</v>
      </c>
    </row>
    <row r="960" spans="1:34">
      <c r="A960" s="372" t="s">
        <v>6740</v>
      </c>
      <c r="B960" s="373" t="s">
        <v>6741</v>
      </c>
      <c r="C960" s="372" t="s">
        <v>6742</v>
      </c>
      <c r="D960" s="374">
        <v>1712110001253</v>
      </c>
      <c r="E960" s="372" t="s">
        <v>6743</v>
      </c>
      <c r="F960" s="375" t="s">
        <v>2992</v>
      </c>
      <c r="G960" s="375" t="s">
        <v>2992</v>
      </c>
      <c r="H960" s="375" t="s">
        <v>861</v>
      </c>
      <c r="I960" s="375" t="s">
        <v>862</v>
      </c>
      <c r="J960" s="375">
        <v>2330838.09191</v>
      </c>
      <c r="K960" s="375">
        <v>57900.337570000003</v>
      </c>
      <c r="L960" s="375">
        <v>31472.221809999999</v>
      </c>
      <c r="M960" s="375">
        <v>227723.20673999999</v>
      </c>
      <c r="N960" s="372">
        <v>1.2030000000000001</v>
      </c>
      <c r="O960" s="704">
        <v>464.49066682998017</v>
      </c>
      <c r="P960" s="375" t="s">
        <v>622</v>
      </c>
      <c r="Q960" s="375" t="s">
        <v>622</v>
      </c>
      <c r="R960" s="696">
        <v>20000321</v>
      </c>
      <c r="S960" s="375" t="s">
        <v>6744</v>
      </c>
      <c r="T960" s="697">
        <v>0.23100000000000001</v>
      </c>
      <c r="U960" s="375" t="s">
        <v>6745</v>
      </c>
      <c r="V960" s="723">
        <v>5.08</v>
      </c>
      <c r="W960" s="723">
        <v>0.56000000000000005</v>
      </c>
      <c r="X960" s="723">
        <v>0.05</v>
      </c>
      <c r="Y960" s="723">
        <v>5.7</v>
      </c>
      <c r="Z960" s="382" t="s">
        <v>927</v>
      </c>
      <c r="AA960" s="372">
        <v>12918.3858992</v>
      </c>
      <c r="AB960" s="372">
        <v>15175.7498602</v>
      </c>
      <c r="AC960" s="372">
        <v>18215.193122600002</v>
      </c>
      <c r="AD960" s="372">
        <v>21606.2191451</v>
      </c>
      <c r="AE960" s="372">
        <v>0</v>
      </c>
      <c r="AF960" s="372">
        <v>0</v>
      </c>
      <c r="AG960" s="372">
        <v>0</v>
      </c>
      <c r="AH960" s="372">
        <v>0</v>
      </c>
    </row>
    <row r="961" spans="1:34">
      <c r="A961" s="372" t="s">
        <v>6746</v>
      </c>
      <c r="B961" s="373" t="s">
        <v>6747</v>
      </c>
      <c r="C961" s="372" t="s">
        <v>6748</v>
      </c>
      <c r="D961" s="374">
        <v>1201110019382</v>
      </c>
      <c r="E961" s="372" t="s">
        <v>6749</v>
      </c>
      <c r="F961" s="375" t="s">
        <v>2668</v>
      </c>
      <c r="G961" s="375" t="s">
        <v>2668</v>
      </c>
      <c r="H961" s="375" t="s">
        <v>1539</v>
      </c>
      <c r="I961" s="375" t="s">
        <v>754</v>
      </c>
      <c r="J961" s="375">
        <v>2769664.20627</v>
      </c>
      <c r="K961" s="375">
        <v>164774.29037</v>
      </c>
      <c r="L961" s="375">
        <v>109498.33262</v>
      </c>
      <c r="M961" s="375">
        <v>985480.03663999995</v>
      </c>
      <c r="N961" s="372">
        <v>0.75</v>
      </c>
      <c r="O961" s="704">
        <v>441.65421128096688</v>
      </c>
      <c r="P961" s="375" t="s">
        <v>622</v>
      </c>
      <c r="Q961" s="375" t="s">
        <v>622</v>
      </c>
      <c r="R961" s="696">
        <v>19951113</v>
      </c>
      <c r="S961" s="375" t="s">
        <v>6750</v>
      </c>
      <c r="T961" s="697">
        <v>0.23100000000000001</v>
      </c>
      <c r="U961" s="372" t="s">
        <v>6751</v>
      </c>
      <c r="V961" s="723">
        <v>5.3</v>
      </c>
      <c r="W961" s="723">
        <v>0.35</v>
      </c>
      <c r="X961" s="723">
        <v>7.0000000000000007E-2</v>
      </c>
      <c r="Y961" s="723">
        <v>5.15</v>
      </c>
      <c r="Z961" s="382">
        <v>1.9680038590877302E-2</v>
      </c>
      <c r="AA961" s="372">
        <v>27979.470744499999</v>
      </c>
      <c r="AB961" s="372">
        <v>27988.957363400001</v>
      </c>
      <c r="AC961" s="372">
        <v>33221.135337300002</v>
      </c>
      <c r="AD961" s="372">
        <v>27807.5162815</v>
      </c>
      <c r="AE961" s="372">
        <v>27722</v>
      </c>
      <c r="AF961" s="372">
        <v>28369</v>
      </c>
      <c r="AG961" s="372">
        <v>30062</v>
      </c>
      <c r="AH961" s="372">
        <v>0</v>
      </c>
    </row>
    <row r="962" spans="1:34">
      <c r="A962" s="372" t="s">
        <v>6752</v>
      </c>
      <c r="B962" s="373" t="s">
        <v>6753</v>
      </c>
      <c r="C962" s="372" t="s">
        <v>15884</v>
      </c>
      <c r="D962" s="374">
        <v>1101112072330</v>
      </c>
      <c r="E962" s="372" t="s">
        <v>6754</v>
      </c>
      <c r="F962" s="375" t="s">
        <v>6610</v>
      </c>
      <c r="G962" s="375" t="s">
        <v>6610</v>
      </c>
      <c r="H962" s="375" t="s">
        <v>861</v>
      </c>
      <c r="I962" s="375" t="s">
        <v>862</v>
      </c>
      <c r="J962" s="375">
        <v>24047.066849999999</v>
      </c>
      <c r="K962" s="375">
        <v>-8537.2956699999995</v>
      </c>
      <c r="L962" s="375">
        <v>-18506.875970000001</v>
      </c>
      <c r="M962" s="375">
        <v>39567.671119999999</v>
      </c>
      <c r="N962" s="372">
        <v>0.995</v>
      </c>
      <c r="O962" s="704">
        <v>90.157744236383593</v>
      </c>
      <c r="P962" s="375" t="s">
        <v>622</v>
      </c>
      <c r="Q962" s="372" t="s">
        <v>622</v>
      </c>
      <c r="R962" s="696">
        <v>20080201</v>
      </c>
      <c r="S962" s="375" t="s">
        <v>6755</v>
      </c>
      <c r="T962" s="697" t="s">
        <v>771</v>
      </c>
      <c r="U962" s="372" t="s">
        <v>6756</v>
      </c>
      <c r="V962" s="723" t="s">
        <v>773</v>
      </c>
      <c r="W962" s="723">
        <v>2.4700000000000002</v>
      </c>
      <c r="X962" s="723">
        <v>3.31</v>
      </c>
      <c r="Y962" s="723" t="s">
        <v>773</v>
      </c>
      <c r="Z962" s="382" t="s">
        <v>927</v>
      </c>
      <c r="AA962" s="372">
        <v>400.01115520000002</v>
      </c>
      <c r="AB962" s="372">
        <v>345.9088653</v>
      </c>
      <c r="AC962" s="372">
        <v>230.45775219999999</v>
      </c>
      <c r="AD962" s="372">
        <v>375.97363639999998</v>
      </c>
      <c r="AE962" s="372">
        <v>0</v>
      </c>
      <c r="AF962" s="372">
        <v>0</v>
      </c>
      <c r="AG962" s="372">
        <v>0</v>
      </c>
      <c r="AH962" s="372">
        <v>0</v>
      </c>
    </row>
    <row r="963" spans="1:34">
      <c r="A963" s="372" t="s">
        <v>6757</v>
      </c>
      <c r="B963" s="373" t="s">
        <v>6758</v>
      </c>
      <c r="C963" s="372" t="s">
        <v>6759</v>
      </c>
      <c r="D963" s="374">
        <v>1101111572612</v>
      </c>
      <c r="E963" s="372" t="s">
        <v>6760</v>
      </c>
      <c r="F963" s="375" t="s">
        <v>2668</v>
      </c>
      <c r="G963" s="375" t="s">
        <v>2668</v>
      </c>
      <c r="H963" s="375" t="s">
        <v>861</v>
      </c>
      <c r="I963" s="375" t="s">
        <v>862</v>
      </c>
      <c r="J963" s="375">
        <v>345890.31255999999</v>
      </c>
      <c r="K963" s="375">
        <v>23081.041990000002</v>
      </c>
      <c r="L963" s="375">
        <v>7505.6086400000004</v>
      </c>
      <c r="M963" s="375">
        <v>374701.59892000002</v>
      </c>
      <c r="N963" s="372">
        <v>0.752</v>
      </c>
      <c r="O963" s="704">
        <v>189.34976025605431</v>
      </c>
      <c r="P963" s="375" t="s">
        <v>622</v>
      </c>
      <c r="Q963" s="375" t="s">
        <v>622</v>
      </c>
      <c r="R963" s="696">
        <v>20181001</v>
      </c>
      <c r="S963" s="375" t="s">
        <v>6761</v>
      </c>
      <c r="T963" s="697">
        <v>0.20900000000000002</v>
      </c>
      <c r="U963" s="372" t="s">
        <v>6762</v>
      </c>
      <c r="V963" s="723">
        <v>10.81</v>
      </c>
      <c r="W963" s="723">
        <v>0.36</v>
      </c>
      <c r="X963" s="723">
        <v>0.43</v>
      </c>
      <c r="Y963" s="723">
        <v>43.48</v>
      </c>
      <c r="Z963" s="382">
        <v>2.6799990820979724E-2</v>
      </c>
      <c r="AA963" s="372">
        <v>2924.2181532999998</v>
      </c>
      <c r="AB963" s="372">
        <v>3759.3907015</v>
      </c>
      <c r="AC963" s="372">
        <v>3809.1668642999998</v>
      </c>
      <c r="AD963" s="372">
        <v>3670.4282481</v>
      </c>
      <c r="AE963" s="372">
        <v>3590</v>
      </c>
      <c r="AF963" s="372">
        <v>3846</v>
      </c>
      <c r="AG963" s="372">
        <v>4080</v>
      </c>
      <c r="AH963" s="372">
        <v>0</v>
      </c>
    </row>
    <row r="964" spans="1:34">
      <c r="A964" s="372" t="s">
        <v>6763</v>
      </c>
      <c r="B964" s="373" t="s">
        <v>6764</v>
      </c>
      <c r="C964" s="372" t="s">
        <v>6765</v>
      </c>
      <c r="D964" s="374">
        <v>1345110004008</v>
      </c>
      <c r="E964" s="372" t="s">
        <v>6766</v>
      </c>
      <c r="F964" s="375" t="s">
        <v>5301</v>
      </c>
      <c r="G964" s="375" t="s">
        <v>5301</v>
      </c>
      <c r="H964" s="375" t="s">
        <v>861</v>
      </c>
      <c r="I964" s="375" t="s">
        <v>862</v>
      </c>
      <c r="J964" s="375">
        <v>417136.22094999999</v>
      </c>
      <c r="K964" s="375">
        <v>1259.73398</v>
      </c>
      <c r="L964" s="375">
        <v>2098.7498900000001</v>
      </c>
      <c r="M964" s="375">
        <v>156934.35595</v>
      </c>
      <c r="N964" s="372">
        <v>0.83899999999999997</v>
      </c>
      <c r="O964" s="704">
        <v>14.588638334516052</v>
      </c>
      <c r="P964" s="375" t="s">
        <v>622</v>
      </c>
      <c r="Q964" s="372" t="s">
        <v>622</v>
      </c>
      <c r="R964" s="696">
        <v>19941031</v>
      </c>
      <c r="S964" s="372" t="s">
        <v>6767</v>
      </c>
      <c r="T964" s="697">
        <v>0.20900000000000002</v>
      </c>
      <c r="U964" s="372" t="s">
        <v>6768</v>
      </c>
      <c r="V964" s="723">
        <v>43.01</v>
      </c>
      <c r="W964" s="723">
        <v>1.1200000000000001</v>
      </c>
      <c r="X964" s="723">
        <v>0.42</v>
      </c>
      <c r="Y964" s="723">
        <v>148.72</v>
      </c>
      <c r="Z964" s="382" t="s">
        <v>927</v>
      </c>
      <c r="AA964" s="372">
        <v>3316.0750883000001</v>
      </c>
      <c r="AB964" s="372">
        <v>3557.8359857999999</v>
      </c>
      <c r="AC964" s="372">
        <v>4083.1656486000002</v>
      </c>
      <c r="AD964" s="372">
        <v>3969.3817912999998</v>
      </c>
      <c r="AE964" s="372">
        <v>0</v>
      </c>
      <c r="AF964" s="372">
        <v>0</v>
      </c>
      <c r="AG964" s="372">
        <v>0</v>
      </c>
      <c r="AH964" s="372">
        <v>0</v>
      </c>
    </row>
    <row r="965" spans="1:34">
      <c r="A965" s="372" t="s">
        <v>6769</v>
      </c>
      <c r="B965" s="373" t="s">
        <v>6770</v>
      </c>
      <c r="C965" s="372" t="s">
        <v>6771</v>
      </c>
      <c r="D965" s="374">
        <v>1101116496172</v>
      </c>
      <c r="E965" s="372" t="s">
        <v>6772</v>
      </c>
      <c r="F965" s="375" t="s">
        <v>3548</v>
      </c>
      <c r="G965" s="375" t="s">
        <v>3548</v>
      </c>
      <c r="H965" s="375" t="s">
        <v>1337</v>
      </c>
      <c r="I965" s="375" t="s">
        <v>862</v>
      </c>
      <c r="J965" s="375">
        <v>264393.66125</v>
      </c>
      <c r="K965" s="375">
        <v>24635.098419999998</v>
      </c>
      <c r="L965" s="375">
        <v>23470.197680000001</v>
      </c>
      <c r="M965" s="375">
        <v>112636.13404999999</v>
      </c>
      <c r="N965" s="372">
        <v>0.38900000000000001</v>
      </c>
      <c r="O965" s="704">
        <v>11.372388000852412</v>
      </c>
      <c r="P965" s="375" t="s">
        <v>622</v>
      </c>
      <c r="Q965" s="375" t="s">
        <v>622</v>
      </c>
      <c r="R965" s="696">
        <v>20200813</v>
      </c>
      <c r="S965" s="375" t="s">
        <v>6773</v>
      </c>
      <c r="T965" s="697">
        <v>0.23100000000000001</v>
      </c>
      <c r="U965" s="372" t="s">
        <v>6774</v>
      </c>
      <c r="V965" s="723">
        <v>11.02</v>
      </c>
      <c r="W965" s="723">
        <v>3.37</v>
      </c>
      <c r="X965" s="723">
        <v>1.38</v>
      </c>
      <c r="Y965" s="723">
        <v>20.97</v>
      </c>
      <c r="Z965" s="382">
        <v>0.15184814927847601</v>
      </c>
      <c r="AA965" s="372">
        <v>1384.7888375</v>
      </c>
      <c r="AB965" s="372">
        <v>1659.3502066000001</v>
      </c>
      <c r="AC965" s="372">
        <v>2068.8717434999999</v>
      </c>
      <c r="AD965" s="372">
        <v>2325.7708496999999</v>
      </c>
      <c r="AE965" s="372">
        <v>2831.67</v>
      </c>
      <c r="AF965" s="372">
        <v>3437.67</v>
      </c>
      <c r="AG965" s="372">
        <v>4094</v>
      </c>
      <c r="AH965" s="372">
        <v>0</v>
      </c>
    </row>
    <row r="966" spans="1:34">
      <c r="A966" s="372" t="s">
        <v>6775</v>
      </c>
      <c r="B966" s="373" t="s">
        <v>6776</v>
      </c>
      <c r="C966" s="372" t="s">
        <v>6777</v>
      </c>
      <c r="D966" s="374">
        <v>1101115496868</v>
      </c>
      <c r="E966" s="372" t="s">
        <v>6778</v>
      </c>
      <c r="F966" s="375" t="s">
        <v>1796</v>
      </c>
      <c r="G966" s="375" t="s">
        <v>2797</v>
      </c>
      <c r="H966" s="375" t="s">
        <v>861</v>
      </c>
      <c r="I966" s="375" t="s">
        <v>862</v>
      </c>
      <c r="J966" s="375">
        <v>56239.017999999996</v>
      </c>
      <c r="K966" s="375">
        <v>3245.36942</v>
      </c>
      <c r="L966" s="375">
        <v>3012.7232399999998</v>
      </c>
      <c r="M966" s="375">
        <v>120852.09234</v>
      </c>
      <c r="N966" s="372">
        <v>0.48599999999999999</v>
      </c>
      <c r="O966" s="704">
        <v>0.54811045970294536</v>
      </c>
      <c r="P966" s="375" t="s">
        <v>622</v>
      </c>
      <c r="Q966" s="372" t="s">
        <v>622</v>
      </c>
      <c r="R966" s="696">
        <v>20141107</v>
      </c>
      <c r="S966" s="372" t="s">
        <v>6779</v>
      </c>
      <c r="T966" s="697">
        <v>0.20900000000000002</v>
      </c>
      <c r="U966" s="372" t="s">
        <v>6780</v>
      </c>
      <c r="V966" s="723">
        <v>22.57</v>
      </c>
      <c r="W966" s="723">
        <v>1.22</v>
      </c>
      <c r="X966" s="723">
        <v>2.31</v>
      </c>
      <c r="Y966" s="723">
        <v>48.38</v>
      </c>
      <c r="Z966" s="382" t="s">
        <v>927</v>
      </c>
      <c r="AA966" s="372">
        <v>391.77985589999997</v>
      </c>
      <c r="AB966" s="372">
        <v>473.30196569999998</v>
      </c>
      <c r="AC966" s="372">
        <v>551.33275790000005</v>
      </c>
      <c r="AD966" s="372">
        <v>538.89135869999996</v>
      </c>
      <c r="AE966" s="372">
        <v>780</v>
      </c>
      <c r="AF966" s="372">
        <v>0</v>
      </c>
      <c r="AG966" s="372">
        <v>0</v>
      </c>
      <c r="AH966" s="372">
        <v>0</v>
      </c>
    </row>
    <row r="967" spans="1:34">
      <c r="A967" s="372" t="s">
        <v>6781</v>
      </c>
      <c r="B967" s="373" t="s">
        <v>6782</v>
      </c>
      <c r="C967" s="372" t="s">
        <v>6783</v>
      </c>
      <c r="D967" s="374">
        <v>1101110036502</v>
      </c>
      <c r="E967" s="372" t="s">
        <v>6784</v>
      </c>
      <c r="F967" s="375" t="s">
        <v>1384</v>
      </c>
      <c r="G967" s="375" t="s">
        <v>1385</v>
      </c>
      <c r="H967" s="375" t="s">
        <v>1386</v>
      </c>
      <c r="I967" s="375" t="s">
        <v>754</v>
      </c>
      <c r="J967" s="375">
        <v>2945950.68395</v>
      </c>
      <c r="K967" s="375">
        <v>-53383.319389999997</v>
      </c>
      <c r="L967" s="375">
        <v>-159936.75795</v>
      </c>
      <c r="M967" s="375">
        <v>453772.15623000002</v>
      </c>
      <c r="N967" s="372">
        <v>1.07</v>
      </c>
      <c r="O967" s="704">
        <v>815.55265899667256</v>
      </c>
      <c r="P967" s="375" t="s">
        <v>622</v>
      </c>
      <c r="Q967" s="372" t="s">
        <v>622</v>
      </c>
      <c r="R967" s="696">
        <v>19780915</v>
      </c>
      <c r="S967" s="372" t="s">
        <v>6785</v>
      </c>
      <c r="T967" s="697" t="s">
        <v>771</v>
      </c>
      <c r="U967" s="372" t="s">
        <v>6786</v>
      </c>
      <c r="V967" s="723" t="s">
        <v>773</v>
      </c>
      <c r="W967" s="723">
        <v>0.41</v>
      </c>
      <c r="X967" s="723">
        <v>0.06</v>
      </c>
      <c r="Y967" s="723" t="s">
        <v>773</v>
      </c>
      <c r="Z967" s="382">
        <v>4.6683493419532818E-2</v>
      </c>
      <c r="AA967" s="372">
        <v>39282.243231699998</v>
      </c>
      <c r="AB967" s="372">
        <v>27298.206993</v>
      </c>
      <c r="AC967" s="372">
        <v>26020.7687467</v>
      </c>
      <c r="AD967" s="372">
        <v>26634.802599899998</v>
      </c>
      <c r="AE967" s="372">
        <v>29897.67</v>
      </c>
      <c r="AF967" s="372">
        <v>30859.33</v>
      </c>
      <c r="AG967" s="372">
        <v>31967.67</v>
      </c>
      <c r="AH967" s="372">
        <v>31990</v>
      </c>
    </row>
    <row r="968" spans="1:34">
      <c r="A968" s="372" t="s">
        <v>6787</v>
      </c>
      <c r="B968" s="373" t="s">
        <v>6788</v>
      </c>
      <c r="C968" s="372" t="s">
        <v>6789</v>
      </c>
      <c r="D968" s="374">
        <v>1244110014316</v>
      </c>
      <c r="E968" s="372" t="s">
        <v>6790</v>
      </c>
      <c r="F968" s="375" t="s">
        <v>6791</v>
      </c>
      <c r="G968" s="375" t="s">
        <v>6791</v>
      </c>
      <c r="H968" s="375" t="s">
        <v>968</v>
      </c>
      <c r="I968" s="375" t="s">
        <v>754</v>
      </c>
      <c r="J968" s="375">
        <v>222904.10178</v>
      </c>
      <c r="K968" s="375">
        <v>23134.184160000001</v>
      </c>
      <c r="L968" s="375">
        <v>17263.948779999999</v>
      </c>
      <c r="M968" s="375">
        <v>135303.90145</v>
      </c>
      <c r="N968" s="372" t="s">
        <v>1026</v>
      </c>
      <c r="O968" s="704">
        <v>91.220494712001639</v>
      </c>
      <c r="P968" s="375" t="s">
        <v>622</v>
      </c>
      <c r="Q968" s="375" t="s">
        <v>622</v>
      </c>
      <c r="R968" s="696">
        <v>20231121</v>
      </c>
      <c r="S968" s="375" t="s">
        <v>6792</v>
      </c>
      <c r="T968" s="697">
        <v>0.20900000000000002</v>
      </c>
      <c r="U968" s="372" t="s">
        <v>6793</v>
      </c>
      <c r="V968" s="723">
        <v>6.15</v>
      </c>
      <c r="W968" s="723">
        <v>0.86</v>
      </c>
      <c r="X968" s="723">
        <v>0.53</v>
      </c>
      <c r="Y968" s="723">
        <v>9.73</v>
      </c>
      <c r="Z968" s="382">
        <v>8.8822759129458806E-2</v>
      </c>
      <c r="AA968" s="372">
        <v>1151.0234399999999</v>
      </c>
      <c r="AB968" s="372">
        <v>1683.8289258</v>
      </c>
      <c r="AC968" s="372">
        <v>2505.8922088999998</v>
      </c>
      <c r="AD968" s="372">
        <v>2160.5724721000001</v>
      </c>
      <c r="AE968" s="372">
        <v>2439.75</v>
      </c>
      <c r="AF968" s="372">
        <v>2820.25</v>
      </c>
      <c r="AG968" s="372">
        <v>3036.67</v>
      </c>
      <c r="AH968" s="372">
        <v>0</v>
      </c>
    </row>
    <row r="969" spans="1:34">
      <c r="A969" s="372" t="s">
        <v>6794</v>
      </c>
      <c r="B969" s="373" t="s">
        <v>6795</v>
      </c>
      <c r="C969" s="372" t="s">
        <v>6796</v>
      </c>
      <c r="D969" s="374">
        <v>2101110063190</v>
      </c>
      <c r="E969" s="372" t="s">
        <v>6797</v>
      </c>
      <c r="F969" s="372" t="s">
        <v>2103</v>
      </c>
      <c r="G969" s="375" t="s">
        <v>2103</v>
      </c>
      <c r="H969" s="375" t="s">
        <v>855</v>
      </c>
      <c r="I969" s="375" t="s">
        <v>754</v>
      </c>
      <c r="J969" s="375">
        <v>472594.63318</v>
      </c>
      <c r="K969" s="375">
        <v>25660.189060000001</v>
      </c>
      <c r="L969" s="375">
        <v>30974.181840000001</v>
      </c>
      <c r="M969" s="375">
        <v>295006.18702000001</v>
      </c>
      <c r="N969" s="372">
        <v>0.251</v>
      </c>
      <c r="O969" s="704">
        <v>62.532757822453519</v>
      </c>
      <c r="P969" s="375" t="s">
        <v>622</v>
      </c>
      <c r="Q969" s="372" t="s">
        <v>622</v>
      </c>
      <c r="R969" s="696">
        <v>20090302</v>
      </c>
      <c r="S969" s="372" t="s">
        <v>6798</v>
      </c>
      <c r="T969" s="697">
        <v>0.23100000000000001</v>
      </c>
      <c r="U969" s="372" t="s">
        <v>15885</v>
      </c>
      <c r="V969" s="723">
        <v>9.42</v>
      </c>
      <c r="W969" s="723">
        <v>0.72</v>
      </c>
      <c r="X969" s="723">
        <v>0.39</v>
      </c>
      <c r="Y969" s="723">
        <v>6.77</v>
      </c>
      <c r="Z969" s="382" t="s">
        <v>927</v>
      </c>
      <c r="AA969" s="372">
        <v>2889.7143719999999</v>
      </c>
      <c r="AB969" s="372">
        <v>4213.8592418999997</v>
      </c>
      <c r="AC969" s="372">
        <v>4992.9342109999998</v>
      </c>
      <c r="AD969" s="372">
        <v>4431.6225777</v>
      </c>
      <c r="AE969" s="372">
        <v>0</v>
      </c>
      <c r="AF969" s="372">
        <v>0</v>
      </c>
      <c r="AG969" s="372">
        <v>0</v>
      </c>
      <c r="AH969" s="372">
        <v>0</v>
      </c>
    </row>
    <row r="970" spans="1:34">
      <c r="A970" s="372" t="s">
        <v>6799</v>
      </c>
      <c r="B970" s="373" t="s">
        <v>6800</v>
      </c>
      <c r="C970" s="372" t="s">
        <v>6801</v>
      </c>
      <c r="D970" s="374">
        <v>1201110011990</v>
      </c>
      <c r="E970" s="372" t="s">
        <v>6802</v>
      </c>
      <c r="F970" s="375" t="s">
        <v>893</v>
      </c>
      <c r="G970" s="375" t="s">
        <v>894</v>
      </c>
      <c r="H970" s="375" t="s">
        <v>855</v>
      </c>
      <c r="I970" s="375" t="s">
        <v>754</v>
      </c>
      <c r="J970" s="375">
        <v>1678322.17555</v>
      </c>
      <c r="K970" s="375">
        <v>66795.993440000006</v>
      </c>
      <c r="L970" s="375">
        <v>69908.812850000002</v>
      </c>
      <c r="M970" s="375">
        <v>1038264.91944</v>
      </c>
      <c r="N970" s="372">
        <v>0.91500000000000004</v>
      </c>
      <c r="O970" s="704">
        <v>134.91979131697639</v>
      </c>
      <c r="P970" s="375" t="s">
        <v>622</v>
      </c>
      <c r="Q970" s="375" t="s">
        <v>622</v>
      </c>
      <c r="R970" s="696">
        <v>19900322</v>
      </c>
      <c r="S970" s="375" t="s">
        <v>6803</v>
      </c>
      <c r="T970" s="697">
        <v>0.23100000000000001</v>
      </c>
      <c r="U970" s="375" t="s">
        <v>6804</v>
      </c>
      <c r="V970" s="723">
        <v>8.14</v>
      </c>
      <c r="W970" s="723">
        <v>0.39</v>
      </c>
      <c r="X970" s="723">
        <v>0.11</v>
      </c>
      <c r="Y970" s="723">
        <v>7.03</v>
      </c>
      <c r="Z970" s="382">
        <v>4.2120999357348365E-2</v>
      </c>
      <c r="AA970" s="372">
        <v>9340.0009988000002</v>
      </c>
      <c r="AB970" s="372">
        <v>11900.719957699999</v>
      </c>
      <c r="AC970" s="372">
        <v>14338.8828933</v>
      </c>
      <c r="AD970" s="372">
        <v>14718.9602259</v>
      </c>
      <c r="AE970" s="372">
        <v>15600</v>
      </c>
      <c r="AF970" s="372">
        <v>16450</v>
      </c>
      <c r="AG970" s="372">
        <v>17360</v>
      </c>
      <c r="AH970" s="372">
        <v>0</v>
      </c>
    </row>
    <row r="971" spans="1:34">
      <c r="A971" s="372" t="s">
        <v>6805</v>
      </c>
      <c r="B971" s="373" t="s">
        <v>6806</v>
      </c>
      <c r="C971" s="372" t="s">
        <v>6807</v>
      </c>
      <c r="D971" s="374">
        <v>1760110020145</v>
      </c>
      <c r="E971" s="372" t="s">
        <v>6808</v>
      </c>
      <c r="F971" s="375" t="s">
        <v>2089</v>
      </c>
      <c r="G971" s="375" t="s">
        <v>2089</v>
      </c>
      <c r="H971" s="375" t="s">
        <v>812</v>
      </c>
      <c r="I971" s="375" t="s">
        <v>754</v>
      </c>
      <c r="J971" s="375">
        <v>999590.38615000003</v>
      </c>
      <c r="K971" s="375">
        <v>-42134.629269999998</v>
      </c>
      <c r="L971" s="375">
        <v>-84200.959170000002</v>
      </c>
      <c r="M971" s="375">
        <v>157316.87809000001</v>
      </c>
      <c r="N971" s="372">
        <v>0.77</v>
      </c>
      <c r="O971" s="704">
        <v>387.69050844471036</v>
      </c>
      <c r="P971" s="375" t="s">
        <v>622</v>
      </c>
      <c r="Q971" s="372" t="s">
        <v>622</v>
      </c>
      <c r="R971" s="696">
        <v>20210820</v>
      </c>
      <c r="S971" s="372" t="s">
        <v>6809</v>
      </c>
      <c r="T971" s="697" t="s">
        <v>771</v>
      </c>
      <c r="U971" s="372" t="s">
        <v>6810</v>
      </c>
      <c r="V971" s="723" t="s">
        <v>773</v>
      </c>
      <c r="W971" s="723">
        <v>0.89</v>
      </c>
      <c r="X971" s="723">
        <v>0.14000000000000001</v>
      </c>
      <c r="Y971" s="723" t="s">
        <v>773</v>
      </c>
      <c r="Z971" s="382">
        <v>0.13050060678017084</v>
      </c>
      <c r="AA971" s="372">
        <v>5697.9371553999999</v>
      </c>
      <c r="AB971" s="372">
        <v>9334.0993405000008</v>
      </c>
      <c r="AC971" s="372">
        <v>10561.703901499999</v>
      </c>
      <c r="AD971" s="372">
        <v>9446.1443935999996</v>
      </c>
      <c r="AE971" s="372">
        <v>12095</v>
      </c>
      <c r="AF971" s="372">
        <v>14016</v>
      </c>
      <c r="AG971" s="372">
        <v>15429</v>
      </c>
      <c r="AH971" s="372">
        <v>0</v>
      </c>
    </row>
    <row r="972" spans="1:34">
      <c r="A972" s="372" t="s">
        <v>6811</v>
      </c>
      <c r="B972" s="373" t="s">
        <v>6812</v>
      </c>
      <c r="C972" s="372" t="s">
        <v>6813</v>
      </c>
      <c r="D972" s="374">
        <v>1812110002275</v>
      </c>
      <c r="E972" s="372" t="s">
        <v>6814</v>
      </c>
      <c r="F972" s="375" t="s">
        <v>1431</v>
      </c>
      <c r="G972" s="375" t="s">
        <v>5587</v>
      </c>
      <c r="H972" s="375" t="s">
        <v>1043</v>
      </c>
      <c r="I972" s="375" t="s">
        <v>754</v>
      </c>
      <c r="J972" s="375">
        <v>140571.22442000001</v>
      </c>
      <c r="K972" s="375">
        <v>7819.6557499999999</v>
      </c>
      <c r="L972" s="375">
        <v>-926.77445</v>
      </c>
      <c r="M972" s="375">
        <v>126072.88944</v>
      </c>
      <c r="N972" s="372">
        <v>0.20499999999999999</v>
      </c>
      <c r="O972" s="704">
        <v>41.579805187787912</v>
      </c>
      <c r="P972" s="375" t="s">
        <v>622</v>
      </c>
      <c r="Q972" s="375" t="s">
        <v>622</v>
      </c>
      <c r="R972" s="696">
        <v>19890527</v>
      </c>
      <c r="S972" s="375" t="s">
        <v>6815</v>
      </c>
      <c r="T972" s="697" t="s">
        <v>771</v>
      </c>
      <c r="U972" s="372" t="s">
        <v>15886</v>
      </c>
      <c r="V972" s="723">
        <v>11.44</v>
      </c>
      <c r="W972" s="723">
        <v>0.79</v>
      </c>
      <c r="X972" s="723">
        <v>0.71</v>
      </c>
      <c r="Y972" s="723" t="s">
        <v>773</v>
      </c>
      <c r="Z972" s="382" t="s">
        <v>927</v>
      </c>
      <c r="AA972" s="372">
        <v>1249.4487971999999</v>
      </c>
      <c r="AB972" s="372">
        <v>807.05226860000005</v>
      </c>
      <c r="AC972" s="372">
        <v>1056.7390733</v>
      </c>
      <c r="AD972" s="372">
        <v>1372.5077570999999</v>
      </c>
      <c r="AE972" s="372">
        <v>0</v>
      </c>
      <c r="AF972" s="372">
        <v>0</v>
      </c>
      <c r="AG972" s="372">
        <v>0</v>
      </c>
      <c r="AH972" s="372">
        <v>0</v>
      </c>
    </row>
    <row r="973" spans="1:34">
      <c r="A973" s="372" t="s">
        <v>6816</v>
      </c>
      <c r="B973" s="373" t="s">
        <v>6817</v>
      </c>
      <c r="C973" s="372" t="s">
        <v>6818</v>
      </c>
      <c r="D973" s="374">
        <v>1101112940933</v>
      </c>
      <c r="E973" s="372" t="s">
        <v>6819</v>
      </c>
      <c r="F973" s="375" t="s">
        <v>1055</v>
      </c>
      <c r="G973" s="375" t="s">
        <v>16104</v>
      </c>
      <c r="H973" s="375" t="s">
        <v>861</v>
      </c>
      <c r="I973" s="375" t="s">
        <v>862</v>
      </c>
      <c r="J973" s="375">
        <v>22812.356820000001</v>
      </c>
      <c r="K973" s="375">
        <v>658.01661000000001</v>
      </c>
      <c r="L973" s="375">
        <v>-7745.3578200000002</v>
      </c>
      <c r="M973" s="375">
        <v>24313.446820000001</v>
      </c>
      <c r="N973" s="372">
        <v>0.86599999999999999</v>
      </c>
      <c r="O973" s="704">
        <v>11.166427230889736</v>
      </c>
      <c r="P973" s="375" t="s">
        <v>622</v>
      </c>
      <c r="Q973" s="375" t="s">
        <v>622</v>
      </c>
      <c r="R973" s="696">
        <v>20110713</v>
      </c>
      <c r="S973" s="372" t="s">
        <v>6820</v>
      </c>
      <c r="T973" s="697" t="s">
        <v>771</v>
      </c>
      <c r="U973" s="372" t="s">
        <v>6821</v>
      </c>
      <c r="V973" s="723">
        <v>0</v>
      </c>
      <c r="W973" s="723">
        <v>0</v>
      </c>
      <c r="X973" s="723">
        <v>0</v>
      </c>
      <c r="Y973" s="723">
        <v>0</v>
      </c>
      <c r="Z973" s="382" t="s">
        <v>927</v>
      </c>
      <c r="AA973" s="372">
        <v>63.571106999999998</v>
      </c>
      <c r="AB973" s="372">
        <v>136.2537097</v>
      </c>
      <c r="AC973" s="372">
        <v>216.70439540000001</v>
      </c>
      <c r="AD973" s="372">
        <v>157.03946239999999</v>
      </c>
      <c r="AE973" s="372">
        <v>0</v>
      </c>
      <c r="AF973" s="372">
        <v>0</v>
      </c>
      <c r="AG973" s="372">
        <v>0</v>
      </c>
      <c r="AH973" s="372">
        <v>0</v>
      </c>
    </row>
    <row r="974" spans="1:34">
      <c r="A974" s="372" t="s">
        <v>6822</v>
      </c>
      <c r="B974" s="373" t="s">
        <v>6823</v>
      </c>
      <c r="C974" s="372" t="s">
        <v>6824</v>
      </c>
      <c r="D974" s="374">
        <v>1743110003882</v>
      </c>
      <c r="E974" s="372" t="s">
        <v>6825</v>
      </c>
      <c r="F974" s="375" t="s">
        <v>4490</v>
      </c>
      <c r="G974" s="375" t="s">
        <v>4490</v>
      </c>
      <c r="H974" s="375" t="s">
        <v>861</v>
      </c>
      <c r="I974" s="375" t="s">
        <v>862</v>
      </c>
      <c r="J974" s="375">
        <v>70598.57187</v>
      </c>
      <c r="K974" s="375">
        <v>11520.07589</v>
      </c>
      <c r="L974" s="375">
        <v>13407.38535</v>
      </c>
      <c r="M974" s="375">
        <v>96955.711120000007</v>
      </c>
      <c r="N974" s="372">
        <v>0.72499999999999998</v>
      </c>
      <c r="O974" s="704">
        <v>32.877060505879236</v>
      </c>
      <c r="P974" s="375" t="s">
        <v>622</v>
      </c>
      <c r="Q974" s="375" t="s">
        <v>622</v>
      </c>
      <c r="R974" s="696">
        <v>20151217</v>
      </c>
      <c r="S974" s="375" t="s">
        <v>6826</v>
      </c>
      <c r="T974" s="697">
        <v>0.20900000000000002</v>
      </c>
      <c r="U974" s="372" t="s">
        <v>6827</v>
      </c>
      <c r="V974" s="723">
        <v>8.08</v>
      </c>
      <c r="W974" s="723">
        <v>1.72</v>
      </c>
      <c r="X974" s="723">
        <v>2.36</v>
      </c>
      <c r="Y974" s="723">
        <v>15.4</v>
      </c>
      <c r="Z974" s="382" t="s">
        <v>927</v>
      </c>
      <c r="AA974" s="372">
        <v>568.98163499999998</v>
      </c>
      <c r="AB974" s="372">
        <v>718.98463679999998</v>
      </c>
      <c r="AC974" s="372">
        <v>874.71227929999998</v>
      </c>
      <c r="AD974" s="372">
        <v>854.60172469999998</v>
      </c>
      <c r="AE974" s="372">
        <v>0</v>
      </c>
      <c r="AF974" s="372">
        <v>0</v>
      </c>
      <c r="AG974" s="372">
        <v>0</v>
      </c>
      <c r="AH974" s="372">
        <v>0</v>
      </c>
    </row>
    <row r="975" spans="1:34">
      <c r="A975" s="372" t="s">
        <v>6828</v>
      </c>
      <c r="B975" s="373" t="s">
        <v>6829</v>
      </c>
      <c r="C975" s="372" t="s">
        <v>6830</v>
      </c>
      <c r="D975" s="374">
        <v>1348110260331</v>
      </c>
      <c r="E975" s="372" t="s">
        <v>6831</v>
      </c>
      <c r="F975" s="375" t="s">
        <v>2718</v>
      </c>
      <c r="G975" s="375" t="s">
        <v>2718</v>
      </c>
      <c r="H975" s="375" t="s">
        <v>1337</v>
      </c>
      <c r="I975" s="375" t="s">
        <v>862</v>
      </c>
      <c r="J975" s="375">
        <v>43060.297070000001</v>
      </c>
      <c r="K975" s="375">
        <v>4185.6864599999999</v>
      </c>
      <c r="L975" s="375">
        <v>4948.20388</v>
      </c>
      <c r="M975" s="375">
        <v>46131.345650000003</v>
      </c>
      <c r="N975" s="372" t="s">
        <v>1026</v>
      </c>
      <c r="O975" s="704">
        <v>0.33223148780064904</v>
      </c>
      <c r="P975" s="375" t="s">
        <v>622</v>
      </c>
      <c r="Q975" s="372" t="s">
        <v>622</v>
      </c>
      <c r="R975" s="696">
        <v>20240124</v>
      </c>
      <c r="S975" s="372" t="s">
        <v>6832</v>
      </c>
      <c r="T975" s="697">
        <v>0.20900000000000002</v>
      </c>
      <c r="U975" s="372" t="s">
        <v>6833</v>
      </c>
      <c r="V975" s="723">
        <v>0</v>
      </c>
      <c r="W975" s="723">
        <v>0</v>
      </c>
      <c r="X975" s="723">
        <v>0</v>
      </c>
      <c r="Y975" s="723">
        <v>0</v>
      </c>
      <c r="Z975" s="382" t="s">
        <v>927</v>
      </c>
      <c r="AA975" s="372">
        <v>263.3071971</v>
      </c>
      <c r="AB975" s="372">
        <v>312.3679477</v>
      </c>
      <c r="AC975" s="372">
        <v>373.64336429999997</v>
      </c>
      <c r="AD975" s="372">
        <v>406.82712909999998</v>
      </c>
      <c r="AE975" s="372">
        <v>0</v>
      </c>
      <c r="AF975" s="372">
        <v>0</v>
      </c>
      <c r="AG975" s="372">
        <v>0</v>
      </c>
      <c r="AH975" s="372">
        <v>0</v>
      </c>
    </row>
    <row r="976" spans="1:34">
      <c r="A976" s="372" t="s">
        <v>6834</v>
      </c>
      <c r="B976" s="373" t="s">
        <v>6835</v>
      </c>
      <c r="C976" s="372" t="s">
        <v>6836</v>
      </c>
      <c r="D976" s="374">
        <v>1101111934557</v>
      </c>
      <c r="E976" s="372" t="s">
        <v>6837</v>
      </c>
      <c r="F976" s="375" t="s">
        <v>6838</v>
      </c>
      <c r="G976" s="375" t="s">
        <v>6838</v>
      </c>
      <c r="H976" s="375" t="s">
        <v>817</v>
      </c>
      <c r="I976" s="375" t="s">
        <v>754</v>
      </c>
      <c r="J976" s="375">
        <v>1683433.46957</v>
      </c>
      <c r="K976" s="375">
        <v>24135.492269999999</v>
      </c>
      <c r="L976" s="375">
        <v>26910.18449</v>
      </c>
      <c r="M976" s="375">
        <v>665144.79650000005</v>
      </c>
      <c r="N976" s="372">
        <v>0.73799999999999999</v>
      </c>
      <c r="O976" s="704">
        <v>114.40180943165134</v>
      </c>
      <c r="P976" s="375" t="s">
        <v>622</v>
      </c>
      <c r="Q976" s="375" t="s">
        <v>622</v>
      </c>
      <c r="R976" s="696">
        <v>20191106</v>
      </c>
      <c r="S976" s="375" t="s">
        <v>6839</v>
      </c>
      <c r="T976" s="697">
        <v>0.23100000000000001</v>
      </c>
      <c r="U976" s="372" t="s">
        <v>6840</v>
      </c>
      <c r="V976" s="723">
        <v>7.01</v>
      </c>
      <c r="W976" s="723">
        <v>0.38</v>
      </c>
      <c r="X976" s="723">
        <v>0.12</v>
      </c>
      <c r="Y976" s="723">
        <v>27.14</v>
      </c>
      <c r="Z976" s="382">
        <v>-5.1144428452158497E-2</v>
      </c>
      <c r="AA976" s="372">
        <v>3562.1240520000001</v>
      </c>
      <c r="AB976" s="372">
        <v>4357.3082946000004</v>
      </c>
      <c r="AC976" s="372">
        <v>24790.109329399998</v>
      </c>
      <c r="AD976" s="372">
        <v>23746.326956000001</v>
      </c>
      <c r="AE976" s="372">
        <v>16268</v>
      </c>
      <c r="AF976" s="372">
        <v>17912</v>
      </c>
      <c r="AG976" s="372">
        <v>19248.5</v>
      </c>
      <c r="AH976" s="372">
        <v>22570</v>
      </c>
    </row>
    <row r="977" spans="1:34">
      <c r="A977" s="372" t="s">
        <v>6841</v>
      </c>
      <c r="B977" s="373" t="s">
        <v>6842</v>
      </c>
      <c r="C977" s="372" t="s">
        <v>6843</v>
      </c>
      <c r="D977" s="374">
        <v>1601110019277</v>
      </c>
      <c r="E977" s="372" t="s">
        <v>6844</v>
      </c>
      <c r="F977" s="375" t="s">
        <v>1393</v>
      </c>
      <c r="G977" s="375" t="s">
        <v>6845</v>
      </c>
      <c r="H977" s="375" t="s">
        <v>895</v>
      </c>
      <c r="I977" s="375" t="s">
        <v>862</v>
      </c>
      <c r="J977" s="375">
        <v>0</v>
      </c>
      <c r="K977" s="375">
        <v>0</v>
      </c>
      <c r="L977" s="375">
        <v>0</v>
      </c>
      <c r="M977" s="375">
        <v>0</v>
      </c>
      <c r="N977" s="372">
        <v>0.60199999999999998</v>
      </c>
      <c r="O977" s="704" t="s">
        <v>16301</v>
      </c>
      <c r="P977" s="375" t="s">
        <v>622</v>
      </c>
      <c r="Q977" s="372" t="s">
        <v>622</v>
      </c>
      <c r="R977" s="696">
        <v>19941031</v>
      </c>
      <c r="S977" s="372" t="s">
        <v>6846</v>
      </c>
      <c r="T977" s="697" t="s">
        <v>771</v>
      </c>
      <c r="U977" s="372" t="s">
        <v>6847</v>
      </c>
      <c r="V977" s="723">
        <v>0</v>
      </c>
      <c r="W977" s="723">
        <v>0</v>
      </c>
      <c r="X977" s="723">
        <v>0</v>
      </c>
      <c r="Y977" s="723">
        <v>0</v>
      </c>
      <c r="Z977" s="382" t="s">
        <v>927</v>
      </c>
      <c r="AA977" s="372">
        <v>761.56824959999994</v>
      </c>
      <c r="AB977" s="372">
        <v>1156.1952447000001</v>
      </c>
      <c r="AC977" s="372">
        <v>1336.9112637000001</v>
      </c>
      <c r="AD977" s="372">
        <v>1242.1846814999999</v>
      </c>
      <c r="AE977" s="372">
        <v>0</v>
      </c>
      <c r="AF977" s="372">
        <v>0</v>
      </c>
      <c r="AG977" s="372">
        <v>0</v>
      </c>
      <c r="AH977" s="372">
        <v>0</v>
      </c>
    </row>
    <row r="978" spans="1:34">
      <c r="A978" s="372" t="s">
        <v>6848</v>
      </c>
      <c r="B978" s="373" t="s">
        <v>6849</v>
      </c>
      <c r="C978" s="372" t="s">
        <v>6850</v>
      </c>
      <c r="D978" s="374">
        <v>0</v>
      </c>
      <c r="E978" s="372" t="s">
        <v>6851</v>
      </c>
      <c r="F978" s="375" t="s">
        <v>1006</v>
      </c>
      <c r="G978" s="375" t="s">
        <v>3494</v>
      </c>
      <c r="H978" s="375">
        <v>0</v>
      </c>
      <c r="I978" s="375" t="s">
        <v>862</v>
      </c>
      <c r="J978" s="375">
        <v>90944.881999999998</v>
      </c>
      <c r="K978" s="375">
        <v>18151.75</v>
      </c>
      <c r="L978" s="375">
        <v>20306.537</v>
      </c>
      <c r="M978" s="375">
        <v>155946.40400000001</v>
      </c>
      <c r="N978" s="372">
        <v>0.6</v>
      </c>
      <c r="O978" s="704">
        <v>5.8920700710495906</v>
      </c>
      <c r="P978" s="375" t="s">
        <v>622</v>
      </c>
      <c r="Q978" s="372" t="s">
        <v>622</v>
      </c>
      <c r="R978" s="696">
        <v>20200818</v>
      </c>
      <c r="S978" s="372" t="s">
        <v>6852</v>
      </c>
      <c r="T978" s="697">
        <v>0.23100000000000001</v>
      </c>
      <c r="U978" s="372" t="s">
        <v>6853</v>
      </c>
      <c r="V978" s="723">
        <v>6.58</v>
      </c>
      <c r="W978" s="723">
        <v>0.91</v>
      </c>
      <c r="X978" s="723">
        <v>1.57</v>
      </c>
      <c r="Y978" s="723">
        <v>8.2899999999999991</v>
      </c>
      <c r="Z978" s="382" t="s">
        <v>927</v>
      </c>
      <c r="AA978" s="372">
        <v>1129.5561499999999</v>
      </c>
      <c r="AB978" s="372">
        <v>944.34223999999995</v>
      </c>
      <c r="AC978" s="372">
        <v>981.15557999999999</v>
      </c>
      <c r="AD978" s="372">
        <v>991.32</v>
      </c>
      <c r="AE978" s="372">
        <v>1150</v>
      </c>
      <c r="AF978" s="372">
        <v>0</v>
      </c>
      <c r="AG978" s="372">
        <v>0</v>
      </c>
      <c r="AH978" s="372">
        <v>0</v>
      </c>
    </row>
    <row r="979" spans="1:34">
      <c r="A979" s="372" t="s">
        <v>6854</v>
      </c>
      <c r="B979" s="373" t="s">
        <v>6855</v>
      </c>
      <c r="C979" s="372" t="s">
        <v>6856</v>
      </c>
      <c r="D979" s="374">
        <v>1101115448356</v>
      </c>
      <c r="E979" s="372" t="s">
        <v>6857</v>
      </c>
      <c r="F979" s="375" t="s">
        <v>1370</v>
      </c>
      <c r="G979" s="375" t="s">
        <v>1370</v>
      </c>
      <c r="H979" s="375" t="s">
        <v>861</v>
      </c>
      <c r="I979" s="375" t="s">
        <v>862</v>
      </c>
      <c r="J979" s="375">
        <v>247228.74661999999</v>
      </c>
      <c r="K979" s="375">
        <v>27465.156340000001</v>
      </c>
      <c r="L979" s="375">
        <v>14233.30539</v>
      </c>
      <c r="M979" s="375">
        <v>147831.81766999999</v>
      </c>
      <c r="N979" s="372">
        <v>0.77100000000000002</v>
      </c>
      <c r="O979" s="704">
        <v>214.45005312094594</v>
      </c>
      <c r="P979" s="375" t="s">
        <v>622</v>
      </c>
      <c r="Q979" s="375" t="s">
        <v>622</v>
      </c>
      <c r="R979" s="696">
        <v>20141013</v>
      </c>
      <c r="S979" s="375" t="s">
        <v>6858</v>
      </c>
      <c r="T979" s="697">
        <v>0.20900000000000002</v>
      </c>
      <c r="U979" s="375" t="s">
        <v>6859</v>
      </c>
      <c r="V979" s="723">
        <v>4.25</v>
      </c>
      <c r="W979" s="723">
        <v>1.44</v>
      </c>
      <c r="X979" s="723">
        <v>0.64</v>
      </c>
      <c r="Y979" s="723">
        <v>11.44</v>
      </c>
      <c r="Z979" s="382" t="s">
        <v>927</v>
      </c>
      <c r="AA979" s="372">
        <v>1584.0833296999999</v>
      </c>
      <c r="AB979" s="372">
        <v>1895.1098433</v>
      </c>
      <c r="AC979" s="372">
        <v>2241.9472418999999</v>
      </c>
      <c r="AD979" s="372">
        <v>2327.3867954000002</v>
      </c>
      <c r="AE979" s="372">
        <v>0</v>
      </c>
      <c r="AF979" s="372">
        <v>0</v>
      </c>
      <c r="AG979" s="372">
        <v>0</v>
      </c>
      <c r="AH979" s="372">
        <v>0</v>
      </c>
    </row>
    <row r="980" spans="1:34">
      <c r="A980" s="372" t="s">
        <v>6860</v>
      </c>
      <c r="B980" s="373" t="s">
        <v>6861</v>
      </c>
      <c r="C980" s="372" t="s">
        <v>6862</v>
      </c>
      <c r="D980" s="374">
        <v>1746110022860</v>
      </c>
      <c r="E980" s="372" t="s">
        <v>6863</v>
      </c>
      <c r="F980" s="372" t="s">
        <v>2089</v>
      </c>
      <c r="G980" s="375" t="s">
        <v>2089</v>
      </c>
      <c r="H980" s="375" t="s">
        <v>812</v>
      </c>
      <c r="I980" s="375" t="s">
        <v>754</v>
      </c>
      <c r="J980" s="375">
        <v>565259.13561999996</v>
      </c>
      <c r="K980" s="375">
        <v>84521.153510000004</v>
      </c>
      <c r="L980" s="375">
        <v>75582.552020000003</v>
      </c>
      <c r="M980" s="375">
        <v>460367.49488999997</v>
      </c>
      <c r="N980" s="372" t="s">
        <v>1026</v>
      </c>
      <c r="O980" s="704">
        <v>55.556107964099347</v>
      </c>
      <c r="P980" s="375" t="s">
        <v>622</v>
      </c>
      <c r="Q980" s="372" t="s">
        <v>622</v>
      </c>
      <c r="R980" s="696">
        <v>20230821</v>
      </c>
      <c r="S980" s="372" t="s">
        <v>6864</v>
      </c>
      <c r="T980" s="697">
        <v>0.23100000000000001</v>
      </c>
      <c r="U980" s="372" t="s">
        <v>6865</v>
      </c>
      <c r="V980" s="723">
        <v>2.48</v>
      </c>
      <c r="W980" s="723">
        <v>0.46</v>
      </c>
      <c r="X980" s="723">
        <v>0.38</v>
      </c>
      <c r="Y980" s="723">
        <v>3.86</v>
      </c>
      <c r="Z980" s="382" t="s">
        <v>927</v>
      </c>
      <c r="AA980" s="372">
        <v>2120.2169800000001</v>
      </c>
      <c r="AB980" s="372">
        <v>4247.1854806000001</v>
      </c>
      <c r="AC980" s="372">
        <v>6684.0364981000002</v>
      </c>
      <c r="AD980" s="372">
        <v>6190.5205691000001</v>
      </c>
      <c r="AE980" s="372">
        <v>0</v>
      </c>
      <c r="AF980" s="372">
        <v>0</v>
      </c>
      <c r="AG980" s="372">
        <v>0</v>
      </c>
      <c r="AH980" s="372">
        <v>0</v>
      </c>
    </row>
    <row r="981" spans="1:34">
      <c r="A981" s="372" t="s">
        <v>6866</v>
      </c>
      <c r="B981" s="373" t="s">
        <v>6867</v>
      </c>
      <c r="C981" s="372" t="s">
        <v>6868</v>
      </c>
      <c r="D981" s="374">
        <v>1101110054520</v>
      </c>
      <c r="E981" s="372" t="s">
        <v>6869</v>
      </c>
      <c r="F981" s="375" t="s">
        <v>2075</v>
      </c>
      <c r="G981" s="375" t="s">
        <v>3403</v>
      </c>
      <c r="H981" s="375" t="s">
        <v>861</v>
      </c>
      <c r="I981" s="375" t="s">
        <v>862</v>
      </c>
      <c r="J981" s="375">
        <v>67430.212090000001</v>
      </c>
      <c r="K981" s="375">
        <v>-350.12623000000002</v>
      </c>
      <c r="L981" s="375">
        <v>-4381.4682199999997</v>
      </c>
      <c r="M981" s="375">
        <v>223944.44714999999</v>
      </c>
      <c r="N981" s="372">
        <v>0.83499999999999996</v>
      </c>
      <c r="O981" s="704">
        <v>13.563602494537705</v>
      </c>
      <c r="P981" s="375" t="s">
        <v>16115</v>
      </c>
      <c r="Q981" s="372" t="s">
        <v>16116</v>
      </c>
      <c r="R981" s="696">
        <v>19941222</v>
      </c>
      <c r="S981" s="372" t="s">
        <v>6870</v>
      </c>
      <c r="T981" s="697" t="s">
        <v>771</v>
      </c>
      <c r="U981" s="372" t="s">
        <v>6871</v>
      </c>
      <c r="V981" s="723">
        <v>161.58000000000001</v>
      </c>
      <c r="W981" s="723">
        <v>0.88</v>
      </c>
      <c r="X981" s="723">
        <v>2.92</v>
      </c>
      <c r="Y981" s="723" t="s">
        <v>773</v>
      </c>
      <c r="Z981" s="382" t="s">
        <v>927</v>
      </c>
      <c r="AA981" s="372">
        <v>532.95891759999995</v>
      </c>
      <c r="AB981" s="372">
        <v>667.89424729999996</v>
      </c>
      <c r="AC981" s="372">
        <v>524.88492350000001</v>
      </c>
      <c r="AD981" s="372">
        <v>651.63779550000004</v>
      </c>
      <c r="AE981" s="372">
        <v>0</v>
      </c>
      <c r="AF981" s="372">
        <v>0</v>
      </c>
      <c r="AG981" s="372">
        <v>0</v>
      </c>
      <c r="AH981" s="372">
        <v>0</v>
      </c>
    </row>
    <row r="982" spans="1:34">
      <c r="A982" s="372" t="s">
        <v>6872</v>
      </c>
      <c r="B982" s="373" t="s">
        <v>6873</v>
      </c>
      <c r="C982" s="372" t="s">
        <v>6874</v>
      </c>
      <c r="D982" s="374">
        <v>1311110444346</v>
      </c>
      <c r="E982" s="372" t="s">
        <v>6875</v>
      </c>
      <c r="F982" s="375" t="s">
        <v>1116</v>
      </c>
      <c r="G982" s="375" t="s">
        <v>1336</v>
      </c>
      <c r="H982" s="375" t="s">
        <v>1337</v>
      </c>
      <c r="I982" s="375" t="s">
        <v>862</v>
      </c>
      <c r="J982" s="375">
        <v>0</v>
      </c>
      <c r="K982" s="375">
        <v>-12141.405070000001</v>
      </c>
      <c r="L982" s="375">
        <v>-10713.034390000001</v>
      </c>
      <c r="M982" s="375">
        <v>20360.331770000001</v>
      </c>
      <c r="N982" s="372" t="s">
        <v>1026</v>
      </c>
      <c r="O982" s="704">
        <v>0.14285128557755761</v>
      </c>
      <c r="P982" s="375" t="s">
        <v>622</v>
      </c>
      <c r="Q982" s="375" t="s">
        <v>622</v>
      </c>
      <c r="R982" s="696">
        <v>20230727</v>
      </c>
      <c r="S982" s="375" t="s">
        <v>6876</v>
      </c>
      <c r="T982" s="697" t="s">
        <v>771</v>
      </c>
      <c r="U982" s="372" t="s">
        <v>6877</v>
      </c>
      <c r="V982" s="723" t="s">
        <v>773</v>
      </c>
      <c r="W982" s="723">
        <v>5.58</v>
      </c>
      <c r="X982" s="723">
        <v>0</v>
      </c>
      <c r="Y982" s="723" t="s">
        <v>773</v>
      </c>
      <c r="Z982" s="382" t="s">
        <v>773</v>
      </c>
      <c r="AA982" s="372">
        <v>1.8767971000000001</v>
      </c>
      <c r="AB982" s="372">
        <v>0.56999999999999995</v>
      </c>
      <c r="AC982" s="372">
        <v>3</v>
      </c>
      <c r="AD982" s="372">
        <v>0</v>
      </c>
      <c r="AE982" s="372">
        <v>0</v>
      </c>
      <c r="AF982" s="372">
        <v>0</v>
      </c>
      <c r="AG982" s="372">
        <v>0</v>
      </c>
      <c r="AH982" s="372">
        <v>0</v>
      </c>
    </row>
    <row r="983" spans="1:34">
      <c r="A983" s="372" t="s">
        <v>6878</v>
      </c>
      <c r="B983" s="373" t="s">
        <v>6879</v>
      </c>
      <c r="C983" s="372" t="s">
        <v>6880</v>
      </c>
      <c r="D983" s="374">
        <v>1101115745520</v>
      </c>
      <c r="E983" s="372" t="s">
        <v>6881</v>
      </c>
      <c r="F983" s="375" t="s">
        <v>3218</v>
      </c>
      <c r="G983" s="375" t="s">
        <v>3218</v>
      </c>
      <c r="H983" s="375" t="s">
        <v>861</v>
      </c>
      <c r="I983" s="375" t="s">
        <v>862</v>
      </c>
      <c r="J983" s="375">
        <v>67608.243600000002</v>
      </c>
      <c r="K983" s="375">
        <v>-19138.508679999999</v>
      </c>
      <c r="L983" s="375">
        <v>-27303.46041</v>
      </c>
      <c r="M983" s="375">
        <v>25179.365430000002</v>
      </c>
      <c r="N983" s="372">
        <v>0.96</v>
      </c>
      <c r="O983" s="704">
        <v>24.841596677328251</v>
      </c>
      <c r="P983" s="375" t="s">
        <v>16115</v>
      </c>
      <c r="Q983" s="372" t="s">
        <v>16116</v>
      </c>
      <c r="R983" s="696">
        <v>20150813</v>
      </c>
      <c r="S983" s="372" t="s">
        <v>6882</v>
      </c>
      <c r="T983" s="697" t="s">
        <v>771</v>
      </c>
      <c r="U983" s="372" t="s">
        <v>6883</v>
      </c>
      <c r="V983" s="723" t="s">
        <v>773</v>
      </c>
      <c r="W983" s="723">
        <v>2.97</v>
      </c>
      <c r="X983" s="723">
        <v>1.21</v>
      </c>
      <c r="Y983" s="723" t="s">
        <v>773</v>
      </c>
      <c r="Z983" s="382" t="s">
        <v>927</v>
      </c>
      <c r="AA983" s="372">
        <v>82.221686599999998</v>
      </c>
      <c r="AB983" s="372">
        <v>768.26098590000004</v>
      </c>
      <c r="AC983" s="372">
        <v>1131.3308589999999</v>
      </c>
      <c r="AD983" s="372">
        <v>1047.1347249999999</v>
      </c>
      <c r="AE983" s="372">
        <v>0</v>
      </c>
      <c r="AF983" s="372">
        <v>0</v>
      </c>
      <c r="AG983" s="372">
        <v>0</v>
      </c>
      <c r="AH983" s="372">
        <v>0</v>
      </c>
    </row>
    <row r="984" spans="1:34">
      <c r="A984" s="372" t="s">
        <v>6884</v>
      </c>
      <c r="B984" s="373" t="s">
        <v>6885</v>
      </c>
      <c r="C984" s="372" t="s">
        <v>6886</v>
      </c>
      <c r="D984" s="374">
        <v>1101114017227</v>
      </c>
      <c r="E984" s="372" t="s">
        <v>6887</v>
      </c>
      <c r="F984" s="372" t="s">
        <v>2124</v>
      </c>
      <c r="G984" s="375" t="s">
        <v>4466</v>
      </c>
      <c r="H984" s="375" t="s">
        <v>861</v>
      </c>
      <c r="I984" s="375" t="s">
        <v>862</v>
      </c>
      <c r="J984" s="375">
        <v>33183.940419999999</v>
      </c>
      <c r="K984" s="375">
        <v>2347.7055999999998</v>
      </c>
      <c r="L984" s="375">
        <v>-6971.7304800000002</v>
      </c>
      <c r="M984" s="375">
        <v>32927.137459999998</v>
      </c>
      <c r="N984" s="372">
        <v>0.73399999999999999</v>
      </c>
      <c r="O984" s="704">
        <v>15.427877200757381</v>
      </c>
      <c r="P984" s="375" t="s">
        <v>622</v>
      </c>
      <c r="Q984" s="375" t="s">
        <v>622</v>
      </c>
      <c r="R984" s="696">
        <v>20130701</v>
      </c>
      <c r="S984" s="375" t="s">
        <v>6888</v>
      </c>
      <c r="T984" s="697" t="s">
        <v>771</v>
      </c>
      <c r="U984" s="375" t="s">
        <v>6889</v>
      </c>
      <c r="V984" s="723">
        <v>26.33</v>
      </c>
      <c r="W984" s="723">
        <v>3.69</v>
      </c>
      <c r="X984" s="723">
        <v>4.22</v>
      </c>
      <c r="Y984" s="723" t="s">
        <v>773</v>
      </c>
      <c r="Z984" s="382" t="s">
        <v>927</v>
      </c>
      <c r="AA984" s="372">
        <v>193.56047459999999</v>
      </c>
      <c r="AB984" s="372">
        <v>153.72574660000001</v>
      </c>
      <c r="AC984" s="372">
        <v>197.6745956</v>
      </c>
      <c r="AD984" s="372">
        <v>299.04806619999999</v>
      </c>
      <c r="AE984" s="372">
        <v>612</v>
      </c>
      <c r="AF984" s="372">
        <v>945</v>
      </c>
      <c r="AG984" s="372">
        <v>0</v>
      </c>
      <c r="AH984" s="372">
        <v>0</v>
      </c>
    </row>
    <row r="985" spans="1:34">
      <c r="A985" s="372" t="s">
        <v>6890</v>
      </c>
      <c r="B985" s="373" t="s">
        <v>6891</v>
      </c>
      <c r="C985" s="372" t="s">
        <v>6892</v>
      </c>
      <c r="D985" s="374">
        <v>1301110026260</v>
      </c>
      <c r="E985" s="372" t="s">
        <v>6893</v>
      </c>
      <c r="F985" s="375" t="s">
        <v>1710</v>
      </c>
      <c r="G985" s="375" t="s">
        <v>1711</v>
      </c>
      <c r="H985" s="375" t="s">
        <v>861</v>
      </c>
      <c r="I985" s="375" t="s">
        <v>862</v>
      </c>
      <c r="J985" s="375">
        <v>347404.11144000001</v>
      </c>
      <c r="K985" s="375">
        <v>6077.1740900000004</v>
      </c>
      <c r="L985" s="375">
        <v>4083.5235400000001</v>
      </c>
      <c r="M985" s="375">
        <v>211049.80776</v>
      </c>
      <c r="N985" s="372">
        <v>0.98099999999999998</v>
      </c>
      <c r="O985" s="704">
        <v>128.50143914038844</v>
      </c>
      <c r="P985" s="375" t="s">
        <v>622</v>
      </c>
      <c r="Q985" s="375" t="s">
        <v>622</v>
      </c>
      <c r="R985" s="696">
        <v>20001020</v>
      </c>
      <c r="S985" s="375" t="s">
        <v>6894</v>
      </c>
      <c r="T985" s="697">
        <v>0.20900000000000002</v>
      </c>
      <c r="U985" s="372" t="s">
        <v>6895</v>
      </c>
      <c r="V985" s="723">
        <v>11.29</v>
      </c>
      <c r="W985" s="723">
        <v>0.46</v>
      </c>
      <c r="X985" s="723">
        <v>0.32</v>
      </c>
      <c r="Y985" s="723">
        <v>39.75</v>
      </c>
      <c r="Z985" s="382" t="s">
        <v>927</v>
      </c>
      <c r="AA985" s="372">
        <v>3823.4316257999999</v>
      </c>
      <c r="AB985" s="372">
        <v>4002.3347902</v>
      </c>
      <c r="AC985" s="372">
        <v>3289.9063159000002</v>
      </c>
      <c r="AD985" s="372">
        <v>3753.0129665999998</v>
      </c>
      <c r="AE985" s="372">
        <v>0</v>
      </c>
      <c r="AF985" s="372">
        <v>0</v>
      </c>
      <c r="AG985" s="372">
        <v>0</v>
      </c>
      <c r="AH985" s="372">
        <v>0</v>
      </c>
    </row>
    <row r="986" spans="1:34">
      <c r="A986" s="372" t="s">
        <v>6896</v>
      </c>
      <c r="B986" s="373" t="s">
        <v>6897</v>
      </c>
      <c r="C986" s="372" t="s">
        <v>6898</v>
      </c>
      <c r="D986" s="374">
        <v>1101112276784</v>
      </c>
      <c r="E986" s="372" t="s">
        <v>6899</v>
      </c>
      <c r="F986" s="375" t="s">
        <v>1576</v>
      </c>
      <c r="G986" s="375" t="s">
        <v>1577</v>
      </c>
      <c r="H986" s="375" t="s">
        <v>861</v>
      </c>
      <c r="I986" s="375" t="s">
        <v>862</v>
      </c>
      <c r="J986" s="375">
        <v>449106.42375000002</v>
      </c>
      <c r="K986" s="375">
        <v>3257.4059000000002</v>
      </c>
      <c r="L986" s="375">
        <v>-16283.267159999999</v>
      </c>
      <c r="M986" s="375">
        <v>252055.33627999999</v>
      </c>
      <c r="N986" s="372">
        <v>0.94399999999999995</v>
      </c>
      <c r="O986" s="704">
        <v>110.50904479621192</v>
      </c>
      <c r="P986" s="375" t="s">
        <v>622</v>
      </c>
      <c r="Q986" s="372" t="s">
        <v>622</v>
      </c>
      <c r="R986" s="696">
        <v>20090831</v>
      </c>
      <c r="S986" s="372" t="s">
        <v>6900</v>
      </c>
      <c r="T986" s="697" t="s">
        <v>771</v>
      </c>
      <c r="U986" s="372" t="s">
        <v>6901</v>
      </c>
      <c r="V986" s="723">
        <v>33.03</v>
      </c>
      <c r="W986" s="723">
        <v>0.68</v>
      </c>
      <c r="X986" s="723">
        <v>0.37</v>
      </c>
      <c r="Y986" s="723" t="s">
        <v>773</v>
      </c>
      <c r="Z986" s="382">
        <v>8.2570628137339286E-2</v>
      </c>
      <c r="AA986" s="372">
        <v>2946.5504018000001</v>
      </c>
      <c r="AB986" s="372">
        <v>3787.7597298999999</v>
      </c>
      <c r="AC986" s="372">
        <v>4771.4289366000003</v>
      </c>
      <c r="AD986" s="372">
        <v>3982.5603632000002</v>
      </c>
      <c r="AE986" s="372">
        <v>4493</v>
      </c>
      <c r="AF986" s="372">
        <v>4910</v>
      </c>
      <c r="AG986" s="372">
        <v>5470</v>
      </c>
      <c r="AH986" s="372">
        <v>0</v>
      </c>
    </row>
    <row r="987" spans="1:34">
      <c r="A987" s="372" t="s">
        <v>6902</v>
      </c>
      <c r="B987" s="373" t="s">
        <v>6903</v>
      </c>
      <c r="C987" s="372" t="s">
        <v>6904</v>
      </c>
      <c r="D987" s="374">
        <v>1101111394420</v>
      </c>
      <c r="E987" s="372" t="s">
        <v>6905</v>
      </c>
      <c r="F987" s="375" t="s">
        <v>621</v>
      </c>
      <c r="G987" s="375" t="s">
        <v>621</v>
      </c>
      <c r="H987" s="375" t="s">
        <v>861</v>
      </c>
      <c r="I987" s="375" t="s">
        <v>862</v>
      </c>
      <c r="J987" s="375">
        <v>484476.94073999999</v>
      </c>
      <c r="K987" s="375">
        <v>32284.209900000002</v>
      </c>
      <c r="L987" s="375">
        <v>31903.623060000002</v>
      </c>
      <c r="M987" s="375">
        <v>231260.47466000001</v>
      </c>
      <c r="N987" s="372">
        <v>0.84599999999999997</v>
      </c>
      <c r="O987" s="704">
        <v>106.56038561476583</v>
      </c>
      <c r="P987" s="375" t="s">
        <v>622</v>
      </c>
      <c r="Q987" s="372" t="s">
        <v>622</v>
      </c>
      <c r="R987" s="696">
        <v>20060519</v>
      </c>
      <c r="S987" s="372" t="s">
        <v>6906</v>
      </c>
      <c r="T987" s="697">
        <v>0.23100000000000001</v>
      </c>
      <c r="U987" s="375" t="s">
        <v>6907</v>
      </c>
      <c r="V987" s="723">
        <v>3.98</v>
      </c>
      <c r="W987" s="723">
        <v>0.68</v>
      </c>
      <c r="X987" s="723">
        <v>0.31</v>
      </c>
      <c r="Y987" s="723">
        <v>11.01</v>
      </c>
      <c r="Z987" s="382" t="s">
        <v>927</v>
      </c>
      <c r="AA987" s="372">
        <v>1975.6647426</v>
      </c>
      <c r="AB987" s="372">
        <v>2253.8652579999998</v>
      </c>
      <c r="AC987" s="372">
        <v>3367.0908008000001</v>
      </c>
      <c r="AD987" s="372">
        <v>4206.1898819999997</v>
      </c>
      <c r="AE987" s="372">
        <v>5238</v>
      </c>
      <c r="AF987" s="372">
        <v>0</v>
      </c>
      <c r="AG987" s="372">
        <v>0</v>
      </c>
      <c r="AH987" s="372">
        <v>0</v>
      </c>
    </row>
    <row r="988" spans="1:34">
      <c r="A988" s="372" t="s">
        <v>6908</v>
      </c>
      <c r="B988" s="373" t="s">
        <v>6909</v>
      </c>
      <c r="C988" s="372" t="s">
        <v>6910</v>
      </c>
      <c r="D988" s="374">
        <v>1543110001715</v>
      </c>
      <c r="E988" s="372" t="s">
        <v>6911</v>
      </c>
      <c r="F988" s="375" t="s">
        <v>5301</v>
      </c>
      <c r="G988" s="375" t="s">
        <v>5301</v>
      </c>
      <c r="H988" s="375" t="s">
        <v>861</v>
      </c>
      <c r="I988" s="375" t="s">
        <v>862</v>
      </c>
      <c r="J988" s="375">
        <v>1463256.35708</v>
      </c>
      <c r="K988" s="375">
        <v>42757.999839999997</v>
      </c>
      <c r="L988" s="375">
        <v>36081.97726</v>
      </c>
      <c r="M988" s="375">
        <v>276963.18166</v>
      </c>
      <c r="N988" s="372">
        <v>0.81100000000000005</v>
      </c>
      <c r="O988" s="704">
        <v>373.40129991955337</v>
      </c>
      <c r="P988" s="375" t="s">
        <v>622</v>
      </c>
      <c r="Q988" s="372" t="s">
        <v>622</v>
      </c>
      <c r="R988" s="696">
        <v>19960629</v>
      </c>
      <c r="S988" s="375" t="s">
        <v>6912</v>
      </c>
      <c r="T988" s="697">
        <v>0.23100000000000001</v>
      </c>
      <c r="U988" s="375" t="s">
        <v>6913</v>
      </c>
      <c r="V988" s="723">
        <v>11.53</v>
      </c>
      <c r="W988" s="723">
        <v>0.66</v>
      </c>
      <c r="X988" s="723">
        <v>0.11</v>
      </c>
      <c r="Y988" s="723">
        <v>5.37</v>
      </c>
      <c r="Z988" s="382" t="s">
        <v>927</v>
      </c>
      <c r="AA988" s="372">
        <v>9653.8703286</v>
      </c>
      <c r="AB988" s="372">
        <v>10339.1762105</v>
      </c>
      <c r="AC988" s="372">
        <v>14264.509448700001</v>
      </c>
      <c r="AD988" s="372">
        <v>15002.4827233</v>
      </c>
      <c r="AE988" s="372">
        <v>0</v>
      </c>
      <c r="AF988" s="372">
        <v>0</v>
      </c>
      <c r="AG988" s="372">
        <v>0</v>
      </c>
      <c r="AH988" s="372">
        <v>0</v>
      </c>
    </row>
    <row r="989" spans="1:34">
      <c r="A989" s="372" t="s">
        <v>6914</v>
      </c>
      <c r="B989" s="373" t="s">
        <v>6915</v>
      </c>
      <c r="C989" s="372" t="s">
        <v>6916</v>
      </c>
      <c r="D989" s="374">
        <v>1350110122156</v>
      </c>
      <c r="E989" s="372" t="s">
        <v>6917</v>
      </c>
      <c r="F989" s="372" t="s">
        <v>769</v>
      </c>
      <c r="G989" s="375" t="s">
        <v>769</v>
      </c>
      <c r="H989" s="375" t="s">
        <v>861</v>
      </c>
      <c r="I989" s="375" t="s">
        <v>862</v>
      </c>
      <c r="J989" s="375">
        <v>665499.14210000006</v>
      </c>
      <c r="K989" s="375">
        <v>-11557.75369</v>
      </c>
      <c r="L989" s="375">
        <v>14913.342559999999</v>
      </c>
      <c r="M989" s="375">
        <v>137199.00062999999</v>
      </c>
      <c r="N989" s="372">
        <v>0.94699999999999995</v>
      </c>
      <c r="O989" s="704">
        <v>183.10844020784322</v>
      </c>
      <c r="P989" s="375" t="s">
        <v>622</v>
      </c>
      <c r="Q989" s="375" t="s">
        <v>622</v>
      </c>
      <c r="R989" s="696">
        <v>20200306</v>
      </c>
      <c r="S989" s="375" t="s">
        <v>6918</v>
      </c>
      <c r="T989" s="697">
        <v>0.20900000000000002</v>
      </c>
      <c r="U989" s="375" t="s">
        <v>6919</v>
      </c>
      <c r="V989" s="723">
        <v>8.83</v>
      </c>
      <c r="W989" s="723">
        <v>3.39</v>
      </c>
      <c r="X989" s="723">
        <v>0.27</v>
      </c>
      <c r="Y989" s="723" t="s">
        <v>773</v>
      </c>
      <c r="Z989" s="382" t="s">
        <v>927</v>
      </c>
      <c r="AA989" s="372">
        <v>4312.8219249000003</v>
      </c>
      <c r="AB989" s="372">
        <v>4886.7672475999998</v>
      </c>
      <c r="AC989" s="372">
        <v>4387.9159128000001</v>
      </c>
      <c r="AD989" s="372">
        <v>5039.6084627999999</v>
      </c>
      <c r="AE989" s="372">
        <v>6800</v>
      </c>
      <c r="AF989" s="372">
        <v>0</v>
      </c>
      <c r="AG989" s="372">
        <v>0</v>
      </c>
      <c r="AH989" s="372">
        <v>0</v>
      </c>
    </row>
    <row r="990" spans="1:34">
      <c r="A990" s="372" t="s">
        <v>6920</v>
      </c>
      <c r="B990" s="373" t="s">
        <v>6921</v>
      </c>
      <c r="C990" s="372" t="s">
        <v>6922</v>
      </c>
      <c r="D990" s="374">
        <v>1348110002080</v>
      </c>
      <c r="E990" s="372" t="s">
        <v>6923</v>
      </c>
      <c r="F990" s="375" t="s">
        <v>1598</v>
      </c>
      <c r="G990" s="375" t="s">
        <v>1599</v>
      </c>
      <c r="H990" s="375" t="s">
        <v>826</v>
      </c>
      <c r="I990" s="375" t="s">
        <v>754</v>
      </c>
      <c r="J990" s="375">
        <v>672086.63589000003</v>
      </c>
      <c r="K990" s="375">
        <v>51441.142679999997</v>
      </c>
      <c r="L990" s="375">
        <v>51114.255230000002</v>
      </c>
      <c r="M990" s="375">
        <v>471151.72672999999</v>
      </c>
      <c r="N990" s="372">
        <v>0.47299999999999998</v>
      </c>
      <c r="O990" s="704">
        <v>64.138382107713426</v>
      </c>
      <c r="P990" s="375" t="s">
        <v>622</v>
      </c>
      <c r="Q990" s="372" t="s">
        <v>622</v>
      </c>
      <c r="R990" s="696">
        <v>19960130</v>
      </c>
      <c r="S990" s="372" t="s">
        <v>6924</v>
      </c>
      <c r="T990" s="697">
        <v>0.23100000000000001</v>
      </c>
      <c r="U990" s="372" t="s">
        <v>6925</v>
      </c>
      <c r="V990" s="723">
        <v>4.5199999999999996</v>
      </c>
      <c r="W990" s="723">
        <v>0.47</v>
      </c>
      <c r="X990" s="723">
        <v>0.23</v>
      </c>
      <c r="Y990" s="723">
        <v>7.87</v>
      </c>
      <c r="Z990" s="382" t="s">
        <v>927</v>
      </c>
      <c r="AA990" s="372">
        <v>4306.3673249000003</v>
      </c>
      <c r="AB990" s="372">
        <v>5167.7086490000002</v>
      </c>
      <c r="AC990" s="372">
        <v>7333.8435773000001</v>
      </c>
      <c r="AD990" s="372">
        <v>6560.2730315999997</v>
      </c>
      <c r="AE990" s="372">
        <v>0</v>
      </c>
      <c r="AF990" s="372">
        <v>0</v>
      </c>
      <c r="AG990" s="372">
        <v>0</v>
      </c>
      <c r="AH990" s="372">
        <v>0</v>
      </c>
    </row>
    <row r="991" spans="1:34">
      <c r="A991" s="372" t="s">
        <v>6926</v>
      </c>
      <c r="B991" s="373" t="s">
        <v>6927</v>
      </c>
      <c r="C991" s="372" t="s">
        <v>6928</v>
      </c>
      <c r="D991" s="374">
        <v>1311110272002</v>
      </c>
      <c r="E991" s="372" t="s">
        <v>6929</v>
      </c>
      <c r="F991" s="375" t="s">
        <v>975</v>
      </c>
      <c r="G991" s="375" t="s">
        <v>976</v>
      </c>
      <c r="H991" s="375" t="s">
        <v>1337</v>
      </c>
      <c r="I991" s="375" t="s">
        <v>862</v>
      </c>
      <c r="J991" s="375">
        <v>105845.91155999999</v>
      </c>
      <c r="K991" s="375">
        <v>21658.557150000001</v>
      </c>
      <c r="L991" s="375">
        <v>25953.58152</v>
      </c>
      <c r="M991" s="375">
        <v>196155.86311000001</v>
      </c>
      <c r="N991" s="372">
        <v>0.51100000000000001</v>
      </c>
      <c r="O991" s="704">
        <v>0.36908755350031514</v>
      </c>
      <c r="P991" s="375" t="s">
        <v>622</v>
      </c>
      <c r="Q991" s="375" t="s">
        <v>622</v>
      </c>
      <c r="R991" s="696">
        <v>20110502</v>
      </c>
      <c r="S991" s="375" t="s">
        <v>6930</v>
      </c>
      <c r="T991" s="697">
        <v>0.23100000000000001</v>
      </c>
      <c r="U991" s="372" t="s">
        <v>6931</v>
      </c>
      <c r="V991" s="723">
        <v>7.08</v>
      </c>
      <c r="W991" s="723">
        <v>0.84</v>
      </c>
      <c r="X991" s="723">
        <v>1.66</v>
      </c>
      <c r="Y991" s="723">
        <v>8.4600000000000009</v>
      </c>
      <c r="Z991" s="382" t="s">
        <v>927</v>
      </c>
      <c r="AA991" s="372">
        <v>938.59708669999998</v>
      </c>
      <c r="AB991" s="372">
        <v>964.32485450000001</v>
      </c>
      <c r="AC991" s="372">
        <v>1014.2391239</v>
      </c>
      <c r="AD991" s="372">
        <v>1068.5453755000001</v>
      </c>
      <c r="AE991" s="372">
        <v>1399</v>
      </c>
      <c r="AF991" s="372">
        <v>0</v>
      </c>
      <c r="AG991" s="372">
        <v>0</v>
      </c>
      <c r="AH991" s="372">
        <v>0</v>
      </c>
    </row>
    <row r="992" spans="1:34">
      <c r="A992" s="372" t="s">
        <v>6932</v>
      </c>
      <c r="B992" s="373" t="s">
        <v>6933</v>
      </c>
      <c r="C992" s="372" t="s">
        <v>6934</v>
      </c>
      <c r="D992" s="374">
        <v>1244110064402</v>
      </c>
      <c r="E992" s="372" t="s">
        <v>6935</v>
      </c>
      <c r="F992" s="375" t="s">
        <v>1276</v>
      </c>
      <c r="G992" s="375" t="s">
        <v>1276</v>
      </c>
      <c r="H992" s="375" t="s">
        <v>861</v>
      </c>
      <c r="I992" s="375" t="s">
        <v>862</v>
      </c>
      <c r="J992" s="375">
        <v>134261.70556999999</v>
      </c>
      <c r="K992" s="375">
        <v>5116.1089300000003</v>
      </c>
      <c r="L992" s="375">
        <v>1850.6635699999999</v>
      </c>
      <c r="M992" s="375">
        <v>67822.682910000003</v>
      </c>
      <c r="N992" s="372">
        <v>1.071</v>
      </c>
      <c r="O992" s="704">
        <v>63.184176214338372</v>
      </c>
      <c r="P992" s="375" t="s">
        <v>622</v>
      </c>
      <c r="Q992" s="375" t="s">
        <v>622</v>
      </c>
      <c r="R992" s="696">
        <v>20190329</v>
      </c>
      <c r="S992" s="375" t="s">
        <v>6936</v>
      </c>
      <c r="T992" s="697">
        <v>0.20900000000000002</v>
      </c>
      <c r="U992" s="375" t="s">
        <v>6937</v>
      </c>
      <c r="V992" s="723">
        <v>13.34</v>
      </c>
      <c r="W992" s="723">
        <v>1.82</v>
      </c>
      <c r="X992" s="723">
        <v>0.92</v>
      </c>
      <c r="Y992" s="723">
        <v>30.71</v>
      </c>
      <c r="Z992" s="382">
        <v>6.291520593196176E-2</v>
      </c>
      <c r="AA992" s="372">
        <v>1117.7385623</v>
      </c>
      <c r="AB992" s="372">
        <v>1220.6771636000001</v>
      </c>
      <c r="AC992" s="372">
        <v>1421.2843763000001</v>
      </c>
      <c r="AD992" s="372">
        <v>1476.0002064</v>
      </c>
      <c r="AE992" s="372">
        <v>1295</v>
      </c>
      <c r="AF992" s="372">
        <v>1653</v>
      </c>
      <c r="AG992" s="372">
        <v>1884</v>
      </c>
      <c r="AH992" s="372">
        <v>0</v>
      </c>
    </row>
    <row r="993" spans="1:34">
      <c r="A993" s="372" t="s">
        <v>6938</v>
      </c>
      <c r="B993" s="373" t="s">
        <v>6939</v>
      </c>
      <c r="C993" s="372" t="s">
        <v>6940</v>
      </c>
      <c r="D993" s="374">
        <v>1101110129026</v>
      </c>
      <c r="E993" s="372" t="s">
        <v>6941</v>
      </c>
      <c r="F993" s="375" t="s">
        <v>893</v>
      </c>
      <c r="G993" s="375" t="s">
        <v>894</v>
      </c>
      <c r="H993" s="375" t="s">
        <v>855</v>
      </c>
      <c r="I993" s="375" t="s">
        <v>754</v>
      </c>
      <c r="J993" s="375">
        <v>4385277.4742599996</v>
      </c>
      <c r="K993" s="375">
        <v>265766.18805</v>
      </c>
      <c r="L993" s="375">
        <v>250213.5883</v>
      </c>
      <c r="M993" s="375">
        <v>1387926.28418</v>
      </c>
      <c r="N993" s="372">
        <v>1.119</v>
      </c>
      <c r="O993" s="704">
        <v>453.84046253505346</v>
      </c>
      <c r="P993" s="375" t="s">
        <v>622</v>
      </c>
      <c r="Q993" s="375" t="s">
        <v>622</v>
      </c>
      <c r="R993" s="696">
        <v>19890909</v>
      </c>
      <c r="S993" s="375" t="s">
        <v>6942</v>
      </c>
      <c r="T993" s="697">
        <v>0.23100000000000001</v>
      </c>
      <c r="U993" s="372" t="s">
        <v>6943</v>
      </c>
      <c r="V993" s="723">
        <v>2.78</v>
      </c>
      <c r="W993" s="723">
        <v>0.23</v>
      </c>
      <c r="X993" s="723">
        <v>0.04</v>
      </c>
      <c r="Y993" s="723">
        <v>1.61</v>
      </c>
      <c r="Z993" s="382" t="s">
        <v>927</v>
      </c>
      <c r="AA993" s="372">
        <v>22372.6852268</v>
      </c>
      <c r="AB993" s="372">
        <v>24793.150385100002</v>
      </c>
      <c r="AC993" s="372">
        <v>32515.486818599999</v>
      </c>
      <c r="AD993" s="372">
        <v>40207.247619599999</v>
      </c>
      <c r="AE993" s="372">
        <v>0</v>
      </c>
      <c r="AF993" s="372">
        <v>0</v>
      </c>
      <c r="AG993" s="372">
        <v>0</v>
      </c>
      <c r="AH993" s="372">
        <v>0</v>
      </c>
    </row>
    <row r="994" spans="1:34">
      <c r="A994" s="372" t="s">
        <v>6944</v>
      </c>
      <c r="B994" s="373" t="s">
        <v>6945</v>
      </c>
      <c r="C994" s="372" t="s">
        <v>6946</v>
      </c>
      <c r="D994" s="374">
        <v>1341110003058</v>
      </c>
      <c r="E994" s="372" t="s">
        <v>6947</v>
      </c>
      <c r="F994" s="375" t="s">
        <v>2007</v>
      </c>
      <c r="G994" s="375" t="s">
        <v>2007</v>
      </c>
      <c r="H994" s="375" t="s">
        <v>792</v>
      </c>
      <c r="I994" s="375" t="s">
        <v>754</v>
      </c>
      <c r="J994" s="375">
        <v>161454.76368</v>
      </c>
      <c r="K994" s="375">
        <v>-871.59550999999999</v>
      </c>
      <c r="L994" s="375">
        <v>-4335.4378500000003</v>
      </c>
      <c r="M994" s="375">
        <v>66587.549180000002</v>
      </c>
      <c r="N994" s="372">
        <v>0.69599999999999995</v>
      </c>
      <c r="O994" s="704">
        <v>2.7496606736380143</v>
      </c>
      <c r="P994" s="375" t="s">
        <v>622</v>
      </c>
      <c r="Q994" s="372" t="s">
        <v>622</v>
      </c>
      <c r="R994" s="696">
        <v>19941227</v>
      </c>
      <c r="S994" s="375" t="s">
        <v>6948</v>
      </c>
      <c r="T994" s="697" t="s">
        <v>771</v>
      </c>
      <c r="U994" s="372" t="s">
        <v>6949</v>
      </c>
      <c r="V994" s="723">
        <v>43.48</v>
      </c>
      <c r="W994" s="723">
        <v>2.06</v>
      </c>
      <c r="X994" s="723">
        <v>0.85</v>
      </c>
      <c r="Y994" s="723" t="s">
        <v>773</v>
      </c>
      <c r="Z994" s="382" t="s">
        <v>927</v>
      </c>
      <c r="AA994" s="372">
        <v>707.1047949</v>
      </c>
      <c r="AB994" s="372">
        <v>730.77585699999997</v>
      </c>
      <c r="AC994" s="372">
        <v>1367.8802395</v>
      </c>
      <c r="AD994" s="372">
        <v>2027.2070068999999</v>
      </c>
      <c r="AE994" s="372">
        <v>0</v>
      </c>
      <c r="AF994" s="372">
        <v>0</v>
      </c>
      <c r="AG994" s="372">
        <v>0</v>
      </c>
      <c r="AH994" s="372">
        <v>0</v>
      </c>
    </row>
    <row r="995" spans="1:34">
      <c r="A995" s="372" t="s">
        <v>6950</v>
      </c>
      <c r="B995" s="373" t="s">
        <v>6951</v>
      </c>
      <c r="C995" s="372" t="s">
        <v>6952</v>
      </c>
      <c r="D995" s="374">
        <v>1341110142575</v>
      </c>
      <c r="E995" s="372" t="s">
        <v>6953</v>
      </c>
      <c r="F995" s="375" t="s">
        <v>1682</v>
      </c>
      <c r="G995" s="375" t="s">
        <v>1683</v>
      </c>
      <c r="H995" s="375" t="s">
        <v>826</v>
      </c>
      <c r="I995" s="375" t="s">
        <v>754</v>
      </c>
      <c r="J995" s="375">
        <v>788982.82767999999</v>
      </c>
      <c r="K995" s="375">
        <v>43506.10226</v>
      </c>
      <c r="L995" s="375">
        <v>38552.46153</v>
      </c>
      <c r="M995" s="375">
        <v>401067.02215999999</v>
      </c>
      <c r="N995" s="372">
        <v>0.877</v>
      </c>
      <c r="O995" s="704">
        <v>30.210126524317914</v>
      </c>
      <c r="P995" s="375" t="s">
        <v>622</v>
      </c>
      <c r="Q995" s="375" t="s">
        <v>622</v>
      </c>
      <c r="R995" s="696">
        <v>20060703</v>
      </c>
      <c r="S995" s="375" t="s">
        <v>6954</v>
      </c>
      <c r="T995" s="697">
        <v>0.23100000000000001</v>
      </c>
      <c r="U995" s="372" t="s">
        <v>6955</v>
      </c>
      <c r="V995" s="723">
        <v>3.16</v>
      </c>
      <c r="W995" s="723">
        <v>0.45</v>
      </c>
      <c r="X995" s="723">
        <v>0.23</v>
      </c>
      <c r="Y995" s="723">
        <v>6.31</v>
      </c>
      <c r="Z995" s="382" t="s">
        <v>927</v>
      </c>
      <c r="AA995" s="372">
        <v>6429.3519668999998</v>
      </c>
      <c r="AB995" s="372">
        <v>7309.3167641999999</v>
      </c>
      <c r="AC995" s="372">
        <v>7470.9055600000002</v>
      </c>
      <c r="AD995" s="372">
        <v>7805.07251</v>
      </c>
      <c r="AE995" s="372">
        <v>0</v>
      </c>
      <c r="AF995" s="372">
        <v>0</v>
      </c>
      <c r="AG995" s="372">
        <v>0</v>
      </c>
      <c r="AH995" s="372">
        <v>0</v>
      </c>
    </row>
    <row r="996" spans="1:34">
      <c r="A996" s="372" t="s">
        <v>6956</v>
      </c>
      <c r="B996" s="373" t="s">
        <v>6957</v>
      </c>
      <c r="C996" s="372" t="s">
        <v>6958</v>
      </c>
      <c r="D996" s="374">
        <v>1101110003692</v>
      </c>
      <c r="E996" s="372" t="s">
        <v>6959</v>
      </c>
      <c r="F996" s="375" t="s">
        <v>6960</v>
      </c>
      <c r="G996" s="375" t="s">
        <v>6961</v>
      </c>
      <c r="H996" s="375" t="s">
        <v>909</v>
      </c>
      <c r="I996" s="375" t="s">
        <v>754</v>
      </c>
      <c r="J996" s="375">
        <v>610115.31019999995</v>
      </c>
      <c r="K996" s="375">
        <v>51830.476869999999</v>
      </c>
      <c r="L996" s="375">
        <v>57216.035909999999</v>
      </c>
      <c r="M996" s="375">
        <v>384674.60343999998</v>
      </c>
      <c r="N996" s="372">
        <v>0.76</v>
      </c>
      <c r="O996" s="704">
        <v>13.839746600546951</v>
      </c>
      <c r="P996" s="375" t="s">
        <v>622</v>
      </c>
      <c r="Q996" s="375" t="s">
        <v>622</v>
      </c>
      <c r="R996" s="696">
        <v>19761228</v>
      </c>
      <c r="S996" s="375" t="s">
        <v>6962</v>
      </c>
      <c r="T996" s="697">
        <v>0.23100000000000001</v>
      </c>
      <c r="U996" s="372" t="s">
        <v>6963</v>
      </c>
      <c r="V996" s="723">
        <v>2.19</v>
      </c>
      <c r="W996" s="723">
        <v>0.44</v>
      </c>
      <c r="X996" s="723">
        <v>0.28000000000000003</v>
      </c>
      <c r="Y996" s="723">
        <v>3.82</v>
      </c>
      <c r="Z996" s="382" t="s">
        <v>927</v>
      </c>
      <c r="AA996" s="372">
        <v>3032.0742159000001</v>
      </c>
      <c r="AB996" s="372">
        <v>3455.3218361999998</v>
      </c>
      <c r="AC996" s="372">
        <v>4005.2108162</v>
      </c>
      <c r="AD996" s="372">
        <v>5447.2513743</v>
      </c>
      <c r="AE996" s="372">
        <v>6149</v>
      </c>
      <c r="AF996" s="372">
        <v>0</v>
      </c>
      <c r="AG996" s="372">
        <v>0</v>
      </c>
      <c r="AH996" s="372">
        <v>0</v>
      </c>
    </row>
    <row r="997" spans="1:34">
      <c r="A997" s="372" t="s">
        <v>6964</v>
      </c>
      <c r="B997" s="373" t="s">
        <v>6965</v>
      </c>
      <c r="C997" s="372" t="s">
        <v>6966</v>
      </c>
      <c r="D997" s="374">
        <v>1101110944622</v>
      </c>
      <c r="E997" s="372" t="s">
        <v>6967</v>
      </c>
      <c r="F997" s="375" t="s">
        <v>3236</v>
      </c>
      <c r="G997" s="375" t="s">
        <v>3236</v>
      </c>
      <c r="H997" s="375" t="s">
        <v>861</v>
      </c>
      <c r="I997" s="375" t="s">
        <v>862</v>
      </c>
      <c r="J997" s="375">
        <v>360062.45052000001</v>
      </c>
      <c r="K997" s="375">
        <v>-23970.479159999999</v>
      </c>
      <c r="L997" s="375">
        <v>-34104.877619999999</v>
      </c>
      <c r="M997" s="375">
        <v>150051.36322999999</v>
      </c>
      <c r="N997" s="372">
        <v>1.3109999999999999</v>
      </c>
      <c r="O997" s="704">
        <v>112.94221203609705</v>
      </c>
      <c r="P997" s="375" t="s">
        <v>622</v>
      </c>
      <c r="Q997" s="375" t="s">
        <v>622</v>
      </c>
      <c r="R997" s="696">
        <v>20000801</v>
      </c>
      <c r="S997" s="375" t="s">
        <v>6968</v>
      </c>
      <c r="T997" s="697" t="s">
        <v>771</v>
      </c>
      <c r="U997" s="372" t="s">
        <v>6969</v>
      </c>
      <c r="V997" s="723">
        <v>32.409999999999997</v>
      </c>
      <c r="W997" s="723">
        <v>1.24</v>
      </c>
      <c r="X997" s="723">
        <v>0.39</v>
      </c>
      <c r="Y997" s="723" t="s">
        <v>773</v>
      </c>
      <c r="Z997" s="382" t="s">
        <v>927</v>
      </c>
      <c r="AA997" s="372">
        <v>3929.2717770999998</v>
      </c>
      <c r="AB997" s="372">
        <v>3807.0424868999999</v>
      </c>
      <c r="AC997" s="372">
        <v>4597.0151317</v>
      </c>
      <c r="AD997" s="372">
        <v>3776.298843</v>
      </c>
      <c r="AE997" s="372">
        <v>0</v>
      </c>
      <c r="AF997" s="372">
        <v>0</v>
      </c>
      <c r="AG997" s="372">
        <v>0</v>
      </c>
      <c r="AH997" s="372">
        <v>0</v>
      </c>
    </row>
    <row r="998" spans="1:34">
      <c r="A998" s="372" t="s">
        <v>6970</v>
      </c>
      <c r="B998" s="373" t="s">
        <v>6971</v>
      </c>
      <c r="C998" s="372" t="s">
        <v>6972</v>
      </c>
      <c r="D998" s="374">
        <v>1101110039209</v>
      </c>
      <c r="E998" s="372" t="s">
        <v>6973</v>
      </c>
      <c r="F998" s="375" t="s">
        <v>2184</v>
      </c>
      <c r="G998" s="375" t="s">
        <v>3523</v>
      </c>
      <c r="H998" s="375" t="s">
        <v>2056</v>
      </c>
      <c r="I998" s="375" t="s">
        <v>754</v>
      </c>
      <c r="J998" s="375">
        <v>188271.15445999999</v>
      </c>
      <c r="K998" s="375">
        <v>-5578.6310800000001</v>
      </c>
      <c r="L998" s="375">
        <v>-7086.3139799999999</v>
      </c>
      <c r="M998" s="375">
        <v>160324.45741</v>
      </c>
      <c r="N998" s="372">
        <v>1.1859999999999999</v>
      </c>
      <c r="O998" s="704">
        <v>18.275073824289507</v>
      </c>
      <c r="P998" s="375" t="s">
        <v>622</v>
      </c>
      <c r="Q998" s="372" t="s">
        <v>622</v>
      </c>
      <c r="R998" s="696">
        <v>19960731</v>
      </c>
      <c r="S998" s="372" t="s">
        <v>6974</v>
      </c>
      <c r="T998" s="697" t="s">
        <v>771</v>
      </c>
      <c r="U998" s="372" t="s">
        <v>6975</v>
      </c>
      <c r="V998" s="723">
        <v>40861.199999999997</v>
      </c>
      <c r="W998" s="723">
        <v>2.73</v>
      </c>
      <c r="X998" s="723">
        <v>2.23</v>
      </c>
      <c r="Y998" s="723" t="s">
        <v>773</v>
      </c>
      <c r="Z998" s="382">
        <v>0.28171537113104161</v>
      </c>
      <c r="AA998" s="372">
        <v>1622.5753745</v>
      </c>
      <c r="AB998" s="372">
        <v>2265.6736101000001</v>
      </c>
      <c r="AC998" s="372">
        <v>2310.0436832999999</v>
      </c>
      <c r="AD998" s="372">
        <v>2145.4193485999999</v>
      </c>
      <c r="AE998" s="372">
        <v>2005</v>
      </c>
      <c r="AF998" s="372">
        <v>4694.5</v>
      </c>
      <c r="AG998" s="372">
        <v>5790</v>
      </c>
      <c r="AH998" s="372">
        <v>0</v>
      </c>
    </row>
    <row r="999" spans="1:34">
      <c r="A999" s="372" t="s">
        <v>6976</v>
      </c>
      <c r="B999" s="373" t="s">
        <v>6977</v>
      </c>
      <c r="C999" s="372" t="s">
        <v>6978</v>
      </c>
      <c r="D999" s="374">
        <v>1101112564478</v>
      </c>
      <c r="E999" s="372" t="s">
        <v>6979</v>
      </c>
      <c r="F999" s="375" t="s">
        <v>3180</v>
      </c>
      <c r="G999" s="375" t="s">
        <v>3181</v>
      </c>
      <c r="H999" s="375" t="s">
        <v>1337</v>
      </c>
      <c r="I999" s="375" t="s">
        <v>862</v>
      </c>
      <c r="J999" s="375">
        <v>70090.89155</v>
      </c>
      <c r="K999" s="375">
        <v>23067.380850000001</v>
      </c>
      <c r="L999" s="375">
        <v>27791.279900000001</v>
      </c>
      <c r="M999" s="375">
        <v>170979.64436000001</v>
      </c>
      <c r="N999" s="372">
        <v>0.46</v>
      </c>
      <c r="O999" s="704">
        <v>0.11854264065327975</v>
      </c>
      <c r="P999" s="375" t="s">
        <v>622</v>
      </c>
      <c r="Q999" s="375" t="s">
        <v>622</v>
      </c>
      <c r="R999" s="696">
        <v>20211029</v>
      </c>
      <c r="S999" s="375" t="s">
        <v>6980</v>
      </c>
      <c r="T999" s="697">
        <v>0.23100000000000001</v>
      </c>
      <c r="U999" s="372" t="s">
        <v>6981</v>
      </c>
      <c r="V999" s="723">
        <v>0</v>
      </c>
      <c r="W999" s="723">
        <v>0</v>
      </c>
      <c r="X999" s="723">
        <v>0</v>
      </c>
      <c r="Y999" s="723">
        <v>0</v>
      </c>
      <c r="Z999" s="382" t="s">
        <v>927</v>
      </c>
      <c r="AA999" s="372">
        <v>541.63512619999995</v>
      </c>
      <c r="AB999" s="372">
        <v>587.73815119999995</v>
      </c>
      <c r="AC999" s="372">
        <v>550.77908849999994</v>
      </c>
      <c r="AD999" s="372">
        <v>664.84437439999999</v>
      </c>
      <c r="AE999" s="372">
        <v>0</v>
      </c>
      <c r="AF999" s="372">
        <v>0</v>
      </c>
      <c r="AG999" s="372">
        <v>0</v>
      </c>
      <c r="AH999" s="372">
        <v>0</v>
      </c>
    </row>
    <row r="1000" spans="1:34">
      <c r="A1000" s="372" t="s">
        <v>6982</v>
      </c>
      <c r="B1000" s="373" t="s">
        <v>6983</v>
      </c>
      <c r="C1000" s="372" t="s">
        <v>6984</v>
      </c>
      <c r="D1000" s="374">
        <v>1101110250855</v>
      </c>
      <c r="E1000" s="372" t="s">
        <v>6985</v>
      </c>
      <c r="F1000" s="372" t="s">
        <v>6986</v>
      </c>
      <c r="G1000" s="375" t="s">
        <v>6987</v>
      </c>
      <c r="H1000" s="375" t="s">
        <v>3099</v>
      </c>
      <c r="I1000" s="375" t="s">
        <v>862</v>
      </c>
      <c r="J1000" s="375">
        <v>182537.26156000001</v>
      </c>
      <c r="K1000" s="375">
        <v>16818.286069999998</v>
      </c>
      <c r="L1000" s="375">
        <v>17465.04883</v>
      </c>
      <c r="M1000" s="375">
        <v>175072.56364000001</v>
      </c>
      <c r="N1000" s="372">
        <v>0.16700000000000001</v>
      </c>
      <c r="O1000" s="704">
        <v>2.12583601669792</v>
      </c>
      <c r="P1000" s="375" t="s">
        <v>622</v>
      </c>
      <c r="Q1000" s="375" t="s">
        <v>622</v>
      </c>
      <c r="R1000" s="696">
        <v>20020115</v>
      </c>
      <c r="S1000" s="375" t="s">
        <v>6988</v>
      </c>
      <c r="T1000" s="697">
        <v>0.20900000000000002</v>
      </c>
      <c r="U1000" s="375" t="s">
        <v>6989</v>
      </c>
      <c r="V1000" s="723">
        <v>6.44</v>
      </c>
      <c r="W1000" s="723">
        <v>0.77</v>
      </c>
      <c r="X1000" s="723">
        <v>0.78</v>
      </c>
      <c r="Y1000" s="723">
        <v>10.91</v>
      </c>
      <c r="Z1000" s="382" t="s">
        <v>927</v>
      </c>
      <c r="AA1000" s="372">
        <v>1224.6457877</v>
      </c>
      <c r="AB1000" s="372">
        <v>1509.7801443999999</v>
      </c>
      <c r="AC1000" s="372">
        <v>1743.1834406</v>
      </c>
      <c r="AD1000" s="372">
        <v>1864.1276035999999</v>
      </c>
      <c r="AE1000" s="372">
        <v>0</v>
      </c>
      <c r="AF1000" s="372">
        <v>0</v>
      </c>
      <c r="AG1000" s="372">
        <v>0</v>
      </c>
      <c r="AH1000" s="372">
        <v>0</v>
      </c>
    </row>
    <row r="1001" spans="1:34">
      <c r="A1001" s="372" t="s">
        <v>6990</v>
      </c>
      <c r="B1001" s="373" t="s">
        <v>6991</v>
      </c>
      <c r="C1001" s="372" t="s">
        <v>6992</v>
      </c>
      <c r="D1001" s="374">
        <v>1201110101890</v>
      </c>
      <c r="E1001" s="372" t="s">
        <v>6993</v>
      </c>
      <c r="F1001" s="375" t="s">
        <v>2842</v>
      </c>
      <c r="G1001" s="375" t="s">
        <v>4678</v>
      </c>
      <c r="H1001" s="375" t="s">
        <v>861</v>
      </c>
      <c r="I1001" s="375" t="s">
        <v>4413</v>
      </c>
      <c r="J1001" s="375">
        <v>274949.09993000003</v>
      </c>
      <c r="K1001" s="375">
        <v>1985.31665</v>
      </c>
      <c r="L1001" s="375">
        <v>-8542.8317599999991</v>
      </c>
      <c r="M1001" s="375">
        <v>181111.75135999999</v>
      </c>
      <c r="N1001" s="372" t="s">
        <v>1026</v>
      </c>
      <c r="O1001" s="704" t="e">
        <v>#DIV/0!</v>
      </c>
      <c r="P1001" s="375" t="s">
        <v>622</v>
      </c>
      <c r="Q1001" s="375" t="s">
        <v>622</v>
      </c>
      <c r="R1001" s="696">
        <v>20151102</v>
      </c>
      <c r="S1001" s="375" t="e">
        <v>#N/A</v>
      </c>
      <c r="T1001" s="697" t="s">
        <v>771</v>
      </c>
      <c r="U1001" s="375" t="s">
        <v>6994</v>
      </c>
      <c r="V1001" s="723">
        <v>4.22</v>
      </c>
      <c r="W1001" s="723">
        <v>0</v>
      </c>
      <c r="X1001" s="723">
        <v>0</v>
      </c>
      <c r="Y1001" s="723">
        <v>0</v>
      </c>
      <c r="Z1001" s="382" t="s">
        <v>927</v>
      </c>
      <c r="AA1001" s="372">
        <v>2511.5712309</v>
      </c>
      <c r="AB1001" s="372">
        <v>2870.9829547999998</v>
      </c>
      <c r="AC1001" s="372">
        <v>2347.3794588000001</v>
      </c>
      <c r="AD1001" s="372">
        <v>2359.0268000999999</v>
      </c>
      <c r="AE1001" s="372">
        <v>2804</v>
      </c>
      <c r="AF1001" s="372">
        <v>0</v>
      </c>
      <c r="AG1001" s="372">
        <v>0</v>
      </c>
      <c r="AH1001" s="372">
        <v>0</v>
      </c>
    </row>
    <row r="1002" spans="1:34">
      <c r="A1002" s="372" t="s">
        <v>6995</v>
      </c>
      <c r="B1002" s="373" t="s">
        <v>6996</v>
      </c>
      <c r="C1002" s="372" t="s">
        <v>6997</v>
      </c>
      <c r="D1002" s="374">
        <v>1801110618091</v>
      </c>
      <c r="E1002" s="372" t="s">
        <v>6998</v>
      </c>
      <c r="F1002" s="375" t="s">
        <v>2511</v>
      </c>
      <c r="G1002" s="375" t="s">
        <v>2511</v>
      </c>
      <c r="H1002" s="375" t="s">
        <v>826</v>
      </c>
      <c r="I1002" s="375" t="s">
        <v>754</v>
      </c>
      <c r="J1002" s="375">
        <v>275330.87190999999</v>
      </c>
      <c r="K1002" s="375">
        <v>3739.0419900000002</v>
      </c>
      <c r="L1002" s="375">
        <v>18616.620159999999</v>
      </c>
      <c r="M1002" s="375">
        <v>425233.58279999997</v>
      </c>
      <c r="N1002" s="372">
        <v>0.628</v>
      </c>
      <c r="O1002" s="704">
        <v>62.968395869537119</v>
      </c>
      <c r="P1002" s="375" t="s">
        <v>622</v>
      </c>
      <c r="Q1002" s="372" t="s">
        <v>622</v>
      </c>
      <c r="R1002" s="696">
        <v>20080215</v>
      </c>
      <c r="S1002" s="372" t="s">
        <v>6999</v>
      </c>
      <c r="T1002" s="697">
        <v>0.20900000000000002</v>
      </c>
      <c r="U1002" s="372" t="s">
        <v>7000</v>
      </c>
      <c r="V1002" s="723">
        <v>16.7</v>
      </c>
      <c r="W1002" s="723">
        <v>0.5</v>
      </c>
      <c r="X1002" s="723">
        <v>0.64</v>
      </c>
      <c r="Y1002" s="723">
        <v>21.63</v>
      </c>
      <c r="Z1002" s="382" t="s">
        <v>927</v>
      </c>
      <c r="AA1002" s="372">
        <v>2115.3992050000002</v>
      </c>
      <c r="AB1002" s="372">
        <v>2247.9142777000002</v>
      </c>
      <c r="AC1002" s="372">
        <v>2345.576028</v>
      </c>
      <c r="AD1002" s="372">
        <v>2711.0425611000001</v>
      </c>
      <c r="AE1002" s="372">
        <v>0</v>
      </c>
      <c r="AF1002" s="372">
        <v>0</v>
      </c>
      <c r="AG1002" s="372">
        <v>0</v>
      </c>
      <c r="AH1002" s="372">
        <v>0</v>
      </c>
    </row>
    <row r="1003" spans="1:34">
      <c r="A1003" s="372" t="s">
        <v>7001</v>
      </c>
      <c r="B1003" s="373" t="s">
        <v>7002</v>
      </c>
      <c r="C1003" s="372" t="s">
        <v>7003</v>
      </c>
      <c r="D1003" s="374">
        <v>1101110673966</v>
      </c>
      <c r="E1003" s="372" t="s">
        <v>7004</v>
      </c>
      <c r="F1003" s="375" t="s">
        <v>7005</v>
      </c>
      <c r="G1003" s="375" t="s">
        <v>7005</v>
      </c>
      <c r="H1003" s="375" t="s">
        <v>4847</v>
      </c>
      <c r="I1003" s="375" t="s">
        <v>862</v>
      </c>
      <c r="J1003" s="375">
        <v>198399.47633</v>
      </c>
      <c r="K1003" s="375">
        <v>8581.6485100000009</v>
      </c>
      <c r="L1003" s="375">
        <v>15534.363530000001</v>
      </c>
      <c r="M1003" s="375">
        <v>141508.86885</v>
      </c>
      <c r="N1003" s="372">
        <v>1.032</v>
      </c>
      <c r="O1003" s="704">
        <v>10.090268490538969</v>
      </c>
      <c r="P1003" s="375" t="s">
        <v>622</v>
      </c>
      <c r="Q1003" s="372" t="s">
        <v>622</v>
      </c>
      <c r="R1003" s="696">
        <v>20071106</v>
      </c>
      <c r="S1003" s="372" t="s">
        <v>7006</v>
      </c>
      <c r="T1003" s="697">
        <v>0.20900000000000002</v>
      </c>
      <c r="U1003" s="375" t="s">
        <v>7007</v>
      </c>
      <c r="V1003" s="723">
        <v>12.61</v>
      </c>
      <c r="W1003" s="723">
        <v>1.02</v>
      </c>
      <c r="X1003" s="723">
        <v>0.71</v>
      </c>
      <c r="Y1003" s="723">
        <v>12.66</v>
      </c>
      <c r="Z1003" s="382" t="s">
        <v>927</v>
      </c>
      <c r="AA1003" s="372">
        <v>1680.1460789</v>
      </c>
      <c r="AB1003" s="372">
        <v>1858.9933490999999</v>
      </c>
      <c r="AC1003" s="372">
        <v>1960.1549130000001</v>
      </c>
      <c r="AD1003" s="372">
        <v>1908.2676423</v>
      </c>
      <c r="AE1003" s="372">
        <v>0</v>
      </c>
      <c r="AF1003" s="372">
        <v>0</v>
      </c>
      <c r="AG1003" s="372">
        <v>0</v>
      </c>
      <c r="AH1003" s="372">
        <v>0</v>
      </c>
    </row>
    <row r="1004" spans="1:34">
      <c r="A1004" s="372" t="s">
        <v>7008</v>
      </c>
      <c r="B1004" s="373" t="s">
        <v>7009</v>
      </c>
      <c r="C1004" s="372" t="s">
        <v>7010</v>
      </c>
      <c r="D1004" s="374">
        <v>1101116080032</v>
      </c>
      <c r="E1004" s="372" t="s">
        <v>7011</v>
      </c>
      <c r="F1004" s="372" t="s">
        <v>1796</v>
      </c>
      <c r="G1004" s="375" t="s">
        <v>1797</v>
      </c>
      <c r="H1004" s="375" t="s">
        <v>861</v>
      </c>
      <c r="I1004" s="375" t="s">
        <v>862</v>
      </c>
      <c r="J1004" s="375">
        <v>16165.19543</v>
      </c>
      <c r="K1004" s="375">
        <v>-13565.614799999999</v>
      </c>
      <c r="L1004" s="375">
        <v>-14208.922269999999</v>
      </c>
      <c r="M1004" s="375">
        <v>-1491.2603300000001</v>
      </c>
      <c r="N1004" s="372">
        <v>0.73299999999999998</v>
      </c>
      <c r="O1004" s="704">
        <v>14.856197708355696</v>
      </c>
      <c r="P1004" s="375" t="s">
        <v>622</v>
      </c>
      <c r="Q1004" s="375" t="s">
        <v>622</v>
      </c>
      <c r="R1004" s="696">
        <v>20201221</v>
      </c>
      <c r="S1004" s="375" t="s">
        <v>7012</v>
      </c>
      <c r="T1004" s="697" t="s">
        <v>771</v>
      </c>
      <c r="U1004" s="372" t="s">
        <v>7013</v>
      </c>
      <c r="V1004" s="723" t="s">
        <v>773</v>
      </c>
      <c r="W1004" s="723" t="s">
        <v>773</v>
      </c>
      <c r="X1004" s="723">
        <v>3.89</v>
      </c>
      <c r="Y1004" s="723" t="s">
        <v>773</v>
      </c>
      <c r="Z1004" s="382" t="s">
        <v>927</v>
      </c>
      <c r="AA1004" s="372">
        <v>45.698517099999997</v>
      </c>
      <c r="AB1004" s="372">
        <v>100.0067513</v>
      </c>
      <c r="AC1004" s="372">
        <v>110.8874568</v>
      </c>
      <c r="AD1004" s="372">
        <v>115.6070029</v>
      </c>
      <c r="AE1004" s="372">
        <v>437</v>
      </c>
      <c r="AF1004" s="372">
        <v>556</v>
      </c>
      <c r="AG1004" s="372">
        <v>0</v>
      </c>
      <c r="AH1004" s="372">
        <v>0</v>
      </c>
    </row>
    <row r="1005" spans="1:34">
      <c r="A1005" s="372" t="s">
        <v>7014</v>
      </c>
      <c r="B1005" s="373" t="s">
        <v>7015</v>
      </c>
      <c r="C1005" s="372" t="s">
        <v>7016</v>
      </c>
      <c r="D1005" s="374">
        <v>1801110034320</v>
      </c>
      <c r="E1005" s="372" t="s">
        <v>7017</v>
      </c>
      <c r="F1005" s="372" t="s">
        <v>2485</v>
      </c>
      <c r="G1005" s="375" t="s">
        <v>2486</v>
      </c>
      <c r="H1005" s="375" t="s">
        <v>812</v>
      </c>
      <c r="I1005" s="375" t="s">
        <v>754</v>
      </c>
      <c r="J1005" s="375">
        <v>813507.19316999998</v>
      </c>
      <c r="K1005" s="375">
        <v>41233.855280000003</v>
      </c>
      <c r="L1005" s="375">
        <v>24584.13149</v>
      </c>
      <c r="M1005" s="375">
        <v>496551.90792999999</v>
      </c>
      <c r="N1005" s="372">
        <v>0.77300000000000002</v>
      </c>
      <c r="O1005" s="704">
        <v>476.32399216536783</v>
      </c>
      <c r="P1005" s="375" t="s">
        <v>622</v>
      </c>
      <c r="Q1005" s="375" t="s">
        <v>622</v>
      </c>
      <c r="R1005" s="696">
        <v>19880910</v>
      </c>
      <c r="S1005" s="375" t="s">
        <v>7018</v>
      </c>
      <c r="T1005" s="697">
        <v>0.23100000000000001</v>
      </c>
      <c r="U1005" s="375" t="s">
        <v>7019</v>
      </c>
      <c r="V1005" s="723">
        <v>6.35</v>
      </c>
      <c r="W1005" s="723">
        <v>0.31</v>
      </c>
      <c r="X1005" s="723">
        <v>0.16</v>
      </c>
      <c r="Y1005" s="723">
        <v>9.65</v>
      </c>
      <c r="Z1005" s="382" t="s">
        <v>927</v>
      </c>
      <c r="AA1005" s="372">
        <v>5019.3330788000003</v>
      </c>
      <c r="AB1005" s="372">
        <v>5705.3553253</v>
      </c>
      <c r="AC1005" s="372">
        <v>7289.3170043</v>
      </c>
      <c r="AD1005" s="372">
        <v>8568.9270051000003</v>
      </c>
      <c r="AE1005" s="372">
        <v>0</v>
      </c>
      <c r="AF1005" s="372">
        <v>0</v>
      </c>
      <c r="AG1005" s="372">
        <v>0</v>
      </c>
      <c r="AH1005" s="372">
        <v>0</v>
      </c>
    </row>
    <row r="1006" spans="1:34">
      <c r="A1006" s="372" t="s">
        <v>7020</v>
      </c>
      <c r="B1006" s="373" t="s">
        <v>7021</v>
      </c>
      <c r="C1006" s="372" t="s">
        <v>7022</v>
      </c>
      <c r="D1006" s="374">
        <v>1101114175728</v>
      </c>
      <c r="E1006" s="372" t="s">
        <v>7023</v>
      </c>
      <c r="F1006" s="372" t="s">
        <v>1185</v>
      </c>
      <c r="G1006" s="375" t="s">
        <v>3115</v>
      </c>
      <c r="H1006" s="375" t="s">
        <v>861</v>
      </c>
      <c r="I1006" s="375" t="s">
        <v>862</v>
      </c>
      <c r="J1006" s="375">
        <v>7828.48027</v>
      </c>
      <c r="K1006" s="375">
        <v>-4931.4268400000001</v>
      </c>
      <c r="L1006" s="375">
        <v>-3454.2597300000002</v>
      </c>
      <c r="M1006" s="375">
        <v>42305.167260000002</v>
      </c>
      <c r="N1006" s="372">
        <v>1.0860000000000001</v>
      </c>
      <c r="O1006" s="704">
        <v>0.31115588798092109</v>
      </c>
      <c r="P1006" s="375" t="s">
        <v>622</v>
      </c>
      <c r="Q1006" s="375" t="s">
        <v>622</v>
      </c>
      <c r="R1006" s="696">
        <v>20221118</v>
      </c>
      <c r="S1006" s="375" t="s">
        <v>7024</v>
      </c>
      <c r="T1006" s="697" t="s">
        <v>771</v>
      </c>
      <c r="U1006" s="372" t="s">
        <v>7025</v>
      </c>
      <c r="V1006" s="723">
        <v>0</v>
      </c>
      <c r="W1006" s="723">
        <v>0</v>
      </c>
      <c r="X1006" s="723">
        <v>0</v>
      </c>
      <c r="Y1006" s="723">
        <v>0</v>
      </c>
      <c r="Z1006" s="382" t="s">
        <v>927</v>
      </c>
      <c r="AA1006" s="372">
        <v>33.291546400000001</v>
      </c>
      <c r="AB1006" s="372">
        <v>100.54924010000001</v>
      </c>
      <c r="AC1006" s="372">
        <v>216.6564314</v>
      </c>
      <c r="AD1006" s="372">
        <v>120.7270525</v>
      </c>
      <c r="AE1006" s="372">
        <v>0</v>
      </c>
      <c r="AF1006" s="372">
        <v>0</v>
      </c>
      <c r="AG1006" s="372">
        <v>0</v>
      </c>
      <c r="AH1006" s="372">
        <v>0</v>
      </c>
    </row>
    <row r="1007" spans="1:34">
      <c r="A1007" s="372" t="s">
        <v>7026</v>
      </c>
      <c r="B1007" s="373" t="s">
        <v>7027</v>
      </c>
      <c r="C1007" s="372" t="s">
        <v>7028</v>
      </c>
      <c r="D1007" s="374">
        <v>1101110275134</v>
      </c>
      <c r="E1007" s="372" t="s">
        <v>7029</v>
      </c>
      <c r="F1007" s="375" t="s">
        <v>7030</v>
      </c>
      <c r="G1007" s="375" t="s">
        <v>7030</v>
      </c>
      <c r="H1007" s="375" t="s">
        <v>1337</v>
      </c>
      <c r="I1007" s="375" t="s">
        <v>862</v>
      </c>
      <c r="J1007" s="375">
        <v>119199.89301</v>
      </c>
      <c r="K1007" s="375">
        <v>4378.5203499999998</v>
      </c>
      <c r="L1007" s="375">
        <v>-6262.4123499999996</v>
      </c>
      <c r="M1007" s="375">
        <v>99812.599419999999</v>
      </c>
      <c r="N1007" s="372">
        <v>1.016</v>
      </c>
      <c r="O1007" s="704">
        <v>7.9180075655043174</v>
      </c>
      <c r="P1007" s="375" t="s">
        <v>622</v>
      </c>
      <c r="Q1007" s="375" t="s">
        <v>622</v>
      </c>
      <c r="R1007" s="696">
        <v>20010116</v>
      </c>
      <c r="S1007" s="375" t="s">
        <v>7031</v>
      </c>
      <c r="T1007" s="697" t="s">
        <v>771</v>
      </c>
      <c r="U1007" s="372" t="s">
        <v>7032</v>
      </c>
      <c r="V1007" s="723">
        <v>14.96</v>
      </c>
      <c r="W1007" s="723">
        <v>1.66</v>
      </c>
      <c r="X1007" s="723">
        <v>1.4</v>
      </c>
      <c r="Y1007" s="723" t="s">
        <v>773</v>
      </c>
      <c r="Z1007" s="382" t="s">
        <v>927</v>
      </c>
      <c r="AA1007" s="372">
        <v>1305.6960918</v>
      </c>
      <c r="AB1007" s="372">
        <v>1397.4870714000001</v>
      </c>
      <c r="AC1007" s="372">
        <v>1579.1324721999999</v>
      </c>
      <c r="AD1007" s="372">
        <v>1273.1086788</v>
      </c>
      <c r="AE1007" s="372">
        <v>0</v>
      </c>
      <c r="AF1007" s="372">
        <v>0</v>
      </c>
      <c r="AG1007" s="372">
        <v>0</v>
      </c>
      <c r="AH1007" s="372">
        <v>0</v>
      </c>
    </row>
    <row r="1008" spans="1:34">
      <c r="A1008" s="372" t="s">
        <v>7033</v>
      </c>
      <c r="B1008" s="373" t="s">
        <v>7034</v>
      </c>
      <c r="C1008" s="372" t="s">
        <v>7035</v>
      </c>
      <c r="D1008" s="374">
        <v>1101114382612</v>
      </c>
      <c r="E1008" s="372" t="s">
        <v>7036</v>
      </c>
      <c r="F1008" s="372" t="s">
        <v>7037</v>
      </c>
      <c r="G1008" s="375" t="s">
        <v>7037</v>
      </c>
      <c r="H1008" s="375" t="s">
        <v>846</v>
      </c>
      <c r="I1008" s="375" t="s">
        <v>754</v>
      </c>
      <c r="J1008" s="375">
        <v>1511356.8174999999</v>
      </c>
      <c r="K1008" s="375">
        <v>32600.521489999999</v>
      </c>
      <c r="L1008" s="375">
        <v>-19935.31091</v>
      </c>
      <c r="M1008" s="375">
        <v>617572.84883999999</v>
      </c>
      <c r="N1008" s="372">
        <v>0.64800000000000002</v>
      </c>
      <c r="O1008" s="704">
        <v>584.44920823141229</v>
      </c>
      <c r="P1008" s="375" t="s">
        <v>622</v>
      </c>
      <c r="Q1008" s="375" t="s">
        <v>622</v>
      </c>
      <c r="R1008" s="696">
        <v>20100730</v>
      </c>
      <c r="S1008" s="375" t="s">
        <v>7038</v>
      </c>
      <c r="T1008" s="697" t="s">
        <v>771</v>
      </c>
      <c r="U1008" s="372" t="s">
        <v>7039</v>
      </c>
      <c r="V1008" s="723">
        <v>10.029999999999999</v>
      </c>
      <c r="W1008" s="723">
        <v>0.27</v>
      </c>
      <c r="X1008" s="723">
        <v>0.11</v>
      </c>
      <c r="Y1008" s="723" t="s">
        <v>773</v>
      </c>
      <c r="Z1008" s="382" t="s">
        <v>927</v>
      </c>
      <c r="AA1008" s="372">
        <v>8323.8290195000009</v>
      </c>
      <c r="AB1008" s="372">
        <v>11291.336599800001</v>
      </c>
      <c r="AC1008" s="372">
        <v>18713.057849699999</v>
      </c>
      <c r="AD1008" s="372">
        <v>16080.885206499999</v>
      </c>
      <c r="AE1008" s="372">
        <v>0</v>
      </c>
      <c r="AF1008" s="372">
        <v>0</v>
      </c>
      <c r="AG1008" s="372">
        <v>0</v>
      </c>
      <c r="AH1008" s="372">
        <v>0</v>
      </c>
    </row>
    <row r="1009" spans="1:34">
      <c r="A1009" s="372" t="s">
        <v>7040</v>
      </c>
      <c r="B1009" s="373" t="s">
        <v>7041</v>
      </c>
      <c r="C1009" s="372" t="s">
        <v>7042</v>
      </c>
      <c r="D1009" s="374">
        <v>1301110010346</v>
      </c>
      <c r="E1009" s="372" t="s">
        <v>7043</v>
      </c>
      <c r="F1009" s="375" t="s">
        <v>7044</v>
      </c>
      <c r="G1009" s="375" t="s">
        <v>7045</v>
      </c>
      <c r="H1009" s="375" t="s">
        <v>1043</v>
      </c>
      <c r="I1009" s="375" t="s">
        <v>754</v>
      </c>
      <c r="J1009" s="375">
        <v>55129.176720000003</v>
      </c>
      <c r="K1009" s="375">
        <v>-6052.37345</v>
      </c>
      <c r="L1009" s="375">
        <v>743.99863000000005</v>
      </c>
      <c r="M1009" s="375">
        <v>94361.892120000004</v>
      </c>
      <c r="N1009" s="372">
        <v>1.3160000000000001</v>
      </c>
      <c r="O1009" s="704">
        <v>15.12122731194221</v>
      </c>
      <c r="P1009" s="375" t="s">
        <v>622</v>
      </c>
      <c r="Q1009" s="372" t="s">
        <v>622</v>
      </c>
      <c r="R1009" s="696">
        <v>19870724</v>
      </c>
      <c r="S1009" s="372" t="s">
        <v>7046</v>
      </c>
      <c r="T1009" s="697">
        <v>0.20900000000000002</v>
      </c>
      <c r="U1009" s="372" t="s">
        <v>7047</v>
      </c>
      <c r="V1009" s="723" t="s">
        <v>773</v>
      </c>
      <c r="W1009" s="723">
        <v>1.1499999999999999</v>
      </c>
      <c r="X1009" s="723">
        <v>1.97</v>
      </c>
      <c r="Y1009" s="723">
        <v>99.75</v>
      </c>
      <c r="Z1009" s="382" t="s">
        <v>927</v>
      </c>
      <c r="AA1009" s="372">
        <v>516.36393229999999</v>
      </c>
      <c r="AB1009" s="372">
        <v>543.65248580000002</v>
      </c>
      <c r="AC1009" s="372">
        <v>560.39955369999996</v>
      </c>
      <c r="AD1009" s="372">
        <v>573.12285220000001</v>
      </c>
      <c r="AE1009" s="372">
        <v>0</v>
      </c>
      <c r="AF1009" s="372">
        <v>0</v>
      </c>
      <c r="AG1009" s="372">
        <v>0</v>
      </c>
      <c r="AH1009" s="372">
        <v>0</v>
      </c>
    </row>
    <row r="1010" spans="1:34">
      <c r="A1010" s="372" t="s">
        <v>7048</v>
      </c>
      <c r="B1010" s="373" t="s">
        <v>7049</v>
      </c>
      <c r="C1010" s="372" t="s">
        <v>7050</v>
      </c>
      <c r="D1010" s="374">
        <v>1351110053143</v>
      </c>
      <c r="E1010" s="372" t="s">
        <v>7051</v>
      </c>
      <c r="F1010" s="375" t="s">
        <v>5687</v>
      </c>
      <c r="G1010" s="375" t="s">
        <v>5687</v>
      </c>
      <c r="H1010" s="375" t="s">
        <v>861</v>
      </c>
      <c r="I1010" s="375" t="s">
        <v>862</v>
      </c>
      <c r="J1010" s="375">
        <v>205367.91216000001</v>
      </c>
      <c r="K1010" s="375">
        <v>3469.6511799999998</v>
      </c>
      <c r="L1010" s="375">
        <v>721.17214999999999</v>
      </c>
      <c r="M1010" s="375">
        <v>69141.71299</v>
      </c>
      <c r="N1010" s="372">
        <v>1.218</v>
      </c>
      <c r="O1010" s="704">
        <v>115.25027532289616</v>
      </c>
      <c r="P1010" s="375" t="s">
        <v>622</v>
      </c>
      <c r="Q1010" s="372" t="s">
        <v>622</v>
      </c>
      <c r="R1010" s="696">
        <v>20200716</v>
      </c>
      <c r="S1010" s="372" t="s">
        <v>7052</v>
      </c>
      <c r="T1010" s="697">
        <v>0.20900000000000002</v>
      </c>
      <c r="U1010" s="375" t="s">
        <v>7053</v>
      </c>
      <c r="V1010" s="723">
        <v>33.75</v>
      </c>
      <c r="W1010" s="723">
        <v>1.65</v>
      </c>
      <c r="X1010" s="723">
        <v>0.56999999999999995</v>
      </c>
      <c r="Y1010" s="723">
        <v>64.87</v>
      </c>
      <c r="Z1010" s="382" t="s">
        <v>927</v>
      </c>
      <c r="AA1010" s="372">
        <v>489.9064889</v>
      </c>
      <c r="AB1010" s="372">
        <v>615.32265489999997</v>
      </c>
      <c r="AC1010" s="372">
        <v>793.93169569999998</v>
      </c>
      <c r="AD1010" s="372">
        <v>2359.5225301999999</v>
      </c>
      <c r="AE1010" s="372">
        <v>2278</v>
      </c>
      <c r="AF1010" s="372">
        <v>2655</v>
      </c>
      <c r="AG1010" s="372">
        <v>0</v>
      </c>
      <c r="AH1010" s="372">
        <v>0</v>
      </c>
    </row>
    <row r="1011" spans="1:34">
      <c r="A1011" s="372" t="s">
        <v>7054</v>
      </c>
      <c r="B1011" s="373" t="s">
        <v>7055</v>
      </c>
      <c r="C1011" s="372" t="s">
        <v>7056</v>
      </c>
      <c r="D1011" s="374">
        <v>1101114838516</v>
      </c>
      <c r="E1011" s="372" t="s">
        <v>7057</v>
      </c>
      <c r="F1011" s="375" t="s">
        <v>2222</v>
      </c>
      <c r="G1011" s="375" t="s">
        <v>2222</v>
      </c>
      <c r="H1011" s="375" t="s">
        <v>861</v>
      </c>
      <c r="I1011" s="375" t="s">
        <v>862</v>
      </c>
      <c r="J1011" s="375">
        <v>238542.92027</v>
      </c>
      <c r="K1011" s="375">
        <v>9583.1357100000005</v>
      </c>
      <c r="L1011" s="375">
        <v>10146.002350000001</v>
      </c>
      <c r="M1011" s="375">
        <v>196652.05718</v>
      </c>
      <c r="N1011" s="372">
        <v>0.749</v>
      </c>
      <c r="O1011" s="704">
        <v>10.218989276585932</v>
      </c>
      <c r="P1011" s="375" t="s">
        <v>622</v>
      </c>
      <c r="Q1011" s="375" t="s">
        <v>622</v>
      </c>
      <c r="R1011" s="696">
        <v>20210514</v>
      </c>
      <c r="S1011" s="375" t="s">
        <v>7058</v>
      </c>
      <c r="T1011" s="697">
        <v>0.20900000000000002</v>
      </c>
      <c r="U1011" s="372" t="s">
        <v>7059</v>
      </c>
      <c r="V1011" s="723">
        <v>10.66</v>
      </c>
      <c r="W1011" s="723">
        <v>0.75</v>
      </c>
      <c r="X1011" s="723">
        <v>0.54</v>
      </c>
      <c r="Y1011" s="723">
        <v>18.190000000000001</v>
      </c>
      <c r="Z1011" s="382">
        <v>8.4193397863082886E-2</v>
      </c>
      <c r="AA1011" s="372">
        <v>1427.8738361999999</v>
      </c>
      <c r="AB1011" s="372">
        <v>1594.3499843</v>
      </c>
      <c r="AC1011" s="372">
        <v>1959.7838919999999</v>
      </c>
      <c r="AD1011" s="372">
        <v>2320.2591001000001</v>
      </c>
      <c r="AE1011" s="372">
        <v>2550</v>
      </c>
      <c r="AF1011" s="372">
        <v>2865</v>
      </c>
      <c r="AG1011" s="372">
        <v>3206</v>
      </c>
      <c r="AH1011" s="372">
        <v>0</v>
      </c>
    </row>
    <row r="1012" spans="1:34">
      <c r="A1012" s="372" t="s">
        <v>7060</v>
      </c>
      <c r="B1012" s="373" t="s">
        <v>7061</v>
      </c>
      <c r="C1012" s="372" t="s">
        <v>7062</v>
      </c>
      <c r="D1012" s="374">
        <v>1345110001814</v>
      </c>
      <c r="E1012" s="372" t="s">
        <v>7063</v>
      </c>
      <c r="F1012" s="375" t="s">
        <v>2184</v>
      </c>
      <c r="G1012" s="375" t="s">
        <v>4883</v>
      </c>
      <c r="H1012" s="375" t="s">
        <v>2056</v>
      </c>
      <c r="I1012" s="375" t="s">
        <v>754</v>
      </c>
      <c r="J1012" s="375">
        <v>136156.29853</v>
      </c>
      <c r="K1012" s="375">
        <v>13822.697990000001</v>
      </c>
      <c r="L1012" s="375">
        <v>15488.207050000001</v>
      </c>
      <c r="M1012" s="375">
        <v>215560.03276</v>
      </c>
      <c r="N1012" s="372">
        <v>1.131</v>
      </c>
      <c r="O1012" s="704">
        <v>1.0209480351417304</v>
      </c>
      <c r="P1012" s="375" t="s">
        <v>622</v>
      </c>
      <c r="Q1012" s="372" t="s">
        <v>622</v>
      </c>
      <c r="R1012" s="696">
        <v>20100726</v>
      </c>
      <c r="S1012" s="372" t="s">
        <v>7064</v>
      </c>
      <c r="T1012" s="697">
        <v>0.20900000000000002</v>
      </c>
      <c r="U1012" s="375" t="s">
        <v>7065</v>
      </c>
      <c r="V1012" s="723">
        <v>11.92</v>
      </c>
      <c r="W1012" s="723">
        <v>0.89</v>
      </c>
      <c r="X1012" s="723">
        <v>1.1599999999999999</v>
      </c>
      <c r="Y1012" s="723">
        <v>15.53</v>
      </c>
      <c r="Z1012" s="382">
        <v>6.1890658368715767E-2</v>
      </c>
      <c r="AA1012" s="372">
        <v>892.01366129999997</v>
      </c>
      <c r="AB1012" s="372">
        <v>1076.4737273000001</v>
      </c>
      <c r="AC1012" s="372">
        <v>1240.5665873</v>
      </c>
      <c r="AD1012" s="372">
        <v>1290.5932223</v>
      </c>
      <c r="AE1012" s="372">
        <v>1408.33</v>
      </c>
      <c r="AF1012" s="372">
        <v>1532.67</v>
      </c>
      <c r="AG1012" s="372">
        <v>1641</v>
      </c>
      <c r="AH1012" s="372">
        <v>0</v>
      </c>
    </row>
    <row r="1013" spans="1:34">
      <c r="A1013" s="372" t="s">
        <v>7066</v>
      </c>
      <c r="B1013" s="373" t="s">
        <v>7067</v>
      </c>
      <c r="C1013" s="372" t="s">
        <v>7068</v>
      </c>
      <c r="D1013" s="374">
        <v>1348110121012</v>
      </c>
      <c r="E1013" s="372" t="s">
        <v>7069</v>
      </c>
      <c r="F1013" s="372" t="s">
        <v>2426</v>
      </c>
      <c r="G1013" s="375" t="s">
        <v>2427</v>
      </c>
      <c r="H1013" s="375" t="s">
        <v>861</v>
      </c>
      <c r="I1013" s="375" t="s">
        <v>862</v>
      </c>
      <c r="J1013" s="375">
        <v>27161.026160000001</v>
      </c>
      <c r="K1013" s="375">
        <v>506.28949999999998</v>
      </c>
      <c r="L1013" s="375">
        <v>1135.8366799999999</v>
      </c>
      <c r="M1013" s="375">
        <v>53631.775260000002</v>
      </c>
      <c r="N1013" s="372" t="s">
        <v>1026</v>
      </c>
      <c r="O1013" s="704">
        <v>0.17503310191835111</v>
      </c>
      <c r="P1013" s="375" t="s">
        <v>622</v>
      </c>
      <c r="Q1013" s="375" t="s">
        <v>622</v>
      </c>
      <c r="R1013" s="696">
        <v>20231206</v>
      </c>
      <c r="S1013" s="375" t="s">
        <v>7070</v>
      </c>
      <c r="T1013" s="697">
        <v>0.20900000000000002</v>
      </c>
      <c r="U1013" s="372" t="s">
        <v>7071</v>
      </c>
      <c r="V1013" s="723">
        <v>126.7</v>
      </c>
      <c r="W1013" s="723">
        <v>2.68</v>
      </c>
      <c r="X1013" s="723">
        <v>5.12</v>
      </c>
      <c r="Y1013" s="723">
        <v>125.01</v>
      </c>
      <c r="Z1013" s="382" t="s">
        <v>927</v>
      </c>
      <c r="AA1013" s="372">
        <v>110.22005</v>
      </c>
      <c r="AB1013" s="372">
        <v>285.6431566</v>
      </c>
      <c r="AC1013" s="372">
        <v>347.34789510000002</v>
      </c>
      <c r="AD1013" s="372">
        <v>300.4105702</v>
      </c>
      <c r="AE1013" s="372">
        <v>0</v>
      </c>
      <c r="AF1013" s="372">
        <v>0</v>
      </c>
      <c r="AG1013" s="372">
        <v>0</v>
      </c>
      <c r="AH1013" s="372">
        <v>0</v>
      </c>
    </row>
    <row r="1014" spans="1:34">
      <c r="A1014" s="372" t="s">
        <v>7072</v>
      </c>
      <c r="B1014" s="373" t="s">
        <v>7073</v>
      </c>
      <c r="C1014" s="372" t="s">
        <v>7074</v>
      </c>
      <c r="D1014" s="374">
        <v>2111110001529</v>
      </c>
      <c r="E1014" s="372" t="s">
        <v>7075</v>
      </c>
      <c r="F1014" s="375" t="s">
        <v>1323</v>
      </c>
      <c r="G1014" s="375" t="s">
        <v>16106</v>
      </c>
      <c r="H1014" s="375" t="s">
        <v>861</v>
      </c>
      <c r="I1014" s="375" t="s">
        <v>862</v>
      </c>
      <c r="J1014" s="375">
        <v>147789.23027</v>
      </c>
      <c r="K1014" s="375">
        <v>2908.2107999999998</v>
      </c>
      <c r="L1014" s="375">
        <v>-940.13630000000001</v>
      </c>
      <c r="M1014" s="375">
        <v>74240.820479999995</v>
      </c>
      <c r="N1014" s="372">
        <v>0.86399999999999999</v>
      </c>
      <c r="O1014" s="704">
        <v>36.233545193388274</v>
      </c>
      <c r="P1014" s="375" t="s">
        <v>622</v>
      </c>
      <c r="Q1014" s="372" t="s">
        <v>622</v>
      </c>
      <c r="R1014" s="696">
        <v>20030212</v>
      </c>
      <c r="S1014" s="372" t="s">
        <v>7076</v>
      </c>
      <c r="T1014" s="697" t="s">
        <v>771</v>
      </c>
      <c r="U1014" s="372" t="s">
        <v>7077</v>
      </c>
      <c r="V1014" s="723">
        <v>34.700000000000003</v>
      </c>
      <c r="W1014" s="723">
        <v>2.95</v>
      </c>
      <c r="X1014" s="723">
        <v>1.58</v>
      </c>
      <c r="Y1014" s="723" t="s">
        <v>773</v>
      </c>
      <c r="Z1014" s="382" t="s">
        <v>927</v>
      </c>
      <c r="AA1014" s="372">
        <v>1093.4586165999999</v>
      </c>
      <c r="AB1014" s="372">
        <v>1171.5883145</v>
      </c>
      <c r="AC1014" s="372">
        <v>1319.1169282999999</v>
      </c>
      <c r="AD1014" s="372">
        <v>1413.5921536999999</v>
      </c>
      <c r="AE1014" s="372">
        <v>0</v>
      </c>
      <c r="AF1014" s="372">
        <v>0</v>
      </c>
      <c r="AG1014" s="372">
        <v>0</v>
      </c>
      <c r="AH1014" s="372">
        <v>0</v>
      </c>
    </row>
    <row r="1015" spans="1:34">
      <c r="A1015" s="372" t="s">
        <v>7078</v>
      </c>
      <c r="B1015" s="373" t="s">
        <v>7079</v>
      </c>
      <c r="C1015" s="372" t="s">
        <v>7080</v>
      </c>
      <c r="D1015" s="374">
        <v>1101110080484</v>
      </c>
      <c r="E1015" s="372" t="s">
        <v>7081</v>
      </c>
      <c r="F1015" s="375" t="s">
        <v>1323</v>
      </c>
      <c r="G1015" s="375" t="s">
        <v>16106</v>
      </c>
      <c r="H1015" s="375" t="s">
        <v>861</v>
      </c>
      <c r="I1015" s="375" t="s">
        <v>862</v>
      </c>
      <c r="J1015" s="375">
        <v>201974.07256</v>
      </c>
      <c r="K1015" s="375">
        <v>37184.266609999999</v>
      </c>
      <c r="L1015" s="375">
        <v>39449.652479999997</v>
      </c>
      <c r="M1015" s="375">
        <v>268334.95957000001</v>
      </c>
      <c r="N1015" s="372">
        <v>0.45100000000000001</v>
      </c>
      <c r="O1015" s="704">
        <v>0</v>
      </c>
      <c r="P1015" s="375" t="s">
        <v>622</v>
      </c>
      <c r="Q1015" s="372" t="s">
        <v>622</v>
      </c>
      <c r="R1015" s="696">
        <v>19941116</v>
      </c>
      <c r="S1015" s="375" t="s">
        <v>7082</v>
      </c>
      <c r="T1015" s="697">
        <v>0.23100000000000001</v>
      </c>
      <c r="U1015" s="372" t="s">
        <v>7083</v>
      </c>
      <c r="V1015" s="723">
        <v>0</v>
      </c>
      <c r="W1015" s="723">
        <v>0</v>
      </c>
      <c r="X1015" s="723">
        <v>0</v>
      </c>
      <c r="Y1015" s="723">
        <v>0</v>
      </c>
      <c r="Z1015" s="382" t="s">
        <v>927</v>
      </c>
      <c r="AA1015" s="372">
        <v>1660.7987803000001</v>
      </c>
      <c r="AB1015" s="372">
        <v>1714.6278732999999</v>
      </c>
      <c r="AC1015" s="372">
        <v>1842.6754819</v>
      </c>
      <c r="AD1015" s="372">
        <v>1959.1145888000001</v>
      </c>
      <c r="AE1015" s="372">
        <v>0</v>
      </c>
      <c r="AF1015" s="372">
        <v>0</v>
      </c>
      <c r="AG1015" s="372">
        <v>0</v>
      </c>
      <c r="AH1015" s="372">
        <v>0</v>
      </c>
    </row>
    <row r="1016" spans="1:34">
      <c r="A1016" s="372" t="s">
        <v>7084</v>
      </c>
      <c r="B1016" s="373" t="s">
        <v>7085</v>
      </c>
      <c r="C1016" s="372" t="s">
        <v>7086</v>
      </c>
      <c r="D1016" s="374">
        <v>1101111518418</v>
      </c>
      <c r="E1016" s="372" t="s">
        <v>7087</v>
      </c>
      <c r="F1016" s="375" t="s">
        <v>5769</v>
      </c>
      <c r="G1016" s="375" t="s">
        <v>5769</v>
      </c>
      <c r="H1016" s="375" t="s">
        <v>1337</v>
      </c>
      <c r="I1016" s="375" t="s">
        <v>862</v>
      </c>
      <c r="J1016" s="375">
        <v>81579.016140000007</v>
      </c>
      <c r="K1016" s="375">
        <v>-3105.5239799999999</v>
      </c>
      <c r="L1016" s="375">
        <v>-8553.6051599999992</v>
      </c>
      <c r="M1016" s="375">
        <v>68913.125849999997</v>
      </c>
      <c r="N1016" s="372">
        <v>0.72099999999999997</v>
      </c>
      <c r="O1016" s="704">
        <v>22.721094449491236</v>
      </c>
      <c r="P1016" s="375" t="s">
        <v>622</v>
      </c>
      <c r="Q1016" s="375" t="s">
        <v>622</v>
      </c>
      <c r="R1016" s="696">
        <v>20070725</v>
      </c>
      <c r="S1016" s="375" t="s">
        <v>7088</v>
      </c>
      <c r="T1016" s="697" t="s">
        <v>771</v>
      </c>
      <c r="U1016" s="372" t="s">
        <v>7089</v>
      </c>
      <c r="V1016" s="723" t="s">
        <v>773</v>
      </c>
      <c r="W1016" s="723">
        <v>2.2799999999999998</v>
      </c>
      <c r="X1016" s="723">
        <v>1.83</v>
      </c>
      <c r="Y1016" s="723" t="s">
        <v>773</v>
      </c>
      <c r="Z1016" s="382" t="s">
        <v>927</v>
      </c>
      <c r="AA1016" s="372">
        <v>831.82866660000002</v>
      </c>
      <c r="AB1016" s="372">
        <v>904.39385830000003</v>
      </c>
      <c r="AC1016" s="372">
        <v>1095.8182351999999</v>
      </c>
      <c r="AD1016" s="372">
        <v>899.99273319999998</v>
      </c>
      <c r="AE1016" s="372">
        <v>0</v>
      </c>
      <c r="AF1016" s="372">
        <v>0</v>
      </c>
      <c r="AG1016" s="372">
        <v>0</v>
      </c>
      <c r="AH1016" s="372">
        <v>0</v>
      </c>
    </row>
    <row r="1017" spans="1:34">
      <c r="A1017" s="372" t="s">
        <v>7090</v>
      </c>
      <c r="B1017" s="373" t="s">
        <v>7091</v>
      </c>
      <c r="C1017" s="372" t="s">
        <v>7092</v>
      </c>
      <c r="D1017" s="374">
        <v>1101110026652</v>
      </c>
      <c r="E1017" s="372" t="s">
        <v>7093</v>
      </c>
      <c r="F1017" s="375" t="s">
        <v>2625</v>
      </c>
      <c r="G1017" s="375" t="s">
        <v>2626</v>
      </c>
      <c r="H1017" s="375" t="s">
        <v>817</v>
      </c>
      <c r="I1017" s="375" t="s">
        <v>754</v>
      </c>
      <c r="J1017" s="375">
        <v>778787.04350999999</v>
      </c>
      <c r="K1017" s="375">
        <v>-14432.68792</v>
      </c>
      <c r="L1017" s="375">
        <v>-59010.849040000001</v>
      </c>
      <c r="M1017" s="375">
        <v>431944.14163000003</v>
      </c>
      <c r="N1017" s="372">
        <v>0.46700000000000003</v>
      </c>
      <c r="O1017" s="704">
        <v>114.92742254030723</v>
      </c>
      <c r="P1017" s="375" t="s">
        <v>622</v>
      </c>
      <c r="Q1017" s="372" t="s">
        <v>622</v>
      </c>
      <c r="R1017" s="696">
        <v>19880120</v>
      </c>
      <c r="S1017" s="372" t="s">
        <v>7094</v>
      </c>
      <c r="T1017" s="697" t="s">
        <v>771</v>
      </c>
      <c r="U1017" s="372" t="s">
        <v>5449</v>
      </c>
      <c r="V1017" s="723" t="s">
        <v>773</v>
      </c>
      <c r="W1017" s="723">
        <v>0.43</v>
      </c>
      <c r="X1017" s="723">
        <v>0.18</v>
      </c>
      <c r="Y1017" s="723" t="s">
        <v>773</v>
      </c>
      <c r="Z1017" s="382" t="s">
        <v>927</v>
      </c>
      <c r="AA1017" s="372">
        <v>7619.9675212000002</v>
      </c>
      <c r="AB1017" s="372">
        <v>7625.6805629</v>
      </c>
      <c r="AC1017" s="372">
        <v>7929.6473324999997</v>
      </c>
      <c r="AD1017" s="372">
        <v>8040.4300173000001</v>
      </c>
      <c r="AE1017" s="372">
        <v>0</v>
      </c>
      <c r="AF1017" s="372">
        <v>0</v>
      </c>
      <c r="AG1017" s="372">
        <v>0</v>
      </c>
      <c r="AH1017" s="372">
        <v>0</v>
      </c>
    </row>
    <row r="1018" spans="1:34">
      <c r="A1018" s="372" t="s">
        <v>7095</v>
      </c>
      <c r="B1018" s="373" t="s">
        <v>7096</v>
      </c>
      <c r="C1018" s="372" t="s">
        <v>7097</v>
      </c>
      <c r="D1018" s="374">
        <v>1351110102065</v>
      </c>
      <c r="E1018" s="372" t="s">
        <v>7098</v>
      </c>
      <c r="F1018" s="375" t="s">
        <v>1756</v>
      </c>
      <c r="G1018" s="375" t="s">
        <v>6499</v>
      </c>
      <c r="H1018" s="375" t="s">
        <v>861</v>
      </c>
      <c r="I1018" s="375" t="s">
        <v>862</v>
      </c>
      <c r="J1018" s="375">
        <v>52429.334159999999</v>
      </c>
      <c r="K1018" s="375">
        <v>1329.99413</v>
      </c>
      <c r="L1018" s="375">
        <v>2291.81214</v>
      </c>
      <c r="M1018" s="375">
        <v>34324.725140000002</v>
      </c>
      <c r="N1018" s="372">
        <v>1.405</v>
      </c>
      <c r="O1018" s="704">
        <v>0.95638010402166207</v>
      </c>
      <c r="P1018" s="375" t="s">
        <v>622</v>
      </c>
      <c r="Q1018" s="372" t="s">
        <v>622</v>
      </c>
      <c r="R1018" s="696">
        <v>20220401</v>
      </c>
      <c r="S1018" s="372" t="s">
        <v>7099</v>
      </c>
      <c r="T1018" s="697">
        <v>0.20900000000000002</v>
      </c>
      <c r="U1018" s="372" t="s">
        <v>7100</v>
      </c>
      <c r="V1018" s="723">
        <v>52.33</v>
      </c>
      <c r="W1018" s="723">
        <v>3.45</v>
      </c>
      <c r="X1018" s="723">
        <v>2.2599999999999998</v>
      </c>
      <c r="Y1018" s="723">
        <v>40.03</v>
      </c>
      <c r="Z1018" s="382" t="s">
        <v>927</v>
      </c>
      <c r="AA1018" s="372">
        <v>291.34565509999999</v>
      </c>
      <c r="AB1018" s="372">
        <v>373.74927589999999</v>
      </c>
      <c r="AC1018" s="372">
        <v>373.76811259999999</v>
      </c>
      <c r="AD1018" s="372">
        <v>494.13146360000002</v>
      </c>
      <c r="AE1018" s="372">
        <v>620</v>
      </c>
      <c r="AF1018" s="372">
        <v>0</v>
      </c>
      <c r="AG1018" s="372">
        <v>0</v>
      </c>
      <c r="AH1018" s="372">
        <v>0</v>
      </c>
    </row>
    <row r="1019" spans="1:34">
      <c r="A1019" s="372" t="s">
        <v>7101</v>
      </c>
      <c r="B1019" s="373" t="s">
        <v>7102</v>
      </c>
      <c r="C1019" s="372" t="s">
        <v>7103</v>
      </c>
      <c r="D1019" s="374">
        <v>1201110185810</v>
      </c>
      <c r="E1019" s="372" t="s">
        <v>7104</v>
      </c>
      <c r="F1019" s="375" t="s">
        <v>1303</v>
      </c>
      <c r="G1019" s="375" t="s">
        <v>1303</v>
      </c>
      <c r="H1019" s="375" t="s">
        <v>861</v>
      </c>
      <c r="I1019" s="375" t="s">
        <v>862</v>
      </c>
      <c r="J1019" s="375">
        <v>136931.82623999999</v>
      </c>
      <c r="K1019" s="375">
        <v>3063.76973</v>
      </c>
      <c r="L1019" s="375">
        <v>479.75189</v>
      </c>
      <c r="M1019" s="375">
        <v>202392.8242</v>
      </c>
      <c r="N1019" s="372">
        <v>0.49</v>
      </c>
      <c r="O1019" s="704">
        <v>67.73068232651741</v>
      </c>
      <c r="P1019" s="375" t="s">
        <v>622</v>
      </c>
      <c r="Q1019" s="372" t="s">
        <v>622</v>
      </c>
      <c r="R1019" s="696">
        <v>20170427</v>
      </c>
      <c r="S1019" s="372" t="s">
        <v>7105</v>
      </c>
      <c r="T1019" s="697">
        <v>0.20900000000000002</v>
      </c>
      <c r="U1019" s="372" t="s">
        <v>7106</v>
      </c>
      <c r="V1019" s="723">
        <v>14.63</v>
      </c>
      <c r="W1019" s="723">
        <v>0.78</v>
      </c>
      <c r="X1019" s="723">
        <v>1.03</v>
      </c>
      <c r="Y1019" s="723" t="s">
        <v>773</v>
      </c>
      <c r="Z1019" s="382" t="s">
        <v>927</v>
      </c>
      <c r="AA1019" s="372">
        <v>1135.4685451</v>
      </c>
      <c r="AB1019" s="372">
        <v>1255.6728306</v>
      </c>
      <c r="AC1019" s="372">
        <v>1305.6717799999999</v>
      </c>
      <c r="AD1019" s="372">
        <v>1274.0997589999999</v>
      </c>
      <c r="AE1019" s="372">
        <v>1529</v>
      </c>
      <c r="AF1019" s="372">
        <v>0</v>
      </c>
      <c r="AG1019" s="372">
        <v>0</v>
      </c>
      <c r="AH1019" s="372">
        <v>0</v>
      </c>
    </row>
    <row r="1020" spans="1:34">
      <c r="A1020" s="372" t="s">
        <v>7107</v>
      </c>
      <c r="B1020" s="373" t="s">
        <v>7108</v>
      </c>
      <c r="C1020" s="372" t="s">
        <v>7109</v>
      </c>
      <c r="D1020" s="374">
        <v>1101110834378</v>
      </c>
      <c r="E1020" s="372" t="s">
        <v>7110</v>
      </c>
      <c r="F1020" s="375" t="s">
        <v>975</v>
      </c>
      <c r="G1020" s="375" t="s">
        <v>976</v>
      </c>
      <c r="H1020" s="375" t="s">
        <v>1337</v>
      </c>
      <c r="I1020" s="375" t="s">
        <v>862</v>
      </c>
      <c r="J1020" s="375">
        <v>362708.63225999998</v>
      </c>
      <c r="K1020" s="375">
        <v>936.55709999999999</v>
      </c>
      <c r="L1020" s="375">
        <v>-4112.23081</v>
      </c>
      <c r="M1020" s="375">
        <v>91583.456330000001</v>
      </c>
      <c r="N1020" s="372">
        <v>0.91400000000000003</v>
      </c>
      <c r="O1020" s="704">
        <v>41.398313703706549</v>
      </c>
      <c r="P1020" s="375" t="s">
        <v>622</v>
      </c>
      <c r="Q1020" s="372" t="s">
        <v>622</v>
      </c>
      <c r="R1020" s="696">
        <v>19990728</v>
      </c>
      <c r="S1020" s="372" t="s">
        <v>7111</v>
      </c>
      <c r="T1020" s="697" t="s">
        <v>771</v>
      </c>
      <c r="U1020" s="372" t="s">
        <v>7112</v>
      </c>
      <c r="V1020" s="723">
        <v>28.11</v>
      </c>
      <c r="W1020" s="723">
        <v>1.19</v>
      </c>
      <c r="X1020" s="723">
        <v>0.26</v>
      </c>
      <c r="Y1020" s="723" t="s">
        <v>773</v>
      </c>
      <c r="Z1020" s="382" t="s">
        <v>927</v>
      </c>
      <c r="AA1020" s="372">
        <v>2419.9299228</v>
      </c>
      <c r="AB1020" s="372">
        <v>2583.0833044999999</v>
      </c>
      <c r="AC1020" s="372">
        <v>3145.0629939999999</v>
      </c>
      <c r="AD1020" s="372">
        <v>3652.4055833000002</v>
      </c>
      <c r="AE1020" s="372">
        <v>0</v>
      </c>
      <c r="AF1020" s="372">
        <v>0</v>
      </c>
      <c r="AG1020" s="372">
        <v>0</v>
      </c>
      <c r="AH1020" s="372">
        <v>0</v>
      </c>
    </row>
    <row r="1021" spans="1:34">
      <c r="A1021" s="372" t="s">
        <v>7113</v>
      </c>
      <c r="B1021" s="373" t="s">
        <v>7114</v>
      </c>
      <c r="C1021" s="372" t="s">
        <v>7115</v>
      </c>
      <c r="D1021" s="374">
        <v>1101110352156</v>
      </c>
      <c r="E1021" s="372" t="s">
        <v>7116</v>
      </c>
      <c r="F1021" s="375" t="s">
        <v>1323</v>
      </c>
      <c r="G1021" s="375" t="s">
        <v>16106</v>
      </c>
      <c r="H1021" s="375" t="s">
        <v>861</v>
      </c>
      <c r="I1021" s="375" t="s">
        <v>862</v>
      </c>
      <c r="J1021" s="375">
        <v>253710.40088</v>
      </c>
      <c r="K1021" s="375">
        <v>18136.563259999999</v>
      </c>
      <c r="L1021" s="375">
        <v>19686.295590000002</v>
      </c>
      <c r="M1021" s="375">
        <v>114621.64320999999</v>
      </c>
      <c r="N1021" s="372">
        <v>0.64700000000000002</v>
      </c>
      <c r="O1021" s="704">
        <v>52.504586735734414</v>
      </c>
      <c r="P1021" s="375" t="s">
        <v>622</v>
      </c>
      <c r="Q1021" s="372" t="s">
        <v>622</v>
      </c>
      <c r="R1021" s="696">
        <v>20180213</v>
      </c>
      <c r="S1021" s="372" t="s">
        <v>7117</v>
      </c>
      <c r="T1021" s="697">
        <v>0.20900000000000002</v>
      </c>
      <c r="U1021" s="372" t="s">
        <v>7118</v>
      </c>
      <c r="V1021" s="723">
        <v>8.14</v>
      </c>
      <c r="W1021" s="723">
        <v>1.31</v>
      </c>
      <c r="X1021" s="723">
        <v>0.64</v>
      </c>
      <c r="Y1021" s="723">
        <v>10.62</v>
      </c>
      <c r="Z1021" s="382" t="s">
        <v>927</v>
      </c>
      <c r="AA1021" s="372">
        <v>1392.1581398000001</v>
      </c>
      <c r="AB1021" s="372">
        <v>1551.4921079999999</v>
      </c>
      <c r="AC1021" s="372">
        <v>1949.8776473999999</v>
      </c>
      <c r="AD1021" s="372">
        <v>2156.8630535000002</v>
      </c>
      <c r="AE1021" s="372">
        <v>0</v>
      </c>
      <c r="AF1021" s="372">
        <v>0</v>
      </c>
      <c r="AG1021" s="372">
        <v>0</v>
      </c>
      <c r="AH1021" s="372">
        <v>0</v>
      </c>
    </row>
    <row r="1022" spans="1:34">
      <c r="A1022" s="372" t="s">
        <v>7119</v>
      </c>
      <c r="B1022" s="373" t="s">
        <v>7120</v>
      </c>
      <c r="C1022" s="372" t="s">
        <v>7121</v>
      </c>
      <c r="D1022" s="374">
        <v>1614110012349</v>
      </c>
      <c r="E1022" s="372" t="s">
        <v>7122</v>
      </c>
      <c r="F1022" s="375" t="s">
        <v>1096</v>
      </c>
      <c r="G1022" s="375" t="s">
        <v>5854</v>
      </c>
      <c r="H1022" s="375" t="s">
        <v>826</v>
      </c>
      <c r="I1022" s="375" t="s">
        <v>754</v>
      </c>
      <c r="J1022" s="375">
        <v>321002.73450000002</v>
      </c>
      <c r="K1022" s="375">
        <v>10093.95479</v>
      </c>
      <c r="L1022" s="375">
        <v>4806.36031</v>
      </c>
      <c r="M1022" s="375">
        <v>120240.66905</v>
      </c>
      <c r="N1022" s="372">
        <v>0.96799999999999997</v>
      </c>
      <c r="O1022" s="704">
        <v>38.747926414117984</v>
      </c>
      <c r="P1022" s="375" t="s">
        <v>622</v>
      </c>
      <c r="Q1022" s="375" t="s">
        <v>622</v>
      </c>
      <c r="R1022" s="696">
        <v>20051020</v>
      </c>
      <c r="S1022" s="375" t="s">
        <v>7123</v>
      </c>
      <c r="T1022" s="697">
        <v>0.20900000000000002</v>
      </c>
      <c r="U1022" s="372" t="s">
        <v>7124</v>
      </c>
      <c r="V1022" s="723">
        <v>0</v>
      </c>
      <c r="W1022" s="723">
        <v>0</v>
      </c>
      <c r="X1022" s="723">
        <v>0</v>
      </c>
      <c r="Y1022" s="723">
        <v>0</v>
      </c>
      <c r="Z1022" s="382" t="s">
        <v>927</v>
      </c>
      <c r="AA1022" s="372">
        <v>2423.9800111999998</v>
      </c>
      <c r="AB1022" s="372">
        <v>2862.2427017999998</v>
      </c>
      <c r="AC1022" s="372">
        <v>3249.2735634999999</v>
      </c>
      <c r="AD1022" s="372">
        <v>2823.4576219</v>
      </c>
      <c r="AE1022" s="372">
        <v>0</v>
      </c>
      <c r="AF1022" s="372">
        <v>0</v>
      </c>
      <c r="AG1022" s="372">
        <v>0</v>
      </c>
      <c r="AH1022" s="372">
        <v>0</v>
      </c>
    </row>
    <row r="1023" spans="1:34">
      <c r="A1023" s="372" t="s">
        <v>7125</v>
      </c>
      <c r="B1023" s="373" t="s">
        <v>7126</v>
      </c>
      <c r="C1023" s="372" t="s">
        <v>7127</v>
      </c>
      <c r="D1023" s="374">
        <v>1201110615990</v>
      </c>
      <c r="E1023" s="372" t="s">
        <v>7128</v>
      </c>
      <c r="F1023" s="375" t="s">
        <v>998</v>
      </c>
      <c r="G1023" s="375" t="s">
        <v>7129</v>
      </c>
      <c r="H1023" s="375" t="s">
        <v>861</v>
      </c>
      <c r="I1023" s="375" t="s">
        <v>862</v>
      </c>
      <c r="J1023" s="375">
        <v>373236.11456000002</v>
      </c>
      <c r="K1023" s="375">
        <v>23464.20392</v>
      </c>
      <c r="L1023" s="375">
        <v>34103.215929999998</v>
      </c>
      <c r="M1023" s="375">
        <v>168354.83129999999</v>
      </c>
      <c r="N1023" s="372">
        <v>0.64900000000000002</v>
      </c>
      <c r="O1023" s="704">
        <v>30.315449315018643</v>
      </c>
      <c r="P1023" s="375" t="s">
        <v>622</v>
      </c>
      <c r="Q1023" s="375" t="s">
        <v>622</v>
      </c>
      <c r="R1023" s="696">
        <v>20181221</v>
      </c>
      <c r="S1023" s="375" t="s">
        <v>7130</v>
      </c>
      <c r="T1023" s="697">
        <v>0.23100000000000001</v>
      </c>
      <c r="U1023" s="375" t="s">
        <v>7131</v>
      </c>
      <c r="V1023" s="723">
        <v>5.83</v>
      </c>
      <c r="W1023" s="723">
        <v>1.2</v>
      </c>
      <c r="X1023" s="723">
        <v>0.54</v>
      </c>
      <c r="Y1023" s="723">
        <v>7.98</v>
      </c>
      <c r="Z1023" s="382">
        <v>0.1967287217440683</v>
      </c>
      <c r="AA1023" s="372">
        <v>3461.4617867000002</v>
      </c>
      <c r="AB1023" s="372">
        <v>3152.4152860999998</v>
      </c>
      <c r="AC1023" s="372">
        <v>3635.4294522999999</v>
      </c>
      <c r="AD1023" s="372">
        <v>2802.1806041</v>
      </c>
      <c r="AE1023" s="372">
        <v>3884.33</v>
      </c>
      <c r="AF1023" s="372">
        <v>5015</v>
      </c>
      <c r="AG1023" s="372">
        <v>5747.5</v>
      </c>
      <c r="AH1023" s="372">
        <v>0</v>
      </c>
    </row>
    <row r="1024" spans="1:34">
      <c r="A1024" s="372" t="s">
        <v>7132</v>
      </c>
      <c r="B1024" s="373" t="s">
        <v>7133</v>
      </c>
      <c r="C1024" s="372" t="s">
        <v>7134</v>
      </c>
      <c r="D1024" s="374">
        <v>1101113783457</v>
      </c>
      <c r="E1024" s="372" t="s">
        <v>7135</v>
      </c>
      <c r="F1024" s="375" t="s">
        <v>1947</v>
      </c>
      <c r="G1024" s="375" t="s">
        <v>2498</v>
      </c>
      <c r="H1024" s="375" t="s">
        <v>861</v>
      </c>
      <c r="I1024" s="375" t="s">
        <v>862</v>
      </c>
      <c r="J1024" s="375">
        <v>381603.56816000002</v>
      </c>
      <c r="K1024" s="375">
        <v>-26632.434949999999</v>
      </c>
      <c r="L1024" s="375">
        <v>103445.5739</v>
      </c>
      <c r="M1024" s="375">
        <v>1076240.8624100001</v>
      </c>
      <c r="N1024" s="372">
        <v>0.99199999999999999</v>
      </c>
      <c r="O1024" s="704">
        <v>256.23826331912954</v>
      </c>
      <c r="P1024" s="375" t="s">
        <v>622</v>
      </c>
      <c r="Q1024" s="372" t="s">
        <v>622</v>
      </c>
      <c r="R1024" s="696">
        <v>20110426</v>
      </c>
      <c r="S1024" s="372" t="s">
        <v>7136</v>
      </c>
      <c r="T1024" s="697">
        <v>0.23100000000000001</v>
      </c>
      <c r="U1024" s="372" t="s">
        <v>7137</v>
      </c>
      <c r="V1024" s="723">
        <v>0</v>
      </c>
      <c r="W1024" s="723">
        <v>0</v>
      </c>
      <c r="X1024" s="723">
        <v>0</v>
      </c>
      <c r="Y1024" s="723">
        <v>0</v>
      </c>
      <c r="Z1024" s="382" t="s">
        <v>927</v>
      </c>
      <c r="AA1024" s="372">
        <v>4293.0269528999997</v>
      </c>
      <c r="AB1024" s="372">
        <v>6939.0328086</v>
      </c>
      <c r="AC1024" s="372">
        <v>6209.8217433999998</v>
      </c>
      <c r="AD1024" s="372">
        <v>4163.1735964999998</v>
      </c>
      <c r="AE1024" s="372">
        <v>0</v>
      </c>
      <c r="AF1024" s="372">
        <v>0</v>
      </c>
      <c r="AG1024" s="372">
        <v>0</v>
      </c>
      <c r="AH1024" s="372">
        <v>0</v>
      </c>
    </row>
    <row r="1025" spans="1:34">
      <c r="A1025" s="372" t="s">
        <v>7138</v>
      </c>
      <c r="B1025" s="373" t="s">
        <v>7139</v>
      </c>
      <c r="C1025" s="372" t="s">
        <v>7140</v>
      </c>
      <c r="D1025" s="374">
        <v>1201110905317</v>
      </c>
      <c r="E1025" s="372" t="s">
        <v>7141</v>
      </c>
      <c r="F1025" s="372" t="s">
        <v>7142</v>
      </c>
      <c r="G1025" s="375" t="s">
        <v>7143</v>
      </c>
      <c r="H1025" s="375" t="s">
        <v>3099</v>
      </c>
      <c r="I1025" s="375" t="s">
        <v>862</v>
      </c>
      <c r="J1025" s="375">
        <v>241473.28849000001</v>
      </c>
      <c r="K1025" s="375">
        <v>7138.2467200000001</v>
      </c>
      <c r="L1025" s="375">
        <v>-807.23533999999995</v>
      </c>
      <c r="M1025" s="375">
        <v>88278.510079999993</v>
      </c>
      <c r="N1025" s="372">
        <v>0.89800000000000002</v>
      </c>
      <c r="O1025" s="704">
        <v>36.921730425897188</v>
      </c>
      <c r="P1025" s="375" t="s">
        <v>622</v>
      </c>
      <c r="Q1025" s="372" t="s">
        <v>622</v>
      </c>
      <c r="R1025" s="696">
        <v>20220603</v>
      </c>
      <c r="S1025" s="375" t="s">
        <v>7144</v>
      </c>
      <c r="T1025" s="697" t="s">
        <v>771</v>
      </c>
      <c r="U1025" s="372" t="s">
        <v>7145</v>
      </c>
      <c r="V1025" s="723">
        <v>19.850000000000001</v>
      </c>
      <c r="W1025" s="723">
        <v>1.94</v>
      </c>
      <c r="X1025" s="723">
        <v>0.66</v>
      </c>
      <c r="Y1025" s="723" t="s">
        <v>773</v>
      </c>
      <c r="Z1025" s="382" t="s">
        <v>927</v>
      </c>
      <c r="AA1025" s="372">
        <v>770.16648999999995</v>
      </c>
      <c r="AB1025" s="372">
        <v>1443.4766761999999</v>
      </c>
      <c r="AC1025" s="372">
        <v>2162.9848004999999</v>
      </c>
      <c r="AD1025" s="372">
        <v>2377.7858752000002</v>
      </c>
      <c r="AE1025" s="372">
        <v>3589</v>
      </c>
      <c r="AF1025" s="372">
        <v>0</v>
      </c>
      <c r="AG1025" s="372">
        <v>0</v>
      </c>
      <c r="AH1025" s="372">
        <v>0</v>
      </c>
    </row>
    <row r="1026" spans="1:34">
      <c r="A1026" s="372" t="s">
        <v>7146</v>
      </c>
      <c r="B1026" s="373" t="s">
        <v>7147</v>
      </c>
      <c r="C1026" s="372" t="s">
        <v>7148</v>
      </c>
      <c r="D1026" s="374">
        <v>1101115723120</v>
      </c>
      <c r="E1026" s="372" t="s">
        <v>7149</v>
      </c>
      <c r="F1026" s="375" t="s">
        <v>1764</v>
      </c>
      <c r="G1026" s="375" t="s">
        <v>1764</v>
      </c>
      <c r="H1026" s="375" t="s">
        <v>861</v>
      </c>
      <c r="I1026" s="375" t="s">
        <v>862</v>
      </c>
      <c r="J1026" s="375">
        <v>49139.394160000003</v>
      </c>
      <c r="K1026" s="375">
        <v>5231.2464</v>
      </c>
      <c r="L1026" s="375">
        <v>2400.15708</v>
      </c>
      <c r="M1026" s="375">
        <v>65099.582880000002</v>
      </c>
      <c r="N1026" s="372">
        <v>1.111</v>
      </c>
      <c r="O1026" s="704">
        <v>22.322382057248479</v>
      </c>
      <c r="P1026" s="375" t="s">
        <v>622</v>
      </c>
      <c r="Q1026" s="375" t="s">
        <v>622</v>
      </c>
      <c r="R1026" s="696">
        <v>20150727</v>
      </c>
      <c r="S1026" s="375" t="s">
        <v>7150</v>
      </c>
      <c r="T1026" s="697">
        <v>0.20900000000000002</v>
      </c>
      <c r="U1026" s="375" t="s">
        <v>7151</v>
      </c>
      <c r="V1026" s="723">
        <v>0</v>
      </c>
      <c r="W1026" s="723">
        <v>0</v>
      </c>
      <c r="X1026" s="723">
        <v>0</v>
      </c>
      <c r="Y1026" s="723">
        <v>0</v>
      </c>
      <c r="Z1026" s="382" t="s">
        <v>927</v>
      </c>
      <c r="AA1026" s="372">
        <v>435.39514709999997</v>
      </c>
      <c r="AB1026" s="372">
        <v>482.9472131</v>
      </c>
      <c r="AC1026" s="372">
        <v>570.25284590000001</v>
      </c>
      <c r="AD1026" s="372">
        <v>474.64098460000002</v>
      </c>
      <c r="AE1026" s="372">
        <v>0</v>
      </c>
      <c r="AF1026" s="372">
        <v>0</v>
      </c>
      <c r="AG1026" s="372">
        <v>0</v>
      </c>
      <c r="AH1026" s="372">
        <v>0</v>
      </c>
    </row>
    <row r="1027" spans="1:34">
      <c r="A1027" s="372" t="s">
        <v>7152</v>
      </c>
      <c r="B1027" s="373" t="s">
        <v>7153</v>
      </c>
      <c r="C1027" s="372" t="s">
        <v>7154</v>
      </c>
      <c r="D1027" s="374">
        <v>1701110002676</v>
      </c>
      <c r="E1027" s="372" t="s">
        <v>7155</v>
      </c>
      <c r="F1027" s="375" t="s">
        <v>2040</v>
      </c>
      <c r="G1027" s="375" t="s">
        <v>7156</v>
      </c>
      <c r="H1027" s="375" t="s">
        <v>3099</v>
      </c>
      <c r="I1027" s="375" t="s">
        <v>862</v>
      </c>
      <c r="J1027" s="375">
        <v>120053.77361</v>
      </c>
      <c r="K1027" s="375">
        <v>49.123359999999998</v>
      </c>
      <c r="L1027" s="375">
        <v>1056.90149</v>
      </c>
      <c r="M1027" s="375">
        <v>78560.843640000006</v>
      </c>
      <c r="N1027" s="372">
        <v>0.33200000000000002</v>
      </c>
      <c r="O1027" s="704">
        <v>3.4988691664407598</v>
      </c>
      <c r="P1027" s="375" t="s">
        <v>622</v>
      </c>
      <c r="Q1027" s="372" t="s">
        <v>622</v>
      </c>
      <c r="R1027" s="696">
        <v>19941130</v>
      </c>
      <c r="S1027" s="372" t="s">
        <v>7157</v>
      </c>
      <c r="T1027" s="697">
        <v>0.20900000000000002</v>
      </c>
      <c r="U1027" s="372" t="s">
        <v>7158</v>
      </c>
      <c r="V1027" s="723">
        <v>0</v>
      </c>
      <c r="W1027" s="723">
        <v>0</v>
      </c>
      <c r="X1027" s="723">
        <v>0</v>
      </c>
      <c r="Y1027" s="723">
        <v>0</v>
      </c>
      <c r="Z1027" s="382" t="s">
        <v>927</v>
      </c>
      <c r="AA1027" s="372">
        <v>1148.4373479000001</v>
      </c>
      <c r="AB1027" s="372">
        <v>1322.1373017999999</v>
      </c>
      <c r="AC1027" s="372">
        <v>1467.1769049</v>
      </c>
      <c r="AD1027" s="372">
        <v>1266.9538835000001</v>
      </c>
      <c r="AE1027" s="372">
        <v>0</v>
      </c>
      <c r="AF1027" s="372">
        <v>0</v>
      </c>
      <c r="AG1027" s="372">
        <v>0</v>
      </c>
      <c r="AH1027" s="372">
        <v>0</v>
      </c>
    </row>
    <row r="1028" spans="1:34">
      <c r="A1028" s="372" t="s">
        <v>7159</v>
      </c>
      <c r="B1028" s="373" t="s">
        <v>7160</v>
      </c>
      <c r="C1028" s="372" t="s">
        <v>7161</v>
      </c>
      <c r="D1028" s="374">
        <v>1341110160494</v>
      </c>
      <c r="E1028" s="372" t="s">
        <v>7162</v>
      </c>
      <c r="F1028" s="372" t="s">
        <v>824</v>
      </c>
      <c r="G1028" s="375" t="s">
        <v>16108</v>
      </c>
      <c r="H1028" s="375" t="s">
        <v>861</v>
      </c>
      <c r="I1028" s="375" t="s">
        <v>862</v>
      </c>
      <c r="J1028" s="375">
        <v>209757.31036999999</v>
      </c>
      <c r="K1028" s="375">
        <v>6735.1131599999999</v>
      </c>
      <c r="L1028" s="375">
        <v>-10659.018910000001</v>
      </c>
      <c r="M1028" s="375">
        <v>120062.98471</v>
      </c>
      <c r="N1028" s="372">
        <v>0.79</v>
      </c>
      <c r="O1028" s="704">
        <v>130.65518834942435</v>
      </c>
      <c r="P1028" s="375" t="s">
        <v>622</v>
      </c>
      <c r="Q1028" s="372" t="s">
        <v>622</v>
      </c>
      <c r="R1028" s="696">
        <v>20131008</v>
      </c>
      <c r="S1028" s="372" t="s">
        <v>7163</v>
      </c>
      <c r="T1028" s="697" t="s">
        <v>771</v>
      </c>
      <c r="U1028" s="372" t="s">
        <v>7164</v>
      </c>
      <c r="V1028" s="723">
        <v>10.38</v>
      </c>
      <c r="W1028" s="723">
        <v>0.97</v>
      </c>
      <c r="X1028" s="723">
        <v>0.45</v>
      </c>
      <c r="Y1028" s="723" t="s">
        <v>773</v>
      </c>
      <c r="Z1028" s="382" t="s">
        <v>927</v>
      </c>
      <c r="AA1028" s="372">
        <v>947.75793269999997</v>
      </c>
      <c r="AB1028" s="372">
        <v>782.85335650000002</v>
      </c>
      <c r="AC1028" s="372">
        <v>2194.2734341</v>
      </c>
      <c r="AD1028" s="372">
        <v>1133.5880107</v>
      </c>
      <c r="AE1028" s="372">
        <v>0</v>
      </c>
      <c r="AF1028" s="372">
        <v>0</v>
      </c>
      <c r="AG1028" s="372">
        <v>0</v>
      </c>
      <c r="AH1028" s="372">
        <v>0</v>
      </c>
    </row>
    <row r="1029" spans="1:34">
      <c r="A1029" s="372" t="s">
        <v>7165</v>
      </c>
      <c r="B1029" s="373" t="s">
        <v>7166</v>
      </c>
      <c r="C1029" s="372" t="s">
        <v>7167</v>
      </c>
      <c r="D1029" s="374">
        <v>1341110000567</v>
      </c>
      <c r="E1029" s="372" t="s">
        <v>7168</v>
      </c>
      <c r="F1029" s="375" t="s">
        <v>1820</v>
      </c>
      <c r="G1029" s="375" t="s">
        <v>1821</v>
      </c>
      <c r="H1029" s="375" t="s">
        <v>753</v>
      </c>
      <c r="I1029" s="375" t="s">
        <v>754</v>
      </c>
      <c r="J1029" s="375">
        <v>1587389.1134599999</v>
      </c>
      <c r="K1029" s="375">
        <v>41631.272980000002</v>
      </c>
      <c r="L1029" s="375">
        <v>27478.896939999999</v>
      </c>
      <c r="M1029" s="375">
        <v>364319.44816999999</v>
      </c>
      <c r="N1029" s="372">
        <v>1.008</v>
      </c>
      <c r="O1029" s="704">
        <v>65.80313118587317</v>
      </c>
      <c r="P1029" s="375" t="s">
        <v>622</v>
      </c>
      <c r="Q1029" s="372" t="s">
        <v>622</v>
      </c>
      <c r="R1029" s="696">
        <v>19870608</v>
      </c>
      <c r="S1029" s="372" t="s">
        <v>7169</v>
      </c>
      <c r="T1029" s="697">
        <v>0.23100000000000001</v>
      </c>
      <c r="U1029" s="372" t="s">
        <v>7170</v>
      </c>
      <c r="V1029" s="723">
        <v>6.88</v>
      </c>
      <c r="W1029" s="723">
        <v>0.76</v>
      </c>
      <c r="X1029" s="723">
        <v>0.17</v>
      </c>
      <c r="Y1029" s="723">
        <v>13.61</v>
      </c>
      <c r="Z1029" s="382" t="s">
        <v>927</v>
      </c>
      <c r="AA1029" s="372">
        <v>8574.1524905999995</v>
      </c>
      <c r="AB1029" s="372">
        <v>10703.832047899999</v>
      </c>
      <c r="AC1029" s="372">
        <v>14164.5440433</v>
      </c>
      <c r="AD1029" s="372">
        <v>14986.065444100001</v>
      </c>
      <c r="AE1029" s="372">
        <v>17220</v>
      </c>
      <c r="AF1029" s="372">
        <v>0</v>
      </c>
      <c r="AG1029" s="372">
        <v>0</v>
      </c>
      <c r="AH1029" s="372">
        <v>0</v>
      </c>
    </row>
    <row r="1030" spans="1:34">
      <c r="A1030" s="372" t="s">
        <v>7171</v>
      </c>
      <c r="B1030" s="373" t="s">
        <v>7172</v>
      </c>
      <c r="C1030" s="372" t="s">
        <v>7173</v>
      </c>
      <c r="D1030" s="374">
        <v>1101110339956</v>
      </c>
      <c r="E1030" s="372" t="s">
        <v>7174</v>
      </c>
      <c r="F1030" s="375" t="s">
        <v>1262</v>
      </c>
      <c r="G1030" s="375" t="s">
        <v>1263</v>
      </c>
      <c r="H1030" s="375" t="s">
        <v>1264</v>
      </c>
      <c r="I1030" s="375" t="s">
        <v>754</v>
      </c>
      <c r="J1030" s="375">
        <v>317809.43965999997</v>
      </c>
      <c r="K1030" s="375">
        <v>40173.680699999997</v>
      </c>
      <c r="L1030" s="375">
        <v>31882.488369999999</v>
      </c>
      <c r="M1030" s="375">
        <v>1201292.0138999999</v>
      </c>
      <c r="N1030" s="372">
        <v>0.59199999999999997</v>
      </c>
      <c r="O1030" s="704">
        <v>1913.2132001314965</v>
      </c>
      <c r="P1030" s="375" t="s">
        <v>622</v>
      </c>
      <c r="Q1030" s="375" t="s">
        <v>622</v>
      </c>
      <c r="R1030" s="696">
        <v>19880627</v>
      </c>
      <c r="S1030" s="372" t="s">
        <v>7175</v>
      </c>
      <c r="T1030" s="697">
        <v>0.23100000000000001</v>
      </c>
      <c r="U1030" s="372" t="s">
        <v>7176</v>
      </c>
      <c r="V1030" s="723">
        <v>0</v>
      </c>
      <c r="W1030" s="723">
        <v>0.23</v>
      </c>
      <c r="X1030" s="723">
        <v>0.19</v>
      </c>
      <c r="Y1030" s="723">
        <v>8.8699999999999992</v>
      </c>
      <c r="Z1030" s="382" t="s">
        <v>927</v>
      </c>
      <c r="AA1030" s="372">
        <v>3808.4151486000001</v>
      </c>
      <c r="AB1030" s="372">
        <v>4274.8987520999999</v>
      </c>
      <c r="AC1030" s="372">
        <v>2505.2453356000001</v>
      </c>
      <c r="AD1030" s="372">
        <v>2660.6236355000001</v>
      </c>
      <c r="AE1030" s="372">
        <v>0</v>
      </c>
      <c r="AF1030" s="372">
        <v>0</v>
      </c>
      <c r="AG1030" s="372">
        <v>0</v>
      </c>
      <c r="AH1030" s="372">
        <v>0</v>
      </c>
    </row>
    <row r="1031" spans="1:34">
      <c r="A1031" s="372" t="s">
        <v>7177</v>
      </c>
      <c r="B1031" s="373" t="s">
        <v>7178</v>
      </c>
      <c r="C1031" s="372" t="s">
        <v>7179</v>
      </c>
      <c r="D1031" s="374">
        <v>1101110113384</v>
      </c>
      <c r="E1031" s="372" t="s">
        <v>7180</v>
      </c>
      <c r="F1031" s="375" t="s">
        <v>2170</v>
      </c>
      <c r="G1031" s="375" t="s">
        <v>2171</v>
      </c>
      <c r="H1031" s="375" t="s">
        <v>1468</v>
      </c>
      <c r="I1031" s="375" t="s">
        <v>754</v>
      </c>
      <c r="J1031" s="375">
        <v>645686.14002000005</v>
      </c>
      <c r="K1031" s="375">
        <v>37090.94758</v>
      </c>
      <c r="L1031" s="375">
        <v>35961.226179999998</v>
      </c>
      <c r="M1031" s="375">
        <v>353603.09521</v>
      </c>
      <c r="N1031" s="372">
        <v>0.76900000000000002</v>
      </c>
      <c r="O1031" s="704">
        <v>187.50280258209099</v>
      </c>
      <c r="P1031" s="375" t="s">
        <v>622</v>
      </c>
      <c r="Q1031" s="375" t="s">
        <v>622</v>
      </c>
      <c r="R1031" s="696">
        <v>19720104</v>
      </c>
      <c r="S1031" s="375" t="s">
        <v>7181</v>
      </c>
      <c r="T1031" s="697">
        <v>0.23100000000000001</v>
      </c>
      <c r="U1031" s="372" t="s">
        <v>7182</v>
      </c>
      <c r="V1031" s="723">
        <v>4.32</v>
      </c>
      <c r="W1031" s="723">
        <v>0.46</v>
      </c>
      <c r="X1031" s="723">
        <v>0.22</v>
      </c>
      <c r="Y1031" s="723">
        <v>5.93</v>
      </c>
      <c r="Z1031" s="382">
        <v>4.7139351878167535E-2</v>
      </c>
      <c r="AA1031" s="372">
        <v>4395.2794211</v>
      </c>
      <c r="AB1031" s="372">
        <v>4714.2901755000003</v>
      </c>
      <c r="AC1031" s="372">
        <v>5198.8600284000004</v>
      </c>
      <c r="AD1031" s="372">
        <v>6207.1968469000003</v>
      </c>
      <c r="AE1031" s="372">
        <v>6488.5</v>
      </c>
      <c r="AF1031" s="372">
        <v>7000</v>
      </c>
      <c r="AG1031" s="372">
        <v>7463</v>
      </c>
      <c r="AH1031" s="372">
        <v>0</v>
      </c>
    </row>
    <row r="1032" spans="1:34">
      <c r="A1032" s="372" t="s">
        <v>7183</v>
      </c>
      <c r="B1032" s="373" t="s">
        <v>7184</v>
      </c>
      <c r="C1032" s="372" t="s">
        <v>7185</v>
      </c>
      <c r="D1032" s="374">
        <v>0</v>
      </c>
      <c r="E1032" s="372" t="s">
        <v>7186</v>
      </c>
      <c r="F1032" s="375" t="s">
        <v>7187</v>
      </c>
      <c r="G1032" s="375" t="s">
        <v>7187</v>
      </c>
      <c r="H1032" s="375">
        <v>0</v>
      </c>
      <c r="I1032" s="375" t="s">
        <v>862</v>
      </c>
      <c r="J1032" s="375">
        <v>1090.7650000000001</v>
      </c>
      <c r="K1032" s="375">
        <v>-45403.019</v>
      </c>
      <c r="L1032" s="375">
        <v>-44001.976999999999</v>
      </c>
      <c r="M1032" s="375">
        <v>45586.103000000003</v>
      </c>
      <c r="N1032" s="372">
        <v>1.119</v>
      </c>
      <c r="O1032" s="704">
        <v>2.938924431022635</v>
      </c>
      <c r="P1032" s="375" t="s">
        <v>622</v>
      </c>
      <c r="Q1032" s="372" t="s">
        <v>622</v>
      </c>
      <c r="R1032" s="696">
        <v>20210316</v>
      </c>
      <c r="S1032" s="372" t="s">
        <v>7188</v>
      </c>
      <c r="T1032" s="697" t="s">
        <v>771</v>
      </c>
      <c r="U1032" s="375" t="s">
        <v>7189</v>
      </c>
      <c r="V1032" s="723" t="s">
        <v>773</v>
      </c>
      <c r="W1032" s="723">
        <v>3.04</v>
      </c>
      <c r="X1032" s="723">
        <v>127.17</v>
      </c>
      <c r="Y1032" s="723" t="s">
        <v>773</v>
      </c>
      <c r="Z1032" s="382" t="s">
        <v>773</v>
      </c>
      <c r="AA1032" s="372">
        <v>0</v>
      </c>
      <c r="AB1032" s="372">
        <v>0</v>
      </c>
      <c r="AC1032" s="372">
        <v>0</v>
      </c>
      <c r="AD1032" s="372">
        <v>0</v>
      </c>
      <c r="AE1032" s="372">
        <v>0</v>
      </c>
      <c r="AF1032" s="372">
        <v>0</v>
      </c>
      <c r="AG1032" s="372">
        <v>0</v>
      </c>
      <c r="AH1032" s="372">
        <v>0</v>
      </c>
    </row>
    <row r="1033" spans="1:34">
      <c r="A1033" s="372" t="s">
        <v>7190</v>
      </c>
      <c r="B1033" s="373" t="s">
        <v>7191</v>
      </c>
      <c r="C1033" s="372" t="s">
        <v>7192</v>
      </c>
      <c r="D1033" s="374">
        <v>1942110310912</v>
      </c>
      <c r="E1033" s="372" t="s">
        <v>7193</v>
      </c>
      <c r="F1033" s="375" t="s">
        <v>2075</v>
      </c>
      <c r="G1033" s="375" t="s">
        <v>2076</v>
      </c>
      <c r="H1033" s="375" t="s">
        <v>861</v>
      </c>
      <c r="I1033" s="375" t="s">
        <v>862</v>
      </c>
      <c r="J1033" s="375">
        <v>34364.294650000003</v>
      </c>
      <c r="K1033" s="375">
        <v>306.64192000000003</v>
      </c>
      <c r="L1033" s="375">
        <v>-591.60180000000003</v>
      </c>
      <c r="M1033" s="375">
        <v>106885.27983</v>
      </c>
      <c r="N1033" s="372">
        <v>0.65600000000000003</v>
      </c>
      <c r="O1033" s="704">
        <v>79.359705998765833</v>
      </c>
      <c r="P1033" s="375" t="s">
        <v>622</v>
      </c>
      <c r="Q1033" s="372" t="s">
        <v>622</v>
      </c>
      <c r="R1033" s="696">
        <v>20220617</v>
      </c>
      <c r="S1033" s="372" t="s">
        <v>7194</v>
      </c>
      <c r="T1033" s="697" t="s">
        <v>771</v>
      </c>
      <c r="U1033" s="372" t="s">
        <v>7195</v>
      </c>
      <c r="V1033" s="723">
        <v>89.72</v>
      </c>
      <c r="W1033" s="723">
        <v>1.25</v>
      </c>
      <c r="X1033" s="723">
        <v>4.03</v>
      </c>
      <c r="Y1033" s="723" t="s">
        <v>773</v>
      </c>
      <c r="Z1033" s="382">
        <v>0.10744564522933042</v>
      </c>
      <c r="AA1033" s="372">
        <v>319.0020806</v>
      </c>
      <c r="AB1033" s="372">
        <v>460.7481348</v>
      </c>
      <c r="AC1033" s="372">
        <v>506.612255</v>
      </c>
      <c r="AD1033" s="372">
        <v>305.15676810000002</v>
      </c>
      <c r="AE1033" s="372">
        <v>430.5</v>
      </c>
      <c r="AF1033" s="372">
        <v>371</v>
      </c>
      <c r="AG1033" s="372">
        <v>459</v>
      </c>
      <c r="AH1033" s="372">
        <v>936</v>
      </c>
    </row>
    <row r="1034" spans="1:34">
      <c r="A1034" s="372" t="s">
        <v>7196</v>
      </c>
      <c r="B1034" s="373" t="s">
        <v>7197</v>
      </c>
      <c r="C1034" s="372" t="s">
        <v>7198</v>
      </c>
      <c r="D1034" s="374">
        <v>1101116652790</v>
      </c>
      <c r="E1034" s="372" t="s">
        <v>7199</v>
      </c>
      <c r="F1034" s="375" t="s">
        <v>5899</v>
      </c>
      <c r="G1034" s="375" t="s">
        <v>5899</v>
      </c>
      <c r="H1034" s="375" t="s">
        <v>1337</v>
      </c>
      <c r="I1034" s="375" t="s">
        <v>862</v>
      </c>
      <c r="J1034" s="375">
        <v>27676.304960000001</v>
      </c>
      <c r="K1034" s="375">
        <v>-6237.7528899999998</v>
      </c>
      <c r="L1034" s="375">
        <v>-1419.2550900000001</v>
      </c>
      <c r="M1034" s="375">
        <v>33754.880129999998</v>
      </c>
      <c r="N1034" s="372">
        <v>0.83699999999999997</v>
      </c>
      <c r="O1034" s="704">
        <v>15.204804763081606</v>
      </c>
      <c r="P1034" s="375" t="s">
        <v>622</v>
      </c>
      <c r="Q1034" s="375" t="s">
        <v>622</v>
      </c>
      <c r="R1034" s="696">
        <v>20180913</v>
      </c>
      <c r="S1034" s="375" t="s">
        <v>7200</v>
      </c>
      <c r="T1034" s="697" t="s">
        <v>771</v>
      </c>
      <c r="U1034" s="372" t="s">
        <v>7201</v>
      </c>
      <c r="V1034" s="723" t="s">
        <v>773</v>
      </c>
      <c r="W1034" s="723">
        <v>3.77</v>
      </c>
      <c r="X1034" s="723">
        <v>4.2300000000000004</v>
      </c>
      <c r="Y1034" s="723" t="s">
        <v>773</v>
      </c>
      <c r="Z1034" s="382" t="s">
        <v>927</v>
      </c>
      <c r="AA1034" s="372">
        <v>226.07630380000001</v>
      </c>
      <c r="AB1034" s="372">
        <v>248.71771369999999</v>
      </c>
      <c r="AC1034" s="372">
        <v>398.44510659999997</v>
      </c>
      <c r="AD1034" s="372">
        <v>353.34979950000002</v>
      </c>
      <c r="AE1034" s="372">
        <v>500</v>
      </c>
      <c r="AF1034" s="372">
        <v>0</v>
      </c>
      <c r="AG1034" s="372">
        <v>0</v>
      </c>
      <c r="AH1034" s="372">
        <v>0</v>
      </c>
    </row>
    <row r="1035" spans="1:34">
      <c r="A1035" s="372" t="s">
        <v>7202</v>
      </c>
      <c r="B1035" s="373" t="s">
        <v>7203</v>
      </c>
      <c r="C1035" s="372" t="s">
        <v>7204</v>
      </c>
      <c r="D1035" s="374">
        <v>1201110018300</v>
      </c>
      <c r="E1035" s="372" t="s">
        <v>7205</v>
      </c>
      <c r="F1035" s="375" t="s">
        <v>5625</v>
      </c>
      <c r="G1035" s="375" t="s">
        <v>5625</v>
      </c>
      <c r="H1035" s="375" t="s">
        <v>753</v>
      </c>
      <c r="I1035" s="375" t="s">
        <v>754</v>
      </c>
      <c r="J1035" s="375">
        <v>278410.15899999999</v>
      </c>
      <c r="K1035" s="375">
        <v>9784.0290000000005</v>
      </c>
      <c r="L1035" s="375">
        <v>10564.833000000001</v>
      </c>
      <c r="M1035" s="375">
        <v>116829.40300000001</v>
      </c>
      <c r="N1035" s="372">
        <v>1.022</v>
      </c>
      <c r="O1035" s="704">
        <v>40.151510384389653</v>
      </c>
      <c r="P1035" s="375" t="s">
        <v>622</v>
      </c>
      <c r="Q1035" s="375" t="s">
        <v>622</v>
      </c>
      <c r="R1035" s="696">
        <v>19840811</v>
      </c>
      <c r="S1035" s="375" t="s">
        <v>7206</v>
      </c>
      <c r="T1035" s="697">
        <v>0.20900000000000002</v>
      </c>
      <c r="U1035" s="372" t="s">
        <v>7207</v>
      </c>
      <c r="V1035" s="723">
        <v>7.27</v>
      </c>
      <c r="W1035" s="723">
        <v>0.85</v>
      </c>
      <c r="X1035" s="723">
        <v>0.36</v>
      </c>
      <c r="Y1035" s="723">
        <v>10.83</v>
      </c>
      <c r="Z1035" s="382" t="s">
        <v>927</v>
      </c>
      <c r="AA1035" s="372">
        <v>2647.47352</v>
      </c>
      <c r="AB1035" s="372">
        <v>3598.4836799999998</v>
      </c>
      <c r="AC1035" s="372">
        <v>4803.8746899999996</v>
      </c>
      <c r="AD1035" s="372">
        <v>3336.5557800000001</v>
      </c>
      <c r="AE1035" s="372">
        <v>0</v>
      </c>
      <c r="AF1035" s="372">
        <v>0</v>
      </c>
      <c r="AG1035" s="372">
        <v>0</v>
      </c>
      <c r="AH1035" s="372">
        <v>0</v>
      </c>
    </row>
    <row r="1036" spans="1:34">
      <c r="A1036" s="372" t="s">
        <v>7208</v>
      </c>
      <c r="B1036" s="373" t="s">
        <v>7209</v>
      </c>
      <c r="C1036" s="372" t="s">
        <v>7210</v>
      </c>
      <c r="D1036" s="374">
        <v>1243110011322</v>
      </c>
      <c r="E1036" s="372" t="s">
        <v>7211</v>
      </c>
      <c r="F1036" s="375" t="s">
        <v>7212</v>
      </c>
      <c r="G1036" s="375" t="s">
        <v>7212</v>
      </c>
      <c r="H1036" s="375" t="s">
        <v>861</v>
      </c>
      <c r="I1036" s="375" t="s">
        <v>862</v>
      </c>
      <c r="J1036" s="375">
        <v>553724.51468000002</v>
      </c>
      <c r="K1036" s="375">
        <v>46332.394240000001</v>
      </c>
      <c r="L1036" s="375">
        <v>54904.841119999997</v>
      </c>
      <c r="M1036" s="375">
        <v>634300.33056000003</v>
      </c>
      <c r="N1036" s="372">
        <v>0.64800000000000002</v>
      </c>
      <c r="O1036" s="704">
        <v>62.469022972091146</v>
      </c>
      <c r="P1036" s="375" t="s">
        <v>622</v>
      </c>
      <c r="Q1036" s="375" t="s">
        <v>622</v>
      </c>
      <c r="R1036" s="696">
        <v>19941019</v>
      </c>
      <c r="S1036" s="375" t="s">
        <v>7213</v>
      </c>
      <c r="T1036" s="697">
        <v>0.23100000000000001</v>
      </c>
      <c r="U1036" s="372" t="s">
        <v>7214</v>
      </c>
      <c r="V1036" s="723">
        <v>3.05</v>
      </c>
      <c r="W1036" s="723">
        <v>0.26</v>
      </c>
      <c r="X1036" s="723">
        <v>0.27</v>
      </c>
      <c r="Y1036" s="723">
        <v>3.75</v>
      </c>
      <c r="Z1036" s="382" t="s">
        <v>927</v>
      </c>
      <c r="AA1036" s="372">
        <v>4034.4553385999998</v>
      </c>
      <c r="AB1036" s="372">
        <v>5340.2210424000004</v>
      </c>
      <c r="AC1036" s="372">
        <v>5820.1093941999998</v>
      </c>
      <c r="AD1036" s="372">
        <v>5556.2885346000003</v>
      </c>
      <c r="AE1036" s="372">
        <v>0</v>
      </c>
      <c r="AF1036" s="372">
        <v>0</v>
      </c>
      <c r="AG1036" s="372">
        <v>0</v>
      </c>
      <c r="AH1036" s="372">
        <v>0</v>
      </c>
    </row>
    <row r="1037" spans="1:34">
      <c r="A1037" s="372" t="s">
        <v>7215</v>
      </c>
      <c r="B1037" s="373" t="s">
        <v>7216</v>
      </c>
      <c r="C1037" s="372" t="s">
        <v>7217</v>
      </c>
      <c r="D1037" s="374">
        <v>1101110924765</v>
      </c>
      <c r="E1037" s="372" t="s">
        <v>7218</v>
      </c>
      <c r="F1037" s="372" t="s">
        <v>6610</v>
      </c>
      <c r="G1037" s="375" t="s">
        <v>6610</v>
      </c>
      <c r="H1037" s="375" t="s">
        <v>861</v>
      </c>
      <c r="I1037" s="375" t="s">
        <v>862</v>
      </c>
      <c r="J1037" s="375">
        <v>271260.78833000001</v>
      </c>
      <c r="K1037" s="375">
        <v>-5644.5665300000001</v>
      </c>
      <c r="L1037" s="375">
        <v>-2568.66525</v>
      </c>
      <c r="M1037" s="375">
        <v>309004.09178999998</v>
      </c>
      <c r="N1037" s="372">
        <v>0.47</v>
      </c>
      <c r="O1037" s="704">
        <v>102.12987753236911</v>
      </c>
      <c r="P1037" s="375" t="s">
        <v>622</v>
      </c>
      <c r="Q1037" s="372" t="s">
        <v>622</v>
      </c>
      <c r="R1037" s="696">
        <v>20000620</v>
      </c>
      <c r="S1037" s="372" t="s">
        <v>7219</v>
      </c>
      <c r="T1037" s="697" t="s">
        <v>771</v>
      </c>
      <c r="U1037" s="372" t="s">
        <v>7220</v>
      </c>
      <c r="V1037" s="723">
        <v>69.38</v>
      </c>
      <c r="W1037" s="723">
        <v>0.43</v>
      </c>
      <c r="X1037" s="723">
        <v>0.46</v>
      </c>
      <c r="Y1037" s="723" t="s">
        <v>773</v>
      </c>
      <c r="Z1037" s="382" t="s">
        <v>927</v>
      </c>
      <c r="AA1037" s="372">
        <v>4049.8403131999999</v>
      </c>
      <c r="AB1037" s="372">
        <v>737.82946400000003</v>
      </c>
      <c r="AC1037" s="372">
        <v>807.14212759999998</v>
      </c>
      <c r="AD1037" s="372">
        <v>922.92591370000002</v>
      </c>
      <c r="AE1037" s="372">
        <v>0</v>
      </c>
      <c r="AF1037" s="372">
        <v>0</v>
      </c>
      <c r="AG1037" s="372">
        <v>0</v>
      </c>
      <c r="AH1037" s="372">
        <v>0</v>
      </c>
    </row>
    <row r="1038" spans="1:34">
      <c r="A1038" s="372" t="s">
        <v>7221</v>
      </c>
      <c r="B1038" s="373" t="s">
        <v>7222</v>
      </c>
      <c r="C1038" s="372" t="s">
        <v>7223</v>
      </c>
      <c r="D1038" s="374">
        <v>1101110014433</v>
      </c>
      <c r="E1038" s="372" t="s">
        <v>7224</v>
      </c>
      <c r="F1038" s="375" t="s">
        <v>1682</v>
      </c>
      <c r="G1038" s="375" t="s">
        <v>1683</v>
      </c>
      <c r="H1038" s="375" t="s">
        <v>826</v>
      </c>
      <c r="I1038" s="375" t="s">
        <v>754</v>
      </c>
      <c r="J1038" s="375">
        <v>635055.66460999998</v>
      </c>
      <c r="K1038" s="375">
        <v>21741.614659999999</v>
      </c>
      <c r="L1038" s="375">
        <v>16133.749470000001</v>
      </c>
      <c r="M1038" s="375">
        <v>315162.71746000001</v>
      </c>
      <c r="N1038" s="372">
        <v>1.0469999999999999</v>
      </c>
      <c r="O1038" s="704">
        <v>84.639438831567929</v>
      </c>
      <c r="P1038" s="375" t="s">
        <v>622</v>
      </c>
      <c r="Q1038" s="375" t="s">
        <v>622</v>
      </c>
      <c r="R1038" s="696">
        <v>19930910</v>
      </c>
      <c r="S1038" s="375" t="s">
        <v>7225</v>
      </c>
      <c r="T1038" s="697">
        <v>0.20900000000000002</v>
      </c>
      <c r="U1038" s="372" t="s">
        <v>7226</v>
      </c>
      <c r="V1038" s="723">
        <v>7.57</v>
      </c>
      <c r="W1038" s="723">
        <v>0.55000000000000004</v>
      </c>
      <c r="X1038" s="723">
        <v>0.3</v>
      </c>
      <c r="Y1038" s="723">
        <v>13.63</v>
      </c>
      <c r="Z1038" s="382" t="s">
        <v>927</v>
      </c>
      <c r="AA1038" s="372">
        <v>5517.1883266000004</v>
      </c>
      <c r="AB1038" s="372">
        <v>6316.0590069</v>
      </c>
      <c r="AC1038" s="372">
        <v>6460.3953165000003</v>
      </c>
      <c r="AD1038" s="372">
        <v>6313.8187576999999</v>
      </c>
      <c r="AE1038" s="372">
        <v>0</v>
      </c>
      <c r="AF1038" s="372">
        <v>0</v>
      </c>
      <c r="AG1038" s="372">
        <v>0</v>
      </c>
      <c r="AH1038" s="372">
        <v>0</v>
      </c>
    </row>
    <row r="1039" spans="1:34">
      <c r="A1039" s="372" t="s">
        <v>7227</v>
      </c>
      <c r="B1039" s="373" t="s">
        <v>7228</v>
      </c>
      <c r="C1039" s="372" t="s">
        <v>7229</v>
      </c>
      <c r="D1039" s="374">
        <v>1101110018592</v>
      </c>
      <c r="E1039" s="372" t="s">
        <v>7230</v>
      </c>
      <c r="F1039" s="372" t="s">
        <v>1062</v>
      </c>
      <c r="G1039" s="375" t="s">
        <v>1062</v>
      </c>
      <c r="H1039" s="375" t="s">
        <v>991</v>
      </c>
      <c r="I1039" s="375" t="s">
        <v>754</v>
      </c>
      <c r="J1039" s="375">
        <v>107470.40294</v>
      </c>
      <c r="K1039" s="375">
        <v>-6700.9728100000002</v>
      </c>
      <c r="L1039" s="375">
        <v>-22540.1463</v>
      </c>
      <c r="M1039" s="375">
        <v>50453.891029999999</v>
      </c>
      <c r="N1039" s="372">
        <v>0.58599999999999997</v>
      </c>
      <c r="O1039" s="704">
        <v>10.909409465837337</v>
      </c>
      <c r="P1039" s="375" t="s">
        <v>622</v>
      </c>
      <c r="Q1039" s="375" t="s">
        <v>622</v>
      </c>
      <c r="R1039" s="696">
        <v>19850117</v>
      </c>
      <c r="S1039" s="375" t="s">
        <v>7231</v>
      </c>
      <c r="T1039" s="697" t="s">
        <v>771</v>
      </c>
      <c r="U1039" s="375" t="s">
        <v>7232</v>
      </c>
      <c r="V1039" s="723" t="s">
        <v>773</v>
      </c>
      <c r="W1039" s="723">
        <v>2.76</v>
      </c>
      <c r="X1039" s="723">
        <v>1.33</v>
      </c>
      <c r="Y1039" s="723" t="s">
        <v>773</v>
      </c>
      <c r="Z1039" s="382" t="s">
        <v>927</v>
      </c>
      <c r="AA1039" s="372">
        <v>578.17812930000002</v>
      </c>
      <c r="AB1039" s="372">
        <v>716.65525209999998</v>
      </c>
      <c r="AC1039" s="372">
        <v>766.78321789999995</v>
      </c>
      <c r="AD1039" s="372">
        <v>998.11312699999996</v>
      </c>
      <c r="AE1039" s="372">
        <v>0</v>
      </c>
      <c r="AF1039" s="372">
        <v>0</v>
      </c>
      <c r="AG1039" s="372">
        <v>0</v>
      </c>
      <c r="AH1039" s="372">
        <v>0</v>
      </c>
    </row>
    <row r="1040" spans="1:34">
      <c r="A1040" s="372" t="s">
        <v>7233</v>
      </c>
      <c r="B1040" s="373" t="s">
        <v>7234</v>
      </c>
      <c r="C1040" s="372" t="s">
        <v>7235</v>
      </c>
      <c r="D1040" s="374">
        <v>1101110746474</v>
      </c>
      <c r="E1040" s="372" t="s">
        <v>7236</v>
      </c>
      <c r="F1040" s="372" t="s">
        <v>3121</v>
      </c>
      <c r="G1040" s="375" t="s">
        <v>3121</v>
      </c>
      <c r="H1040" s="375" t="s">
        <v>861</v>
      </c>
      <c r="I1040" s="375" t="s">
        <v>862</v>
      </c>
      <c r="J1040" s="375">
        <v>0</v>
      </c>
      <c r="K1040" s="375">
        <v>0</v>
      </c>
      <c r="L1040" s="375">
        <v>0</v>
      </c>
      <c r="M1040" s="375">
        <v>0</v>
      </c>
      <c r="N1040" s="372">
        <v>0.625</v>
      </c>
      <c r="O1040" s="704" t="s">
        <v>16301</v>
      </c>
      <c r="P1040" s="375" t="s">
        <v>622</v>
      </c>
      <c r="Q1040" s="375" t="s">
        <v>622</v>
      </c>
      <c r="R1040" s="696">
        <v>20020419</v>
      </c>
      <c r="S1040" s="375" t="s">
        <v>7237</v>
      </c>
      <c r="T1040" s="697" t="s">
        <v>771</v>
      </c>
      <c r="U1040" s="372" t="s">
        <v>7238</v>
      </c>
      <c r="V1040" s="723">
        <v>0</v>
      </c>
      <c r="W1040" s="723">
        <v>0</v>
      </c>
      <c r="X1040" s="723">
        <v>0</v>
      </c>
      <c r="Y1040" s="723">
        <v>0</v>
      </c>
      <c r="Z1040" s="382" t="s">
        <v>927</v>
      </c>
      <c r="AA1040" s="372">
        <v>234.7790838</v>
      </c>
      <c r="AB1040" s="372">
        <v>271.10628409999998</v>
      </c>
      <c r="AC1040" s="372">
        <v>418.57755020000002</v>
      </c>
      <c r="AD1040" s="372">
        <v>435.95351590000001</v>
      </c>
      <c r="AE1040" s="372">
        <v>0</v>
      </c>
      <c r="AF1040" s="372">
        <v>0</v>
      </c>
      <c r="AG1040" s="372">
        <v>0</v>
      </c>
      <c r="AH1040" s="372">
        <v>0</v>
      </c>
    </row>
    <row r="1041" spans="1:34">
      <c r="A1041" s="372" t="s">
        <v>7239</v>
      </c>
      <c r="B1041" s="373" t="s">
        <v>7240</v>
      </c>
      <c r="C1041" s="372" t="s">
        <v>7241</v>
      </c>
      <c r="D1041" s="374">
        <v>1101114460046</v>
      </c>
      <c r="E1041" s="372" t="s">
        <v>7242</v>
      </c>
      <c r="F1041" s="375" t="s">
        <v>2032</v>
      </c>
      <c r="G1041" s="375" t="s">
        <v>7243</v>
      </c>
      <c r="H1041" s="375" t="s">
        <v>1531</v>
      </c>
      <c r="I1041" s="375" t="s">
        <v>862</v>
      </c>
      <c r="J1041" s="375">
        <v>19863.476320000002</v>
      </c>
      <c r="K1041" s="375">
        <v>-332.19297999999998</v>
      </c>
      <c r="L1041" s="375">
        <v>-93.843770000000006</v>
      </c>
      <c r="M1041" s="375">
        <v>38921.444609999999</v>
      </c>
      <c r="N1041" s="372" t="s">
        <v>1026</v>
      </c>
      <c r="O1041" s="704">
        <v>0.33525356495470809</v>
      </c>
      <c r="P1041" s="375" t="s">
        <v>622</v>
      </c>
      <c r="Q1041" s="372" t="s">
        <v>622</v>
      </c>
      <c r="R1041" s="696">
        <v>20230207</v>
      </c>
      <c r="S1041" s="375" t="s">
        <v>7244</v>
      </c>
      <c r="T1041" s="697" t="s">
        <v>771</v>
      </c>
      <c r="U1041" s="375" t="s">
        <v>7245</v>
      </c>
      <c r="V1041" s="723">
        <v>134.09</v>
      </c>
      <c r="W1041" s="723">
        <v>3.02</v>
      </c>
      <c r="X1041" s="723">
        <v>5.84</v>
      </c>
      <c r="Y1041" s="723">
        <v>318.58999999999997</v>
      </c>
      <c r="Z1041" s="382" t="s">
        <v>927</v>
      </c>
      <c r="AA1041" s="372">
        <v>170.1529261</v>
      </c>
      <c r="AB1041" s="372">
        <v>143.89618820000001</v>
      </c>
      <c r="AC1041" s="372">
        <v>257.81360549999999</v>
      </c>
      <c r="AD1041" s="372">
        <v>231.61814200000001</v>
      </c>
      <c r="AE1041" s="372">
        <v>258</v>
      </c>
      <c r="AF1041" s="372">
        <v>304</v>
      </c>
      <c r="AG1041" s="372">
        <v>0</v>
      </c>
      <c r="AH1041" s="372">
        <v>0</v>
      </c>
    </row>
    <row r="1042" spans="1:34">
      <c r="A1042" s="372" t="s">
        <v>7246</v>
      </c>
      <c r="B1042" s="373" t="s">
        <v>7247</v>
      </c>
      <c r="C1042" s="372" t="s">
        <v>7248</v>
      </c>
      <c r="D1042" s="374">
        <v>1101110115885</v>
      </c>
      <c r="E1042" s="372" t="s">
        <v>7249</v>
      </c>
      <c r="F1042" s="375" t="s">
        <v>1879</v>
      </c>
      <c r="G1042" s="375" t="s">
        <v>1879</v>
      </c>
      <c r="H1042" s="375" t="s">
        <v>4847</v>
      </c>
      <c r="I1042" s="375" t="s">
        <v>862</v>
      </c>
      <c r="J1042" s="375">
        <v>219002.83105000001</v>
      </c>
      <c r="K1042" s="375">
        <v>5124.6350400000001</v>
      </c>
      <c r="L1042" s="375">
        <v>-1315.47272</v>
      </c>
      <c r="M1042" s="375">
        <v>105192.26786000001</v>
      </c>
      <c r="N1042" s="372">
        <v>0.72599999999999998</v>
      </c>
      <c r="O1042" s="704">
        <v>47.05094893285667</v>
      </c>
      <c r="P1042" s="375" t="s">
        <v>622</v>
      </c>
      <c r="Q1042" s="372" t="s">
        <v>622</v>
      </c>
      <c r="R1042" s="696">
        <v>19970806</v>
      </c>
      <c r="S1042" s="372" t="s">
        <v>7250</v>
      </c>
      <c r="T1042" s="697" t="s">
        <v>771</v>
      </c>
      <c r="U1042" s="372" t="s">
        <v>7251</v>
      </c>
      <c r="V1042" s="723">
        <v>7.39</v>
      </c>
      <c r="W1042" s="723">
        <v>0.99</v>
      </c>
      <c r="X1042" s="723">
        <v>0.47</v>
      </c>
      <c r="Y1042" s="723" t="s">
        <v>773</v>
      </c>
      <c r="Z1042" s="382" t="s">
        <v>927</v>
      </c>
      <c r="AA1042" s="372">
        <v>1988.5895984000001</v>
      </c>
      <c r="AB1042" s="372">
        <v>2320.1036021999998</v>
      </c>
      <c r="AC1042" s="372">
        <v>2029.5803383</v>
      </c>
      <c r="AD1042" s="372">
        <v>2328.6367429000002</v>
      </c>
      <c r="AE1042" s="372">
        <v>0</v>
      </c>
      <c r="AF1042" s="372">
        <v>0</v>
      </c>
      <c r="AG1042" s="372">
        <v>0</v>
      </c>
      <c r="AH1042" s="372">
        <v>0</v>
      </c>
    </row>
    <row r="1043" spans="1:34">
      <c r="A1043" s="372" t="s">
        <v>7252</v>
      </c>
      <c r="B1043" s="373" t="s">
        <v>7253</v>
      </c>
      <c r="C1043" s="372" t="s">
        <v>7254</v>
      </c>
      <c r="D1043" s="374">
        <v>1101114495598</v>
      </c>
      <c r="E1043" s="372" t="s">
        <v>7255</v>
      </c>
      <c r="F1043" s="375" t="s">
        <v>1796</v>
      </c>
      <c r="G1043" s="375" t="s">
        <v>2797</v>
      </c>
      <c r="H1043" s="375" t="s">
        <v>861</v>
      </c>
      <c r="I1043" s="375" t="s">
        <v>862</v>
      </c>
      <c r="J1043" s="375">
        <v>41605.964829999997</v>
      </c>
      <c r="K1043" s="375">
        <v>2907.1398399999998</v>
      </c>
      <c r="L1043" s="375">
        <v>3393.86085</v>
      </c>
      <c r="M1043" s="375">
        <v>39357.123890000003</v>
      </c>
      <c r="N1043" s="372" t="s">
        <v>1026</v>
      </c>
      <c r="O1043" s="704">
        <v>7.5597955634374268</v>
      </c>
      <c r="P1043" s="375" t="s">
        <v>622</v>
      </c>
      <c r="Q1043" s="372" t="s">
        <v>622</v>
      </c>
      <c r="R1043" s="696">
        <v>20230316</v>
      </c>
      <c r="S1043" s="372" t="s">
        <v>7256</v>
      </c>
      <c r="T1043" s="697">
        <v>0.20900000000000002</v>
      </c>
      <c r="U1043" s="372" t="s">
        <v>7257</v>
      </c>
      <c r="V1043" s="723">
        <v>0</v>
      </c>
      <c r="W1043" s="723">
        <v>0</v>
      </c>
      <c r="X1043" s="723">
        <v>0</v>
      </c>
      <c r="Y1043" s="723">
        <v>0</v>
      </c>
      <c r="Z1043" s="382" t="s">
        <v>927</v>
      </c>
      <c r="AA1043" s="372">
        <v>236.4765893</v>
      </c>
      <c r="AB1043" s="372">
        <v>311.01319489999997</v>
      </c>
      <c r="AC1043" s="372">
        <v>382.9925351</v>
      </c>
      <c r="AD1043" s="372">
        <v>428.20685709999998</v>
      </c>
      <c r="AE1043" s="372">
        <v>0</v>
      </c>
      <c r="AF1043" s="372">
        <v>0</v>
      </c>
      <c r="AG1043" s="372">
        <v>0</v>
      </c>
      <c r="AH1043" s="372">
        <v>0</v>
      </c>
    </row>
    <row r="1044" spans="1:34">
      <c r="A1044" s="372" t="s">
        <v>7258</v>
      </c>
      <c r="B1044" s="373" t="s">
        <v>7259</v>
      </c>
      <c r="C1044" s="372" t="s">
        <v>7260</v>
      </c>
      <c r="D1044" s="374">
        <v>1101114474659</v>
      </c>
      <c r="E1044" s="372" t="s">
        <v>7261</v>
      </c>
      <c r="F1044" s="375" t="s">
        <v>5600</v>
      </c>
      <c r="G1044" s="375" t="s">
        <v>5600</v>
      </c>
      <c r="H1044" s="375" t="s">
        <v>1531</v>
      </c>
      <c r="I1044" s="375" t="s">
        <v>862</v>
      </c>
      <c r="J1044" s="375">
        <v>22990.733769999999</v>
      </c>
      <c r="K1044" s="375">
        <v>-9741.1636500000004</v>
      </c>
      <c r="L1044" s="375">
        <v>-9309.58338</v>
      </c>
      <c r="M1044" s="375">
        <v>42434.257189999997</v>
      </c>
      <c r="N1044" s="372" t="s">
        <v>1026</v>
      </c>
      <c r="O1044" s="704">
        <v>4.3292004644916986</v>
      </c>
      <c r="P1044" s="375" t="s">
        <v>622</v>
      </c>
      <c r="Q1044" s="375" t="s">
        <v>622</v>
      </c>
      <c r="R1044" s="696">
        <v>20230720</v>
      </c>
      <c r="S1044" s="375" t="s">
        <v>7262</v>
      </c>
      <c r="T1044" s="697" t="s">
        <v>771</v>
      </c>
      <c r="U1044" s="372" t="s">
        <v>7263</v>
      </c>
      <c r="V1044" s="723" t="s">
        <v>773</v>
      </c>
      <c r="W1044" s="723">
        <v>2.4900000000000002</v>
      </c>
      <c r="X1044" s="723">
        <v>3.93</v>
      </c>
      <c r="Y1044" s="723" t="s">
        <v>773</v>
      </c>
      <c r="Z1044" s="382" t="s">
        <v>927</v>
      </c>
      <c r="AA1044" s="372">
        <v>53.713071599999999</v>
      </c>
      <c r="AB1044" s="372">
        <v>216.56372089999999</v>
      </c>
      <c r="AC1044" s="372">
        <v>297.80531999999999</v>
      </c>
      <c r="AD1044" s="372">
        <v>194.17877179999999</v>
      </c>
      <c r="AE1044" s="372">
        <v>253</v>
      </c>
      <c r="AF1044" s="372">
        <v>294</v>
      </c>
      <c r="AG1044" s="372">
        <v>0</v>
      </c>
      <c r="AH1044" s="372">
        <v>0</v>
      </c>
    </row>
    <row r="1045" spans="1:34">
      <c r="A1045" s="372" t="s">
        <v>7264</v>
      </c>
      <c r="B1045" s="373" t="s">
        <v>7265</v>
      </c>
      <c r="C1045" s="372" t="s">
        <v>7266</v>
      </c>
      <c r="D1045" s="374">
        <v>1101111343930</v>
      </c>
      <c r="E1045" s="372" t="s">
        <v>7267</v>
      </c>
      <c r="F1045" s="375" t="s">
        <v>1116</v>
      </c>
      <c r="G1045" s="375" t="s">
        <v>1336</v>
      </c>
      <c r="H1045" s="375" t="s">
        <v>1337</v>
      </c>
      <c r="I1045" s="375" t="s">
        <v>862</v>
      </c>
      <c r="J1045" s="375">
        <v>3879.7286100000001</v>
      </c>
      <c r="K1045" s="375">
        <v>-22965.509740000001</v>
      </c>
      <c r="L1045" s="375">
        <v>-50203.984360000002</v>
      </c>
      <c r="M1045" s="375">
        <v>143827.57165</v>
      </c>
      <c r="N1045" s="372">
        <v>1.2290000000000001</v>
      </c>
      <c r="O1045" s="704">
        <v>0.12765285440063798</v>
      </c>
      <c r="P1045" s="375" t="s">
        <v>622</v>
      </c>
      <c r="Q1045" s="375" t="s">
        <v>622</v>
      </c>
      <c r="R1045" s="696">
        <v>20051229</v>
      </c>
      <c r="S1045" s="375" t="s">
        <v>7268</v>
      </c>
      <c r="T1045" s="697" t="s">
        <v>771</v>
      </c>
      <c r="U1045" s="372" t="s">
        <v>15887</v>
      </c>
      <c r="V1045" s="723" t="s">
        <v>773</v>
      </c>
      <c r="W1045" s="723">
        <v>1.08</v>
      </c>
      <c r="X1045" s="723">
        <v>41.56</v>
      </c>
      <c r="Y1045" s="723" t="s">
        <v>773</v>
      </c>
      <c r="Z1045" s="382" t="s">
        <v>927</v>
      </c>
      <c r="AA1045" s="372">
        <v>42.482988800000001</v>
      </c>
      <c r="AB1045" s="372">
        <v>23.1624385</v>
      </c>
      <c r="AC1045" s="372">
        <v>27.996074700000001</v>
      </c>
      <c r="AD1045" s="372">
        <v>42.016226699999997</v>
      </c>
      <c r="AE1045" s="372">
        <v>0</v>
      </c>
      <c r="AF1045" s="372">
        <v>0</v>
      </c>
      <c r="AG1045" s="372">
        <v>0</v>
      </c>
      <c r="AH1045" s="372">
        <v>0</v>
      </c>
    </row>
    <row r="1046" spans="1:34">
      <c r="A1046" s="372" t="s">
        <v>7269</v>
      </c>
      <c r="B1046" s="373" t="s">
        <v>7270</v>
      </c>
      <c r="C1046" s="372" t="s">
        <v>7271</v>
      </c>
      <c r="D1046" s="374">
        <v>2341110096698</v>
      </c>
      <c r="E1046" s="372" t="s">
        <v>7272</v>
      </c>
      <c r="F1046" s="372" t="s">
        <v>16105</v>
      </c>
      <c r="G1046" s="375" t="s">
        <v>16105</v>
      </c>
      <c r="H1046" s="375" t="s">
        <v>826</v>
      </c>
      <c r="I1046" s="375" t="s">
        <v>4413</v>
      </c>
      <c r="J1046" s="375">
        <v>0</v>
      </c>
      <c r="K1046" s="375">
        <v>0</v>
      </c>
      <c r="L1046" s="375">
        <v>0</v>
      </c>
      <c r="M1046" s="375">
        <v>0</v>
      </c>
      <c r="N1046" s="372">
        <v>0.41199999999999998</v>
      </c>
      <c r="O1046" s="704" t="s">
        <v>16301</v>
      </c>
      <c r="P1046" s="375" t="s">
        <v>622</v>
      </c>
      <c r="Q1046" s="372" t="s">
        <v>622</v>
      </c>
      <c r="R1046" s="696">
        <v>20171129</v>
      </c>
      <c r="S1046" s="372" t="e">
        <v>#N/A</v>
      </c>
      <c r="T1046" s="697" t="s">
        <v>771</v>
      </c>
      <c r="U1046" s="372" t="s">
        <v>7273</v>
      </c>
      <c r="V1046" s="723">
        <v>0</v>
      </c>
      <c r="W1046" s="723">
        <v>0</v>
      </c>
      <c r="X1046" s="723">
        <v>0</v>
      </c>
      <c r="Y1046" s="723">
        <v>0</v>
      </c>
      <c r="Z1046" s="382" t="s">
        <v>927</v>
      </c>
      <c r="AA1046" s="372">
        <v>1431.6558090999999</v>
      </c>
      <c r="AB1046" s="372">
        <v>1795.5547314</v>
      </c>
      <c r="AC1046" s="372">
        <v>2057.4414754999998</v>
      </c>
      <c r="AD1046" s="372">
        <v>1676.3313889999999</v>
      </c>
      <c r="AE1046" s="372">
        <v>0</v>
      </c>
      <c r="AF1046" s="372">
        <v>0</v>
      </c>
      <c r="AG1046" s="372">
        <v>0</v>
      </c>
      <c r="AH1046" s="372">
        <v>0</v>
      </c>
    </row>
    <row r="1047" spans="1:34">
      <c r="A1047" s="372" t="s">
        <v>7274</v>
      </c>
      <c r="B1047" s="373" t="s">
        <v>7275</v>
      </c>
      <c r="C1047" s="372" t="s">
        <v>7276</v>
      </c>
      <c r="D1047" s="374">
        <v>1101110301111</v>
      </c>
      <c r="E1047" s="372" t="s">
        <v>7277</v>
      </c>
      <c r="F1047" s="372" t="s">
        <v>1466</v>
      </c>
      <c r="G1047" s="375" t="s">
        <v>7278</v>
      </c>
      <c r="H1047" s="375" t="s">
        <v>1468</v>
      </c>
      <c r="I1047" s="375" t="s">
        <v>754</v>
      </c>
      <c r="J1047" s="375">
        <v>307839.08851999999</v>
      </c>
      <c r="K1047" s="375">
        <v>41852.131399999998</v>
      </c>
      <c r="L1047" s="375">
        <v>42402.53299</v>
      </c>
      <c r="M1047" s="375">
        <v>307323.95993000001</v>
      </c>
      <c r="N1047" s="372">
        <v>0.72499999999999998</v>
      </c>
      <c r="O1047" s="704">
        <v>14.295489985699989</v>
      </c>
      <c r="P1047" s="375" t="s">
        <v>622</v>
      </c>
      <c r="Q1047" s="375" t="s">
        <v>622</v>
      </c>
      <c r="R1047" s="696">
        <v>19910307</v>
      </c>
      <c r="S1047" s="375" t="s">
        <v>7279</v>
      </c>
      <c r="T1047" s="697">
        <v>0.23100000000000001</v>
      </c>
      <c r="U1047" s="372" t="s">
        <v>7280</v>
      </c>
      <c r="V1047" s="723">
        <v>4.33</v>
      </c>
      <c r="W1047" s="723">
        <v>0.57999999999999996</v>
      </c>
      <c r="X1047" s="723">
        <v>0.4</v>
      </c>
      <c r="Y1047" s="723">
        <v>4.8</v>
      </c>
      <c r="Z1047" s="382" t="s">
        <v>927</v>
      </c>
      <c r="AA1047" s="372">
        <v>1653.4526965</v>
      </c>
      <c r="AB1047" s="372">
        <v>1951.5704354</v>
      </c>
      <c r="AC1047" s="372">
        <v>3450.5121202999999</v>
      </c>
      <c r="AD1047" s="372">
        <v>2941.6211408999998</v>
      </c>
      <c r="AE1047" s="372">
        <v>0</v>
      </c>
      <c r="AF1047" s="372">
        <v>0</v>
      </c>
      <c r="AG1047" s="372">
        <v>0</v>
      </c>
      <c r="AH1047" s="372">
        <v>0</v>
      </c>
    </row>
    <row r="1048" spans="1:34">
      <c r="A1048" s="372" t="s">
        <v>7281</v>
      </c>
      <c r="B1048" s="373" t="s">
        <v>7282</v>
      </c>
      <c r="C1048" s="372" t="s">
        <v>7283</v>
      </c>
      <c r="D1048" s="374">
        <v>1101115576438</v>
      </c>
      <c r="E1048" s="372" t="s">
        <v>7284</v>
      </c>
      <c r="F1048" s="375" t="s">
        <v>1696</v>
      </c>
      <c r="G1048" s="375" t="s">
        <v>1696</v>
      </c>
      <c r="H1048" s="375" t="s">
        <v>1337</v>
      </c>
      <c r="I1048" s="375" t="s">
        <v>862</v>
      </c>
      <c r="J1048" s="375">
        <v>56019.819150000003</v>
      </c>
      <c r="K1048" s="375">
        <v>4397.8960900000002</v>
      </c>
      <c r="L1048" s="375">
        <v>5431.0483400000003</v>
      </c>
      <c r="M1048" s="375">
        <v>60108.835209999997</v>
      </c>
      <c r="N1048" s="372" t="s">
        <v>1026</v>
      </c>
      <c r="O1048" s="704">
        <v>1.5431919755743724</v>
      </c>
      <c r="P1048" s="375" t="s">
        <v>622</v>
      </c>
      <c r="Q1048" s="372" t="s">
        <v>622</v>
      </c>
      <c r="R1048" s="696">
        <v>20231006</v>
      </c>
      <c r="S1048" s="372" t="s">
        <v>7285</v>
      </c>
      <c r="T1048" s="697">
        <v>0.20900000000000002</v>
      </c>
      <c r="U1048" s="372" t="s">
        <v>7286</v>
      </c>
      <c r="V1048" s="723">
        <v>16.36</v>
      </c>
      <c r="W1048" s="723">
        <v>1.62</v>
      </c>
      <c r="X1048" s="723">
        <v>1.82</v>
      </c>
      <c r="Y1048" s="723">
        <v>17.22</v>
      </c>
      <c r="Z1048" s="382">
        <v>8.6529103808455021E-2</v>
      </c>
      <c r="AA1048" s="372">
        <v>173.03875619999999</v>
      </c>
      <c r="AB1048" s="372">
        <v>229.85129359999999</v>
      </c>
      <c r="AC1048" s="372">
        <v>402.68701490000001</v>
      </c>
      <c r="AD1048" s="372">
        <v>515.89751390000004</v>
      </c>
      <c r="AE1048" s="372">
        <v>490</v>
      </c>
      <c r="AF1048" s="372">
        <v>623</v>
      </c>
      <c r="AG1048" s="372">
        <v>719</v>
      </c>
      <c r="AH1048" s="372">
        <v>0</v>
      </c>
    </row>
    <row r="1049" spans="1:34">
      <c r="A1049" s="372" t="s">
        <v>7287</v>
      </c>
      <c r="B1049" s="373" t="s">
        <v>7288</v>
      </c>
      <c r="C1049" s="372" t="s">
        <v>7289</v>
      </c>
      <c r="D1049" s="374">
        <v>1101111315286</v>
      </c>
      <c r="E1049" s="372" t="s">
        <v>7290</v>
      </c>
      <c r="F1049" s="375" t="s">
        <v>893</v>
      </c>
      <c r="G1049" s="375" t="s">
        <v>894</v>
      </c>
      <c r="H1049" s="375" t="s">
        <v>895</v>
      </c>
      <c r="I1049" s="375" t="s">
        <v>862</v>
      </c>
      <c r="J1049" s="375">
        <v>40358.694799999997</v>
      </c>
      <c r="K1049" s="375">
        <v>-19938.861669999998</v>
      </c>
      <c r="L1049" s="375">
        <v>66704.118600000002</v>
      </c>
      <c r="M1049" s="375">
        <v>282318.4816</v>
      </c>
      <c r="N1049" s="372">
        <v>0.40799999999999997</v>
      </c>
      <c r="O1049" s="704">
        <v>105.56324254329654</v>
      </c>
      <c r="P1049" s="375" t="s">
        <v>622</v>
      </c>
      <c r="Q1049" s="372" t="s">
        <v>622</v>
      </c>
      <c r="R1049" s="696">
        <v>20011130</v>
      </c>
      <c r="S1049" s="375" t="s">
        <v>7291</v>
      </c>
      <c r="T1049" s="697">
        <v>0.23100000000000001</v>
      </c>
      <c r="U1049" s="375" t="s">
        <v>15888</v>
      </c>
      <c r="V1049" s="723" t="s">
        <v>773</v>
      </c>
      <c r="W1049" s="723">
        <v>0.38</v>
      </c>
      <c r="X1049" s="723">
        <v>2.73</v>
      </c>
      <c r="Y1049" s="723">
        <v>1.94</v>
      </c>
      <c r="Z1049" s="382" t="s">
        <v>927</v>
      </c>
      <c r="AA1049" s="372">
        <v>253.45952539999999</v>
      </c>
      <c r="AB1049" s="372">
        <v>394.1552125</v>
      </c>
      <c r="AC1049" s="372">
        <v>408.2193403</v>
      </c>
      <c r="AD1049" s="372">
        <v>410.4738792</v>
      </c>
      <c r="AE1049" s="372">
        <v>470</v>
      </c>
      <c r="AF1049" s="372">
        <v>0</v>
      </c>
      <c r="AG1049" s="372">
        <v>0</v>
      </c>
      <c r="AH1049" s="372">
        <v>0</v>
      </c>
    </row>
    <row r="1050" spans="1:34">
      <c r="A1050" s="372" t="s">
        <v>7292</v>
      </c>
      <c r="B1050" s="373" t="s">
        <v>7293</v>
      </c>
      <c r="C1050" s="372" t="s">
        <v>7294</v>
      </c>
      <c r="D1050" s="374">
        <v>1311110000718</v>
      </c>
      <c r="E1050" s="372" t="s">
        <v>7295</v>
      </c>
      <c r="F1050" s="372" t="s">
        <v>1276</v>
      </c>
      <c r="G1050" s="375" t="s">
        <v>7296</v>
      </c>
      <c r="H1050" s="375" t="s">
        <v>861</v>
      </c>
      <c r="I1050" s="375" t="s">
        <v>862</v>
      </c>
      <c r="J1050" s="375">
        <v>119012.47263</v>
      </c>
      <c r="K1050" s="375">
        <v>-5951.3506500000003</v>
      </c>
      <c r="L1050" s="375">
        <v>-2159.77124</v>
      </c>
      <c r="M1050" s="375">
        <v>111904.59009</v>
      </c>
      <c r="N1050" s="372">
        <v>1.2969999999999999</v>
      </c>
      <c r="O1050" s="704">
        <v>18.663419456790738</v>
      </c>
      <c r="P1050" s="375" t="s">
        <v>622</v>
      </c>
      <c r="Q1050" s="372" t="s">
        <v>622</v>
      </c>
      <c r="R1050" s="696">
        <v>20020628</v>
      </c>
      <c r="S1050" s="375" t="s">
        <v>7297</v>
      </c>
      <c r="T1050" s="697" t="s">
        <v>771</v>
      </c>
      <c r="U1050" s="375" t="s">
        <v>7298</v>
      </c>
      <c r="V1050" s="723">
        <v>64.88</v>
      </c>
      <c r="W1050" s="723">
        <v>0.69</v>
      </c>
      <c r="X1050" s="723">
        <v>0.65</v>
      </c>
      <c r="Y1050" s="723" t="s">
        <v>773</v>
      </c>
      <c r="Z1050" s="382" t="s">
        <v>927</v>
      </c>
      <c r="AA1050" s="372">
        <v>1241.1963742999999</v>
      </c>
      <c r="AB1050" s="372">
        <v>1476.7712294</v>
      </c>
      <c r="AC1050" s="372">
        <v>1646.9675698999999</v>
      </c>
      <c r="AD1050" s="372">
        <v>1250.2984778</v>
      </c>
      <c r="AE1050" s="372">
        <v>1450</v>
      </c>
      <c r="AF1050" s="372">
        <v>1640</v>
      </c>
      <c r="AG1050" s="372">
        <v>0</v>
      </c>
      <c r="AH1050" s="372">
        <v>0</v>
      </c>
    </row>
    <row r="1051" spans="1:34">
      <c r="A1051" s="372" t="s">
        <v>7299</v>
      </c>
      <c r="B1051" s="373" t="s">
        <v>7300</v>
      </c>
      <c r="C1051" s="372" t="s">
        <v>7301</v>
      </c>
      <c r="D1051" s="374">
        <v>1301110058560</v>
      </c>
      <c r="E1051" s="372" t="s">
        <v>7302</v>
      </c>
      <c r="F1051" s="372" t="s">
        <v>1185</v>
      </c>
      <c r="G1051" s="375" t="s">
        <v>1186</v>
      </c>
      <c r="H1051" s="375" t="s">
        <v>861</v>
      </c>
      <c r="I1051" s="375" t="s">
        <v>862</v>
      </c>
      <c r="J1051" s="375">
        <v>105204.33044000001</v>
      </c>
      <c r="K1051" s="375">
        <v>-30991.391019999999</v>
      </c>
      <c r="L1051" s="375">
        <v>-28855.087729999999</v>
      </c>
      <c r="M1051" s="375">
        <v>120907.18682</v>
      </c>
      <c r="N1051" s="372">
        <v>0.82</v>
      </c>
      <c r="O1051" s="704">
        <v>43.804376743062193</v>
      </c>
      <c r="P1051" s="375" t="s">
        <v>622</v>
      </c>
      <c r="Q1051" s="372" t="s">
        <v>622</v>
      </c>
      <c r="R1051" s="696">
        <v>20110805</v>
      </c>
      <c r="S1051" s="372" t="s">
        <v>7303</v>
      </c>
      <c r="T1051" s="697" t="s">
        <v>771</v>
      </c>
      <c r="U1051" s="372" t="s">
        <v>7304</v>
      </c>
      <c r="V1051" s="723" t="s">
        <v>773</v>
      </c>
      <c r="W1051" s="723">
        <v>0.74</v>
      </c>
      <c r="X1051" s="723">
        <v>1.03</v>
      </c>
      <c r="Y1051" s="723" t="s">
        <v>773</v>
      </c>
      <c r="Z1051" s="382" t="s">
        <v>927</v>
      </c>
      <c r="AA1051" s="372">
        <v>3089.6525353000002</v>
      </c>
      <c r="AB1051" s="372">
        <v>1157.6937777000001</v>
      </c>
      <c r="AC1051" s="372">
        <v>1509.4490636</v>
      </c>
      <c r="AD1051" s="372">
        <v>622.73750989999996</v>
      </c>
      <c r="AE1051" s="372">
        <v>2131</v>
      </c>
      <c r="AF1051" s="372">
        <v>0</v>
      </c>
      <c r="AG1051" s="372">
        <v>0</v>
      </c>
      <c r="AH1051" s="372">
        <v>0</v>
      </c>
    </row>
    <row r="1052" spans="1:34">
      <c r="A1052" s="372" t="s">
        <v>7305</v>
      </c>
      <c r="B1052" s="373" t="s">
        <v>7306</v>
      </c>
      <c r="C1052" s="372" t="s">
        <v>7307</v>
      </c>
      <c r="D1052" s="374">
        <v>1601110362866</v>
      </c>
      <c r="E1052" s="372" t="s">
        <v>7308</v>
      </c>
      <c r="F1052" s="375" t="s">
        <v>1796</v>
      </c>
      <c r="G1052" s="375" t="s">
        <v>1797</v>
      </c>
      <c r="H1052" s="375" t="s">
        <v>861</v>
      </c>
      <c r="I1052" s="375" t="s">
        <v>862</v>
      </c>
      <c r="J1052" s="375">
        <v>8470.9077300000008</v>
      </c>
      <c r="K1052" s="375">
        <v>-6205.76314</v>
      </c>
      <c r="L1052" s="375">
        <v>-5219.5877799999998</v>
      </c>
      <c r="M1052" s="375">
        <v>18492.220689999998</v>
      </c>
      <c r="N1052" s="372">
        <v>1.1399999999999999</v>
      </c>
      <c r="O1052" s="704">
        <v>37.929552316576832</v>
      </c>
      <c r="P1052" s="375" t="s">
        <v>622</v>
      </c>
      <c r="Q1052" s="372" t="s">
        <v>622</v>
      </c>
      <c r="R1052" s="696">
        <v>20211123</v>
      </c>
      <c r="S1052" s="372" t="s">
        <v>7309</v>
      </c>
      <c r="T1052" s="697" t="s">
        <v>771</v>
      </c>
      <c r="U1052" s="372" t="s">
        <v>7310</v>
      </c>
      <c r="V1052" s="723" t="s">
        <v>773</v>
      </c>
      <c r="W1052" s="723">
        <v>3.88</v>
      </c>
      <c r="X1052" s="723">
        <v>8.41</v>
      </c>
      <c r="Y1052" s="723" t="s">
        <v>773</v>
      </c>
      <c r="Z1052" s="382">
        <v>3.4298394359941087E-2</v>
      </c>
      <c r="AA1052" s="372">
        <v>100.1354284</v>
      </c>
      <c r="AB1052" s="372">
        <v>69.789779800000005</v>
      </c>
      <c r="AC1052" s="372">
        <v>82.436763400000004</v>
      </c>
      <c r="AD1052" s="372">
        <v>102.2356729</v>
      </c>
      <c r="AE1052" s="372">
        <v>88</v>
      </c>
      <c r="AF1052" s="372">
        <v>102</v>
      </c>
      <c r="AG1052" s="372">
        <v>117</v>
      </c>
      <c r="AH1052" s="372">
        <v>0</v>
      </c>
    </row>
    <row r="1053" spans="1:34">
      <c r="A1053" s="372" t="s">
        <v>7311</v>
      </c>
      <c r="B1053" s="373" t="s">
        <v>7312</v>
      </c>
      <c r="C1053" s="372" t="s">
        <v>7313</v>
      </c>
      <c r="D1053" s="374">
        <v>1101115530111</v>
      </c>
      <c r="E1053" s="372" t="s">
        <v>7314</v>
      </c>
      <c r="F1053" s="375" t="s">
        <v>1750</v>
      </c>
      <c r="G1053" s="375" t="s">
        <v>1750</v>
      </c>
      <c r="H1053" s="375" t="s">
        <v>861</v>
      </c>
      <c r="I1053" s="375" t="s">
        <v>862</v>
      </c>
      <c r="J1053" s="375">
        <v>29272.13509</v>
      </c>
      <c r="K1053" s="375">
        <v>1992.2783300000001</v>
      </c>
      <c r="L1053" s="375">
        <v>840.80661999999995</v>
      </c>
      <c r="M1053" s="375">
        <v>61499.548170000002</v>
      </c>
      <c r="N1053" s="372">
        <v>0.17699999999999999</v>
      </c>
      <c r="O1053" s="704">
        <v>2.6145933994790376</v>
      </c>
      <c r="P1053" s="375" t="s">
        <v>622</v>
      </c>
      <c r="Q1053" s="372" t="s">
        <v>622</v>
      </c>
      <c r="R1053" s="696">
        <v>20141217</v>
      </c>
      <c r="S1053" s="372" t="s">
        <v>7315</v>
      </c>
      <c r="T1053" s="697">
        <v>0.20900000000000002</v>
      </c>
      <c r="U1053" s="372" t="s">
        <v>7316</v>
      </c>
      <c r="V1053" s="723">
        <v>41.22</v>
      </c>
      <c r="W1053" s="723">
        <v>2.0299999999999998</v>
      </c>
      <c r="X1053" s="723">
        <v>4.2699999999999996</v>
      </c>
      <c r="Y1053" s="723">
        <v>58.09</v>
      </c>
      <c r="Z1053" s="382" t="s">
        <v>927</v>
      </c>
      <c r="AA1053" s="372">
        <v>211.5235054</v>
      </c>
      <c r="AB1053" s="372">
        <v>290.89193740000002</v>
      </c>
      <c r="AC1053" s="372">
        <v>276.85710219999999</v>
      </c>
      <c r="AD1053" s="372">
        <v>298.1277101</v>
      </c>
      <c r="AE1053" s="372">
        <v>0</v>
      </c>
      <c r="AF1053" s="372">
        <v>0</v>
      </c>
      <c r="AG1053" s="372">
        <v>0</v>
      </c>
      <c r="AH1053" s="372">
        <v>0</v>
      </c>
    </row>
    <row r="1054" spans="1:34">
      <c r="A1054" s="372" t="s">
        <v>7317</v>
      </c>
      <c r="B1054" s="373" t="s">
        <v>7318</v>
      </c>
      <c r="C1054" s="372" t="s">
        <v>7319</v>
      </c>
      <c r="D1054" s="374">
        <v>1801110039396</v>
      </c>
      <c r="E1054" s="372" t="s">
        <v>7320</v>
      </c>
      <c r="F1054" s="375" t="s">
        <v>880</v>
      </c>
      <c r="G1054" s="375" t="s">
        <v>880</v>
      </c>
      <c r="H1054" s="375" t="s">
        <v>792</v>
      </c>
      <c r="I1054" s="375" t="s">
        <v>754</v>
      </c>
      <c r="J1054" s="375">
        <v>323031.50987000001</v>
      </c>
      <c r="K1054" s="375">
        <v>29511.689719999998</v>
      </c>
      <c r="L1054" s="375">
        <v>37946.618009999998</v>
      </c>
      <c r="M1054" s="375">
        <v>284070.95179000002</v>
      </c>
      <c r="N1054" s="372">
        <v>0.625</v>
      </c>
      <c r="O1054" s="704">
        <v>5.8136626741698585</v>
      </c>
      <c r="P1054" s="375" t="s">
        <v>622</v>
      </c>
      <c r="Q1054" s="375" t="s">
        <v>622</v>
      </c>
      <c r="R1054" s="696">
        <v>19890725</v>
      </c>
      <c r="S1054" s="375" t="s">
        <v>7321</v>
      </c>
      <c r="T1054" s="697">
        <v>0.23100000000000001</v>
      </c>
      <c r="U1054" s="372" t="s">
        <v>7322</v>
      </c>
      <c r="V1054" s="723">
        <v>4.0999999999999996</v>
      </c>
      <c r="W1054" s="723">
        <v>0.5</v>
      </c>
      <c r="X1054" s="723">
        <v>0.46</v>
      </c>
      <c r="Y1054" s="723">
        <v>5.55</v>
      </c>
      <c r="Z1054" s="382" t="s">
        <v>927</v>
      </c>
      <c r="AA1054" s="372">
        <v>2644.7223168999999</v>
      </c>
      <c r="AB1054" s="372">
        <v>3544.3966178999999</v>
      </c>
      <c r="AC1054" s="372">
        <v>4214.9765783000003</v>
      </c>
      <c r="AD1054" s="372">
        <v>3721.2259024</v>
      </c>
      <c r="AE1054" s="372">
        <v>4640</v>
      </c>
      <c r="AF1054" s="372">
        <v>0</v>
      </c>
      <c r="AG1054" s="372">
        <v>0</v>
      </c>
      <c r="AH1054" s="372">
        <v>0</v>
      </c>
    </row>
    <row r="1055" spans="1:34">
      <c r="A1055" s="372" t="s">
        <v>7323</v>
      </c>
      <c r="B1055" s="373" t="s">
        <v>7324</v>
      </c>
      <c r="C1055" s="372" t="s">
        <v>7325</v>
      </c>
      <c r="D1055" s="374">
        <v>1344110035203</v>
      </c>
      <c r="E1055" s="372" t="s">
        <v>7326</v>
      </c>
      <c r="F1055" s="375" t="s">
        <v>3236</v>
      </c>
      <c r="G1055" s="375" t="s">
        <v>3236</v>
      </c>
      <c r="H1055" s="375" t="s">
        <v>861</v>
      </c>
      <c r="I1055" s="375" t="s">
        <v>862</v>
      </c>
      <c r="J1055" s="375">
        <v>81561.979470000006</v>
      </c>
      <c r="K1055" s="375">
        <v>-25674.20405</v>
      </c>
      <c r="L1055" s="375">
        <v>-26851.98603</v>
      </c>
      <c r="M1055" s="375">
        <v>82913.884109999999</v>
      </c>
      <c r="N1055" s="372">
        <v>0.86599999999999999</v>
      </c>
      <c r="O1055" s="704">
        <v>77.605610331716946</v>
      </c>
      <c r="P1055" s="375" t="s">
        <v>622</v>
      </c>
      <c r="Q1055" s="372" t="s">
        <v>622</v>
      </c>
      <c r="R1055" s="696">
        <v>20141226</v>
      </c>
      <c r="S1055" s="375" t="s">
        <v>7327</v>
      </c>
      <c r="T1055" s="697" t="s">
        <v>771</v>
      </c>
      <c r="U1055" s="372" t="s">
        <v>7328</v>
      </c>
      <c r="V1055" s="723">
        <v>0</v>
      </c>
      <c r="W1055" s="723">
        <v>0</v>
      </c>
      <c r="X1055" s="723">
        <v>0</v>
      </c>
      <c r="Y1055" s="723">
        <v>0</v>
      </c>
      <c r="Z1055" s="382" t="s">
        <v>927</v>
      </c>
      <c r="AA1055" s="372">
        <v>496.3003167</v>
      </c>
      <c r="AB1055" s="372">
        <v>472.17098399999998</v>
      </c>
      <c r="AC1055" s="372">
        <v>736.46384260000002</v>
      </c>
      <c r="AD1055" s="372">
        <v>937.4231767</v>
      </c>
      <c r="AE1055" s="372">
        <v>0</v>
      </c>
      <c r="AF1055" s="372">
        <v>0</v>
      </c>
      <c r="AG1055" s="372">
        <v>0</v>
      </c>
      <c r="AH1055" s="372">
        <v>0</v>
      </c>
    </row>
    <row r="1056" spans="1:34">
      <c r="A1056" s="372" t="s">
        <v>7329</v>
      </c>
      <c r="B1056" s="373" t="s">
        <v>7330</v>
      </c>
      <c r="C1056" s="372" t="s">
        <v>7331</v>
      </c>
      <c r="D1056" s="374">
        <v>1243110046030</v>
      </c>
      <c r="E1056" s="372" t="s">
        <v>7332</v>
      </c>
      <c r="F1056" s="375" t="s">
        <v>1185</v>
      </c>
      <c r="G1056" s="375" t="s">
        <v>1186</v>
      </c>
      <c r="H1056" s="375" t="s">
        <v>861</v>
      </c>
      <c r="I1056" s="375" t="s">
        <v>862</v>
      </c>
      <c r="J1056" s="375">
        <v>64038.099970000003</v>
      </c>
      <c r="K1056" s="375">
        <v>-8449.5128399999994</v>
      </c>
      <c r="L1056" s="375">
        <v>-9705.8737099999998</v>
      </c>
      <c r="M1056" s="375">
        <v>160316.56826</v>
      </c>
      <c r="N1056" s="372">
        <v>0.83699999999999997</v>
      </c>
      <c r="O1056" s="704">
        <v>0.90074651682035944</v>
      </c>
      <c r="P1056" s="375" t="s">
        <v>622</v>
      </c>
      <c r="Q1056" s="372" t="s">
        <v>622</v>
      </c>
      <c r="R1056" s="696">
        <v>20070110</v>
      </c>
      <c r="S1056" s="375" t="s">
        <v>7333</v>
      </c>
      <c r="T1056" s="697" t="s">
        <v>771</v>
      </c>
      <c r="U1056" s="372" t="s">
        <v>7334</v>
      </c>
      <c r="V1056" s="723" t="s">
        <v>773</v>
      </c>
      <c r="W1056" s="723">
        <v>0.56000000000000005</v>
      </c>
      <c r="X1056" s="723">
        <v>1.42</v>
      </c>
      <c r="Y1056" s="723" t="s">
        <v>773</v>
      </c>
      <c r="Z1056" s="382">
        <v>0.6335334996547608</v>
      </c>
      <c r="AA1056" s="372">
        <v>1144.4867558999999</v>
      </c>
      <c r="AB1056" s="372">
        <v>818.38114599999994</v>
      </c>
      <c r="AC1056" s="372">
        <v>1439.3969737</v>
      </c>
      <c r="AD1056" s="372">
        <v>720.87353780000001</v>
      </c>
      <c r="AE1056" s="372">
        <v>1374.7</v>
      </c>
      <c r="AF1056" s="372">
        <v>3562</v>
      </c>
      <c r="AG1056" s="372">
        <v>5133</v>
      </c>
      <c r="AH1056" s="372">
        <v>0</v>
      </c>
    </row>
    <row r="1057" spans="1:34">
      <c r="A1057" s="372" t="s">
        <v>7335</v>
      </c>
      <c r="B1057" s="373" t="s">
        <v>7336</v>
      </c>
      <c r="C1057" s="372" t="s">
        <v>7337</v>
      </c>
      <c r="D1057" s="374">
        <v>1311110475341</v>
      </c>
      <c r="E1057" s="372" t="s">
        <v>7338</v>
      </c>
      <c r="F1057" s="375" t="s">
        <v>6610</v>
      </c>
      <c r="G1057" s="375" t="s">
        <v>6610</v>
      </c>
      <c r="H1057" s="375" t="s">
        <v>861</v>
      </c>
      <c r="I1057" s="375" t="s">
        <v>862</v>
      </c>
      <c r="J1057" s="375">
        <v>108956.50178999999</v>
      </c>
      <c r="K1057" s="375">
        <v>13755.4105</v>
      </c>
      <c r="L1057" s="375">
        <v>20753.66041</v>
      </c>
      <c r="M1057" s="375">
        <v>167725.43820999999</v>
      </c>
      <c r="N1057" s="372">
        <v>0.45</v>
      </c>
      <c r="O1057" s="704">
        <v>3.1778222322856062</v>
      </c>
      <c r="P1057" s="375" t="s">
        <v>622</v>
      </c>
      <c r="Q1057" s="372" t="s">
        <v>622</v>
      </c>
      <c r="R1057" s="696">
        <v>20170331</v>
      </c>
      <c r="S1057" s="372" t="s">
        <v>7339</v>
      </c>
      <c r="T1057" s="697">
        <v>0.23100000000000001</v>
      </c>
      <c r="U1057" s="372" t="s">
        <v>5533</v>
      </c>
      <c r="V1057" s="723">
        <v>7.47</v>
      </c>
      <c r="W1057" s="723">
        <v>0.75</v>
      </c>
      <c r="X1057" s="723">
        <v>1.19</v>
      </c>
      <c r="Y1057" s="723">
        <v>7.08</v>
      </c>
      <c r="Z1057" s="382" t="s">
        <v>927</v>
      </c>
      <c r="AA1057" s="372">
        <v>1104.608649</v>
      </c>
      <c r="AB1057" s="372">
        <v>1390.8836272000001</v>
      </c>
      <c r="AC1057" s="372">
        <v>1337.2282631</v>
      </c>
      <c r="AD1057" s="372">
        <v>1502.7820236</v>
      </c>
      <c r="AE1057" s="372">
        <v>0</v>
      </c>
      <c r="AF1057" s="372">
        <v>0</v>
      </c>
      <c r="AG1057" s="372">
        <v>0</v>
      </c>
      <c r="AH1057" s="372">
        <v>0</v>
      </c>
    </row>
    <row r="1058" spans="1:34">
      <c r="A1058" s="372" t="s">
        <v>7340</v>
      </c>
      <c r="B1058" s="373" t="s">
        <v>7341</v>
      </c>
      <c r="C1058" s="372" t="s">
        <v>7342</v>
      </c>
      <c r="D1058" s="374">
        <v>1801110025147</v>
      </c>
      <c r="E1058" s="372" t="s">
        <v>7343</v>
      </c>
      <c r="F1058" s="375" t="s">
        <v>1863</v>
      </c>
      <c r="G1058" s="375" t="s">
        <v>1864</v>
      </c>
      <c r="H1058" s="375" t="s">
        <v>792</v>
      </c>
      <c r="I1058" s="375" t="s">
        <v>754</v>
      </c>
      <c r="J1058" s="375">
        <v>717938.97308000003</v>
      </c>
      <c r="K1058" s="375">
        <v>22929.257659999999</v>
      </c>
      <c r="L1058" s="375">
        <v>9719.6942400000007</v>
      </c>
      <c r="M1058" s="375">
        <v>175326.64391000001</v>
      </c>
      <c r="N1058" s="372">
        <v>1.0549999999999999</v>
      </c>
      <c r="O1058" s="704">
        <v>220.07823872134495</v>
      </c>
      <c r="P1058" s="375" t="s">
        <v>622</v>
      </c>
      <c r="Q1058" s="375" t="s">
        <v>622</v>
      </c>
      <c r="R1058" s="696">
        <v>20071018</v>
      </c>
      <c r="S1058" s="375" t="s">
        <v>7344</v>
      </c>
      <c r="T1058" s="697">
        <v>0.20900000000000002</v>
      </c>
      <c r="U1058" s="375" t="s">
        <v>7345</v>
      </c>
      <c r="V1058" s="723">
        <v>7.42</v>
      </c>
      <c r="W1058" s="723">
        <v>1.04</v>
      </c>
      <c r="X1058" s="723">
        <v>0.22</v>
      </c>
      <c r="Y1058" s="723">
        <v>10.42</v>
      </c>
      <c r="Z1058" s="382" t="s">
        <v>927</v>
      </c>
      <c r="AA1058" s="372">
        <v>4933.8737975000004</v>
      </c>
      <c r="AB1058" s="372">
        <v>5901.3204558999996</v>
      </c>
      <c r="AC1058" s="372">
        <v>6958.9022156999999</v>
      </c>
      <c r="AD1058" s="372">
        <v>7286.6490252000003</v>
      </c>
      <c r="AE1058" s="372">
        <v>0</v>
      </c>
      <c r="AF1058" s="372">
        <v>0</v>
      </c>
      <c r="AG1058" s="372">
        <v>0</v>
      </c>
      <c r="AH1058" s="372">
        <v>0</v>
      </c>
    </row>
    <row r="1059" spans="1:34">
      <c r="A1059" s="372" t="s">
        <v>7346</v>
      </c>
      <c r="B1059" s="373" t="s">
        <v>7347</v>
      </c>
      <c r="C1059" s="372" t="s">
        <v>7348</v>
      </c>
      <c r="D1059" s="374">
        <v>2111110000042</v>
      </c>
      <c r="E1059" s="372" t="s">
        <v>7349</v>
      </c>
      <c r="F1059" s="375" t="s">
        <v>7212</v>
      </c>
      <c r="G1059" s="375" t="s">
        <v>7350</v>
      </c>
      <c r="H1059" s="375" t="s">
        <v>3957</v>
      </c>
      <c r="I1059" s="375" t="s">
        <v>754</v>
      </c>
      <c r="J1059" s="375">
        <v>283791.68948</v>
      </c>
      <c r="K1059" s="375">
        <v>3049.4962799999998</v>
      </c>
      <c r="L1059" s="375">
        <v>-2123.6303600000001</v>
      </c>
      <c r="M1059" s="375">
        <v>295428.00344</v>
      </c>
      <c r="N1059" s="372">
        <v>0.622</v>
      </c>
      <c r="O1059" s="704">
        <v>107.48443012631832</v>
      </c>
      <c r="P1059" s="375" t="s">
        <v>622</v>
      </c>
      <c r="Q1059" s="372" t="s">
        <v>622</v>
      </c>
      <c r="R1059" s="696">
        <v>19760626</v>
      </c>
      <c r="S1059" s="372" t="s">
        <v>7351</v>
      </c>
      <c r="T1059" s="697" t="s">
        <v>771</v>
      </c>
      <c r="U1059" s="372" t="s">
        <v>7352</v>
      </c>
      <c r="V1059" s="723">
        <v>11.65</v>
      </c>
      <c r="W1059" s="723">
        <v>0.43</v>
      </c>
      <c r="X1059" s="723">
        <v>0.45</v>
      </c>
      <c r="Y1059" s="723">
        <v>136.84</v>
      </c>
      <c r="Z1059" s="382" t="s">
        <v>927</v>
      </c>
      <c r="AA1059" s="372">
        <v>4840.6448153000001</v>
      </c>
      <c r="AB1059" s="372">
        <v>4352.8269596</v>
      </c>
      <c r="AC1059" s="372">
        <v>4099.5704143000003</v>
      </c>
      <c r="AD1059" s="372">
        <v>3620.7169606000002</v>
      </c>
      <c r="AE1059" s="372">
        <v>0</v>
      </c>
      <c r="AF1059" s="372">
        <v>0</v>
      </c>
      <c r="AG1059" s="372">
        <v>0</v>
      </c>
      <c r="AH1059" s="372">
        <v>0</v>
      </c>
    </row>
    <row r="1060" spans="1:34">
      <c r="A1060" s="372" t="s">
        <v>7353</v>
      </c>
      <c r="B1060" s="373" t="s">
        <v>7354</v>
      </c>
      <c r="C1060" s="372" t="s">
        <v>7355</v>
      </c>
      <c r="D1060" s="374">
        <v>1346110012687</v>
      </c>
      <c r="E1060" s="372" t="s">
        <v>7356</v>
      </c>
      <c r="F1060" s="375" t="s">
        <v>2426</v>
      </c>
      <c r="G1060" s="375" t="s">
        <v>2427</v>
      </c>
      <c r="H1060" s="375" t="s">
        <v>861</v>
      </c>
      <c r="I1060" s="375" t="s">
        <v>862</v>
      </c>
      <c r="J1060" s="375">
        <v>164776.6679</v>
      </c>
      <c r="K1060" s="375">
        <v>26218.615460000001</v>
      </c>
      <c r="L1060" s="375">
        <v>32699.000960000001</v>
      </c>
      <c r="M1060" s="375">
        <v>372825.43371999997</v>
      </c>
      <c r="N1060" s="372">
        <v>0.97099999999999997</v>
      </c>
      <c r="O1060" s="704">
        <v>65.725969551780409</v>
      </c>
      <c r="P1060" s="375" t="s">
        <v>622</v>
      </c>
      <c r="Q1060" s="372" t="s">
        <v>622</v>
      </c>
      <c r="R1060" s="696">
        <v>20040924</v>
      </c>
      <c r="S1060" s="372" t="s">
        <v>7357</v>
      </c>
      <c r="T1060" s="697">
        <v>0.23100000000000001</v>
      </c>
      <c r="U1060" s="372" t="s">
        <v>7358</v>
      </c>
      <c r="V1060" s="723">
        <v>5.92</v>
      </c>
      <c r="W1060" s="723">
        <v>0.43</v>
      </c>
      <c r="X1060" s="723">
        <v>0.86</v>
      </c>
      <c r="Y1060" s="723">
        <v>18.170000000000002</v>
      </c>
      <c r="Z1060" s="382" t="s">
        <v>927</v>
      </c>
      <c r="AA1060" s="372">
        <v>2269.0250245000002</v>
      </c>
      <c r="AB1060" s="372">
        <v>2253.9363220999999</v>
      </c>
      <c r="AC1060" s="372">
        <v>3170.478654</v>
      </c>
      <c r="AD1060" s="372">
        <v>1645.2535184000001</v>
      </c>
      <c r="AE1060" s="372">
        <v>2400</v>
      </c>
      <c r="AF1060" s="372">
        <v>3179</v>
      </c>
      <c r="AG1060" s="372">
        <v>0</v>
      </c>
      <c r="AH1060" s="372">
        <v>0</v>
      </c>
    </row>
    <row r="1061" spans="1:34">
      <c r="A1061" s="372" t="s">
        <v>7359</v>
      </c>
      <c r="B1061" s="373" t="s">
        <v>7360</v>
      </c>
      <c r="C1061" s="372" t="s">
        <v>7361</v>
      </c>
      <c r="D1061" s="374">
        <v>1701110008913</v>
      </c>
      <c r="E1061" s="372" t="s">
        <v>7362</v>
      </c>
      <c r="F1061" s="375" t="s">
        <v>2992</v>
      </c>
      <c r="G1061" s="375" t="s">
        <v>2992</v>
      </c>
      <c r="H1061" s="375" t="s">
        <v>861</v>
      </c>
      <c r="I1061" s="375" t="s">
        <v>862</v>
      </c>
      <c r="J1061" s="375">
        <v>753401.75586999999</v>
      </c>
      <c r="K1061" s="375">
        <v>53266.928039999999</v>
      </c>
      <c r="L1061" s="375">
        <v>34876.783649999998</v>
      </c>
      <c r="M1061" s="375">
        <v>303824.87657999998</v>
      </c>
      <c r="N1061" s="372">
        <v>1.121</v>
      </c>
      <c r="O1061" s="704">
        <v>614.34814140661513</v>
      </c>
      <c r="P1061" s="375" t="s">
        <v>622</v>
      </c>
      <c r="Q1061" s="372" t="s">
        <v>622</v>
      </c>
      <c r="R1061" s="696">
        <v>19970930</v>
      </c>
      <c r="S1061" s="375" t="s">
        <v>5842</v>
      </c>
      <c r="T1061" s="697">
        <v>0.23100000000000001</v>
      </c>
      <c r="U1061" s="375" t="s">
        <v>7363</v>
      </c>
      <c r="V1061" s="723">
        <v>5.21</v>
      </c>
      <c r="W1061" s="723">
        <v>0.39</v>
      </c>
      <c r="X1061" s="723">
        <v>0.16</v>
      </c>
      <c r="Y1061" s="723">
        <v>4.3600000000000003</v>
      </c>
      <c r="Z1061" s="382" t="s">
        <v>927</v>
      </c>
      <c r="AA1061" s="372">
        <v>4407.0388295000002</v>
      </c>
      <c r="AB1061" s="372">
        <v>4793.3185045999999</v>
      </c>
      <c r="AC1061" s="372">
        <v>5977.7052154000003</v>
      </c>
      <c r="AD1061" s="372">
        <v>7642.8980389999997</v>
      </c>
      <c r="AE1061" s="372">
        <v>0</v>
      </c>
      <c r="AF1061" s="372">
        <v>0</v>
      </c>
      <c r="AG1061" s="372">
        <v>0</v>
      </c>
      <c r="AH1061" s="372">
        <v>0</v>
      </c>
    </row>
    <row r="1062" spans="1:34">
      <c r="A1062" s="372" t="s">
        <v>7364</v>
      </c>
      <c r="B1062" s="373" t="s">
        <v>7365</v>
      </c>
      <c r="C1062" s="372" t="s">
        <v>7366</v>
      </c>
      <c r="D1062" s="374">
        <v>1313110109110</v>
      </c>
      <c r="E1062" s="372" t="s">
        <v>7367</v>
      </c>
      <c r="F1062" s="372" t="s">
        <v>1962</v>
      </c>
      <c r="G1062" s="375" t="s">
        <v>1962</v>
      </c>
      <c r="H1062" s="375" t="s">
        <v>861</v>
      </c>
      <c r="I1062" s="375" t="s">
        <v>862</v>
      </c>
      <c r="J1062" s="375">
        <v>275148.57475999999</v>
      </c>
      <c r="K1062" s="375">
        <v>12244.620360000001</v>
      </c>
      <c r="L1062" s="375">
        <v>23429.657719999999</v>
      </c>
      <c r="M1062" s="375">
        <v>114048.95799</v>
      </c>
      <c r="N1062" s="372">
        <v>1.044</v>
      </c>
      <c r="O1062" s="704">
        <v>66.015145671998269</v>
      </c>
      <c r="P1062" s="375" t="s">
        <v>622</v>
      </c>
      <c r="Q1062" s="375" t="s">
        <v>622</v>
      </c>
      <c r="R1062" s="696">
        <v>20171030</v>
      </c>
      <c r="S1062" s="375" t="s">
        <v>7368</v>
      </c>
      <c r="T1062" s="697">
        <v>0.23100000000000001</v>
      </c>
      <c r="U1062" s="375" t="s">
        <v>7369</v>
      </c>
      <c r="V1062" s="723">
        <v>14.66</v>
      </c>
      <c r="W1062" s="723">
        <v>1.49</v>
      </c>
      <c r="X1062" s="723">
        <v>0.62</v>
      </c>
      <c r="Y1062" s="723">
        <v>8</v>
      </c>
      <c r="Z1062" s="382">
        <v>5.2881817438339862E-2</v>
      </c>
      <c r="AA1062" s="372">
        <v>457.32695039999999</v>
      </c>
      <c r="AB1062" s="372">
        <v>673.19918059999998</v>
      </c>
      <c r="AC1062" s="372">
        <v>1487.8306312</v>
      </c>
      <c r="AD1062" s="372">
        <v>2611.2666009</v>
      </c>
      <c r="AE1062" s="372">
        <v>2839</v>
      </c>
      <c r="AF1062" s="372">
        <v>3171</v>
      </c>
      <c r="AG1062" s="372">
        <v>3209</v>
      </c>
      <c r="AH1062" s="372">
        <v>0</v>
      </c>
    </row>
    <row r="1063" spans="1:34">
      <c r="A1063" s="372" t="s">
        <v>7370</v>
      </c>
      <c r="B1063" s="373" t="s">
        <v>7371</v>
      </c>
      <c r="C1063" s="372" t="s">
        <v>7372</v>
      </c>
      <c r="D1063" s="374">
        <v>1345110083218</v>
      </c>
      <c r="E1063" s="372" t="s">
        <v>7373</v>
      </c>
      <c r="F1063" s="375" t="s">
        <v>1323</v>
      </c>
      <c r="G1063" s="375" t="s">
        <v>16106</v>
      </c>
      <c r="H1063" s="375" t="s">
        <v>861</v>
      </c>
      <c r="I1063" s="375" t="s">
        <v>862</v>
      </c>
      <c r="J1063" s="375">
        <v>0</v>
      </c>
      <c r="K1063" s="375">
        <v>0</v>
      </c>
      <c r="L1063" s="375">
        <v>0</v>
      </c>
      <c r="M1063" s="375">
        <v>105025.8648</v>
      </c>
      <c r="N1063" s="372">
        <v>0.69799999999999995</v>
      </c>
      <c r="O1063" s="704">
        <v>20.832886720934141</v>
      </c>
      <c r="P1063" s="375" t="s">
        <v>622</v>
      </c>
      <c r="Q1063" s="372" t="s">
        <v>622</v>
      </c>
      <c r="R1063" s="696">
        <v>20191014</v>
      </c>
      <c r="S1063" s="372" t="s">
        <v>7374</v>
      </c>
      <c r="T1063" s="697" t="s">
        <v>771</v>
      </c>
      <c r="U1063" s="372" t="s">
        <v>7375</v>
      </c>
      <c r="V1063" s="723">
        <v>0</v>
      </c>
      <c r="W1063" s="723">
        <v>1.93</v>
      </c>
      <c r="X1063" s="723">
        <v>0</v>
      </c>
      <c r="Y1063" s="723">
        <v>0</v>
      </c>
      <c r="Z1063" s="382" t="s">
        <v>927</v>
      </c>
      <c r="AA1063" s="372">
        <v>756.03023350000001</v>
      </c>
      <c r="AB1063" s="372">
        <v>909.67528800000002</v>
      </c>
      <c r="AC1063" s="372">
        <v>1097.2911667000001</v>
      </c>
      <c r="AD1063" s="372">
        <v>1205.3466495</v>
      </c>
      <c r="AE1063" s="372">
        <v>0</v>
      </c>
      <c r="AF1063" s="372">
        <v>0</v>
      </c>
      <c r="AG1063" s="372">
        <v>0</v>
      </c>
      <c r="AH1063" s="372">
        <v>0</v>
      </c>
    </row>
    <row r="1064" spans="1:34">
      <c r="A1064" s="372" t="s">
        <v>7376</v>
      </c>
      <c r="B1064" s="373" t="s">
        <v>7377</v>
      </c>
      <c r="C1064" s="372" t="s">
        <v>7378</v>
      </c>
      <c r="D1064" s="374">
        <v>1358110168906</v>
      </c>
      <c r="E1064" s="372" t="s">
        <v>7379</v>
      </c>
      <c r="F1064" s="375" t="s">
        <v>1116</v>
      </c>
      <c r="G1064" s="375" t="s">
        <v>1336</v>
      </c>
      <c r="H1064" s="375" t="s">
        <v>1337</v>
      </c>
      <c r="I1064" s="375" t="s">
        <v>862</v>
      </c>
      <c r="J1064" s="375">
        <v>2906.1768299999999</v>
      </c>
      <c r="K1064" s="375">
        <v>-17813.68621</v>
      </c>
      <c r="L1064" s="375">
        <v>-22927.683389999998</v>
      </c>
      <c r="M1064" s="375">
        <v>48966.642440000003</v>
      </c>
      <c r="N1064" s="372">
        <v>1.109</v>
      </c>
      <c r="O1064" s="704">
        <v>6.8283285747530886</v>
      </c>
      <c r="P1064" s="375" t="s">
        <v>622</v>
      </c>
      <c r="Q1064" s="375" t="s">
        <v>622</v>
      </c>
      <c r="R1064" s="696">
        <v>20190612</v>
      </c>
      <c r="S1064" s="375" t="s">
        <v>7380</v>
      </c>
      <c r="T1064" s="697" t="s">
        <v>771</v>
      </c>
      <c r="U1064" s="375" t="s">
        <v>7381</v>
      </c>
      <c r="V1064" s="723" t="s">
        <v>773</v>
      </c>
      <c r="W1064" s="723">
        <v>3.98</v>
      </c>
      <c r="X1064" s="723">
        <v>66.180000000000007</v>
      </c>
      <c r="Y1064" s="723" t="s">
        <v>773</v>
      </c>
      <c r="Z1064" s="382" t="s">
        <v>927</v>
      </c>
      <c r="AA1064" s="372">
        <v>3.4104420000000002</v>
      </c>
      <c r="AB1064" s="372">
        <v>2.2367675</v>
      </c>
      <c r="AC1064" s="372">
        <v>0.48352850000000003</v>
      </c>
      <c r="AD1064" s="372">
        <v>3.2386881000000001</v>
      </c>
      <c r="AE1064" s="372">
        <v>0</v>
      </c>
      <c r="AF1064" s="372">
        <v>0</v>
      </c>
      <c r="AG1064" s="372">
        <v>0</v>
      </c>
      <c r="AH1064" s="372">
        <v>0</v>
      </c>
    </row>
    <row r="1065" spans="1:34">
      <c r="A1065" s="372" t="s">
        <v>7382</v>
      </c>
      <c r="B1065" s="373" t="s">
        <v>7383</v>
      </c>
      <c r="C1065" s="372" t="s">
        <v>7384</v>
      </c>
      <c r="D1065" s="374">
        <v>1350110103198</v>
      </c>
      <c r="E1065" s="372" t="s">
        <v>7385</v>
      </c>
      <c r="F1065" s="375" t="s">
        <v>2222</v>
      </c>
      <c r="G1065" s="375" t="s">
        <v>2222</v>
      </c>
      <c r="H1065" s="375" t="s">
        <v>861</v>
      </c>
      <c r="I1065" s="375" t="s">
        <v>862</v>
      </c>
      <c r="J1065" s="375">
        <v>1263703.1475</v>
      </c>
      <c r="K1065" s="375">
        <v>23666.137559999999</v>
      </c>
      <c r="L1065" s="375">
        <v>17527.674719999999</v>
      </c>
      <c r="M1065" s="375">
        <v>268687.66843000002</v>
      </c>
      <c r="N1065" s="372">
        <v>0.78700000000000003</v>
      </c>
      <c r="O1065" s="704">
        <v>71.264314163326574</v>
      </c>
      <c r="P1065" s="375" t="s">
        <v>622</v>
      </c>
      <c r="Q1065" s="375" t="s">
        <v>622</v>
      </c>
      <c r="R1065" s="696">
        <v>20050729</v>
      </c>
      <c r="S1065" s="375" t="s">
        <v>7387</v>
      </c>
      <c r="T1065" s="697">
        <v>0.20900000000000002</v>
      </c>
      <c r="U1065" s="375" t="s">
        <v>7388</v>
      </c>
      <c r="V1065" s="723">
        <v>5.66</v>
      </c>
      <c r="W1065" s="723">
        <v>1.04</v>
      </c>
      <c r="X1065" s="723">
        <v>0.18</v>
      </c>
      <c r="Y1065" s="723">
        <v>26.42</v>
      </c>
      <c r="Z1065" s="382" t="s">
        <v>927</v>
      </c>
      <c r="AA1065" s="372">
        <v>16233.8277672</v>
      </c>
      <c r="AB1065" s="372">
        <v>15433.1150072</v>
      </c>
      <c r="AC1065" s="372">
        <v>13550.5648279</v>
      </c>
      <c r="AD1065" s="372">
        <v>12639.4378234</v>
      </c>
      <c r="AE1065" s="372">
        <v>0</v>
      </c>
      <c r="AF1065" s="372">
        <v>0</v>
      </c>
      <c r="AG1065" s="372">
        <v>0</v>
      </c>
      <c r="AH1065" s="372">
        <v>0</v>
      </c>
    </row>
    <row r="1066" spans="1:34">
      <c r="A1066" s="372" t="s">
        <v>7389</v>
      </c>
      <c r="B1066" s="373" t="s">
        <v>7390</v>
      </c>
      <c r="C1066" s="372" t="s">
        <v>7391</v>
      </c>
      <c r="D1066" s="374">
        <v>1345110034097</v>
      </c>
      <c r="E1066" s="372" t="s">
        <v>7392</v>
      </c>
      <c r="F1066" s="375" t="s">
        <v>4191</v>
      </c>
      <c r="G1066" s="375" t="s">
        <v>4192</v>
      </c>
      <c r="H1066" s="375" t="s">
        <v>968</v>
      </c>
      <c r="I1066" s="375" t="s">
        <v>754</v>
      </c>
      <c r="J1066" s="375">
        <v>1876059.5274100001</v>
      </c>
      <c r="K1066" s="375">
        <v>7760.7734300000002</v>
      </c>
      <c r="L1066" s="375">
        <v>-15023.78224</v>
      </c>
      <c r="M1066" s="375">
        <v>417050.35684000002</v>
      </c>
      <c r="N1066" s="372">
        <v>0.71699999999999997</v>
      </c>
      <c r="O1066" s="704">
        <v>108.30723074637676</v>
      </c>
      <c r="P1066" s="375" t="s">
        <v>622</v>
      </c>
      <c r="Q1066" s="375" t="s">
        <v>622</v>
      </c>
      <c r="R1066" s="696">
        <v>20051122</v>
      </c>
      <c r="S1066" s="375" t="s">
        <v>7393</v>
      </c>
      <c r="T1066" s="697" t="s">
        <v>771</v>
      </c>
      <c r="U1066" s="372" t="s">
        <v>7394</v>
      </c>
      <c r="V1066" s="723">
        <v>7.27</v>
      </c>
      <c r="W1066" s="723">
        <v>0.39</v>
      </c>
      <c r="X1066" s="723">
        <v>0.09</v>
      </c>
      <c r="Y1066" s="723" t="s">
        <v>773</v>
      </c>
      <c r="Z1066" s="382">
        <v>2.938020877707026E-2</v>
      </c>
      <c r="AA1066" s="372">
        <v>13846.296403599999</v>
      </c>
      <c r="AB1066" s="372">
        <v>14065.993119000001</v>
      </c>
      <c r="AC1066" s="372">
        <v>14957.011074599999</v>
      </c>
      <c r="AD1066" s="372">
        <v>15857.049389</v>
      </c>
      <c r="AE1066" s="372">
        <v>18299</v>
      </c>
      <c r="AF1066" s="372">
        <v>17432.330000000002</v>
      </c>
      <c r="AG1066" s="372">
        <v>17804.330000000002</v>
      </c>
      <c r="AH1066" s="372">
        <v>0</v>
      </c>
    </row>
    <row r="1067" spans="1:34">
      <c r="A1067" s="372" t="s">
        <v>7395</v>
      </c>
      <c r="B1067" s="373" t="s">
        <v>7396</v>
      </c>
      <c r="C1067" s="372" t="s">
        <v>7397</v>
      </c>
      <c r="D1067" s="374">
        <v>1748110000820</v>
      </c>
      <c r="E1067" s="372" t="s">
        <v>7398</v>
      </c>
      <c r="F1067" s="372" t="s">
        <v>1384</v>
      </c>
      <c r="G1067" s="375" t="s">
        <v>1385</v>
      </c>
      <c r="H1067" s="375" t="s">
        <v>4847</v>
      </c>
      <c r="I1067" s="375" t="s">
        <v>862</v>
      </c>
      <c r="J1067" s="375">
        <v>74310.685630000007</v>
      </c>
      <c r="K1067" s="375">
        <v>4260.7207399999998</v>
      </c>
      <c r="L1067" s="375">
        <v>8083.0361000000003</v>
      </c>
      <c r="M1067" s="375">
        <v>99747.655140000003</v>
      </c>
      <c r="N1067" s="372">
        <v>0.51600000000000001</v>
      </c>
      <c r="O1067" s="704">
        <v>0.32188911995177816</v>
      </c>
      <c r="P1067" s="375" t="s">
        <v>622</v>
      </c>
      <c r="Q1067" s="372" t="s">
        <v>622</v>
      </c>
      <c r="R1067" s="696">
        <v>19950731</v>
      </c>
      <c r="S1067" s="375" t="s">
        <v>7399</v>
      </c>
      <c r="T1067" s="697">
        <v>0.20900000000000002</v>
      </c>
      <c r="U1067" s="372" t="s">
        <v>7400</v>
      </c>
      <c r="V1067" s="723">
        <v>0</v>
      </c>
      <c r="W1067" s="723">
        <v>0</v>
      </c>
      <c r="X1067" s="723">
        <v>0</v>
      </c>
      <c r="Y1067" s="723">
        <v>0</v>
      </c>
      <c r="Z1067" s="382" t="s">
        <v>927</v>
      </c>
      <c r="AA1067" s="372">
        <v>354.99042969999999</v>
      </c>
      <c r="AB1067" s="372">
        <v>574.32513540000002</v>
      </c>
      <c r="AC1067" s="372">
        <v>503.01558590000002</v>
      </c>
      <c r="AD1067" s="372">
        <v>827.43779229999996</v>
      </c>
      <c r="AE1067" s="372">
        <v>0</v>
      </c>
      <c r="AF1067" s="372">
        <v>0</v>
      </c>
      <c r="AG1067" s="372">
        <v>0</v>
      </c>
      <c r="AH1067" s="372">
        <v>0</v>
      </c>
    </row>
    <row r="1068" spans="1:34">
      <c r="A1068" s="372" t="s">
        <v>7401</v>
      </c>
      <c r="B1068" s="373" t="s">
        <v>7402</v>
      </c>
      <c r="C1068" s="372" t="s">
        <v>7403</v>
      </c>
      <c r="D1068" s="374">
        <v>1601110097976</v>
      </c>
      <c r="E1068" s="372" t="s">
        <v>7404</v>
      </c>
      <c r="F1068" s="375" t="s">
        <v>1069</v>
      </c>
      <c r="G1068" s="375" t="s">
        <v>1069</v>
      </c>
      <c r="H1068" s="375" t="s">
        <v>3099</v>
      </c>
      <c r="I1068" s="375" t="s">
        <v>862</v>
      </c>
      <c r="J1068" s="375">
        <v>400068.22353999998</v>
      </c>
      <c r="K1068" s="375">
        <v>44370.217429999997</v>
      </c>
      <c r="L1068" s="375">
        <v>34887.456830000003</v>
      </c>
      <c r="M1068" s="375">
        <v>744994.38326000003</v>
      </c>
      <c r="N1068" s="372">
        <v>0.82</v>
      </c>
      <c r="O1068" s="704">
        <v>152.75951071094931</v>
      </c>
      <c r="P1068" s="375" t="s">
        <v>622</v>
      </c>
      <c r="Q1068" s="375" t="s">
        <v>622</v>
      </c>
      <c r="R1068" s="696">
        <v>20110520</v>
      </c>
      <c r="S1068" s="375" t="s">
        <v>3465</v>
      </c>
      <c r="T1068" s="697">
        <v>0.23100000000000001</v>
      </c>
      <c r="U1068" s="372" t="s">
        <v>7405</v>
      </c>
      <c r="V1068" s="723">
        <v>5.25</v>
      </c>
      <c r="W1068" s="723">
        <v>0.23</v>
      </c>
      <c r="X1068" s="723">
        <v>0.43</v>
      </c>
      <c r="Y1068" s="723">
        <v>3.84</v>
      </c>
      <c r="Z1068" s="382" t="s">
        <v>927</v>
      </c>
      <c r="AA1068" s="372">
        <v>2920.2557781</v>
      </c>
      <c r="AB1068" s="372">
        <v>4176.8705308999997</v>
      </c>
      <c r="AC1068" s="372">
        <v>4887.5468400999998</v>
      </c>
      <c r="AD1068" s="372">
        <v>4270.9609286000004</v>
      </c>
      <c r="AE1068" s="372">
        <v>4554</v>
      </c>
      <c r="AF1068" s="372">
        <v>4986</v>
      </c>
      <c r="AG1068" s="372">
        <v>0</v>
      </c>
      <c r="AH1068" s="372">
        <v>0</v>
      </c>
    </row>
    <row r="1069" spans="1:34">
      <c r="A1069" s="372" t="s">
        <v>7406</v>
      </c>
      <c r="B1069" s="373" t="s">
        <v>7407</v>
      </c>
      <c r="C1069" s="372" t="s">
        <v>7408</v>
      </c>
      <c r="D1069" s="374">
        <v>1313110059571</v>
      </c>
      <c r="E1069" s="372" t="s">
        <v>7409</v>
      </c>
      <c r="F1069" s="375" t="s">
        <v>1275</v>
      </c>
      <c r="G1069" s="375" t="s">
        <v>1275</v>
      </c>
      <c r="H1069" s="375" t="s">
        <v>861</v>
      </c>
      <c r="I1069" s="375" t="s">
        <v>862</v>
      </c>
      <c r="J1069" s="375">
        <v>0</v>
      </c>
      <c r="K1069" s="375">
        <v>0</v>
      </c>
      <c r="L1069" s="375">
        <v>0</v>
      </c>
      <c r="M1069" s="375">
        <v>58666.257660000003</v>
      </c>
      <c r="N1069" s="372">
        <v>1.1990000000000001</v>
      </c>
      <c r="O1069" s="704">
        <v>8.6215465509825631</v>
      </c>
      <c r="P1069" s="375" t="s">
        <v>622</v>
      </c>
      <c r="Q1069" s="375" t="s">
        <v>622</v>
      </c>
      <c r="R1069" s="696">
        <v>20211111</v>
      </c>
      <c r="S1069" s="375" t="s">
        <v>7410</v>
      </c>
      <c r="T1069" s="697" t="s">
        <v>771</v>
      </c>
      <c r="U1069" s="375" t="s">
        <v>7411</v>
      </c>
      <c r="V1069" s="723">
        <v>0</v>
      </c>
      <c r="W1069" s="723">
        <v>1.74</v>
      </c>
      <c r="X1069" s="723">
        <v>0</v>
      </c>
      <c r="Y1069" s="723">
        <v>0</v>
      </c>
      <c r="Z1069" s="382">
        <v>0.39988214318669413</v>
      </c>
      <c r="AA1069" s="372">
        <v>131.797674</v>
      </c>
      <c r="AB1069" s="372">
        <v>217.01626160000001</v>
      </c>
      <c r="AC1069" s="372">
        <v>286.3613363</v>
      </c>
      <c r="AD1069" s="372">
        <v>178.1107805</v>
      </c>
      <c r="AE1069" s="372">
        <v>478</v>
      </c>
      <c r="AF1069" s="372">
        <v>661</v>
      </c>
      <c r="AG1069" s="372">
        <v>684</v>
      </c>
      <c r="AH1069" s="372">
        <v>0</v>
      </c>
    </row>
    <row r="1070" spans="1:34">
      <c r="A1070" s="372" t="s">
        <v>7412</v>
      </c>
      <c r="B1070" s="373" t="s">
        <v>7413</v>
      </c>
      <c r="C1070" s="372" t="s">
        <v>7414</v>
      </c>
      <c r="D1070" s="374">
        <v>1101110222151</v>
      </c>
      <c r="E1070" s="372" t="s">
        <v>7415</v>
      </c>
      <c r="F1070" s="375" t="s">
        <v>845</v>
      </c>
      <c r="G1070" s="375" t="s">
        <v>845</v>
      </c>
      <c r="H1070" s="375" t="s">
        <v>3099</v>
      </c>
      <c r="I1070" s="375" t="s">
        <v>862</v>
      </c>
      <c r="J1070" s="375">
        <v>277148.81068</v>
      </c>
      <c r="K1070" s="375">
        <v>4072.0561499999999</v>
      </c>
      <c r="L1070" s="375">
        <v>-112.94445</v>
      </c>
      <c r="M1070" s="375">
        <v>129694.6237</v>
      </c>
      <c r="N1070" s="372">
        <v>0.85599999999999998</v>
      </c>
      <c r="O1070" s="704">
        <v>35.053981815499299</v>
      </c>
      <c r="P1070" s="375" t="s">
        <v>622</v>
      </c>
      <c r="Q1070" s="375" t="s">
        <v>622</v>
      </c>
      <c r="R1070" s="696">
        <v>20010727</v>
      </c>
      <c r="S1070" s="375" t="s">
        <v>7416</v>
      </c>
      <c r="T1070" s="697" t="s">
        <v>771</v>
      </c>
      <c r="U1070" s="372" t="s">
        <v>7417</v>
      </c>
      <c r="V1070" s="723">
        <v>5.91</v>
      </c>
      <c r="W1070" s="723">
        <v>1.1000000000000001</v>
      </c>
      <c r="X1070" s="723">
        <v>0.4</v>
      </c>
      <c r="Y1070" s="723" t="s">
        <v>773</v>
      </c>
      <c r="Z1070" s="382">
        <v>6.3159780122659326E-2</v>
      </c>
      <c r="AA1070" s="372">
        <v>2662.2746615999999</v>
      </c>
      <c r="AB1070" s="372">
        <v>2998.3292114000001</v>
      </c>
      <c r="AC1070" s="372">
        <v>3034.5385551999998</v>
      </c>
      <c r="AD1070" s="372">
        <v>3160.6190977000001</v>
      </c>
      <c r="AE1070" s="372">
        <v>2614</v>
      </c>
      <c r="AF1070" s="372">
        <v>3665</v>
      </c>
      <c r="AG1070" s="372">
        <v>4038</v>
      </c>
      <c r="AH1070" s="372">
        <v>0</v>
      </c>
    </row>
    <row r="1071" spans="1:34">
      <c r="A1071" s="372" t="s">
        <v>7418</v>
      </c>
      <c r="B1071" s="373" t="s">
        <v>7419</v>
      </c>
      <c r="C1071" s="372" t="s">
        <v>7420</v>
      </c>
      <c r="D1071" s="374">
        <v>1954110024732</v>
      </c>
      <c r="E1071" s="372" t="s">
        <v>7421</v>
      </c>
      <c r="F1071" s="375" t="s">
        <v>1128</v>
      </c>
      <c r="G1071" s="375" t="s">
        <v>7422</v>
      </c>
      <c r="H1071" s="375" t="s">
        <v>861</v>
      </c>
      <c r="I1071" s="375" t="s">
        <v>862</v>
      </c>
      <c r="J1071" s="375">
        <v>90140.706590000002</v>
      </c>
      <c r="K1071" s="375">
        <v>-2503.6834899999999</v>
      </c>
      <c r="L1071" s="375">
        <v>-3483.0426299999999</v>
      </c>
      <c r="M1071" s="375">
        <v>184379.03263999999</v>
      </c>
      <c r="N1071" s="372">
        <v>0.70899999999999996</v>
      </c>
      <c r="O1071" s="704">
        <v>45.1350009297932</v>
      </c>
      <c r="P1071" s="375" t="s">
        <v>622</v>
      </c>
      <c r="Q1071" s="372" t="s">
        <v>622</v>
      </c>
      <c r="R1071" s="696">
        <v>20200303</v>
      </c>
      <c r="S1071" s="372" t="s">
        <v>7423</v>
      </c>
      <c r="T1071" s="697" t="s">
        <v>771</v>
      </c>
      <c r="U1071" s="372" t="s">
        <v>7424</v>
      </c>
      <c r="V1071" s="723">
        <v>41.05</v>
      </c>
      <c r="W1071" s="723">
        <v>0.76</v>
      </c>
      <c r="X1071" s="723">
        <v>1.55</v>
      </c>
      <c r="Y1071" s="723" t="s">
        <v>773</v>
      </c>
      <c r="Z1071" s="382" t="s">
        <v>927</v>
      </c>
      <c r="AA1071" s="372">
        <v>316.47423959999998</v>
      </c>
      <c r="AB1071" s="372">
        <v>546.82087379999996</v>
      </c>
      <c r="AC1071" s="372">
        <v>758.55078820000006</v>
      </c>
      <c r="AD1071" s="372">
        <v>911.42703329999995</v>
      </c>
      <c r="AE1071" s="372">
        <v>1060</v>
      </c>
      <c r="AF1071" s="372">
        <v>1320</v>
      </c>
      <c r="AG1071" s="372">
        <v>0</v>
      </c>
      <c r="AH1071" s="372">
        <v>0</v>
      </c>
    </row>
    <row r="1072" spans="1:34">
      <c r="A1072" s="372" t="s">
        <v>7425</v>
      </c>
      <c r="B1072" s="373" t="s">
        <v>7426</v>
      </c>
      <c r="C1072" s="372" t="s">
        <v>7427</v>
      </c>
      <c r="D1072" s="374">
        <v>1812110000922</v>
      </c>
      <c r="E1072" s="372" t="s">
        <v>7428</v>
      </c>
      <c r="F1072" s="375" t="s">
        <v>2007</v>
      </c>
      <c r="G1072" s="375" t="s">
        <v>2007</v>
      </c>
      <c r="H1072" s="375" t="s">
        <v>792</v>
      </c>
      <c r="I1072" s="375" t="s">
        <v>754</v>
      </c>
      <c r="J1072" s="375">
        <v>1943266.8478399999</v>
      </c>
      <c r="K1072" s="375">
        <v>16339.197260000001</v>
      </c>
      <c r="L1072" s="375">
        <v>3914.4921800000002</v>
      </c>
      <c r="M1072" s="375">
        <v>96439.305399999997</v>
      </c>
      <c r="N1072" s="372">
        <v>0.97599999999999998</v>
      </c>
      <c r="O1072" s="704">
        <v>42.602455136635946</v>
      </c>
      <c r="P1072" s="375" t="s">
        <v>622</v>
      </c>
      <c r="Q1072" s="375" t="s">
        <v>622</v>
      </c>
      <c r="R1072" s="696">
        <v>19970623</v>
      </c>
      <c r="S1072" s="375" t="s">
        <v>7429</v>
      </c>
      <c r="T1072" s="697">
        <v>0.20900000000000002</v>
      </c>
      <c r="U1072" s="375" t="s">
        <v>7430</v>
      </c>
      <c r="V1072" s="723">
        <v>3.86</v>
      </c>
      <c r="W1072" s="723">
        <v>1.19</v>
      </c>
      <c r="X1072" s="723">
        <v>0.06</v>
      </c>
      <c r="Y1072" s="723">
        <v>61.05</v>
      </c>
      <c r="Z1072" s="382" t="s">
        <v>927</v>
      </c>
      <c r="AA1072" s="372">
        <v>12920.249882</v>
      </c>
      <c r="AB1072" s="372">
        <v>13482.3691473</v>
      </c>
      <c r="AC1072" s="372">
        <v>15420.2624431</v>
      </c>
      <c r="AD1072" s="372">
        <v>18758.9005063</v>
      </c>
      <c r="AE1072" s="372">
        <v>0</v>
      </c>
      <c r="AF1072" s="372">
        <v>0</v>
      </c>
      <c r="AG1072" s="372">
        <v>0</v>
      </c>
      <c r="AH1072" s="372">
        <v>0</v>
      </c>
    </row>
    <row r="1073" spans="1:34">
      <c r="A1073" s="372" t="s">
        <v>7431</v>
      </c>
      <c r="B1073" s="373" t="s">
        <v>7432</v>
      </c>
      <c r="C1073" s="372" t="s">
        <v>7433</v>
      </c>
      <c r="D1073" s="374">
        <v>1614110049889</v>
      </c>
      <c r="E1073" s="372" t="s">
        <v>7434</v>
      </c>
      <c r="F1073" s="375" t="s">
        <v>880</v>
      </c>
      <c r="G1073" s="375" t="s">
        <v>880</v>
      </c>
      <c r="H1073" s="375" t="s">
        <v>861</v>
      </c>
      <c r="I1073" s="375" t="s">
        <v>862</v>
      </c>
      <c r="J1073" s="375">
        <v>83167.488540000006</v>
      </c>
      <c r="K1073" s="375">
        <v>-7719.1642300000003</v>
      </c>
      <c r="L1073" s="375">
        <v>-4322.3623600000001</v>
      </c>
      <c r="M1073" s="375">
        <v>97406.826749999993</v>
      </c>
      <c r="N1073" s="372">
        <v>1.5840000000000001</v>
      </c>
      <c r="O1073" s="704">
        <v>120.21938023503309</v>
      </c>
      <c r="P1073" s="375" t="s">
        <v>622</v>
      </c>
      <c r="Q1073" s="375" t="s">
        <v>622</v>
      </c>
      <c r="R1073" s="696">
        <v>20230203</v>
      </c>
      <c r="S1073" s="375" t="s">
        <v>7435</v>
      </c>
      <c r="T1073" s="697" t="s">
        <v>771</v>
      </c>
      <c r="U1073" s="372" t="s">
        <v>7436</v>
      </c>
      <c r="V1073" s="723">
        <v>93.62</v>
      </c>
      <c r="W1073" s="723">
        <v>1.87</v>
      </c>
      <c r="X1073" s="723">
        <v>1.55</v>
      </c>
      <c r="Y1073" s="723" t="s">
        <v>773</v>
      </c>
      <c r="Z1073" s="382" t="s">
        <v>927</v>
      </c>
      <c r="AA1073" s="372">
        <v>183.02782239999999</v>
      </c>
      <c r="AB1073" s="372">
        <v>1168.6128633000001</v>
      </c>
      <c r="AC1073" s="372">
        <v>1070.29528</v>
      </c>
      <c r="AD1073" s="372">
        <v>908.5353652</v>
      </c>
      <c r="AE1073" s="372">
        <v>0</v>
      </c>
      <c r="AF1073" s="372">
        <v>0</v>
      </c>
      <c r="AG1073" s="372">
        <v>0</v>
      </c>
      <c r="AH1073" s="372">
        <v>0</v>
      </c>
    </row>
    <row r="1074" spans="1:34">
      <c r="A1074" s="372" t="s">
        <v>7437</v>
      </c>
      <c r="B1074" s="373" t="s">
        <v>7438</v>
      </c>
      <c r="C1074" s="372" t="s">
        <v>7439</v>
      </c>
      <c r="D1074" s="374">
        <v>1942110094409</v>
      </c>
      <c r="E1074" s="372" t="s">
        <v>7440</v>
      </c>
      <c r="F1074" s="372" t="s">
        <v>3218</v>
      </c>
      <c r="G1074" s="375" t="s">
        <v>3218</v>
      </c>
      <c r="H1074" s="375" t="s">
        <v>861</v>
      </c>
      <c r="I1074" s="375" t="s">
        <v>862</v>
      </c>
      <c r="J1074" s="375">
        <v>362064.81823999999</v>
      </c>
      <c r="K1074" s="375">
        <v>9225.3244500000001</v>
      </c>
      <c r="L1074" s="375">
        <v>4460.1144100000001</v>
      </c>
      <c r="M1074" s="375">
        <v>76331.463000000003</v>
      </c>
      <c r="N1074" s="372">
        <v>0.89600000000000002</v>
      </c>
      <c r="O1074" s="704">
        <v>100.26340654329915</v>
      </c>
      <c r="P1074" s="375" t="s">
        <v>622</v>
      </c>
      <c r="Q1074" s="375" t="s">
        <v>622</v>
      </c>
      <c r="R1074" s="696">
        <v>20221223</v>
      </c>
      <c r="S1074" s="375" t="s">
        <v>7441</v>
      </c>
      <c r="T1074" s="697">
        <v>0.20900000000000002</v>
      </c>
      <c r="U1074" s="372" t="s">
        <v>7442</v>
      </c>
      <c r="V1074" s="723">
        <v>17.39</v>
      </c>
      <c r="W1074" s="723">
        <v>1.44</v>
      </c>
      <c r="X1074" s="723">
        <v>0.31</v>
      </c>
      <c r="Y1074" s="723">
        <v>47.66</v>
      </c>
      <c r="Z1074" s="382" t="s">
        <v>927</v>
      </c>
      <c r="AA1074" s="372">
        <v>2153.8275614999998</v>
      </c>
      <c r="AB1074" s="372">
        <v>3433.2406080000001</v>
      </c>
      <c r="AC1074" s="372">
        <v>3810.3198659</v>
      </c>
      <c r="AD1074" s="372">
        <v>3238.1790841000002</v>
      </c>
      <c r="AE1074" s="372">
        <v>0</v>
      </c>
      <c r="AF1074" s="372">
        <v>0</v>
      </c>
      <c r="AG1074" s="372">
        <v>0</v>
      </c>
      <c r="AH1074" s="372">
        <v>0</v>
      </c>
    </row>
    <row r="1075" spans="1:34">
      <c r="A1075" s="372" t="s">
        <v>7443</v>
      </c>
      <c r="B1075" s="373" t="s">
        <v>7444</v>
      </c>
      <c r="C1075" s="372" t="s">
        <v>7445</v>
      </c>
      <c r="D1075" s="374">
        <v>1942110000133</v>
      </c>
      <c r="E1075" s="372" t="s">
        <v>7446</v>
      </c>
      <c r="F1075" s="372" t="s">
        <v>1617</v>
      </c>
      <c r="G1075" s="375" t="s">
        <v>1617</v>
      </c>
      <c r="H1075" s="375" t="s">
        <v>1043</v>
      </c>
      <c r="I1075" s="375" t="s">
        <v>754</v>
      </c>
      <c r="J1075" s="375">
        <v>190702.49369</v>
      </c>
      <c r="K1075" s="375">
        <v>3651.4438399999999</v>
      </c>
      <c r="L1075" s="375">
        <v>7124.2131499999996</v>
      </c>
      <c r="M1075" s="375">
        <v>59830.15137</v>
      </c>
      <c r="N1075" s="372">
        <v>0.57399999999999995</v>
      </c>
      <c r="O1075" s="704">
        <v>4.1748369998848185</v>
      </c>
      <c r="P1075" s="375" t="s">
        <v>622</v>
      </c>
      <c r="Q1075" s="372" t="s">
        <v>622</v>
      </c>
      <c r="R1075" s="696">
        <v>19890510</v>
      </c>
      <c r="S1075" s="372" t="s">
        <v>7447</v>
      </c>
      <c r="T1075" s="697">
        <v>0.20900000000000002</v>
      </c>
      <c r="U1075" s="372" t="s">
        <v>7448</v>
      </c>
      <c r="V1075" s="723">
        <v>0</v>
      </c>
      <c r="W1075" s="723">
        <v>0</v>
      </c>
      <c r="X1075" s="723">
        <v>0</v>
      </c>
      <c r="Y1075" s="723">
        <v>0</v>
      </c>
      <c r="Z1075" s="382" t="s">
        <v>927</v>
      </c>
      <c r="AA1075" s="372">
        <v>1320.7544989999999</v>
      </c>
      <c r="AB1075" s="372">
        <v>1366.9747768</v>
      </c>
      <c r="AC1075" s="372">
        <v>1601.5448994999999</v>
      </c>
      <c r="AD1075" s="372">
        <v>1731.0335093000001</v>
      </c>
      <c r="AE1075" s="372">
        <v>0</v>
      </c>
      <c r="AF1075" s="372">
        <v>0</v>
      </c>
      <c r="AG1075" s="372">
        <v>0</v>
      </c>
      <c r="AH1075" s="372">
        <v>0</v>
      </c>
    </row>
    <row r="1076" spans="1:34">
      <c r="A1076" s="372" t="s">
        <v>7449</v>
      </c>
      <c r="B1076" s="373" t="s">
        <v>7450</v>
      </c>
      <c r="C1076" s="372" t="s">
        <v>7451</v>
      </c>
      <c r="D1076" s="374">
        <v>1101112262890</v>
      </c>
      <c r="E1076" s="372" t="s">
        <v>7452</v>
      </c>
      <c r="F1076" s="375" t="s">
        <v>7453</v>
      </c>
      <c r="G1076" s="375" t="s">
        <v>7453</v>
      </c>
      <c r="H1076" s="375" t="s">
        <v>1337</v>
      </c>
      <c r="I1076" s="375" t="s">
        <v>862</v>
      </c>
      <c r="J1076" s="375">
        <v>42301.769529999998</v>
      </c>
      <c r="K1076" s="375">
        <v>-17133.953150000001</v>
      </c>
      <c r="L1076" s="375">
        <v>-31491.021779999999</v>
      </c>
      <c r="M1076" s="375">
        <v>49026.897559999998</v>
      </c>
      <c r="N1076" s="372" t="s">
        <v>1026</v>
      </c>
      <c r="O1076" s="704">
        <v>34.606855243257314</v>
      </c>
      <c r="P1076" s="375" t="s">
        <v>622</v>
      </c>
      <c r="Q1076" s="375" t="s">
        <v>622</v>
      </c>
      <c r="R1076" s="696">
        <v>20141215</v>
      </c>
      <c r="S1076" s="375" t="s">
        <v>7454</v>
      </c>
      <c r="T1076" s="697" t="s">
        <v>771</v>
      </c>
      <c r="U1076" s="372" t="s">
        <v>15889</v>
      </c>
      <c r="V1076" s="723" t="s">
        <v>773</v>
      </c>
      <c r="W1076" s="723">
        <v>3.27</v>
      </c>
      <c r="X1076" s="723">
        <v>2.33</v>
      </c>
      <c r="Y1076" s="723" t="s">
        <v>773</v>
      </c>
      <c r="Z1076" s="382" t="s">
        <v>927</v>
      </c>
      <c r="AA1076" s="372">
        <v>76.964253400000004</v>
      </c>
      <c r="AB1076" s="372">
        <v>74.702969999999993</v>
      </c>
      <c r="AC1076" s="372">
        <v>321.84379150000001</v>
      </c>
      <c r="AD1076" s="372">
        <v>467.45087439999998</v>
      </c>
      <c r="AE1076" s="372">
        <v>0</v>
      </c>
      <c r="AF1076" s="372">
        <v>0</v>
      </c>
      <c r="AG1076" s="372">
        <v>0</v>
      </c>
      <c r="AH1076" s="372">
        <v>0</v>
      </c>
    </row>
    <row r="1077" spans="1:34">
      <c r="A1077" s="372" t="s">
        <v>7455</v>
      </c>
      <c r="B1077" s="373" t="s">
        <v>7456</v>
      </c>
      <c r="C1077" s="372" t="s">
        <v>16002</v>
      </c>
      <c r="D1077" s="374">
        <v>1101110162191</v>
      </c>
      <c r="E1077" s="372" t="s">
        <v>15890</v>
      </c>
      <c r="F1077" s="375" t="s">
        <v>2485</v>
      </c>
      <c r="G1077" s="375" t="s">
        <v>2486</v>
      </c>
      <c r="H1077" s="375" t="s">
        <v>861</v>
      </c>
      <c r="I1077" s="375" t="s">
        <v>862</v>
      </c>
      <c r="J1077" s="375">
        <v>100053.81802999999</v>
      </c>
      <c r="K1077" s="375">
        <v>-1400.21765</v>
      </c>
      <c r="L1077" s="375">
        <v>-8048.6168799999996</v>
      </c>
      <c r="M1077" s="375">
        <v>52747.409590000003</v>
      </c>
      <c r="N1077" s="372">
        <v>0.312</v>
      </c>
      <c r="O1077" s="704">
        <v>79.040384060275642</v>
      </c>
      <c r="P1077" s="375" t="s">
        <v>622</v>
      </c>
      <c r="Q1077" s="375" t="s">
        <v>622</v>
      </c>
      <c r="R1077" s="696">
        <v>19900720</v>
      </c>
      <c r="S1077" s="375" t="s">
        <v>7457</v>
      </c>
      <c r="T1077" s="697" t="s">
        <v>771</v>
      </c>
      <c r="U1077" s="372" t="s">
        <v>7458</v>
      </c>
      <c r="V1077" s="723">
        <v>0</v>
      </c>
      <c r="W1077" s="723">
        <v>0</v>
      </c>
      <c r="X1077" s="723">
        <v>0</v>
      </c>
      <c r="Y1077" s="723">
        <v>0</v>
      </c>
      <c r="Z1077" s="382" t="s">
        <v>927</v>
      </c>
      <c r="AA1077" s="372">
        <v>376.21830820000002</v>
      </c>
      <c r="AB1077" s="372">
        <v>456.03510030000001</v>
      </c>
      <c r="AC1077" s="372">
        <v>666.12579110000001</v>
      </c>
      <c r="AD1077" s="372">
        <v>767.80298500000004</v>
      </c>
      <c r="AE1077" s="372">
        <v>0</v>
      </c>
      <c r="AF1077" s="372">
        <v>0</v>
      </c>
      <c r="AG1077" s="372">
        <v>0</v>
      </c>
      <c r="AH1077" s="372">
        <v>0</v>
      </c>
    </row>
    <row r="1078" spans="1:34">
      <c r="A1078" s="372" t="s">
        <v>7459</v>
      </c>
      <c r="B1078" s="373" t="s">
        <v>7460</v>
      </c>
      <c r="C1078" s="372" t="s">
        <v>7461</v>
      </c>
      <c r="D1078" s="374">
        <v>1101112303305</v>
      </c>
      <c r="E1078" s="372" t="s">
        <v>7462</v>
      </c>
      <c r="F1078" s="375" t="s">
        <v>3180</v>
      </c>
      <c r="G1078" s="375" t="s">
        <v>3181</v>
      </c>
      <c r="H1078" s="375" t="s">
        <v>1337</v>
      </c>
      <c r="I1078" s="375" t="s">
        <v>862</v>
      </c>
      <c r="J1078" s="375">
        <v>43234.199970000001</v>
      </c>
      <c r="K1078" s="375">
        <v>14926.626759999999</v>
      </c>
      <c r="L1078" s="375">
        <v>16424.660530000001</v>
      </c>
      <c r="M1078" s="375">
        <v>47552.474479999997</v>
      </c>
      <c r="N1078" s="372">
        <v>0.51200000000000001</v>
      </c>
      <c r="O1078" s="704">
        <v>0.13862635963186368</v>
      </c>
      <c r="P1078" s="375" t="s">
        <v>622</v>
      </c>
      <c r="Q1078" s="375" t="s">
        <v>622</v>
      </c>
      <c r="R1078" s="696">
        <v>20081024</v>
      </c>
      <c r="S1078" s="375" t="s">
        <v>7463</v>
      </c>
      <c r="T1078" s="697">
        <v>0.20900000000000002</v>
      </c>
      <c r="U1078" s="375" t="s">
        <v>7464</v>
      </c>
      <c r="V1078" s="723">
        <v>9.82</v>
      </c>
      <c r="W1078" s="723">
        <v>3.23</v>
      </c>
      <c r="X1078" s="723">
        <v>3.55</v>
      </c>
      <c r="Y1078" s="723">
        <v>10.97</v>
      </c>
      <c r="Z1078" s="382">
        <v>4.7064437738631337E-2</v>
      </c>
      <c r="AA1078" s="372">
        <v>429.06193739999998</v>
      </c>
      <c r="AB1078" s="372">
        <v>457.03148449999998</v>
      </c>
      <c r="AC1078" s="372">
        <v>471.30065580000002</v>
      </c>
      <c r="AD1078" s="372">
        <v>410.99194540000002</v>
      </c>
      <c r="AE1078" s="372">
        <v>439</v>
      </c>
      <c r="AF1078" s="372">
        <v>466</v>
      </c>
      <c r="AG1078" s="372">
        <v>494</v>
      </c>
      <c r="AH1078" s="372">
        <v>0</v>
      </c>
    </row>
    <row r="1079" spans="1:34">
      <c r="A1079" s="372" t="s">
        <v>7465</v>
      </c>
      <c r="B1079" s="373" t="s">
        <v>7466</v>
      </c>
      <c r="C1079" s="372" t="s">
        <v>7467</v>
      </c>
      <c r="D1079" s="374">
        <v>1101111902835</v>
      </c>
      <c r="E1079" s="372" t="s">
        <v>7468</v>
      </c>
      <c r="F1079" s="375" t="s">
        <v>2856</v>
      </c>
      <c r="G1079" s="375" t="s">
        <v>2856</v>
      </c>
      <c r="H1079" s="375" t="s">
        <v>1337</v>
      </c>
      <c r="I1079" s="375" t="s">
        <v>862</v>
      </c>
      <c r="J1079" s="375">
        <v>213502.02405000001</v>
      </c>
      <c r="K1079" s="375">
        <v>24169.112789999999</v>
      </c>
      <c r="L1079" s="375">
        <v>19451.49625</v>
      </c>
      <c r="M1079" s="375">
        <v>163681.30958</v>
      </c>
      <c r="N1079" s="372">
        <v>0.54700000000000004</v>
      </c>
      <c r="O1079" s="704">
        <v>51.488523770071069</v>
      </c>
      <c r="P1079" s="375" t="s">
        <v>622</v>
      </c>
      <c r="Q1079" s="372" t="s">
        <v>622</v>
      </c>
      <c r="R1079" s="696">
        <v>20031015</v>
      </c>
      <c r="S1079" s="372" t="s">
        <v>7469</v>
      </c>
      <c r="T1079" s="697">
        <v>0.20900000000000002</v>
      </c>
      <c r="U1079" s="372" t="s">
        <v>7470</v>
      </c>
      <c r="V1079" s="723">
        <v>8</v>
      </c>
      <c r="W1079" s="723">
        <v>1.36</v>
      </c>
      <c r="X1079" s="723">
        <v>0.91</v>
      </c>
      <c r="Y1079" s="723">
        <v>13.3</v>
      </c>
      <c r="Z1079" s="382">
        <v>6.7679838664306713E-2</v>
      </c>
      <c r="AA1079" s="372">
        <v>1484.5062757999999</v>
      </c>
      <c r="AB1079" s="372">
        <v>1969.0439815</v>
      </c>
      <c r="AC1079" s="372">
        <v>2108.1758402</v>
      </c>
      <c r="AD1079" s="372">
        <v>2115.48803</v>
      </c>
      <c r="AE1079" s="372">
        <v>2238.67</v>
      </c>
      <c r="AF1079" s="372">
        <v>2633.33</v>
      </c>
      <c r="AG1079" s="372">
        <v>2749</v>
      </c>
      <c r="AH1079" s="372">
        <v>0</v>
      </c>
    </row>
    <row r="1080" spans="1:34">
      <c r="A1080" s="372" t="s">
        <v>7471</v>
      </c>
      <c r="B1080" s="373" t="s">
        <v>7472</v>
      </c>
      <c r="C1080" s="372" t="s">
        <v>7473</v>
      </c>
      <c r="D1080" s="374">
        <v>1344110046664</v>
      </c>
      <c r="E1080" s="372" t="s">
        <v>7474</v>
      </c>
      <c r="F1080" s="375" t="s">
        <v>5301</v>
      </c>
      <c r="G1080" s="375" t="s">
        <v>5301</v>
      </c>
      <c r="H1080" s="375" t="s">
        <v>1316</v>
      </c>
      <c r="I1080" s="375" t="s">
        <v>754</v>
      </c>
      <c r="J1080" s="375">
        <v>1712533.8798400001</v>
      </c>
      <c r="K1080" s="375">
        <v>111870.22087</v>
      </c>
      <c r="L1080" s="375">
        <v>70169.545169999998</v>
      </c>
      <c r="M1080" s="375">
        <v>482377.46655999997</v>
      </c>
      <c r="N1080" s="372">
        <v>0.76700000000000002</v>
      </c>
      <c r="O1080" s="704">
        <v>428.15462149775681</v>
      </c>
      <c r="P1080" s="375" t="s">
        <v>622</v>
      </c>
      <c r="Q1080" s="372" t="s">
        <v>622</v>
      </c>
      <c r="R1080" s="696">
        <v>20110216</v>
      </c>
      <c r="S1080" s="372" t="s">
        <v>7475</v>
      </c>
      <c r="T1080" s="697">
        <v>0.23100000000000001</v>
      </c>
      <c r="U1080" s="372" t="s">
        <v>7476</v>
      </c>
      <c r="V1080" s="723">
        <v>4</v>
      </c>
      <c r="W1080" s="723">
        <v>0.36</v>
      </c>
      <c r="X1080" s="723">
        <v>0.1</v>
      </c>
      <c r="Y1080" s="723">
        <v>3.39</v>
      </c>
      <c r="Z1080" s="382" t="s">
        <v>927</v>
      </c>
      <c r="AA1080" s="372">
        <v>13480.893430100001</v>
      </c>
      <c r="AB1080" s="372">
        <v>15287.4976121</v>
      </c>
      <c r="AC1080" s="372">
        <v>18707.811856299999</v>
      </c>
      <c r="AD1080" s="372">
        <v>19060.053011200001</v>
      </c>
      <c r="AE1080" s="372">
        <v>0</v>
      </c>
      <c r="AF1080" s="372">
        <v>0</v>
      </c>
      <c r="AG1080" s="372">
        <v>0</v>
      </c>
      <c r="AH1080" s="372">
        <v>0</v>
      </c>
    </row>
    <row r="1081" spans="1:34">
      <c r="A1081" s="372" t="s">
        <v>7477</v>
      </c>
      <c r="B1081" s="373" t="s">
        <v>7478</v>
      </c>
      <c r="C1081" s="372" t="s">
        <v>7479</v>
      </c>
      <c r="D1081" s="374">
        <v>1101110048490</v>
      </c>
      <c r="E1081" s="372" t="s">
        <v>7480</v>
      </c>
      <c r="F1081" s="375" t="s">
        <v>2170</v>
      </c>
      <c r="G1081" s="375" t="s">
        <v>2171</v>
      </c>
      <c r="H1081" s="375" t="s">
        <v>1468</v>
      </c>
      <c r="I1081" s="375" t="s">
        <v>754</v>
      </c>
      <c r="J1081" s="375">
        <v>704805.55815000006</v>
      </c>
      <c r="K1081" s="375">
        <v>13748.679319999999</v>
      </c>
      <c r="L1081" s="375">
        <v>11951.67441</v>
      </c>
      <c r="M1081" s="375">
        <v>194454.42384</v>
      </c>
      <c r="N1081" s="372">
        <v>0.54200000000000004</v>
      </c>
      <c r="O1081" s="704">
        <v>63.441519480926779</v>
      </c>
      <c r="P1081" s="375" t="s">
        <v>622</v>
      </c>
      <c r="Q1081" s="375" t="s">
        <v>622</v>
      </c>
      <c r="R1081" s="696">
        <v>19770625</v>
      </c>
      <c r="S1081" s="375" t="s">
        <v>7481</v>
      </c>
      <c r="T1081" s="697">
        <v>0.20900000000000002</v>
      </c>
      <c r="U1081" s="372" t="s">
        <v>7482</v>
      </c>
      <c r="V1081" s="723">
        <v>17.32</v>
      </c>
      <c r="W1081" s="723">
        <v>1.19</v>
      </c>
      <c r="X1081" s="723">
        <v>0.33</v>
      </c>
      <c r="Y1081" s="723">
        <v>14.12</v>
      </c>
      <c r="Z1081" s="382">
        <v>5.8508382746048193E-2</v>
      </c>
      <c r="AA1081" s="372">
        <v>4840.1321846999999</v>
      </c>
      <c r="AB1081" s="372">
        <v>6289.1239212999999</v>
      </c>
      <c r="AC1081" s="372">
        <v>7479.3598843999998</v>
      </c>
      <c r="AD1081" s="372">
        <v>6792.3343557999997</v>
      </c>
      <c r="AE1081" s="372">
        <v>7254</v>
      </c>
      <c r="AF1081" s="372">
        <v>7824</v>
      </c>
      <c r="AG1081" s="372">
        <v>8527</v>
      </c>
      <c r="AH1081" s="372">
        <v>0</v>
      </c>
    </row>
    <row r="1082" spans="1:34">
      <c r="A1082" s="372" t="s">
        <v>7483</v>
      </c>
      <c r="B1082" s="373" t="s">
        <v>7484</v>
      </c>
      <c r="C1082" s="372" t="s">
        <v>7485</v>
      </c>
      <c r="D1082" s="374">
        <v>1351110074149</v>
      </c>
      <c r="E1082" s="372" t="s">
        <v>7486</v>
      </c>
      <c r="F1082" s="375" t="s">
        <v>2718</v>
      </c>
      <c r="G1082" s="375" t="s">
        <v>2718</v>
      </c>
      <c r="H1082" s="375" t="s">
        <v>1337</v>
      </c>
      <c r="I1082" s="375" t="s">
        <v>862</v>
      </c>
      <c r="J1082" s="375">
        <v>106355.44592</v>
      </c>
      <c r="K1082" s="375">
        <v>874.30466999999999</v>
      </c>
      <c r="L1082" s="375">
        <v>4670.7301200000002</v>
      </c>
      <c r="M1082" s="375">
        <v>158127.29466000001</v>
      </c>
      <c r="N1082" s="372">
        <v>0.65500000000000003</v>
      </c>
      <c r="O1082" s="704">
        <v>36.938317440277665</v>
      </c>
      <c r="P1082" s="375" t="s">
        <v>622</v>
      </c>
      <c r="Q1082" s="372" t="s">
        <v>622</v>
      </c>
      <c r="R1082" s="696">
        <v>20101026</v>
      </c>
      <c r="S1082" s="372" t="s">
        <v>7487</v>
      </c>
      <c r="T1082" s="697">
        <v>0.20900000000000002</v>
      </c>
      <c r="U1082" s="372" t="s">
        <v>7488</v>
      </c>
      <c r="V1082" s="723">
        <v>10.130000000000001</v>
      </c>
      <c r="W1082" s="723">
        <v>0.78</v>
      </c>
      <c r="X1082" s="723">
        <v>1.1499999999999999</v>
      </c>
      <c r="Y1082" s="723">
        <v>11.55</v>
      </c>
      <c r="Z1082" s="382" t="s">
        <v>927</v>
      </c>
      <c r="AA1082" s="372">
        <v>455.68591029999999</v>
      </c>
      <c r="AB1082" s="372">
        <v>647.41204760000005</v>
      </c>
      <c r="AC1082" s="372">
        <v>766.53831100000002</v>
      </c>
      <c r="AD1082" s="372">
        <v>832.64313849999996</v>
      </c>
      <c r="AE1082" s="372">
        <v>0</v>
      </c>
      <c r="AF1082" s="372">
        <v>0</v>
      </c>
      <c r="AG1082" s="372">
        <v>0</v>
      </c>
      <c r="AH1082" s="372">
        <v>0</v>
      </c>
    </row>
    <row r="1083" spans="1:34">
      <c r="A1083" s="372" t="s">
        <v>7489</v>
      </c>
      <c r="B1083" s="373" t="s">
        <v>7490</v>
      </c>
      <c r="C1083" s="372" t="s">
        <v>7491</v>
      </c>
      <c r="D1083" s="374">
        <v>1601110119712</v>
      </c>
      <c r="E1083" s="372" t="s">
        <v>7492</v>
      </c>
      <c r="F1083" s="372" t="s">
        <v>3180</v>
      </c>
      <c r="G1083" s="375" t="s">
        <v>3181</v>
      </c>
      <c r="H1083" s="375" t="s">
        <v>817</v>
      </c>
      <c r="I1083" s="375" t="s">
        <v>754</v>
      </c>
      <c r="J1083" s="375">
        <v>1136974.64586</v>
      </c>
      <c r="K1083" s="375">
        <v>4347.1880000000001</v>
      </c>
      <c r="L1083" s="375">
        <v>5815.5544499999996</v>
      </c>
      <c r="M1083" s="375">
        <v>198439.19248</v>
      </c>
      <c r="N1083" s="372">
        <v>0.72099999999999997</v>
      </c>
      <c r="O1083" s="704">
        <v>0</v>
      </c>
      <c r="P1083" s="375" t="s">
        <v>622</v>
      </c>
      <c r="Q1083" s="372" t="s">
        <v>622</v>
      </c>
      <c r="R1083" s="696">
        <v>20100916</v>
      </c>
      <c r="S1083" s="372" t="s">
        <v>7493</v>
      </c>
      <c r="T1083" s="697">
        <v>0.20900000000000002</v>
      </c>
      <c r="U1083" s="372" t="s">
        <v>7494</v>
      </c>
      <c r="V1083" s="723">
        <v>5.88</v>
      </c>
      <c r="W1083" s="723">
        <v>0.67</v>
      </c>
      <c r="X1083" s="723">
        <v>0.12</v>
      </c>
      <c r="Y1083" s="723">
        <v>44.55</v>
      </c>
      <c r="Z1083" s="382" t="s">
        <v>927</v>
      </c>
      <c r="AA1083" s="372">
        <v>9317.0367425999993</v>
      </c>
      <c r="AB1083" s="372">
        <v>9657.2121518999993</v>
      </c>
      <c r="AC1083" s="372">
        <v>10294.6697004</v>
      </c>
      <c r="AD1083" s="372">
        <v>10353.656403200001</v>
      </c>
      <c r="AE1083" s="372">
        <v>0</v>
      </c>
      <c r="AF1083" s="372">
        <v>0</v>
      </c>
      <c r="AG1083" s="372">
        <v>0</v>
      </c>
      <c r="AH1083" s="372">
        <v>0</v>
      </c>
    </row>
    <row r="1084" spans="1:34">
      <c r="A1084" s="372" t="s">
        <v>7495</v>
      </c>
      <c r="B1084" s="373" t="s">
        <v>7496</v>
      </c>
      <c r="C1084" s="372" t="s">
        <v>7497</v>
      </c>
      <c r="D1084" s="374">
        <v>1311110164978</v>
      </c>
      <c r="E1084" s="372" t="s">
        <v>7498</v>
      </c>
      <c r="F1084" s="375" t="s">
        <v>1185</v>
      </c>
      <c r="G1084" s="375" t="s">
        <v>3115</v>
      </c>
      <c r="H1084" s="375" t="s">
        <v>861</v>
      </c>
      <c r="I1084" s="375" t="s">
        <v>862</v>
      </c>
      <c r="J1084" s="375">
        <v>92007.948040000003</v>
      </c>
      <c r="K1084" s="375">
        <v>2137.4995199999998</v>
      </c>
      <c r="L1084" s="375">
        <v>-4420.9029399999999</v>
      </c>
      <c r="M1084" s="375">
        <v>142901.3547</v>
      </c>
      <c r="N1084" s="372">
        <v>0.81699999999999995</v>
      </c>
      <c r="O1084" s="704">
        <v>40.389235875339367</v>
      </c>
      <c r="P1084" s="375" t="s">
        <v>622</v>
      </c>
      <c r="Q1084" s="375" t="s">
        <v>622</v>
      </c>
      <c r="R1084" s="696">
        <v>20170713</v>
      </c>
      <c r="S1084" s="375" t="s">
        <v>7499</v>
      </c>
      <c r="T1084" s="697" t="s">
        <v>771</v>
      </c>
      <c r="U1084" s="372" t="s">
        <v>7500</v>
      </c>
      <c r="V1084" s="723">
        <v>24.94</v>
      </c>
      <c r="W1084" s="723">
        <v>0.64</v>
      </c>
      <c r="X1084" s="723">
        <v>0.85</v>
      </c>
      <c r="Y1084" s="723">
        <v>216.74</v>
      </c>
      <c r="Z1084" s="382" t="s">
        <v>927</v>
      </c>
      <c r="AA1084" s="372">
        <v>310.87428820000002</v>
      </c>
      <c r="AB1084" s="372">
        <v>510.90254370000002</v>
      </c>
      <c r="AC1084" s="372">
        <v>597.83165589999999</v>
      </c>
      <c r="AD1084" s="372">
        <v>817.83667509999998</v>
      </c>
      <c r="AE1084" s="372">
        <v>1239</v>
      </c>
      <c r="AF1084" s="372">
        <v>0</v>
      </c>
      <c r="AG1084" s="372">
        <v>0</v>
      </c>
      <c r="AH1084" s="372">
        <v>0</v>
      </c>
    </row>
    <row r="1085" spans="1:34">
      <c r="A1085" s="372" t="s">
        <v>7501</v>
      </c>
      <c r="B1085" s="373" t="s">
        <v>7502</v>
      </c>
      <c r="C1085" s="372" t="s">
        <v>7503</v>
      </c>
      <c r="D1085" s="374">
        <v>1201110228610</v>
      </c>
      <c r="E1085" s="372" t="s">
        <v>7504</v>
      </c>
      <c r="F1085" s="372" t="s">
        <v>998</v>
      </c>
      <c r="G1085" s="375" t="s">
        <v>999</v>
      </c>
      <c r="H1085" s="375" t="s">
        <v>861</v>
      </c>
      <c r="I1085" s="375" t="s">
        <v>862</v>
      </c>
      <c r="J1085" s="375">
        <v>58688.54896</v>
      </c>
      <c r="K1085" s="375">
        <v>-364.27188999999998</v>
      </c>
      <c r="L1085" s="375">
        <v>-436.48257999999998</v>
      </c>
      <c r="M1085" s="375">
        <v>53175.824890000004</v>
      </c>
      <c r="N1085" s="372">
        <v>1.349</v>
      </c>
      <c r="O1085" s="704">
        <v>10.779173466079463</v>
      </c>
      <c r="P1085" s="375" t="s">
        <v>622</v>
      </c>
      <c r="Q1085" s="375" t="s">
        <v>622</v>
      </c>
      <c r="R1085" s="696">
        <v>20150925</v>
      </c>
      <c r="S1085" s="375" t="s">
        <v>7505</v>
      </c>
      <c r="T1085" s="697" t="s">
        <v>771</v>
      </c>
      <c r="U1085" s="372" t="s">
        <v>7506</v>
      </c>
      <c r="V1085" s="723">
        <v>0</v>
      </c>
      <c r="W1085" s="723">
        <v>0</v>
      </c>
      <c r="X1085" s="723">
        <v>0</v>
      </c>
      <c r="Y1085" s="723">
        <v>0</v>
      </c>
      <c r="Z1085" s="382" t="s">
        <v>927</v>
      </c>
      <c r="AA1085" s="372">
        <v>435.51647270000001</v>
      </c>
      <c r="AB1085" s="372">
        <v>503.17508770000001</v>
      </c>
      <c r="AC1085" s="372">
        <v>580.72251000000006</v>
      </c>
      <c r="AD1085" s="372">
        <v>485.69682999999998</v>
      </c>
      <c r="AE1085" s="372">
        <v>0</v>
      </c>
      <c r="AF1085" s="372">
        <v>0</v>
      </c>
      <c r="AG1085" s="372">
        <v>0</v>
      </c>
      <c r="AH1085" s="372">
        <v>0</v>
      </c>
    </row>
    <row r="1086" spans="1:34">
      <c r="A1086" s="372" t="s">
        <v>7507</v>
      </c>
      <c r="B1086" s="373" t="s">
        <v>7508</v>
      </c>
      <c r="C1086" s="372" t="s">
        <v>16003</v>
      </c>
      <c r="D1086" s="374">
        <v>1812110000758</v>
      </c>
      <c r="E1086" s="372" t="s">
        <v>16277</v>
      </c>
      <c r="F1086" s="372" t="s">
        <v>1863</v>
      </c>
      <c r="G1086" s="375" t="s">
        <v>1864</v>
      </c>
      <c r="H1086" s="375" t="s">
        <v>792</v>
      </c>
      <c r="I1086" s="375" t="s">
        <v>754</v>
      </c>
      <c r="J1086" s="375">
        <v>1781718.1578500001</v>
      </c>
      <c r="K1086" s="375">
        <v>64187.466009999996</v>
      </c>
      <c r="L1086" s="375">
        <v>44928.39645</v>
      </c>
      <c r="M1086" s="375">
        <v>448557.58955999999</v>
      </c>
      <c r="N1086" s="372">
        <v>1.024</v>
      </c>
      <c r="O1086" s="704">
        <v>251.4337374328878</v>
      </c>
      <c r="P1086" s="375" t="s">
        <v>622</v>
      </c>
      <c r="Q1086" s="375" t="s">
        <v>622</v>
      </c>
      <c r="R1086" s="696">
        <v>19971226</v>
      </c>
      <c r="S1086" s="375" t="s">
        <v>7509</v>
      </c>
      <c r="T1086" s="697">
        <v>0.23100000000000001</v>
      </c>
      <c r="U1086" s="375" t="s">
        <v>7510</v>
      </c>
      <c r="V1086" s="723">
        <v>1.85</v>
      </c>
      <c r="W1086" s="723">
        <v>0.3</v>
      </c>
      <c r="X1086" s="723">
        <v>0.08</v>
      </c>
      <c r="Y1086" s="723">
        <v>4.45</v>
      </c>
      <c r="Z1086" s="382" t="s">
        <v>927</v>
      </c>
      <c r="AA1086" s="372">
        <v>11827.744476600001</v>
      </c>
      <c r="AB1086" s="372">
        <v>15482.494047800001</v>
      </c>
      <c r="AC1086" s="372">
        <v>18583.242989400002</v>
      </c>
      <c r="AD1086" s="372">
        <v>17923.2407528</v>
      </c>
      <c r="AE1086" s="372">
        <v>0</v>
      </c>
      <c r="AF1086" s="372">
        <v>0</v>
      </c>
      <c r="AG1086" s="372">
        <v>0</v>
      </c>
      <c r="AH1086" s="372">
        <v>0</v>
      </c>
    </row>
    <row r="1087" spans="1:34">
      <c r="A1087" s="372" t="s">
        <v>7511</v>
      </c>
      <c r="B1087" s="373" t="s">
        <v>7512</v>
      </c>
      <c r="C1087" s="372" t="s">
        <v>16004</v>
      </c>
      <c r="D1087" s="374">
        <v>1101116384963</v>
      </c>
      <c r="E1087" s="372" t="s">
        <v>7513</v>
      </c>
      <c r="F1087" s="375" t="s">
        <v>1370</v>
      </c>
      <c r="G1087" s="375" t="s">
        <v>1370</v>
      </c>
      <c r="H1087" s="375" t="s">
        <v>861</v>
      </c>
      <c r="I1087" s="375" t="s">
        <v>862</v>
      </c>
      <c r="J1087" s="375">
        <v>12791.20023</v>
      </c>
      <c r="K1087" s="375">
        <v>-11551.30256</v>
      </c>
      <c r="L1087" s="375">
        <v>-9381.3336099999997</v>
      </c>
      <c r="M1087" s="375">
        <v>6434.5988100000004</v>
      </c>
      <c r="N1087" s="372" t="s">
        <v>1026</v>
      </c>
      <c r="O1087" s="704">
        <v>25.523324424706161</v>
      </c>
      <c r="P1087" s="375" t="s">
        <v>622</v>
      </c>
      <c r="Q1087" s="372" t="s">
        <v>622</v>
      </c>
      <c r="R1087" s="696">
        <v>20230831</v>
      </c>
      <c r="S1087" s="375" t="s">
        <v>7514</v>
      </c>
      <c r="T1087" s="697" t="s">
        <v>771</v>
      </c>
      <c r="U1087" s="375" t="s">
        <v>7515</v>
      </c>
      <c r="V1087" s="723" t="s">
        <v>773</v>
      </c>
      <c r="W1087" s="723">
        <v>8.59</v>
      </c>
      <c r="X1087" s="723">
        <v>4.21</v>
      </c>
      <c r="Y1087" s="723" t="s">
        <v>773</v>
      </c>
      <c r="Z1087" s="382" t="s">
        <v>927</v>
      </c>
      <c r="AA1087" s="372">
        <v>73.954431999999997</v>
      </c>
      <c r="AB1087" s="372">
        <v>86.857901999999996</v>
      </c>
      <c r="AC1087" s="372">
        <v>118.9641967</v>
      </c>
      <c r="AD1087" s="372">
        <v>239.78460229999999</v>
      </c>
      <c r="AE1087" s="372">
        <v>0</v>
      </c>
      <c r="AF1087" s="372">
        <v>0</v>
      </c>
      <c r="AG1087" s="372">
        <v>0</v>
      </c>
      <c r="AH1087" s="372">
        <v>0</v>
      </c>
    </row>
    <row r="1088" spans="1:34">
      <c r="A1088" s="372" t="s">
        <v>7516</v>
      </c>
      <c r="B1088" s="373" t="s">
        <v>7517</v>
      </c>
      <c r="C1088" s="372" t="s">
        <v>7518</v>
      </c>
      <c r="D1088" s="374">
        <v>1341110002878</v>
      </c>
      <c r="E1088" s="372" t="s">
        <v>7519</v>
      </c>
      <c r="F1088" s="375" t="s">
        <v>893</v>
      </c>
      <c r="G1088" s="375" t="s">
        <v>894</v>
      </c>
      <c r="H1088" s="375" t="s">
        <v>855</v>
      </c>
      <c r="I1088" s="375" t="s">
        <v>754</v>
      </c>
      <c r="J1088" s="375">
        <v>1234827.25153</v>
      </c>
      <c r="K1088" s="375">
        <v>78462.247579999996</v>
      </c>
      <c r="L1088" s="375">
        <v>102507.77349000001</v>
      </c>
      <c r="M1088" s="375">
        <v>748605.06469999999</v>
      </c>
      <c r="N1088" s="372">
        <v>0.81200000000000006</v>
      </c>
      <c r="O1088" s="704">
        <v>95.904989520594981</v>
      </c>
      <c r="P1088" s="375" t="s">
        <v>622</v>
      </c>
      <c r="Q1088" s="372" t="s">
        <v>622</v>
      </c>
      <c r="R1088" s="696">
        <v>19730810</v>
      </c>
      <c r="S1088" s="372" t="s">
        <v>2638</v>
      </c>
      <c r="T1088" s="697">
        <v>0.23100000000000001</v>
      </c>
      <c r="U1088" s="372" t="s">
        <v>7520</v>
      </c>
      <c r="V1088" s="723">
        <v>4.57</v>
      </c>
      <c r="W1088" s="723">
        <v>0.39</v>
      </c>
      <c r="X1088" s="723">
        <v>0.15</v>
      </c>
      <c r="Y1088" s="723">
        <v>3.52</v>
      </c>
      <c r="Z1088" s="382">
        <v>2.5055541199066056E-2</v>
      </c>
      <c r="AA1088" s="372">
        <v>8480.2749077000008</v>
      </c>
      <c r="AB1088" s="372">
        <v>9552.1402359999993</v>
      </c>
      <c r="AC1088" s="372">
        <v>10317.349165899999</v>
      </c>
      <c r="AD1088" s="372">
        <v>12146.1652983</v>
      </c>
      <c r="AE1088" s="372">
        <v>12700</v>
      </c>
      <c r="AF1088" s="372">
        <v>13060</v>
      </c>
      <c r="AG1088" s="372">
        <v>13410</v>
      </c>
      <c r="AH1088" s="372">
        <v>0</v>
      </c>
    </row>
    <row r="1089" spans="1:34">
      <c r="A1089" s="372" t="s">
        <v>7521</v>
      </c>
      <c r="B1089" s="373" t="s">
        <v>7522</v>
      </c>
      <c r="C1089" s="372" t="s">
        <v>7523</v>
      </c>
      <c r="D1089" s="374">
        <v>1101113500249</v>
      </c>
      <c r="E1089" s="372" t="s">
        <v>7524</v>
      </c>
      <c r="F1089" s="375" t="s">
        <v>1096</v>
      </c>
      <c r="G1089" s="375" t="s">
        <v>1097</v>
      </c>
      <c r="H1089" s="375" t="s">
        <v>826</v>
      </c>
      <c r="I1089" s="375" t="s">
        <v>754</v>
      </c>
      <c r="J1089" s="375">
        <v>180654.66560000001</v>
      </c>
      <c r="K1089" s="375">
        <v>15545.993570000001</v>
      </c>
      <c r="L1089" s="375">
        <v>7716.4165300000004</v>
      </c>
      <c r="M1089" s="375">
        <v>107044.15514</v>
      </c>
      <c r="N1089" s="372">
        <v>0.36899999999999999</v>
      </c>
      <c r="O1089" s="704">
        <v>40.393266647903722</v>
      </c>
      <c r="P1089" s="375" t="s">
        <v>622</v>
      </c>
      <c r="Q1089" s="372" t="s">
        <v>622</v>
      </c>
      <c r="R1089" s="696">
        <v>20150710</v>
      </c>
      <c r="S1089" s="372" t="s">
        <v>5250</v>
      </c>
      <c r="T1089" s="697">
        <v>0.20900000000000002</v>
      </c>
      <c r="U1089" s="375" t="s">
        <v>7525</v>
      </c>
      <c r="V1089" s="723">
        <v>13.65</v>
      </c>
      <c r="W1089" s="723">
        <v>2.36</v>
      </c>
      <c r="X1089" s="723">
        <v>1.35</v>
      </c>
      <c r="Y1089" s="723">
        <v>40.369999999999997</v>
      </c>
      <c r="Z1089" s="382">
        <v>0.14146293561482826</v>
      </c>
      <c r="AA1089" s="372">
        <v>1134.5857605000001</v>
      </c>
      <c r="AB1089" s="372">
        <v>1146.4813819999999</v>
      </c>
      <c r="AC1089" s="372">
        <v>1267.4501619</v>
      </c>
      <c r="AD1089" s="372">
        <v>1510.9152792</v>
      </c>
      <c r="AE1089" s="372">
        <v>1902.33</v>
      </c>
      <c r="AF1089" s="372">
        <v>2230.67</v>
      </c>
      <c r="AG1089" s="372">
        <v>2565</v>
      </c>
      <c r="AH1089" s="372">
        <v>0</v>
      </c>
    </row>
    <row r="1090" spans="1:34">
      <c r="A1090" s="372" t="s">
        <v>7526</v>
      </c>
      <c r="B1090" s="373" t="s">
        <v>7527</v>
      </c>
      <c r="C1090" s="372" t="s">
        <v>7528</v>
      </c>
      <c r="D1090" s="374">
        <v>1701110271528</v>
      </c>
      <c r="E1090" s="372" t="s">
        <v>7529</v>
      </c>
      <c r="F1090" s="375" t="s">
        <v>1871</v>
      </c>
      <c r="G1090" s="375" t="s">
        <v>7530</v>
      </c>
      <c r="H1090" s="375" t="s">
        <v>861</v>
      </c>
      <c r="I1090" s="375" t="s">
        <v>862</v>
      </c>
      <c r="J1090" s="375">
        <v>27415.614750000001</v>
      </c>
      <c r="K1090" s="375">
        <v>-10612.197399999999</v>
      </c>
      <c r="L1090" s="375">
        <v>-6928.3226400000003</v>
      </c>
      <c r="M1090" s="375">
        <v>130324.62127</v>
      </c>
      <c r="N1090" s="372">
        <v>0.75900000000000001</v>
      </c>
      <c r="O1090" s="704">
        <v>9.9441892828135163</v>
      </c>
      <c r="P1090" s="375" t="s">
        <v>622</v>
      </c>
      <c r="Q1090" s="375" t="s">
        <v>622</v>
      </c>
      <c r="R1090" s="696">
        <v>20150413</v>
      </c>
      <c r="S1090" s="375" t="s">
        <v>7531</v>
      </c>
      <c r="T1090" s="697" t="s">
        <v>771</v>
      </c>
      <c r="U1090" s="375" t="s">
        <v>7532</v>
      </c>
      <c r="V1090" s="723" t="s">
        <v>773</v>
      </c>
      <c r="W1090" s="723">
        <v>1.03</v>
      </c>
      <c r="X1090" s="723">
        <v>4.88</v>
      </c>
      <c r="Y1090" s="723" t="s">
        <v>773</v>
      </c>
      <c r="Z1090" s="382" t="s">
        <v>927</v>
      </c>
      <c r="AA1090" s="372">
        <v>357.9722716</v>
      </c>
      <c r="AB1090" s="372">
        <v>329.13986569999997</v>
      </c>
      <c r="AC1090" s="372">
        <v>221.1207076</v>
      </c>
      <c r="AD1090" s="372">
        <v>253.7540545</v>
      </c>
      <c r="AE1090" s="372">
        <v>0</v>
      </c>
      <c r="AF1090" s="372">
        <v>0</v>
      </c>
      <c r="AG1090" s="372">
        <v>0</v>
      </c>
      <c r="AH1090" s="372">
        <v>0</v>
      </c>
    </row>
    <row r="1091" spans="1:34">
      <c r="A1091" s="372" t="s">
        <v>7533</v>
      </c>
      <c r="B1091" s="373" t="s">
        <v>7534</v>
      </c>
      <c r="C1091" s="372" t="s">
        <v>7535</v>
      </c>
      <c r="D1091" s="374">
        <v>1501110081963</v>
      </c>
      <c r="E1091" s="372" t="s">
        <v>7536</v>
      </c>
      <c r="F1091" s="375" t="s">
        <v>1756</v>
      </c>
      <c r="G1091" s="375" t="s">
        <v>1756</v>
      </c>
      <c r="H1091" s="375" t="s">
        <v>861</v>
      </c>
      <c r="I1091" s="375" t="s">
        <v>862</v>
      </c>
      <c r="J1091" s="375">
        <v>28829.055990000001</v>
      </c>
      <c r="K1091" s="375">
        <v>3096.0630000000001</v>
      </c>
      <c r="L1091" s="375">
        <v>4130.4647999999997</v>
      </c>
      <c r="M1091" s="375">
        <v>57993.58034</v>
      </c>
      <c r="N1091" s="372">
        <v>1.2390000000000001</v>
      </c>
      <c r="O1091" s="704">
        <v>0</v>
      </c>
      <c r="P1091" s="375" t="s">
        <v>622</v>
      </c>
      <c r="Q1091" s="372" t="s">
        <v>622</v>
      </c>
      <c r="R1091" s="696">
        <v>20210910</v>
      </c>
      <c r="S1091" s="372" t="s">
        <v>7537</v>
      </c>
      <c r="T1091" s="697">
        <v>0.20900000000000002</v>
      </c>
      <c r="U1091" s="372" t="s">
        <v>7538</v>
      </c>
      <c r="V1091" s="723">
        <v>0</v>
      </c>
      <c r="W1091" s="723">
        <v>0</v>
      </c>
      <c r="X1091" s="723">
        <v>0</v>
      </c>
      <c r="Y1091" s="723">
        <v>0</v>
      </c>
      <c r="Z1091" s="382" t="s">
        <v>927</v>
      </c>
      <c r="AA1091" s="372">
        <v>170.36669090000001</v>
      </c>
      <c r="AB1091" s="372">
        <v>300.29977889999998</v>
      </c>
      <c r="AC1091" s="372">
        <v>492.93430009999997</v>
      </c>
      <c r="AD1091" s="372">
        <v>348.80929939999999</v>
      </c>
      <c r="AE1091" s="372">
        <v>0</v>
      </c>
      <c r="AF1091" s="372">
        <v>0</v>
      </c>
      <c r="AG1091" s="372">
        <v>0</v>
      </c>
      <c r="AH1091" s="372">
        <v>0</v>
      </c>
    </row>
    <row r="1092" spans="1:34">
      <c r="A1092" s="372" t="s">
        <v>7539</v>
      </c>
      <c r="B1092" s="373" t="s">
        <v>7540</v>
      </c>
      <c r="C1092" s="372" t="s">
        <v>7541</v>
      </c>
      <c r="D1092" s="374">
        <v>1101110012437</v>
      </c>
      <c r="E1092" s="372" t="s">
        <v>7542</v>
      </c>
      <c r="F1092" s="372" t="s">
        <v>1947</v>
      </c>
      <c r="G1092" s="375" t="s">
        <v>2498</v>
      </c>
      <c r="H1092" s="375" t="s">
        <v>826</v>
      </c>
      <c r="I1092" s="375" t="s">
        <v>754</v>
      </c>
      <c r="J1092" s="375">
        <v>125451.31152</v>
      </c>
      <c r="K1092" s="375">
        <v>-2008.1811700000001</v>
      </c>
      <c r="L1092" s="375">
        <v>-13149.69097</v>
      </c>
      <c r="M1092" s="375">
        <v>711136.04498999997</v>
      </c>
      <c r="N1092" s="372">
        <v>0.71299999999999997</v>
      </c>
      <c r="O1092" s="704">
        <v>0.97044297378856403</v>
      </c>
      <c r="P1092" s="375" t="s">
        <v>622</v>
      </c>
      <c r="Q1092" s="375" t="s">
        <v>622</v>
      </c>
      <c r="R1092" s="696">
        <v>19851223</v>
      </c>
      <c r="S1092" s="375" t="s">
        <v>7543</v>
      </c>
      <c r="T1092" s="697" t="s">
        <v>771</v>
      </c>
      <c r="U1092" s="372" t="s">
        <v>7544</v>
      </c>
      <c r="V1092" s="723">
        <v>0</v>
      </c>
      <c r="W1092" s="723">
        <v>0</v>
      </c>
      <c r="X1092" s="723">
        <v>0</v>
      </c>
      <c r="Y1092" s="723">
        <v>0</v>
      </c>
      <c r="Z1092" s="382" t="s">
        <v>927</v>
      </c>
      <c r="AA1092" s="372">
        <v>868.93259069999999</v>
      </c>
      <c r="AB1092" s="372">
        <v>1173.4687465</v>
      </c>
      <c r="AC1092" s="372">
        <v>1508.6421226</v>
      </c>
      <c r="AD1092" s="372">
        <v>1344.0737179</v>
      </c>
      <c r="AE1092" s="372">
        <v>0</v>
      </c>
      <c r="AF1092" s="372">
        <v>0</v>
      </c>
      <c r="AG1092" s="372">
        <v>0</v>
      </c>
      <c r="AH1092" s="372">
        <v>0</v>
      </c>
    </row>
    <row r="1093" spans="1:34">
      <c r="A1093" s="372" t="s">
        <v>7545</v>
      </c>
      <c r="B1093" s="373" t="s">
        <v>7546</v>
      </c>
      <c r="C1093" s="372" t="s">
        <v>7547</v>
      </c>
      <c r="D1093" s="374">
        <v>1101111549108</v>
      </c>
      <c r="E1093" s="372" t="s">
        <v>7548</v>
      </c>
      <c r="F1093" s="372" t="s">
        <v>5514</v>
      </c>
      <c r="G1093" s="375" t="s">
        <v>5514</v>
      </c>
      <c r="H1093" s="375" t="s">
        <v>861</v>
      </c>
      <c r="I1093" s="375" t="s">
        <v>862</v>
      </c>
      <c r="J1093" s="375">
        <v>14082.793309999999</v>
      </c>
      <c r="K1093" s="375">
        <v>-7124.98128</v>
      </c>
      <c r="L1093" s="375">
        <v>-349531.22940000001</v>
      </c>
      <c r="M1093" s="375">
        <v>53705.98472</v>
      </c>
      <c r="N1093" s="372">
        <v>1.169</v>
      </c>
      <c r="O1093" s="704">
        <v>1.7742426060809664</v>
      </c>
      <c r="P1093" s="375" t="s">
        <v>622</v>
      </c>
      <c r="Q1093" s="375" t="s">
        <v>622</v>
      </c>
      <c r="R1093" s="696">
        <v>20040102</v>
      </c>
      <c r="S1093" s="375" t="s">
        <v>7549</v>
      </c>
      <c r="T1093" s="697" t="s">
        <v>771</v>
      </c>
      <c r="U1093" s="372" t="s">
        <v>7550</v>
      </c>
      <c r="V1093" s="723">
        <v>0</v>
      </c>
      <c r="W1093" s="723">
        <v>0</v>
      </c>
      <c r="X1093" s="723">
        <v>0</v>
      </c>
      <c r="Y1093" s="723">
        <v>0</v>
      </c>
      <c r="Z1093" s="382" t="s">
        <v>927</v>
      </c>
      <c r="AA1093" s="372">
        <v>253.75539989999999</v>
      </c>
      <c r="AB1093" s="372">
        <v>179.11455659999999</v>
      </c>
      <c r="AC1093" s="372">
        <v>207.21222979999999</v>
      </c>
      <c r="AD1093" s="372">
        <v>156.3354223</v>
      </c>
      <c r="AE1093" s="372">
        <v>0</v>
      </c>
      <c r="AF1093" s="372">
        <v>0</v>
      </c>
      <c r="AG1093" s="372">
        <v>0</v>
      </c>
      <c r="AH1093" s="372">
        <v>0</v>
      </c>
    </row>
    <row r="1094" spans="1:34">
      <c r="A1094" s="372" t="s">
        <v>7551</v>
      </c>
      <c r="B1094" s="373" t="s">
        <v>7552</v>
      </c>
      <c r="C1094" s="372" t="s">
        <v>7553</v>
      </c>
      <c r="D1094" s="374">
        <v>1301110007765</v>
      </c>
      <c r="E1094" s="372" t="s">
        <v>7554</v>
      </c>
      <c r="F1094" s="375" t="s">
        <v>1576</v>
      </c>
      <c r="G1094" s="375" t="s">
        <v>1577</v>
      </c>
      <c r="H1094" s="375" t="s">
        <v>861</v>
      </c>
      <c r="I1094" s="375" t="s">
        <v>862</v>
      </c>
      <c r="J1094" s="375">
        <v>70559.466329999996</v>
      </c>
      <c r="K1094" s="375">
        <v>2882.7725099999998</v>
      </c>
      <c r="L1094" s="375">
        <v>3495.32294</v>
      </c>
      <c r="M1094" s="375">
        <v>86031.225210000004</v>
      </c>
      <c r="N1094" s="372">
        <v>1.083</v>
      </c>
      <c r="O1094" s="704">
        <v>0.11240136378517163</v>
      </c>
      <c r="P1094" s="375" t="s">
        <v>622</v>
      </c>
      <c r="Q1094" s="375" t="s">
        <v>622</v>
      </c>
      <c r="R1094" s="696">
        <v>19940831</v>
      </c>
      <c r="S1094" s="375" t="s">
        <v>7555</v>
      </c>
      <c r="T1094" s="697">
        <v>0.20900000000000002</v>
      </c>
      <c r="U1094" s="375" t="s">
        <v>7556</v>
      </c>
      <c r="V1094" s="723">
        <v>0</v>
      </c>
      <c r="W1094" s="723">
        <v>0</v>
      </c>
      <c r="X1094" s="723">
        <v>0</v>
      </c>
      <c r="Y1094" s="723">
        <v>0</v>
      </c>
      <c r="Z1094" s="382" t="s">
        <v>927</v>
      </c>
      <c r="AA1094" s="372">
        <v>820.79528679999999</v>
      </c>
      <c r="AB1094" s="372">
        <v>685.39018080000005</v>
      </c>
      <c r="AC1094" s="372">
        <v>541.98727499999995</v>
      </c>
      <c r="AD1094" s="372">
        <v>784.94668720000004</v>
      </c>
      <c r="AE1094" s="372">
        <v>0</v>
      </c>
      <c r="AF1094" s="372">
        <v>0</v>
      </c>
      <c r="AG1094" s="372">
        <v>0</v>
      </c>
      <c r="AH1094" s="372">
        <v>0</v>
      </c>
    </row>
    <row r="1095" spans="1:34">
      <c r="A1095" s="372" t="s">
        <v>7557</v>
      </c>
      <c r="B1095" s="373" t="s">
        <v>7558</v>
      </c>
      <c r="C1095" s="372" t="s">
        <v>7559</v>
      </c>
      <c r="D1095" s="374">
        <v>2111110040569</v>
      </c>
      <c r="E1095" s="372" t="s">
        <v>7560</v>
      </c>
      <c r="F1095" s="375" t="s">
        <v>1357</v>
      </c>
      <c r="G1095" s="375" t="s">
        <v>1357</v>
      </c>
      <c r="H1095" s="375" t="s">
        <v>861</v>
      </c>
      <c r="I1095" s="375" t="s">
        <v>862</v>
      </c>
      <c r="J1095" s="375">
        <v>56579.009109999999</v>
      </c>
      <c r="K1095" s="375">
        <v>9453.9083900000005</v>
      </c>
      <c r="L1095" s="375">
        <v>6887.7809600000001</v>
      </c>
      <c r="M1095" s="375">
        <v>67168.954800000007</v>
      </c>
      <c r="N1095" s="372">
        <v>0.87</v>
      </c>
      <c r="O1095" s="704">
        <v>36.299155953524384</v>
      </c>
      <c r="P1095" s="375" t="s">
        <v>622</v>
      </c>
      <c r="Q1095" s="375" t="s">
        <v>622</v>
      </c>
      <c r="R1095" s="696">
        <v>20221104</v>
      </c>
      <c r="S1095" s="375" t="s">
        <v>7561</v>
      </c>
      <c r="T1095" s="697">
        <v>0.20900000000000002</v>
      </c>
      <c r="U1095" s="372" t="s">
        <v>7562</v>
      </c>
      <c r="V1095" s="723">
        <v>11</v>
      </c>
      <c r="W1095" s="723">
        <v>1.75</v>
      </c>
      <c r="X1095" s="723">
        <v>2.2599999999999998</v>
      </c>
      <c r="Y1095" s="723">
        <v>17.98</v>
      </c>
      <c r="Z1095" s="382" t="s">
        <v>927</v>
      </c>
      <c r="AA1095" s="372">
        <v>198.93358409999999</v>
      </c>
      <c r="AB1095" s="372">
        <v>204.97514390000001</v>
      </c>
      <c r="AC1095" s="372">
        <v>682.82477630000005</v>
      </c>
      <c r="AD1095" s="372">
        <v>433.62684669999999</v>
      </c>
      <c r="AE1095" s="372">
        <v>745.9</v>
      </c>
      <c r="AF1095" s="372">
        <v>1007</v>
      </c>
      <c r="AG1095" s="372">
        <v>0</v>
      </c>
      <c r="AH1095" s="372">
        <v>0</v>
      </c>
    </row>
    <row r="1096" spans="1:34">
      <c r="A1096" s="372" t="s">
        <v>7563</v>
      </c>
      <c r="B1096" s="373" t="s">
        <v>7564</v>
      </c>
      <c r="C1096" s="372" t="s">
        <v>7565</v>
      </c>
      <c r="D1096" s="374">
        <v>1101111773872</v>
      </c>
      <c r="E1096" s="372" t="s">
        <v>7566</v>
      </c>
      <c r="F1096" s="372" t="s">
        <v>1055</v>
      </c>
      <c r="G1096" s="375" t="s">
        <v>16104</v>
      </c>
      <c r="H1096" s="375" t="s">
        <v>861</v>
      </c>
      <c r="I1096" s="375" t="s">
        <v>862</v>
      </c>
      <c r="J1096" s="375">
        <v>80638.593370000002</v>
      </c>
      <c r="K1096" s="375">
        <v>-2330.1167300000002</v>
      </c>
      <c r="L1096" s="375">
        <v>-9606.2065600000005</v>
      </c>
      <c r="M1096" s="375">
        <v>74137.575159999993</v>
      </c>
      <c r="N1096" s="372">
        <v>0.90100000000000002</v>
      </c>
      <c r="O1096" s="704">
        <v>31.364155800164813</v>
      </c>
      <c r="P1096" s="375" t="s">
        <v>622</v>
      </c>
      <c r="Q1096" s="372" t="s">
        <v>622</v>
      </c>
      <c r="R1096" s="696">
        <v>20091009</v>
      </c>
      <c r="S1096" s="372" t="s">
        <v>7567</v>
      </c>
      <c r="T1096" s="697" t="s">
        <v>771</v>
      </c>
      <c r="U1096" s="372" t="s">
        <v>7568</v>
      </c>
      <c r="V1096" s="723">
        <v>61.38</v>
      </c>
      <c r="W1096" s="723">
        <v>1.98</v>
      </c>
      <c r="X1096" s="723">
        <v>1.91</v>
      </c>
      <c r="Y1096" s="723" t="s">
        <v>773</v>
      </c>
      <c r="Z1096" s="382" t="s">
        <v>927</v>
      </c>
      <c r="AA1096" s="372">
        <v>800.98456520000002</v>
      </c>
      <c r="AB1096" s="372">
        <v>590.98032799999999</v>
      </c>
      <c r="AC1096" s="372">
        <v>744.58999040000003</v>
      </c>
      <c r="AD1096" s="372">
        <v>780.32037339999999</v>
      </c>
      <c r="AE1096" s="372">
        <v>1240</v>
      </c>
      <c r="AF1096" s="372">
        <v>1505</v>
      </c>
      <c r="AG1096" s="372">
        <v>0</v>
      </c>
      <c r="AH1096" s="372">
        <v>0</v>
      </c>
    </row>
    <row r="1097" spans="1:34">
      <c r="A1097" s="372" t="s">
        <v>7569</v>
      </c>
      <c r="B1097" s="373" t="s">
        <v>7570</v>
      </c>
      <c r="C1097" s="372" t="s">
        <v>7571</v>
      </c>
      <c r="D1097" s="374">
        <v>1101111626188</v>
      </c>
      <c r="E1097" s="372" t="s">
        <v>7572</v>
      </c>
      <c r="F1097" s="375" t="s">
        <v>1796</v>
      </c>
      <c r="G1097" s="375" t="s">
        <v>2797</v>
      </c>
      <c r="H1097" s="375" t="s">
        <v>861</v>
      </c>
      <c r="I1097" s="375" t="s">
        <v>862</v>
      </c>
      <c r="J1097" s="375">
        <v>167586.40677999999</v>
      </c>
      <c r="K1097" s="375">
        <v>7244.07665</v>
      </c>
      <c r="L1097" s="375">
        <v>1106.51693</v>
      </c>
      <c r="M1097" s="375">
        <v>130773.33848999999</v>
      </c>
      <c r="N1097" s="372">
        <v>1.0469999999999999</v>
      </c>
      <c r="O1097" s="704">
        <v>7.257917091146501</v>
      </c>
      <c r="P1097" s="375" t="s">
        <v>622</v>
      </c>
      <c r="Q1097" s="375" t="s">
        <v>622</v>
      </c>
      <c r="R1097" s="696">
        <v>20060926</v>
      </c>
      <c r="S1097" s="375" t="s">
        <v>7573</v>
      </c>
      <c r="T1097" s="697">
        <v>0.20900000000000002</v>
      </c>
      <c r="U1097" s="375" t="s">
        <v>15891</v>
      </c>
      <c r="V1097" s="723">
        <v>10.76</v>
      </c>
      <c r="W1097" s="723">
        <v>0.83</v>
      </c>
      <c r="X1097" s="723">
        <v>0.6</v>
      </c>
      <c r="Y1097" s="723">
        <v>172.77</v>
      </c>
      <c r="Z1097" s="382" t="s">
        <v>927</v>
      </c>
      <c r="AA1097" s="372">
        <v>1465.7142518000001</v>
      </c>
      <c r="AB1097" s="372">
        <v>1493.4500008</v>
      </c>
      <c r="AC1097" s="372">
        <v>1535.2174619</v>
      </c>
      <c r="AD1097" s="372">
        <v>1553.1387532000001</v>
      </c>
      <c r="AE1097" s="372">
        <v>0</v>
      </c>
      <c r="AF1097" s="372">
        <v>0</v>
      </c>
      <c r="AG1097" s="372">
        <v>0</v>
      </c>
      <c r="AH1097" s="372">
        <v>0</v>
      </c>
    </row>
    <row r="1098" spans="1:34">
      <c r="A1098" s="372" t="s">
        <v>7574</v>
      </c>
      <c r="B1098" s="373" t="s">
        <v>7575</v>
      </c>
      <c r="C1098" s="372" t="s">
        <v>7576</v>
      </c>
      <c r="D1098" s="374">
        <v>1101110033433</v>
      </c>
      <c r="E1098" s="372" t="s">
        <v>7577</v>
      </c>
      <c r="F1098" s="372" t="s">
        <v>4299</v>
      </c>
      <c r="G1098" s="375" t="s">
        <v>4299</v>
      </c>
      <c r="H1098" s="375" t="s">
        <v>968</v>
      </c>
      <c r="I1098" s="375" t="s">
        <v>754</v>
      </c>
      <c r="J1098" s="375">
        <v>192632.99348</v>
      </c>
      <c r="K1098" s="375">
        <v>20098.181339999999</v>
      </c>
      <c r="L1098" s="375">
        <v>18820.36637</v>
      </c>
      <c r="M1098" s="375">
        <v>437920.05676000001</v>
      </c>
      <c r="N1098" s="372">
        <v>0.54800000000000004</v>
      </c>
      <c r="O1098" s="704">
        <v>0.48939419352871216</v>
      </c>
      <c r="P1098" s="375" t="s">
        <v>622</v>
      </c>
      <c r="Q1098" s="375" t="s">
        <v>622</v>
      </c>
      <c r="R1098" s="696">
        <v>19891110</v>
      </c>
      <c r="S1098" s="375" t="s">
        <v>7578</v>
      </c>
      <c r="T1098" s="697">
        <v>0.20900000000000002</v>
      </c>
      <c r="U1098" s="372" t="s">
        <v>7579</v>
      </c>
      <c r="V1098" s="723">
        <v>5.96</v>
      </c>
      <c r="W1098" s="723">
        <v>0.32</v>
      </c>
      <c r="X1098" s="723">
        <v>0.75</v>
      </c>
      <c r="Y1098" s="723">
        <v>9.5500000000000007</v>
      </c>
      <c r="Z1098" s="382" t="s">
        <v>927</v>
      </c>
      <c r="AA1098" s="372">
        <v>1984.1705127</v>
      </c>
      <c r="AB1098" s="372">
        <v>1939.5860660000001</v>
      </c>
      <c r="AC1098" s="372">
        <v>1788.0083440999999</v>
      </c>
      <c r="AD1098" s="372">
        <v>1792.5836588</v>
      </c>
      <c r="AE1098" s="372">
        <v>0</v>
      </c>
      <c r="AF1098" s="372">
        <v>0</v>
      </c>
      <c r="AG1098" s="372">
        <v>0</v>
      </c>
      <c r="AH1098" s="372">
        <v>0</v>
      </c>
    </row>
    <row r="1099" spans="1:34">
      <c r="A1099" s="372" t="s">
        <v>7580</v>
      </c>
      <c r="B1099" s="373" t="s">
        <v>7581</v>
      </c>
      <c r="C1099" s="372" t="s">
        <v>7582</v>
      </c>
      <c r="D1099" s="374">
        <v>1101110003262</v>
      </c>
      <c r="E1099" s="372" t="s">
        <v>7583</v>
      </c>
      <c r="F1099" s="375" t="s">
        <v>2625</v>
      </c>
      <c r="G1099" s="375" t="s">
        <v>2626</v>
      </c>
      <c r="H1099" s="375" t="s">
        <v>817</v>
      </c>
      <c r="I1099" s="375" t="s">
        <v>754</v>
      </c>
      <c r="J1099" s="375">
        <v>417749.00540000002</v>
      </c>
      <c r="K1099" s="375">
        <v>22418.81179</v>
      </c>
      <c r="L1099" s="375">
        <v>25334.81106</v>
      </c>
      <c r="M1099" s="375">
        <v>391333.56779</v>
      </c>
      <c r="N1099" s="372">
        <v>0.55900000000000005</v>
      </c>
      <c r="O1099" s="704">
        <v>7.4151442493925037</v>
      </c>
      <c r="P1099" s="375" t="s">
        <v>622</v>
      </c>
      <c r="Q1099" s="372" t="s">
        <v>622</v>
      </c>
      <c r="R1099" s="696">
        <v>19560303</v>
      </c>
      <c r="S1099" s="372" t="s">
        <v>2638</v>
      </c>
      <c r="T1099" s="697">
        <v>0.23100000000000001</v>
      </c>
      <c r="U1099" s="372" t="s">
        <v>7584</v>
      </c>
      <c r="V1099" s="723">
        <v>6.53</v>
      </c>
      <c r="W1099" s="723">
        <v>0.38</v>
      </c>
      <c r="X1099" s="723">
        <v>0.32</v>
      </c>
      <c r="Y1099" s="723">
        <v>15.17</v>
      </c>
      <c r="Z1099" s="382" t="s">
        <v>927</v>
      </c>
      <c r="AA1099" s="372">
        <v>3348.1352654000002</v>
      </c>
      <c r="AB1099" s="372">
        <v>5037.0431769999996</v>
      </c>
      <c r="AC1099" s="372">
        <v>5576.0736852</v>
      </c>
      <c r="AD1099" s="372">
        <v>3417.7310140999998</v>
      </c>
      <c r="AE1099" s="372">
        <v>0</v>
      </c>
      <c r="AF1099" s="372">
        <v>0</v>
      </c>
      <c r="AG1099" s="372">
        <v>0</v>
      </c>
      <c r="AH1099" s="372">
        <v>0</v>
      </c>
    </row>
    <row r="1100" spans="1:34">
      <c r="A1100" s="372" t="s">
        <v>7585</v>
      </c>
      <c r="B1100" s="373" t="s">
        <v>7586</v>
      </c>
      <c r="C1100" s="372" t="s">
        <v>7587</v>
      </c>
      <c r="D1100" s="374">
        <v>1311110153525</v>
      </c>
      <c r="E1100" s="372" t="s">
        <v>7588</v>
      </c>
      <c r="F1100" s="375" t="s">
        <v>1185</v>
      </c>
      <c r="G1100" s="375" t="s">
        <v>1186</v>
      </c>
      <c r="H1100" s="375" t="s">
        <v>861</v>
      </c>
      <c r="I1100" s="375" t="s">
        <v>862</v>
      </c>
      <c r="J1100" s="375">
        <v>168349.32449999999</v>
      </c>
      <c r="K1100" s="375">
        <v>15759.4202</v>
      </c>
      <c r="L1100" s="375">
        <v>6212.2470700000003</v>
      </c>
      <c r="M1100" s="375">
        <v>161989.61379</v>
      </c>
      <c r="N1100" s="372">
        <v>1.0149999999999999</v>
      </c>
      <c r="O1100" s="704">
        <v>13.564910026936367</v>
      </c>
      <c r="P1100" s="375" t="s">
        <v>622</v>
      </c>
      <c r="Q1100" s="375" t="s">
        <v>622</v>
      </c>
      <c r="R1100" s="696">
        <v>20150617</v>
      </c>
      <c r="S1100" s="375" t="s">
        <v>7589</v>
      </c>
      <c r="T1100" s="697">
        <v>0.20900000000000002</v>
      </c>
      <c r="U1100" s="372" t="s">
        <v>7590</v>
      </c>
      <c r="V1100" s="723">
        <v>6.85</v>
      </c>
      <c r="W1100" s="723">
        <v>0.74</v>
      </c>
      <c r="X1100" s="723">
        <v>0.74</v>
      </c>
      <c r="Y1100" s="723">
        <v>30.33</v>
      </c>
      <c r="Z1100" s="382" t="s">
        <v>927</v>
      </c>
      <c r="AA1100" s="372">
        <v>1729.3844825000001</v>
      </c>
      <c r="AB1100" s="372">
        <v>2422.5644634</v>
      </c>
      <c r="AC1100" s="372">
        <v>1950.5584609</v>
      </c>
      <c r="AD1100" s="372">
        <v>1566.2658312000001</v>
      </c>
      <c r="AE1100" s="372">
        <v>0</v>
      </c>
      <c r="AF1100" s="372">
        <v>0</v>
      </c>
      <c r="AG1100" s="372">
        <v>0</v>
      </c>
      <c r="AH1100" s="372">
        <v>0</v>
      </c>
    </row>
    <row r="1101" spans="1:34">
      <c r="A1101" s="372" t="s">
        <v>7591</v>
      </c>
      <c r="B1101" s="373" t="s">
        <v>7592</v>
      </c>
      <c r="C1101" s="372" t="s">
        <v>7593</v>
      </c>
      <c r="D1101" s="374">
        <v>1101113660142</v>
      </c>
      <c r="E1101" s="372" t="s">
        <v>7594</v>
      </c>
      <c r="F1101" s="375" t="s">
        <v>1116</v>
      </c>
      <c r="G1101" s="375" t="s">
        <v>1336</v>
      </c>
      <c r="H1101" s="375" t="s">
        <v>1337</v>
      </c>
      <c r="I1101" s="375" t="s">
        <v>862</v>
      </c>
      <c r="J1101" s="375">
        <v>829.22418000000005</v>
      </c>
      <c r="K1101" s="375">
        <v>-30996.438440000002</v>
      </c>
      <c r="L1101" s="375">
        <v>-45272.169379999999</v>
      </c>
      <c r="M1101" s="375">
        <v>6171.9172799999997</v>
      </c>
      <c r="N1101" s="372">
        <v>1.0720000000000001</v>
      </c>
      <c r="O1101" s="704">
        <v>7.3857916710278468</v>
      </c>
      <c r="P1101" s="375" t="s">
        <v>622</v>
      </c>
      <c r="Q1101" s="375" t="s">
        <v>622</v>
      </c>
      <c r="R1101" s="696">
        <v>20140721</v>
      </c>
      <c r="S1101" s="375" t="s">
        <v>7595</v>
      </c>
      <c r="T1101" s="697" t="s">
        <v>771</v>
      </c>
      <c r="U1101" s="372" t="s">
        <v>7596</v>
      </c>
      <c r="V1101" s="723" t="s">
        <v>773</v>
      </c>
      <c r="W1101" s="723">
        <v>32.82</v>
      </c>
      <c r="X1101" s="723">
        <v>238.18</v>
      </c>
      <c r="Y1101" s="723" t="s">
        <v>773</v>
      </c>
      <c r="Z1101" s="382" t="s">
        <v>927</v>
      </c>
      <c r="AA1101" s="372">
        <v>19.938180500000001</v>
      </c>
      <c r="AB1101" s="372">
        <v>16.384980500000001</v>
      </c>
      <c r="AC1101" s="372">
        <v>25.065191800000001</v>
      </c>
      <c r="AD1101" s="372">
        <v>12.7430682</v>
      </c>
      <c r="AE1101" s="372">
        <v>0</v>
      </c>
      <c r="AF1101" s="372">
        <v>0</v>
      </c>
      <c r="AG1101" s="372">
        <v>0</v>
      </c>
      <c r="AH1101" s="372">
        <v>0</v>
      </c>
    </row>
    <row r="1102" spans="1:34">
      <c r="A1102" s="372" t="s">
        <v>7597</v>
      </c>
      <c r="B1102" s="373" t="s">
        <v>7598</v>
      </c>
      <c r="C1102" s="372" t="s">
        <v>7599</v>
      </c>
      <c r="D1102" s="374">
        <v>1353110002964</v>
      </c>
      <c r="E1102" s="372" t="s">
        <v>7600</v>
      </c>
      <c r="F1102" s="375" t="s">
        <v>1370</v>
      </c>
      <c r="G1102" s="375" t="s">
        <v>1370</v>
      </c>
      <c r="H1102" s="375" t="s">
        <v>861</v>
      </c>
      <c r="I1102" s="375" t="s">
        <v>862</v>
      </c>
      <c r="J1102" s="375">
        <v>61357.381439999997</v>
      </c>
      <c r="K1102" s="375">
        <v>-2792.2474000000002</v>
      </c>
      <c r="L1102" s="375">
        <v>-1257.3147100000001</v>
      </c>
      <c r="M1102" s="375">
        <v>44025.72997</v>
      </c>
      <c r="N1102" s="372">
        <v>0.83899999999999997</v>
      </c>
      <c r="O1102" s="704">
        <v>9.0574698470033521</v>
      </c>
      <c r="P1102" s="375" t="s">
        <v>622</v>
      </c>
      <c r="Q1102" s="372" t="s">
        <v>622</v>
      </c>
      <c r="R1102" s="696">
        <v>20001229</v>
      </c>
      <c r="S1102" s="372" t="s">
        <v>7601</v>
      </c>
      <c r="T1102" s="697" t="s">
        <v>771</v>
      </c>
      <c r="U1102" s="372" t="s">
        <v>7602</v>
      </c>
      <c r="V1102" s="723">
        <v>160</v>
      </c>
      <c r="W1102" s="723">
        <v>2.44</v>
      </c>
      <c r="X1102" s="723">
        <v>1.84</v>
      </c>
      <c r="Y1102" s="723">
        <v>59.8</v>
      </c>
      <c r="Z1102" s="382">
        <v>0.14722818726915476</v>
      </c>
      <c r="AA1102" s="372">
        <v>371.5134908</v>
      </c>
      <c r="AB1102" s="372">
        <v>433.49961500000001</v>
      </c>
      <c r="AC1102" s="372">
        <v>468.23337379999998</v>
      </c>
      <c r="AD1102" s="372">
        <v>518.41445269999997</v>
      </c>
      <c r="AE1102" s="372">
        <v>627</v>
      </c>
      <c r="AF1102" s="372">
        <v>768</v>
      </c>
      <c r="AG1102" s="372">
        <v>898</v>
      </c>
      <c r="AH1102" s="372">
        <v>0</v>
      </c>
    </row>
    <row r="1103" spans="1:34">
      <c r="A1103" s="372" t="s">
        <v>7603</v>
      </c>
      <c r="B1103" s="373" t="s">
        <v>7604</v>
      </c>
      <c r="C1103" s="372" t="s">
        <v>7605</v>
      </c>
      <c r="D1103" s="374">
        <v>1615110044225</v>
      </c>
      <c r="E1103" s="372" t="s">
        <v>7606</v>
      </c>
      <c r="F1103" s="375" t="s">
        <v>2222</v>
      </c>
      <c r="G1103" s="375" t="s">
        <v>2222</v>
      </c>
      <c r="H1103" s="375" t="s">
        <v>1316</v>
      </c>
      <c r="I1103" s="375" t="s">
        <v>754</v>
      </c>
      <c r="J1103" s="375">
        <v>634511.96198999998</v>
      </c>
      <c r="K1103" s="375">
        <v>52088.322930000002</v>
      </c>
      <c r="L1103" s="375">
        <v>39309.014779999998</v>
      </c>
      <c r="M1103" s="375">
        <v>287666.48975000001</v>
      </c>
      <c r="N1103" s="372">
        <v>0.74</v>
      </c>
      <c r="O1103" s="704">
        <v>140.79128551979656</v>
      </c>
      <c r="P1103" s="375" t="s">
        <v>622</v>
      </c>
      <c r="Q1103" s="375" t="s">
        <v>622</v>
      </c>
      <c r="R1103" s="696">
        <v>20160511</v>
      </c>
      <c r="S1103" s="375" t="s">
        <v>7607</v>
      </c>
      <c r="T1103" s="697">
        <v>0.23100000000000001</v>
      </c>
      <c r="U1103" s="372" t="s">
        <v>7608</v>
      </c>
      <c r="V1103" s="723">
        <v>4.54</v>
      </c>
      <c r="W1103" s="723">
        <v>0.51</v>
      </c>
      <c r="X1103" s="723">
        <v>0.27</v>
      </c>
      <c r="Y1103" s="723">
        <v>5.52</v>
      </c>
      <c r="Z1103" s="382" t="s">
        <v>927</v>
      </c>
      <c r="AA1103" s="372">
        <v>5639.3512110000001</v>
      </c>
      <c r="AB1103" s="372">
        <v>5677.0345133000001</v>
      </c>
      <c r="AC1103" s="372">
        <v>5902.6647358999999</v>
      </c>
      <c r="AD1103" s="372">
        <v>6248.6597308</v>
      </c>
      <c r="AE1103" s="372">
        <v>0</v>
      </c>
      <c r="AF1103" s="372">
        <v>0</v>
      </c>
      <c r="AG1103" s="372">
        <v>0</v>
      </c>
      <c r="AH1103" s="372">
        <v>0</v>
      </c>
    </row>
    <row r="1104" spans="1:34">
      <c r="A1104" s="372" t="s">
        <v>7609</v>
      </c>
      <c r="B1104" s="373" t="s">
        <v>7610</v>
      </c>
      <c r="C1104" s="372" t="s">
        <v>7611</v>
      </c>
      <c r="D1104" s="374">
        <v>1101110137491</v>
      </c>
      <c r="E1104" s="372" t="s">
        <v>7612</v>
      </c>
      <c r="F1104" s="375" t="s">
        <v>2089</v>
      </c>
      <c r="G1104" s="375" t="s">
        <v>2089</v>
      </c>
      <c r="H1104" s="375" t="s">
        <v>812</v>
      </c>
      <c r="I1104" s="375" t="s">
        <v>754</v>
      </c>
      <c r="J1104" s="375">
        <v>289400.64062000002</v>
      </c>
      <c r="K1104" s="375">
        <v>41292.186320000001</v>
      </c>
      <c r="L1104" s="375">
        <v>37175.799930000001</v>
      </c>
      <c r="M1104" s="375">
        <v>253116.72885000001</v>
      </c>
      <c r="N1104" s="372">
        <v>0.68</v>
      </c>
      <c r="O1104" s="704">
        <v>114.31465375452406</v>
      </c>
      <c r="P1104" s="375" t="s">
        <v>622</v>
      </c>
      <c r="Q1104" s="372" t="s">
        <v>622</v>
      </c>
      <c r="R1104" s="696">
        <v>19750628</v>
      </c>
      <c r="S1104" s="372" t="s">
        <v>7613</v>
      </c>
      <c r="T1104" s="697">
        <v>0.23100000000000001</v>
      </c>
      <c r="U1104" s="372" t="s">
        <v>7614</v>
      </c>
      <c r="V1104" s="723">
        <v>0</v>
      </c>
      <c r="W1104" s="723">
        <v>0</v>
      </c>
      <c r="X1104" s="723">
        <v>0</v>
      </c>
      <c r="Y1104" s="723">
        <v>0</v>
      </c>
      <c r="Z1104" s="382" t="s">
        <v>927</v>
      </c>
      <c r="AA1104" s="372">
        <v>1925.7184099999999</v>
      </c>
      <c r="AB1104" s="372">
        <v>2482.1274945999999</v>
      </c>
      <c r="AC1104" s="372">
        <v>3553.9020214000002</v>
      </c>
      <c r="AD1104" s="372">
        <v>3829.1113879999998</v>
      </c>
      <c r="AE1104" s="372">
        <v>0</v>
      </c>
      <c r="AF1104" s="372">
        <v>0</v>
      </c>
      <c r="AG1104" s="372">
        <v>0</v>
      </c>
      <c r="AH1104" s="372">
        <v>0</v>
      </c>
    </row>
    <row r="1105" spans="1:34">
      <c r="A1105" s="372" t="s">
        <v>7615</v>
      </c>
      <c r="B1105" s="373" t="s">
        <v>7616</v>
      </c>
      <c r="C1105" s="372" t="s">
        <v>7617</v>
      </c>
      <c r="D1105" s="374">
        <v>1942110090598</v>
      </c>
      <c r="E1105" s="372" t="s">
        <v>7618</v>
      </c>
      <c r="F1105" s="375" t="s">
        <v>1431</v>
      </c>
      <c r="G1105" s="375" t="s">
        <v>5587</v>
      </c>
      <c r="H1105" s="375" t="s">
        <v>1043</v>
      </c>
      <c r="I1105" s="375" t="s">
        <v>754</v>
      </c>
      <c r="J1105" s="375">
        <v>286837.70055000001</v>
      </c>
      <c r="K1105" s="375">
        <v>20403.12976</v>
      </c>
      <c r="L1105" s="375">
        <v>19581.929339999999</v>
      </c>
      <c r="M1105" s="375">
        <v>284368.64289000002</v>
      </c>
      <c r="N1105" s="372">
        <v>0.93899999999999995</v>
      </c>
      <c r="O1105" s="704">
        <v>1.4809893682914204</v>
      </c>
      <c r="P1105" s="375" t="s">
        <v>622</v>
      </c>
      <c r="Q1105" s="375" t="s">
        <v>622</v>
      </c>
      <c r="R1105" s="696">
        <v>20080222</v>
      </c>
      <c r="S1105" s="375" t="s">
        <v>7619</v>
      </c>
      <c r="T1105" s="697">
        <v>0.20900000000000002</v>
      </c>
      <c r="U1105" s="372" t="s">
        <v>7620</v>
      </c>
      <c r="V1105" s="723">
        <v>10.199999999999999</v>
      </c>
      <c r="W1105" s="723">
        <v>0.88</v>
      </c>
      <c r="X1105" s="723">
        <v>0.92</v>
      </c>
      <c r="Y1105" s="723">
        <v>20.47</v>
      </c>
      <c r="Z1105" s="382">
        <v>0.14168900544229235</v>
      </c>
      <c r="AA1105" s="372">
        <v>2373.9973604000002</v>
      </c>
      <c r="AB1105" s="372">
        <v>1710.8809326999999</v>
      </c>
      <c r="AC1105" s="372">
        <v>2028.7863527</v>
      </c>
      <c r="AD1105" s="372">
        <v>3219.5565019999999</v>
      </c>
      <c r="AE1105" s="372">
        <v>3312</v>
      </c>
      <c r="AF1105" s="372">
        <v>4484.33</v>
      </c>
      <c r="AG1105" s="372">
        <v>5470</v>
      </c>
      <c r="AH1105" s="372">
        <v>0</v>
      </c>
    </row>
    <row r="1106" spans="1:34">
      <c r="A1106" s="372" t="s">
        <v>7621</v>
      </c>
      <c r="B1106" s="373" t="s">
        <v>7622</v>
      </c>
      <c r="C1106" s="372" t="s">
        <v>7623</v>
      </c>
      <c r="D1106" s="374">
        <v>1101113802992</v>
      </c>
      <c r="E1106" s="372" t="s">
        <v>7624</v>
      </c>
      <c r="F1106" s="375" t="s">
        <v>2124</v>
      </c>
      <c r="G1106" s="375" t="s">
        <v>4231</v>
      </c>
      <c r="H1106" s="375" t="s">
        <v>861</v>
      </c>
      <c r="I1106" s="375" t="s">
        <v>862</v>
      </c>
      <c r="J1106" s="375">
        <v>32899.112439999997</v>
      </c>
      <c r="K1106" s="375">
        <v>3120.2532799999999</v>
      </c>
      <c r="L1106" s="375">
        <v>8626.1172200000001</v>
      </c>
      <c r="M1106" s="375">
        <v>71863.567540000004</v>
      </c>
      <c r="N1106" s="372">
        <v>0.58199999999999996</v>
      </c>
      <c r="O1106" s="704">
        <v>0</v>
      </c>
      <c r="P1106" s="375" t="s">
        <v>622</v>
      </c>
      <c r="Q1106" s="372" t="s">
        <v>622</v>
      </c>
      <c r="R1106" s="696">
        <v>20130701</v>
      </c>
      <c r="S1106" s="372" t="s">
        <v>7625</v>
      </c>
      <c r="T1106" s="697">
        <v>0.20900000000000002</v>
      </c>
      <c r="U1106" s="372" t="s">
        <v>7626</v>
      </c>
      <c r="V1106" s="723">
        <v>29.72</v>
      </c>
      <c r="W1106" s="723">
        <v>1.48</v>
      </c>
      <c r="X1106" s="723">
        <v>3.9</v>
      </c>
      <c r="Y1106" s="723">
        <v>17.920000000000002</v>
      </c>
      <c r="Z1106" s="382" t="s">
        <v>927</v>
      </c>
      <c r="AA1106" s="372">
        <v>129.8588178</v>
      </c>
      <c r="AB1106" s="372">
        <v>217.81038520000001</v>
      </c>
      <c r="AC1106" s="372">
        <v>275.6759662</v>
      </c>
      <c r="AD1106" s="372">
        <v>337.31985479999997</v>
      </c>
      <c r="AE1106" s="372">
        <v>442</v>
      </c>
      <c r="AF1106" s="372">
        <v>598</v>
      </c>
      <c r="AG1106" s="372">
        <v>0</v>
      </c>
      <c r="AH1106" s="372">
        <v>0</v>
      </c>
    </row>
    <row r="1107" spans="1:34">
      <c r="A1107" s="372" t="s">
        <v>7627</v>
      </c>
      <c r="B1107" s="373" t="s">
        <v>7628</v>
      </c>
      <c r="C1107" s="372" t="s">
        <v>7629</v>
      </c>
      <c r="D1107" s="374">
        <v>1601110052665</v>
      </c>
      <c r="E1107" s="372" t="s">
        <v>7630</v>
      </c>
      <c r="F1107" s="372" t="s">
        <v>1871</v>
      </c>
      <c r="G1107" s="375" t="s">
        <v>5823</v>
      </c>
      <c r="H1107" s="375" t="s">
        <v>861</v>
      </c>
      <c r="I1107" s="375" t="s">
        <v>862</v>
      </c>
      <c r="J1107" s="375">
        <v>195628.00227999999</v>
      </c>
      <c r="K1107" s="375">
        <v>26203.550790000001</v>
      </c>
      <c r="L1107" s="375">
        <v>23723.229449999999</v>
      </c>
      <c r="M1107" s="375">
        <v>125606.87358</v>
      </c>
      <c r="N1107" s="372">
        <v>0.91900000000000004</v>
      </c>
      <c r="O1107" s="704">
        <v>75.512690654437648</v>
      </c>
      <c r="P1107" s="375" t="s">
        <v>622</v>
      </c>
      <c r="Q1107" s="375" t="s">
        <v>622</v>
      </c>
      <c r="R1107" s="696">
        <v>20090526</v>
      </c>
      <c r="S1107" s="375" t="s">
        <v>7631</v>
      </c>
      <c r="T1107" s="697">
        <v>0.23100000000000001</v>
      </c>
      <c r="U1107" s="372" t="s">
        <v>7632</v>
      </c>
      <c r="V1107" s="723">
        <v>6.42</v>
      </c>
      <c r="W1107" s="723">
        <v>0.89</v>
      </c>
      <c r="X1107" s="723">
        <v>0.67</v>
      </c>
      <c r="Y1107" s="723">
        <v>5.99</v>
      </c>
      <c r="Z1107" s="382" t="s">
        <v>927</v>
      </c>
      <c r="AA1107" s="372">
        <v>1136.5946186000001</v>
      </c>
      <c r="AB1107" s="372">
        <v>1284.9994021</v>
      </c>
      <c r="AC1107" s="372">
        <v>1594.7320407</v>
      </c>
      <c r="AD1107" s="372">
        <v>1766.2863152</v>
      </c>
      <c r="AE1107" s="372">
        <v>0</v>
      </c>
      <c r="AF1107" s="372">
        <v>0</v>
      </c>
      <c r="AG1107" s="372">
        <v>0</v>
      </c>
      <c r="AH1107" s="372">
        <v>0</v>
      </c>
    </row>
    <row r="1108" spans="1:34">
      <c r="A1108" s="372" t="s">
        <v>7633</v>
      </c>
      <c r="B1108" s="373" t="s">
        <v>7634</v>
      </c>
      <c r="C1108" s="372" t="s">
        <v>7635</v>
      </c>
      <c r="D1108" s="374">
        <v>1101110787080</v>
      </c>
      <c r="E1108" s="372" t="s">
        <v>7636</v>
      </c>
      <c r="F1108" s="375" t="s">
        <v>4223</v>
      </c>
      <c r="G1108" s="375" t="s">
        <v>4224</v>
      </c>
      <c r="H1108" s="375" t="s">
        <v>1337</v>
      </c>
      <c r="I1108" s="375" t="s">
        <v>862</v>
      </c>
      <c r="J1108" s="375">
        <v>169086.76285</v>
      </c>
      <c r="K1108" s="375">
        <v>15993.523499999999</v>
      </c>
      <c r="L1108" s="375">
        <v>15962.04363</v>
      </c>
      <c r="M1108" s="375">
        <v>48352.320440000003</v>
      </c>
      <c r="N1108" s="372">
        <v>5.8999999999999997E-2</v>
      </c>
      <c r="O1108" s="704">
        <v>15.11423229331804</v>
      </c>
      <c r="P1108" s="375" t="s">
        <v>622</v>
      </c>
      <c r="Q1108" s="372" t="s">
        <v>622</v>
      </c>
      <c r="R1108" s="696">
        <v>20020129</v>
      </c>
      <c r="S1108" s="372" t="s">
        <v>7637</v>
      </c>
      <c r="T1108" s="697">
        <v>0.20900000000000002</v>
      </c>
      <c r="U1108" s="372" t="s">
        <v>7638</v>
      </c>
      <c r="V1108" s="723">
        <v>6.27</v>
      </c>
      <c r="W1108" s="723">
        <v>2.95</v>
      </c>
      <c r="X1108" s="723">
        <v>0.85</v>
      </c>
      <c r="Y1108" s="723">
        <v>10.96</v>
      </c>
      <c r="Z1108" s="382" t="s">
        <v>927</v>
      </c>
      <c r="AA1108" s="372">
        <v>1332.09085</v>
      </c>
      <c r="AB1108" s="372">
        <v>1452.2236086</v>
      </c>
      <c r="AC1108" s="372">
        <v>1467.6681027</v>
      </c>
      <c r="AD1108" s="372">
        <v>1582.1435732</v>
      </c>
      <c r="AE1108" s="372">
        <v>1760</v>
      </c>
      <c r="AF1108" s="372">
        <v>2112</v>
      </c>
      <c r="AG1108" s="372">
        <v>0</v>
      </c>
      <c r="AH1108" s="372">
        <v>0</v>
      </c>
    </row>
    <row r="1109" spans="1:34">
      <c r="A1109" s="372" t="s">
        <v>7639</v>
      </c>
      <c r="B1109" s="373" t="s">
        <v>7640</v>
      </c>
      <c r="C1109" s="372" t="s">
        <v>7641</v>
      </c>
      <c r="D1109" s="374">
        <v>1101110295778</v>
      </c>
      <c r="E1109" s="372" t="s">
        <v>7642</v>
      </c>
      <c r="F1109" s="375" t="s">
        <v>7005</v>
      </c>
      <c r="G1109" s="375" t="s">
        <v>7005</v>
      </c>
      <c r="H1109" s="375" t="s">
        <v>4847</v>
      </c>
      <c r="I1109" s="375" t="s">
        <v>862</v>
      </c>
      <c r="J1109" s="375">
        <v>333749.78232</v>
      </c>
      <c r="K1109" s="375">
        <v>49673.027520000003</v>
      </c>
      <c r="L1109" s="375">
        <v>57643.550199999998</v>
      </c>
      <c r="M1109" s="375">
        <v>355094.31627000001</v>
      </c>
      <c r="N1109" s="372">
        <v>0.65100000000000002</v>
      </c>
      <c r="O1109" s="704">
        <v>20.073430028374311</v>
      </c>
      <c r="P1109" s="375" t="s">
        <v>622</v>
      </c>
      <c r="Q1109" s="372" t="s">
        <v>622</v>
      </c>
      <c r="R1109" s="696">
        <v>20001221</v>
      </c>
      <c r="S1109" s="372" t="s">
        <v>7643</v>
      </c>
      <c r="T1109" s="697">
        <v>0.23100000000000001</v>
      </c>
      <c r="U1109" s="375" t="s">
        <v>7644</v>
      </c>
      <c r="V1109" s="723">
        <v>2.95</v>
      </c>
      <c r="W1109" s="723">
        <v>0.46</v>
      </c>
      <c r="X1109" s="723">
        <v>0.49</v>
      </c>
      <c r="Y1109" s="723">
        <v>3.73</v>
      </c>
      <c r="Z1109" s="382" t="s">
        <v>927</v>
      </c>
      <c r="AA1109" s="372">
        <v>2353.3565603000002</v>
      </c>
      <c r="AB1109" s="372">
        <v>2387.4539181</v>
      </c>
      <c r="AC1109" s="372">
        <v>2483.4789390000001</v>
      </c>
      <c r="AD1109" s="372">
        <v>3376.1029422000001</v>
      </c>
      <c r="AE1109" s="372">
        <v>3507</v>
      </c>
      <c r="AF1109" s="372">
        <v>3758</v>
      </c>
      <c r="AG1109" s="372">
        <v>0</v>
      </c>
      <c r="AH1109" s="372">
        <v>0</v>
      </c>
    </row>
    <row r="1110" spans="1:34">
      <c r="A1110" s="372" t="s">
        <v>7645</v>
      </c>
      <c r="B1110" s="373" t="s">
        <v>7646</v>
      </c>
      <c r="C1110" s="372" t="s">
        <v>7647</v>
      </c>
      <c r="D1110" s="374">
        <v>1942110042721</v>
      </c>
      <c r="E1110" s="372" t="s">
        <v>7648</v>
      </c>
      <c r="F1110" s="375" t="s">
        <v>3336</v>
      </c>
      <c r="G1110" s="375" t="s">
        <v>3336</v>
      </c>
      <c r="H1110" s="375" t="s">
        <v>3099</v>
      </c>
      <c r="I1110" s="375" t="s">
        <v>862</v>
      </c>
      <c r="J1110" s="375">
        <v>2132463.2522399998</v>
      </c>
      <c r="K1110" s="375">
        <v>25248.670529999999</v>
      </c>
      <c r="L1110" s="375">
        <v>-6299.90852</v>
      </c>
      <c r="M1110" s="375">
        <v>408981.05125000002</v>
      </c>
      <c r="N1110" s="372">
        <v>0.79400000000000004</v>
      </c>
      <c r="O1110" s="704">
        <v>750.27011730573486</v>
      </c>
      <c r="P1110" s="375" t="s">
        <v>622</v>
      </c>
      <c r="Q1110" s="372" t="s">
        <v>622</v>
      </c>
      <c r="R1110" s="696">
        <v>20041201</v>
      </c>
      <c r="S1110" s="372" t="s">
        <v>7649</v>
      </c>
      <c r="T1110" s="697" t="s">
        <v>771</v>
      </c>
      <c r="U1110" s="372" t="s">
        <v>7650</v>
      </c>
      <c r="V1110" s="723">
        <v>15.43</v>
      </c>
      <c r="W1110" s="723">
        <v>0.36</v>
      </c>
      <c r="X1110" s="723">
        <v>7.0000000000000007E-2</v>
      </c>
      <c r="Y1110" s="723" t="s">
        <v>773</v>
      </c>
      <c r="Z1110" s="382" t="s">
        <v>927</v>
      </c>
      <c r="AA1110" s="372">
        <v>14511.0888228</v>
      </c>
      <c r="AB1110" s="372">
        <v>17033.070582200002</v>
      </c>
      <c r="AC1110" s="372">
        <v>19570.789608800002</v>
      </c>
      <c r="AD1110" s="372">
        <v>21959.543356800001</v>
      </c>
      <c r="AE1110" s="372">
        <v>22311</v>
      </c>
      <c r="AF1110" s="372">
        <v>0</v>
      </c>
      <c r="AG1110" s="372">
        <v>0</v>
      </c>
      <c r="AH1110" s="372">
        <v>0</v>
      </c>
    </row>
    <row r="1111" spans="1:34">
      <c r="A1111" s="372" t="s">
        <v>7651</v>
      </c>
      <c r="B1111" s="373" t="s">
        <v>7652</v>
      </c>
      <c r="C1111" s="372" t="s">
        <v>7653</v>
      </c>
      <c r="D1111" s="374">
        <v>1101110219398</v>
      </c>
      <c r="E1111" s="372" t="s">
        <v>7654</v>
      </c>
      <c r="F1111" s="372" t="s">
        <v>2040</v>
      </c>
      <c r="G1111" s="375" t="s">
        <v>7156</v>
      </c>
      <c r="H1111" s="375" t="s">
        <v>3099</v>
      </c>
      <c r="I1111" s="375" t="s">
        <v>862</v>
      </c>
      <c r="J1111" s="375">
        <v>473730.3173</v>
      </c>
      <c r="K1111" s="375">
        <v>2264.0280499999999</v>
      </c>
      <c r="L1111" s="375">
        <v>1667.1206999999999</v>
      </c>
      <c r="M1111" s="375">
        <v>416394.62452000001</v>
      </c>
      <c r="N1111" s="372">
        <v>0.84</v>
      </c>
      <c r="O1111" s="704">
        <v>82.344505285046083</v>
      </c>
      <c r="P1111" s="375" t="s">
        <v>622</v>
      </c>
      <c r="Q1111" s="372" t="s">
        <v>622</v>
      </c>
      <c r="R1111" s="696">
        <v>19950831</v>
      </c>
      <c r="S1111" s="372" t="s">
        <v>7655</v>
      </c>
      <c r="T1111" s="697">
        <v>0.20900000000000002</v>
      </c>
      <c r="U1111" s="372" t="s">
        <v>7656</v>
      </c>
      <c r="V1111" s="723">
        <v>24.74</v>
      </c>
      <c r="W1111" s="723">
        <v>0.28999999999999998</v>
      </c>
      <c r="X1111" s="723">
        <v>0.26</v>
      </c>
      <c r="Y1111" s="723">
        <v>17.55</v>
      </c>
      <c r="Z1111" s="382" t="s">
        <v>927</v>
      </c>
      <c r="AA1111" s="372">
        <v>3732.0017886999999</v>
      </c>
      <c r="AB1111" s="372">
        <v>4924.5397380000004</v>
      </c>
      <c r="AC1111" s="372">
        <v>6352.1578759000004</v>
      </c>
      <c r="AD1111" s="372">
        <v>4905.6815395000003</v>
      </c>
      <c r="AE1111" s="372">
        <v>0</v>
      </c>
      <c r="AF1111" s="372">
        <v>0</v>
      </c>
      <c r="AG1111" s="372">
        <v>0</v>
      </c>
      <c r="AH1111" s="372">
        <v>0</v>
      </c>
    </row>
    <row r="1112" spans="1:34">
      <c r="A1112" s="372" t="s">
        <v>7657</v>
      </c>
      <c r="B1112" s="373" t="s">
        <v>7658</v>
      </c>
      <c r="C1112" s="372" t="s">
        <v>7659</v>
      </c>
      <c r="D1112" s="374">
        <v>2301110172244</v>
      </c>
      <c r="E1112" s="372" t="s">
        <v>7660</v>
      </c>
      <c r="F1112" s="375" t="s">
        <v>1096</v>
      </c>
      <c r="G1112" s="375" t="s">
        <v>5854</v>
      </c>
      <c r="H1112" s="375" t="s">
        <v>826</v>
      </c>
      <c r="I1112" s="375" t="s">
        <v>754</v>
      </c>
      <c r="J1112" s="375">
        <v>252295.08444999999</v>
      </c>
      <c r="K1112" s="375">
        <v>29616.417969999999</v>
      </c>
      <c r="L1112" s="375">
        <v>32431.153539999999</v>
      </c>
      <c r="M1112" s="375">
        <v>157812.84753</v>
      </c>
      <c r="N1112" s="372">
        <v>0.435</v>
      </c>
      <c r="O1112" s="704">
        <v>0.22191117367672997</v>
      </c>
      <c r="P1112" s="375" t="s">
        <v>622</v>
      </c>
      <c r="Q1112" s="372" t="s">
        <v>622</v>
      </c>
      <c r="R1112" s="696">
        <v>20110215</v>
      </c>
      <c r="S1112" s="372" t="s">
        <v>7661</v>
      </c>
      <c r="T1112" s="697">
        <v>0.23100000000000001</v>
      </c>
      <c r="U1112" s="372" t="s">
        <v>7662</v>
      </c>
      <c r="V1112" s="723">
        <v>0</v>
      </c>
      <c r="W1112" s="723">
        <v>0</v>
      </c>
      <c r="X1112" s="723">
        <v>0</v>
      </c>
      <c r="Y1112" s="723">
        <v>0</v>
      </c>
      <c r="Z1112" s="382" t="s">
        <v>927</v>
      </c>
      <c r="AA1112" s="372">
        <v>1602.3435079999999</v>
      </c>
      <c r="AB1112" s="372">
        <v>1974.700775</v>
      </c>
      <c r="AC1112" s="372">
        <v>2351.6556835000001</v>
      </c>
      <c r="AD1112" s="372">
        <v>2326.1576027000001</v>
      </c>
      <c r="AE1112" s="372">
        <v>0</v>
      </c>
      <c r="AF1112" s="372">
        <v>0</v>
      </c>
      <c r="AG1112" s="372">
        <v>0</v>
      </c>
      <c r="AH1112" s="372">
        <v>0</v>
      </c>
    </row>
    <row r="1113" spans="1:34">
      <c r="A1113" s="372" t="s">
        <v>7663</v>
      </c>
      <c r="B1113" s="373" t="s">
        <v>7664</v>
      </c>
      <c r="C1113" s="372" t="s">
        <v>7665</v>
      </c>
      <c r="D1113" s="374">
        <v>1101110006349</v>
      </c>
      <c r="E1113" s="372" t="s">
        <v>7666</v>
      </c>
      <c r="F1113" s="375" t="s">
        <v>1384</v>
      </c>
      <c r="G1113" s="375" t="s">
        <v>1385</v>
      </c>
      <c r="H1113" s="375" t="s">
        <v>1386</v>
      </c>
      <c r="I1113" s="375" t="s">
        <v>754</v>
      </c>
      <c r="J1113" s="375">
        <v>758052.05238999997</v>
      </c>
      <c r="K1113" s="375">
        <v>-1659.06197</v>
      </c>
      <c r="L1113" s="375">
        <v>6684.1628000000001</v>
      </c>
      <c r="M1113" s="375">
        <v>258388.39334000001</v>
      </c>
      <c r="N1113" s="372">
        <v>0.82699999999999996</v>
      </c>
      <c r="O1113" s="704">
        <v>16.877742978622095</v>
      </c>
      <c r="P1113" s="375" t="s">
        <v>622</v>
      </c>
      <c r="Q1113" s="372" t="s">
        <v>622</v>
      </c>
      <c r="R1113" s="696">
        <v>19770625</v>
      </c>
      <c r="S1113" s="372" t="s">
        <v>7667</v>
      </c>
      <c r="T1113" s="697">
        <v>0.20900000000000002</v>
      </c>
      <c r="U1113" s="372" t="s">
        <v>7668</v>
      </c>
      <c r="V1113" s="723">
        <v>0</v>
      </c>
      <c r="W1113" s="723">
        <v>0</v>
      </c>
      <c r="X1113" s="723">
        <v>0</v>
      </c>
      <c r="Y1113" s="723">
        <v>0</v>
      </c>
      <c r="Z1113" s="382" t="s">
        <v>927</v>
      </c>
      <c r="AA1113" s="372">
        <v>3772.4725174</v>
      </c>
      <c r="AB1113" s="372">
        <v>4442.4478387999998</v>
      </c>
      <c r="AC1113" s="372">
        <v>6289.3604886000003</v>
      </c>
      <c r="AD1113" s="372">
        <v>7594.3976712000003</v>
      </c>
      <c r="AE1113" s="372">
        <v>0</v>
      </c>
      <c r="AF1113" s="372">
        <v>0</v>
      </c>
      <c r="AG1113" s="372">
        <v>0</v>
      </c>
      <c r="AH1113" s="372">
        <v>0</v>
      </c>
    </row>
    <row r="1114" spans="1:34">
      <c r="A1114" s="372" t="s">
        <v>7669</v>
      </c>
      <c r="B1114" s="373" t="s">
        <v>7670</v>
      </c>
      <c r="C1114" s="372" t="s">
        <v>7671</v>
      </c>
      <c r="D1114" s="374">
        <v>1201110350124</v>
      </c>
      <c r="E1114" s="372" t="s">
        <v>7672</v>
      </c>
      <c r="F1114" s="375" t="s">
        <v>1569</v>
      </c>
      <c r="G1114" s="375" t="s">
        <v>1569</v>
      </c>
      <c r="H1114" s="375" t="s">
        <v>3099</v>
      </c>
      <c r="I1114" s="375" t="s">
        <v>862</v>
      </c>
      <c r="J1114" s="375">
        <v>0</v>
      </c>
      <c r="K1114" s="375">
        <v>0</v>
      </c>
      <c r="L1114" s="375">
        <v>0</v>
      </c>
      <c r="M1114" s="375">
        <v>23763.174480000001</v>
      </c>
      <c r="N1114" s="372">
        <v>0.40699999999999997</v>
      </c>
      <c r="O1114" s="704">
        <v>1.6204521142814132</v>
      </c>
      <c r="P1114" s="375" t="s">
        <v>16115</v>
      </c>
      <c r="Q1114" s="372" t="s">
        <v>16116</v>
      </c>
      <c r="R1114" s="696">
        <v>20040825</v>
      </c>
      <c r="S1114" s="375" t="s">
        <v>7673</v>
      </c>
      <c r="T1114" s="697" t="s">
        <v>771</v>
      </c>
      <c r="U1114" s="372" t="s">
        <v>7674</v>
      </c>
      <c r="V1114" s="723">
        <v>0</v>
      </c>
      <c r="W1114" s="723">
        <v>6.38</v>
      </c>
      <c r="X1114" s="723">
        <v>0</v>
      </c>
      <c r="Y1114" s="723">
        <v>0</v>
      </c>
      <c r="Z1114" s="382" t="s">
        <v>927</v>
      </c>
      <c r="AA1114" s="372">
        <v>382.95655219999998</v>
      </c>
      <c r="AB1114" s="372">
        <v>133.7742758</v>
      </c>
      <c r="AC1114" s="372">
        <v>43.609772900000003</v>
      </c>
      <c r="AD1114" s="372">
        <v>62.415414699999999</v>
      </c>
      <c r="AE1114" s="372">
        <v>0</v>
      </c>
      <c r="AF1114" s="372">
        <v>0</v>
      </c>
      <c r="AG1114" s="372">
        <v>0</v>
      </c>
      <c r="AH1114" s="372">
        <v>0</v>
      </c>
    </row>
    <row r="1115" spans="1:34">
      <c r="A1115" s="372" t="s">
        <v>7675</v>
      </c>
      <c r="B1115" s="373" t="s">
        <v>7676</v>
      </c>
      <c r="C1115" s="372" t="s">
        <v>7677</v>
      </c>
      <c r="D1115" s="374">
        <v>2001110180384</v>
      </c>
      <c r="E1115" s="372" t="s">
        <v>7678</v>
      </c>
      <c r="F1115" s="375" t="s">
        <v>6610</v>
      </c>
      <c r="G1115" s="375" t="s">
        <v>6610</v>
      </c>
      <c r="H1115" s="375" t="s">
        <v>861</v>
      </c>
      <c r="I1115" s="375" t="s">
        <v>862</v>
      </c>
      <c r="J1115" s="375">
        <v>32194.769939999998</v>
      </c>
      <c r="K1115" s="375">
        <v>-32068.325959999998</v>
      </c>
      <c r="L1115" s="375">
        <v>-34316.811970000002</v>
      </c>
      <c r="M1115" s="375">
        <v>83400.940119999999</v>
      </c>
      <c r="N1115" s="372">
        <v>0.86899999999999999</v>
      </c>
      <c r="O1115" s="704">
        <v>43.492203671571822</v>
      </c>
      <c r="P1115" s="375" t="s">
        <v>622</v>
      </c>
      <c r="Q1115" s="375" t="s">
        <v>622</v>
      </c>
      <c r="R1115" s="696">
        <v>20140227</v>
      </c>
      <c r="S1115" s="375" t="s">
        <v>7679</v>
      </c>
      <c r="T1115" s="697" t="s">
        <v>771</v>
      </c>
      <c r="U1115" s="375" t="s">
        <v>7680</v>
      </c>
      <c r="V1115" s="723" t="s">
        <v>773</v>
      </c>
      <c r="W1115" s="723">
        <v>1.27</v>
      </c>
      <c r="X1115" s="723">
        <v>3.56</v>
      </c>
      <c r="Y1115" s="723" t="s">
        <v>773</v>
      </c>
      <c r="Z1115" s="382" t="s">
        <v>927</v>
      </c>
      <c r="AA1115" s="372">
        <v>1031.7770992000001</v>
      </c>
      <c r="AB1115" s="372">
        <v>986.80738380000003</v>
      </c>
      <c r="AC1115" s="372">
        <v>769.53984679999996</v>
      </c>
      <c r="AD1115" s="372">
        <v>460.02760619999998</v>
      </c>
      <c r="AE1115" s="372">
        <v>617</v>
      </c>
      <c r="AF1115" s="372">
        <v>718</v>
      </c>
      <c r="AG1115" s="372">
        <v>0</v>
      </c>
      <c r="AH1115" s="372">
        <v>0</v>
      </c>
    </row>
    <row r="1116" spans="1:34">
      <c r="A1116" s="372" t="s">
        <v>7681</v>
      </c>
      <c r="B1116" s="373" t="s">
        <v>7682</v>
      </c>
      <c r="C1116" s="372" t="s">
        <v>7683</v>
      </c>
      <c r="D1116" s="374">
        <v>1101110040793</v>
      </c>
      <c r="E1116" s="372" t="s">
        <v>7684</v>
      </c>
      <c r="F1116" s="375" t="s">
        <v>1598</v>
      </c>
      <c r="G1116" s="375" t="s">
        <v>16112</v>
      </c>
      <c r="H1116" s="375" t="s">
        <v>826</v>
      </c>
      <c r="I1116" s="375" t="s">
        <v>754</v>
      </c>
      <c r="J1116" s="375">
        <v>71957.628379999995</v>
      </c>
      <c r="K1116" s="375">
        <v>14985.65014</v>
      </c>
      <c r="L1116" s="375">
        <v>16875.651330000001</v>
      </c>
      <c r="M1116" s="375">
        <v>164394.81279</v>
      </c>
      <c r="N1116" s="372">
        <v>0.84099999999999997</v>
      </c>
      <c r="O1116" s="704">
        <v>0.32313919548853359</v>
      </c>
      <c r="P1116" s="375" t="s">
        <v>622</v>
      </c>
      <c r="Q1116" s="375" t="s">
        <v>622</v>
      </c>
      <c r="R1116" s="696">
        <v>19921022</v>
      </c>
      <c r="S1116" s="375" t="s">
        <v>7685</v>
      </c>
      <c r="T1116" s="697">
        <v>0.20900000000000002</v>
      </c>
      <c r="U1116" s="375" t="s">
        <v>7686</v>
      </c>
      <c r="V1116" s="723">
        <v>7.06</v>
      </c>
      <c r="W1116" s="723">
        <v>0.74</v>
      </c>
      <c r="X1116" s="723">
        <v>1.71</v>
      </c>
      <c r="Y1116" s="723">
        <v>8.8800000000000008</v>
      </c>
      <c r="Z1116" s="382">
        <v>0.14168747260147763</v>
      </c>
      <c r="AA1116" s="372">
        <v>470.605388</v>
      </c>
      <c r="AB1116" s="372">
        <v>540.66186879999998</v>
      </c>
      <c r="AC1116" s="372">
        <v>596.1347849</v>
      </c>
      <c r="AD1116" s="372">
        <v>707.48221179999996</v>
      </c>
      <c r="AE1116" s="372">
        <v>712</v>
      </c>
      <c r="AF1116" s="372">
        <v>866</v>
      </c>
      <c r="AG1116" s="372">
        <v>1202</v>
      </c>
      <c r="AH1116" s="372">
        <v>0</v>
      </c>
    </row>
    <row r="1117" spans="1:34">
      <c r="A1117" s="372" t="s">
        <v>7687</v>
      </c>
      <c r="B1117" s="373" t="s">
        <v>7688</v>
      </c>
      <c r="C1117" s="372" t="s">
        <v>7689</v>
      </c>
      <c r="D1117" s="374">
        <v>1348110043711</v>
      </c>
      <c r="E1117" s="372" t="s">
        <v>7690</v>
      </c>
      <c r="F1117" s="375" t="s">
        <v>1276</v>
      </c>
      <c r="G1117" s="375" t="s">
        <v>1452</v>
      </c>
      <c r="H1117" s="375" t="s">
        <v>861</v>
      </c>
      <c r="I1117" s="375" t="s">
        <v>862</v>
      </c>
      <c r="J1117" s="375">
        <v>173560.67649000001</v>
      </c>
      <c r="K1117" s="375">
        <v>17434.943090000001</v>
      </c>
      <c r="L1117" s="375">
        <v>17663.70145</v>
      </c>
      <c r="M1117" s="375">
        <v>235482.71974</v>
      </c>
      <c r="N1117" s="372">
        <v>1.113</v>
      </c>
      <c r="O1117" s="704">
        <v>44.93270385845868</v>
      </c>
      <c r="P1117" s="375" t="s">
        <v>622</v>
      </c>
      <c r="Q1117" s="372" t="s">
        <v>622</v>
      </c>
      <c r="R1117" s="696">
        <v>20031229</v>
      </c>
      <c r="S1117" s="372" t="s">
        <v>7691</v>
      </c>
      <c r="T1117" s="697">
        <v>0.20900000000000002</v>
      </c>
      <c r="U1117" s="375" t="s">
        <v>7692</v>
      </c>
      <c r="V1117" s="723">
        <v>5</v>
      </c>
      <c r="W1117" s="723">
        <v>0.56999999999999995</v>
      </c>
      <c r="X1117" s="723">
        <v>0.84</v>
      </c>
      <c r="Y1117" s="723">
        <v>10.17</v>
      </c>
      <c r="Z1117" s="382">
        <v>0.1137129635298495</v>
      </c>
      <c r="AA1117" s="372">
        <v>1961.5892282</v>
      </c>
      <c r="AB1117" s="372">
        <v>2056.7884380999999</v>
      </c>
      <c r="AC1117" s="372">
        <v>1863.8425909</v>
      </c>
      <c r="AD1117" s="372">
        <v>1598.9762301999999</v>
      </c>
      <c r="AE1117" s="372">
        <v>1868</v>
      </c>
      <c r="AF1117" s="372">
        <v>2176</v>
      </c>
      <c r="AG1117" s="372">
        <v>2460</v>
      </c>
      <c r="AH1117" s="372">
        <v>0</v>
      </c>
    </row>
    <row r="1118" spans="1:34">
      <c r="A1118" s="372" t="s">
        <v>7693</v>
      </c>
      <c r="B1118" s="373" t="s">
        <v>7694</v>
      </c>
      <c r="C1118" s="372" t="s">
        <v>7695</v>
      </c>
      <c r="D1118" s="374">
        <v>1760110006963</v>
      </c>
      <c r="E1118" s="372" t="s">
        <v>7696</v>
      </c>
      <c r="F1118" s="375" t="s">
        <v>1276</v>
      </c>
      <c r="G1118" s="375" t="s">
        <v>1276</v>
      </c>
      <c r="H1118" s="375" t="s">
        <v>861</v>
      </c>
      <c r="I1118" s="375" t="s">
        <v>862</v>
      </c>
      <c r="J1118" s="375">
        <v>168912.19128999999</v>
      </c>
      <c r="K1118" s="375">
        <v>-1865.79476</v>
      </c>
      <c r="L1118" s="375">
        <v>-5326.16734</v>
      </c>
      <c r="M1118" s="375">
        <v>103373.49208</v>
      </c>
      <c r="N1118" s="372">
        <v>0.89700000000000002</v>
      </c>
      <c r="O1118" s="704">
        <v>74.418775724932175</v>
      </c>
      <c r="P1118" s="375" t="s">
        <v>622</v>
      </c>
      <c r="Q1118" s="372" t="s">
        <v>622</v>
      </c>
      <c r="R1118" s="696">
        <v>20170828</v>
      </c>
      <c r="S1118" s="372" t="s">
        <v>7697</v>
      </c>
      <c r="T1118" s="697" t="s">
        <v>771</v>
      </c>
      <c r="U1118" s="375" t="s">
        <v>7698</v>
      </c>
      <c r="V1118" s="723">
        <v>13.85</v>
      </c>
      <c r="W1118" s="723">
        <v>0.98</v>
      </c>
      <c r="X1118" s="723">
        <v>0.57999999999999996</v>
      </c>
      <c r="Y1118" s="723" t="s">
        <v>773</v>
      </c>
      <c r="Z1118" s="382" t="s">
        <v>927</v>
      </c>
      <c r="AA1118" s="372">
        <v>1533.8299790000001</v>
      </c>
      <c r="AB1118" s="372">
        <v>1756.8336985000001</v>
      </c>
      <c r="AC1118" s="372">
        <v>2089.6871185</v>
      </c>
      <c r="AD1118" s="372">
        <v>1651.2919374999999</v>
      </c>
      <c r="AE1118" s="372">
        <v>1740</v>
      </c>
      <c r="AF1118" s="372">
        <v>2050</v>
      </c>
      <c r="AG1118" s="372">
        <v>0</v>
      </c>
      <c r="AH1118" s="372">
        <v>0</v>
      </c>
    </row>
    <row r="1119" spans="1:34">
      <c r="A1119" s="372" t="s">
        <v>7699</v>
      </c>
      <c r="B1119" s="373" t="s">
        <v>7700</v>
      </c>
      <c r="C1119" s="372" t="s">
        <v>7701</v>
      </c>
      <c r="D1119" s="374">
        <v>1358110124726</v>
      </c>
      <c r="E1119" s="372" t="s">
        <v>7702</v>
      </c>
      <c r="F1119" s="375" t="s">
        <v>1764</v>
      </c>
      <c r="G1119" s="375" t="s">
        <v>2238</v>
      </c>
      <c r="H1119" s="375" t="s">
        <v>861</v>
      </c>
      <c r="I1119" s="375" t="s">
        <v>862</v>
      </c>
      <c r="J1119" s="375">
        <v>380548.73806</v>
      </c>
      <c r="K1119" s="375">
        <v>12741.497869999999</v>
      </c>
      <c r="L1119" s="375">
        <v>11027.7906</v>
      </c>
      <c r="M1119" s="375">
        <v>160930.28305</v>
      </c>
      <c r="N1119" s="372">
        <v>0.93600000000000005</v>
      </c>
      <c r="O1119" s="704">
        <v>162.70971681419223</v>
      </c>
      <c r="P1119" s="375" t="s">
        <v>622</v>
      </c>
      <c r="Q1119" s="372" t="s">
        <v>622</v>
      </c>
      <c r="R1119" s="696">
        <v>20110808</v>
      </c>
      <c r="S1119" s="372" t="s">
        <v>7703</v>
      </c>
      <c r="T1119" s="697">
        <v>0.20900000000000002</v>
      </c>
      <c r="U1119" s="375" t="s">
        <v>7704</v>
      </c>
      <c r="V1119" s="723">
        <v>9.1300000000000008</v>
      </c>
      <c r="W1119" s="723">
        <v>0.67</v>
      </c>
      <c r="X1119" s="723">
        <v>0.3</v>
      </c>
      <c r="Y1119" s="723">
        <v>16.8</v>
      </c>
      <c r="Z1119" s="382" t="s">
        <v>927</v>
      </c>
      <c r="AA1119" s="372">
        <v>2676.9538001000001</v>
      </c>
      <c r="AB1119" s="372">
        <v>3929.2329117999998</v>
      </c>
      <c r="AC1119" s="372">
        <v>5116.6631798999997</v>
      </c>
      <c r="AD1119" s="372">
        <v>4392.4711647000004</v>
      </c>
      <c r="AE1119" s="372">
        <v>0</v>
      </c>
      <c r="AF1119" s="372">
        <v>0</v>
      </c>
      <c r="AG1119" s="372">
        <v>0</v>
      </c>
      <c r="AH1119" s="372">
        <v>0</v>
      </c>
    </row>
    <row r="1120" spans="1:34">
      <c r="A1120" s="372" t="s">
        <v>7705</v>
      </c>
      <c r="B1120" s="373" t="s">
        <v>7706</v>
      </c>
      <c r="C1120" s="372" t="s">
        <v>7707</v>
      </c>
      <c r="D1120" s="374">
        <v>1311110246859</v>
      </c>
      <c r="E1120" s="372" t="s">
        <v>7708</v>
      </c>
      <c r="F1120" s="375" t="s">
        <v>1370</v>
      </c>
      <c r="G1120" s="375" t="s">
        <v>1370</v>
      </c>
      <c r="H1120" s="375" t="s">
        <v>861</v>
      </c>
      <c r="I1120" s="375" t="s">
        <v>862</v>
      </c>
      <c r="J1120" s="375">
        <v>130672.5892</v>
      </c>
      <c r="K1120" s="375">
        <v>-16383.67268</v>
      </c>
      <c r="L1120" s="375">
        <v>-15256.285320000001</v>
      </c>
      <c r="M1120" s="375">
        <v>48912.817860000003</v>
      </c>
      <c r="N1120" s="372">
        <v>0.876</v>
      </c>
      <c r="O1120" s="704">
        <v>36.201134786374325</v>
      </c>
      <c r="P1120" s="375" t="s">
        <v>622</v>
      </c>
      <c r="Q1120" s="375" t="s">
        <v>622</v>
      </c>
      <c r="R1120" s="696">
        <v>20191018</v>
      </c>
      <c r="S1120" s="375" t="s">
        <v>7709</v>
      </c>
      <c r="T1120" s="697" t="s">
        <v>771</v>
      </c>
      <c r="U1120" s="375" t="s">
        <v>7710</v>
      </c>
      <c r="V1120" s="723" t="s">
        <v>773</v>
      </c>
      <c r="W1120" s="723">
        <v>2.56</v>
      </c>
      <c r="X1120" s="723">
        <v>0.7</v>
      </c>
      <c r="Y1120" s="723" t="s">
        <v>773</v>
      </c>
      <c r="Z1120" s="382" t="s">
        <v>927</v>
      </c>
      <c r="AA1120" s="372">
        <v>150.41930239999999</v>
      </c>
      <c r="AB1120" s="372">
        <v>197.51768250000001</v>
      </c>
      <c r="AC1120" s="372">
        <v>264.89529720000002</v>
      </c>
      <c r="AD1120" s="372">
        <v>112.44331680000001</v>
      </c>
      <c r="AE1120" s="372">
        <v>0</v>
      </c>
      <c r="AF1120" s="372">
        <v>0</v>
      </c>
      <c r="AG1120" s="372">
        <v>0</v>
      </c>
      <c r="AH1120" s="372">
        <v>0</v>
      </c>
    </row>
    <row r="1121" spans="1:34">
      <c r="A1121" s="372" t="s">
        <v>7711</v>
      </c>
      <c r="B1121" s="373" t="s">
        <v>7712</v>
      </c>
      <c r="C1121" s="372" t="s">
        <v>7713</v>
      </c>
      <c r="D1121" s="374">
        <v>1101116501830</v>
      </c>
      <c r="E1121" s="372" t="s">
        <v>7714</v>
      </c>
      <c r="F1121" s="372" t="s">
        <v>2032</v>
      </c>
      <c r="G1121" s="375" t="s">
        <v>4406</v>
      </c>
      <c r="H1121" s="375" t="s">
        <v>1531</v>
      </c>
      <c r="I1121" s="375" t="s">
        <v>862</v>
      </c>
      <c r="J1121" s="375">
        <v>34495.544479999997</v>
      </c>
      <c r="K1121" s="375">
        <v>-16863.87715</v>
      </c>
      <c r="L1121" s="375">
        <v>-17543.100979999999</v>
      </c>
      <c r="M1121" s="375">
        <v>32129.816409999999</v>
      </c>
      <c r="N1121" s="372">
        <v>0.67700000000000005</v>
      </c>
      <c r="O1121" s="704">
        <v>32.448336586720295</v>
      </c>
      <c r="P1121" s="375" t="s">
        <v>622</v>
      </c>
      <c r="Q1121" s="372" t="s">
        <v>622</v>
      </c>
      <c r="R1121" s="696">
        <v>20220428</v>
      </c>
      <c r="S1121" s="372" t="s">
        <v>7715</v>
      </c>
      <c r="T1121" s="697" t="s">
        <v>771</v>
      </c>
      <c r="U1121" s="372" t="s">
        <v>7716</v>
      </c>
      <c r="V1121" s="723" t="s">
        <v>773</v>
      </c>
      <c r="W1121" s="723">
        <v>2.1800000000000002</v>
      </c>
      <c r="X1121" s="723">
        <v>2.0499999999999998</v>
      </c>
      <c r="Y1121" s="723" t="s">
        <v>773</v>
      </c>
      <c r="Z1121" s="382" t="s">
        <v>927</v>
      </c>
      <c r="AA1121" s="372">
        <v>139.9349699</v>
      </c>
      <c r="AB1121" s="372">
        <v>222.7603484</v>
      </c>
      <c r="AC1121" s="372">
        <v>161.9429835</v>
      </c>
      <c r="AD1121" s="372">
        <v>337.51399459999999</v>
      </c>
      <c r="AE1121" s="372">
        <v>0</v>
      </c>
      <c r="AF1121" s="372">
        <v>0</v>
      </c>
      <c r="AG1121" s="372">
        <v>0</v>
      </c>
      <c r="AH1121" s="372">
        <v>0</v>
      </c>
    </row>
    <row r="1122" spans="1:34">
      <c r="A1122" s="372" t="s">
        <v>7717</v>
      </c>
      <c r="B1122" s="373" t="s">
        <v>7718</v>
      </c>
      <c r="C1122" s="372" t="s">
        <v>7719</v>
      </c>
      <c r="D1122" s="374">
        <v>1348110216516</v>
      </c>
      <c r="E1122" s="372" t="s">
        <v>7720</v>
      </c>
      <c r="F1122" s="375" t="s">
        <v>2054</v>
      </c>
      <c r="G1122" s="375" t="s">
        <v>4697</v>
      </c>
      <c r="H1122" s="375" t="s">
        <v>861</v>
      </c>
      <c r="I1122" s="375" t="s">
        <v>862</v>
      </c>
      <c r="J1122" s="375">
        <v>131287.98819</v>
      </c>
      <c r="K1122" s="375">
        <v>10670.640719999999</v>
      </c>
      <c r="L1122" s="375">
        <v>13685.61054</v>
      </c>
      <c r="M1122" s="375">
        <v>248574.21419</v>
      </c>
      <c r="N1122" s="372">
        <v>0.77200000000000002</v>
      </c>
      <c r="O1122" s="704">
        <v>4.2271838121310426</v>
      </c>
      <c r="P1122" s="375" t="s">
        <v>622</v>
      </c>
      <c r="Q1122" s="372" t="s">
        <v>622</v>
      </c>
      <c r="R1122" s="696">
        <v>20160411</v>
      </c>
      <c r="S1122" s="372" t="s">
        <v>7721</v>
      </c>
      <c r="T1122" s="697">
        <v>0.20900000000000002</v>
      </c>
      <c r="U1122" s="372" t="s">
        <v>7722</v>
      </c>
      <c r="V1122" s="723">
        <v>7.53</v>
      </c>
      <c r="W1122" s="723">
        <v>0.44</v>
      </c>
      <c r="X1122" s="723">
        <v>0.89</v>
      </c>
      <c r="Y1122" s="723">
        <v>10.45</v>
      </c>
      <c r="Z1122" s="382">
        <v>1.6151603972829776E-2</v>
      </c>
      <c r="AA1122" s="372">
        <v>1015.2389081</v>
      </c>
      <c r="AB1122" s="372">
        <v>1345.6772120999999</v>
      </c>
      <c r="AC1122" s="372">
        <v>1471.6076383</v>
      </c>
      <c r="AD1122" s="372">
        <v>1429.8596167000001</v>
      </c>
      <c r="AE1122" s="372">
        <v>1321.5</v>
      </c>
      <c r="AF1122" s="372">
        <v>1423.5</v>
      </c>
      <c r="AG1122" s="372">
        <v>1524.5</v>
      </c>
      <c r="AH1122" s="372">
        <v>0</v>
      </c>
    </row>
    <row r="1123" spans="1:34">
      <c r="A1123" s="372" t="s">
        <v>7723</v>
      </c>
      <c r="B1123" s="373" t="s">
        <v>7724</v>
      </c>
      <c r="C1123" s="372" t="s">
        <v>7725</v>
      </c>
      <c r="D1123" s="374">
        <v>1101110305288</v>
      </c>
      <c r="E1123" s="372" t="s">
        <v>7726</v>
      </c>
      <c r="F1123" s="375" t="s">
        <v>7727</v>
      </c>
      <c r="G1123" s="375" t="s">
        <v>7727</v>
      </c>
      <c r="H1123" s="375" t="s">
        <v>817</v>
      </c>
      <c r="I1123" s="375" t="s">
        <v>754</v>
      </c>
      <c r="J1123" s="375">
        <v>1537765.6690700001</v>
      </c>
      <c r="K1123" s="375">
        <v>28850.803029999999</v>
      </c>
      <c r="L1123" s="375">
        <v>16577.755109999998</v>
      </c>
      <c r="M1123" s="375">
        <v>298812.22474999999</v>
      </c>
      <c r="N1123" s="372">
        <v>0.71599999999999997</v>
      </c>
      <c r="O1123" s="704">
        <v>259.45516359657643</v>
      </c>
      <c r="P1123" s="375" t="s">
        <v>622</v>
      </c>
      <c r="Q1123" s="372" t="s">
        <v>622</v>
      </c>
      <c r="R1123" s="696">
        <v>20010727</v>
      </c>
      <c r="S1123" s="375" t="s">
        <v>7728</v>
      </c>
      <c r="T1123" s="697">
        <v>0.20900000000000002</v>
      </c>
      <c r="U1123" s="372" t="s">
        <v>7729</v>
      </c>
      <c r="V1123" s="723">
        <v>5.0599999999999996</v>
      </c>
      <c r="W1123" s="723">
        <v>0.47</v>
      </c>
      <c r="X1123" s="723">
        <v>0.09</v>
      </c>
      <c r="Y1123" s="723">
        <v>11.4</v>
      </c>
      <c r="Z1123" s="382">
        <v>2.5702495157250871E-2</v>
      </c>
      <c r="AA1123" s="372">
        <v>12402.5189264</v>
      </c>
      <c r="AB1123" s="372">
        <v>13292.516608899999</v>
      </c>
      <c r="AC1123" s="372">
        <v>14113.0516929</v>
      </c>
      <c r="AD1123" s="372">
        <v>14889.206710500001</v>
      </c>
      <c r="AE1123" s="372">
        <v>15775.05</v>
      </c>
      <c r="AF1123" s="372">
        <v>16333.65</v>
      </c>
      <c r="AG1123" s="372">
        <v>16480</v>
      </c>
      <c r="AH1123" s="372">
        <v>0</v>
      </c>
    </row>
    <row r="1124" spans="1:34">
      <c r="A1124" s="372" t="s">
        <v>7730</v>
      </c>
      <c r="B1124" s="373" t="s">
        <v>7731</v>
      </c>
      <c r="C1124" s="372" t="s">
        <v>7732</v>
      </c>
      <c r="D1124" s="374">
        <v>1101110265523</v>
      </c>
      <c r="E1124" s="372" t="s">
        <v>7733</v>
      </c>
      <c r="F1124" s="375" t="s">
        <v>6838</v>
      </c>
      <c r="G1124" s="375" t="s">
        <v>6838</v>
      </c>
      <c r="H1124" s="375" t="s">
        <v>1337</v>
      </c>
      <c r="I1124" s="375" t="s">
        <v>862</v>
      </c>
      <c r="J1124" s="375">
        <v>348976.24735999998</v>
      </c>
      <c r="K1124" s="375">
        <v>3595.5891999999999</v>
      </c>
      <c r="L1124" s="375">
        <v>-23500.905920000001</v>
      </c>
      <c r="M1124" s="375">
        <v>158926.52734</v>
      </c>
      <c r="N1124" s="372">
        <v>0.80500000000000005</v>
      </c>
      <c r="O1124" s="704">
        <v>78.866842930814457</v>
      </c>
      <c r="P1124" s="375" t="s">
        <v>622</v>
      </c>
      <c r="Q1124" s="375" t="s">
        <v>622</v>
      </c>
      <c r="R1124" s="696">
        <v>19940218</v>
      </c>
      <c r="S1124" s="375" t="s">
        <v>7734</v>
      </c>
      <c r="T1124" s="697" t="s">
        <v>771</v>
      </c>
      <c r="U1124" s="372" t="s">
        <v>7735</v>
      </c>
      <c r="V1124" s="723">
        <v>13.96</v>
      </c>
      <c r="W1124" s="723">
        <v>0.56999999999999995</v>
      </c>
      <c r="X1124" s="723">
        <v>0.28999999999999998</v>
      </c>
      <c r="Y1124" s="723" t="s">
        <v>773</v>
      </c>
      <c r="Z1124" s="382" t="s">
        <v>927</v>
      </c>
      <c r="AA1124" s="372">
        <v>3349.7458109999998</v>
      </c>
      <c r="AB1124" s="372">
        <v>3197.6743342999998</v>
      </c>
      <c r="AC1124" s="372">
        <v>3384.5889864000001</v>
      </c>
      <c r="AD1124" s="372">
        <v>3310.4689401000001</v>
      </c>
      <c r="AE1124" s="372">
        <v>0</v>
      </c>
      <c r="AF1124" s="372">
        <v>0</v>
      </c>
      <c r="AG1124" s="372">
        <v>0</v>
      </c>
      <c r="AH1124" s="372">
        <v>0</v>
      </c>
    </row>
    <row r="1125" spans="1:34">
      <c r="A1125" s="372" t="s">
        <v>7736</v>
      </c>
      <c r="B1125" s="373" t="s">
        <v>7737</v>
      </c>
      <c r="C1125" s="372" t="s">
        <v>7738</v>
      </c>
      <c r="D1125" s="374">
        <v>1942110000472</v>
      </c>
      <c r="E1125" s="372" t="s">
        <v>7739</v>
      </c>
      <c r="F1125" s="372" t="s">
        <v>893</v>
      </c>
      <c r="G1125" s="375" t="s">
        <v>894</v>
      </c>
      <c r="H1125" s="375" t="s">
        <v>855</v>
      </c>
      <c r="I1125" s="375" t="s">
        <v>754</v>
      </c>
      <c r="J1125" s="375">
        <v>1183337.4231499999</v>
      </c>
      <c r="K1125" s="375">
        <v>38057.919280000002</v>
      </c>
      <c r="L1125" s="375">
        <v>38759.089979999997</v>
      </c>
      <c r="M1125" s="375">
        <v>550485.00719000003</v>
      </c>
      <c r="N1125" s="372">
        <v>0.84</v>
      </c>
      <c r="O1125" s="704">
        <v>154.52495855444354</v>
      </c>
      <c r="P1125" s="375" t="s">
        <v>622</v>
      </c>
      <c r="Q1125" s="372" t="s">
        <v>622</v>
      </c>
      <c r="R1125" s="696">
        <v>19890530</v>
      </c>
      <c r="S1125" s="372" t="s">
        <v>7740</v>
      </c>
      <c r="T1125" s="697">
        <v>0.23100000000000001</v>
      </c>
      <c r="U1125" s="372" t="s">
        <v>7741</v>
      </c>
      <c r="V1125" s="723">
        <v>5.07</v>
      </c>
      <c r="W1125" s="723">
        <v>0.35</v>
      </c>
      <c r="X1125" s="723">
        <v>0.11</v>
      </c>
      <c r="Y1125" s="723">
        <v>8.56</v>
      </c>
      <c r="Z1125" s="382" t="s">
        <v>927</v>
      </c>
      <c r="AA1125" s="372">
        <v>7894.2857186000001</v>
      </c>
      <c r="AB1125" s="372">
        <v>9983.4981908000009</v>
      </c>
      <c r="AC1125" s="372">
        <v>10948.1689621</v>
      </c>
      <c r="AD1125" s="372">
        <v>11911.713021400001</v>
      </c>
      <c r="AE1125" s="372">
        <v>0</v>
      </c>
      <c r="AF1125" s="372">
        <v>0</v>
      </c>
      <c r="AG1125" s="372">
        <v>0</v>
      </c>
      <c r="AH1125" s="372">
        <v>0</v>
      </c>
    </row>
    <row r="1126" spans="1:34">
      <c r="A1126" s="372" t="s">
        <v>7742</v>
      </c>
      <c r="B1126" s="373" t="s">
        <v>7743</v>
      </c>
      <c r="C1126" s="372" t="s">
        <v>7744</v>
      </c>
      <c r="D1126" s="374">
        <v>1101111192981</v>
      </c>
      <c r="E1126" s="372" t="s">
        <v>7745</v>
      </c>
      <c r="F1126" s="375" t="s">
        <v>1357</v>
      </c>
      <c r="G1126" s="375" t="s">
        <v>1357</v>
      </c>
      <c r="H1126" s="375" t="s">
        <v>861</v>
      </c>
      <c r="I1126" s="375" t="s">
        <v>862</v>
      </c>
      <c r="J1126" s="375">
        <v>121167.61356</v>
      </c>
      <c r="K1126" s="375">
        <v>11454.39998</v>
      </c>
      <c r="L1126" s="375">
        <v>10114.22516</v>
      </c>
      <c r="M1126" s="375">
        <v>144987.75802000001</v>
      </c>
      <c r="N1126" s="372">
        <v>0.54400000000000004</v>
      </c>
      <c r="O1126" s="704">
        <v>21.83220979935275</v>
      </c>
      <c r="P1126" s="375" t="s">
        <v>622</v>
      </c>
      <c r="Q1126" s="375" t="s">
        <v>622</v>
      </c>
      <c r="R1126" s="696">
        <v>20010515</v>
      </c>
      <c r="S1126" s="375" t="s">
        <v>7746</v>
      </c>
      <c r="T1126" s="697">
        <v>0.20900000000000002</v>
      </c>
      <c r="U1126" s="372" t="s">
        <v>15892</v>
      </c>
      <c r="V1126" s="723">
        <v>10.71</v>
      </c>
      <c r="W1126" s="723">
        <v>1.24</v>
      </c>
      <c r="X1126" s="723">
        <v>1.48</v>
      </c>
      <c r="Y1126" s="723">
        <v>23.17</v>
      </c>
      <c r="Z1126" s="382">
        <v>0.13473369545511704</v>
      </c>
      <c r="AA1126" s="372">
        <v>888.9882126</v>
      </c>
      <c r="AB1126" s="372">
        <v>1028.0183222999999</v>
      </c>
      <c r="AC1126" s="372">
        <v>991.53525119999995</v>
      </c>
      <c r="AD1126" s="372">
        <v>1016.9082373</v>
      </c>
      <c r="AE1126" s="372">
        <v>1278</v>
      </c>
      <c r="AF1126" s="372">
        <v>1470</v>
      </c>
      <c r="AG1126" s="372">
        <v>1686</v>
      </c>
      <c r="AH1126" s="372">
        <v>0</v>
      </c>
    </row>
    <row r="1127" spans="1:34">
      <c r="A1127" s="372" t="s">
        <v>7747</v>
      </c>
      <c r="B1127" s="373" t="s">
        <v>7748</v>
      </c>
      <c r="C1127" s="372" t="s">
        <v>7749</v>
      </c>
      <c r="D1127" s="374">
        <v>1101114445072</v>
      </c>
      <c r="E1127" s="372" t="s">
        <v>7750</v>
      </c>
      <c r="F1127" s="375" t="s">
        <v>1370</v>
      </c>
      <c r="G1127" s="375" t="s">
        <v>1370</v>
      </c>
      <c r="H1127" s="375" t="s">
        <v>861</v>
      </c>
      <c r="I1127" s="375" t="s">
        <v>862</v>
      </c>
      <c r="J1127" s="375">
        <v>28187.231</v>
      </c>
      <c r="K1127" s="375">
        <v>-18651.35802</v>
      </c>
      <c r="L1127" s="375">
        <v>-17191.823899999999</v>
      </c>
      <c r="M1127" s="375">
        <v>11885.32584</v>
      </c>
      <c r="N1127" s="372">
        <v>0.78900000000000003</v>
      </c>
      <c r="O1127" s="704">
        <v>40.313438619082703</v>
      </c>
      <c r="P1127" s="375" t="s">
        <v>622</v>
      </c>
      <c r="Q1127" s="375" t="s">
        <v>622</v>
      </c>
      <c r="R1127" s="696">
        <v>20210727</v>
      </c>
      <c r="S1127" s="372" t="s">
        <v>7751</v>
      </c>
      <c r="T1127" s="697" t="s">
        <v>771</v>
      </c>
      <c r="U1127" s="372" t="s">
        <v>7752</v>
      </c>
      <c r="V1127" s="723" t="s">
        <v>773</v>
      </c>
      <c r="W1127" s="723">
        <v>4.8600000000000003</v>
      </c>
      <c r="X1127" s="723">
        <v>2.09</v>
      </c>
      <c r="Y1127" s="723" t="s">
        <v>773</v>
      </c>
      <c r="Z1127" s="382" t="s">
        <v>927</v>
      </c>
      <c r="AA1127" s="372">
        <v>19.8267168</v>
      </c>
      <c r="AB1127" s="372">
        <v>23.6727153</v>
      </c>
      <c r="AC1127" s="372">
        <v>28.963593800000002</v>
      </c>
      <c r="AD1127" s="372">
        <v>17.655671999999999</v>
      </c>
      <c r="AE1127" s="372">
        <v>0</v>
      </c>
      <c r="AF1127" s="372">
        <v>0</v>
      </c>
      <c r="AG1127" s="372">
        <v>0</v>
      </c>
      <c r="AH1127" s="372">
        <v>0</v>
      </c>
    </row>
    <row r="1128" spans="1:34">
      <c r="A1128" s="372" t="s">
        <v>7753</v>
      </c>
      <c r="B1128" s="373" t="s">
        <v>7754</v>
      </c>
      <c r="C1128" s="372" t="s">
        <v>7755</v>
      </c>
      <c r="D1128" s="374">
        <v>1341110036992</v>
      </c>
      <c r="E1128" s="372" t="s">
        <v>7756</v>
      </c>
      <c r="F1128" s="375" t="s">
        <v>7757</v>
      </c>
      <c r="G1128" s="375" t="s">
        <v>7757</v>
      </c>
      <c r="H1128" s="375" t="s">
        <v>1337</v>
      </c>
      <c r="I1128" s="375" t="s">
        <v>862</v>
      </c>
      <c r="J1128" s="375">
        <v>375525.14181</v>
      </c>
      <c r="K1128" s="375">
        <v>-15063.3557</v>
      </c>
      <c r="L1128" s="375">
        <v>-10358.02918</v>
      </c>
      <c r="M1128" s="375">
        <v>289519.71483000001</v>
      </c>
      <c r="N1128" s="372">
        <v>0.56899999999999995</v>
      </c>
      <c r="O1128" s="704">
        <v>147.33845322356473</v>
      </c>
      <c r="P1128" s="375" t="s">
        <v>622</v>
      </c>
      <c r="Q1128" s="372" t="s">
        <v>622</v>
      </c>
      <c r="R1128" s="696">
        <v>19991229</v>
      </c>
      <c r="S1128" s="372" t="s">
        <v>7758</v>
      </c>
      <c r="T1128" s="697" t="s">
        <v>771</v>
      </c>
      <c r="U1128" s="372" t="s">
        <v>7759</v>
      </c>
      <c r="V1128" s="723">
        <v>28.47</v>
      </c>
      <c r="W1128" s="723">
        <v>0.36</v>
      </c>
      <c r="X1128" s="723">
        <v>0.31</v>
      </c>
      <c r="Y1128" s="723" t="s">
        <v>773</v>
      </c>
      <c r="Z1128" s="382" t="s">
        <v>927</v>
      </c>
      <c r="AA1128" s="372">
        <v>2794.1900366999998</v>
      </c>
      <c r="AB1128" s="372">
        <v>2956.8260482000001</v>
      </c>
      <c r="AC1128" s="372">
        <v>3242.6844725000001</v>
      </c>
      <c r="AD1128" s="372">
        <v>3393.0078142000002</v>
      </c>
      <c r="AE1128" s="372">
        <v>0</v>
      </c>
      <c r="AF1128" s="372">
        <v>0</v>
      </c>
      <c r="AG1128" s="372">
        <v>0</v>
      </c>
      <c r="AH1128" s="372">
        <v>0</v>
      </c>
    </row>
    <row r="1129" spans="1:34">
      <c r="A1129" s="372" t="s">
        <v>7760</v>
      </c>
      <c r="B1129" s="373" t="s">
        <v>7761</v>
      </c>
      <c r="C1129" s="372" t="s">
        <v>7762</v>
      </c>
      <c r="D1129" s="374">
        <v>1701110017237</v>
      </c>
      <c r="E1129" s="372" t="s">
        <v>7763</v>
      </c>
      <c r="F1129" s="375" t="s">
        <v>2625</v>
      </c>
      <c r="G1129" s="375" t="s">
        <v>2626</v>
      </c>
      <c r="H1129" s="375" t="s">
        <v>817</v>
      </c>
      <c r="I1129" s="375" t="s">
        <v>754</v>
      </c>
      <c r="J1129" s="375">
        <v>1215493.3891799999</v>
      </c>
      <c r="K1129" s="375">
        <v>27135.88305</v>
      </c>
      <c r="L1129" s="375">
        <v>44184.752840000001</v>
      </c>
      <c r="M1129" s="375">
        <v>575923.98037</v>
      </c>
      <c r="N1129" s="372">
        <v>1.08</v>
      </c>
      <c r="O1129" s="704">
        <v>191.46733663366794</v>
      </c>
      <c r="P1129" s="375" t="s">
        <v>622</v>
      </c>
      <c r="Q1129" s="372" t="s">
        <v>622</v>
      </c>
      <c r="R1129" s="696">
        <v>19991222</v>
      </c>
      <c r="S1129" s="372" t="s">
        <v>7764</v>
      </c>
      <c r="T1129" s="697">
        <v>0.23100000000000001</v>
      </c>
      <c r="U1129" s="372" t="s">
        <v>7765</v>
      </c>
      <c r="V1129" s="723">
        <v>4.38</v>
      </c>
      <c r="W1129" s="723">
        <v>0.3</v>
      </c>
      <c r="X1129" s="723">
        <v>0.11</v>
      </c>
      <c r="Y1129" s="723">
        <v>5.12</v>
      </c>
      <c r="Z1129" s="382" t="s">
        <v>927</v>
      </c>
      <c r="AA1129" s="372">
        <v>8843.0267215999993</v>
      </c>
      <c r="AB1129" s="372">
        <v>9385.8520795999993</v>
      </c>
      <c r="AC1129" s="372">
        <v>12531.6991769</v>
      </c>
      <c r="AD1129" s="372">
        <v>12168.1666986</v>
      </c>
      <c r="AE1129" s="372">
        <v>0</v>
      </c>
      <c r="AF1129" s="372">
        <v>0</v>
      </c>
      <c r="AG1129" s="372">
        <v>0</v>
      </c>
      <c r="AH1129" s="372">
        <v>0</v>
      </c>
    </row>
    <row r="1130" spans="1:34">
      <c r="A1130" s="372" t="s">
        <v>7766</v>
      </c>
      <c r="B1130" s="373" t="s">
        <v>7767</v>
      </c>
      <c r="C1130" s="372" t="s">
        <v>7768</v>
      </c>
      <c r="D1130" s="374">
        <v>1601110172108</v>
      </c>
      <c r="E1130" s="372" t="s">
        <v>7769</v>
      </c>
      <c r="F1130" s="375" t="s">
        <v>1185</v>
      </c>
      <c r="G1130" s="375" t="s">
        <v>1186</v>
      </c>
      <c r="H1130" s="375" t="s">
        <v>861</v>
      </c>
      <c r="I1130" s="375" t="s">
        <v>862</v>
      </c>
      <c r="J1130" s="375">
        <v>13197.102919999999</v>
      </c>
      <c r="K1130" s="375">
        <v>1435.4991</v>
      </c>
      <c r="L1130" s="375">
        <v>3593.9937799999998</v>
      </c>
      <c r="M1130" s="375">
        <v>62304.369180000002</v>
      </c>
      <c r="N1130" s="372" t="s">
        <v>1026</v>
      </c>
      <c r="O1130" s="704">
        <v>0</v>
      </c>
      <c r="P1130" s="375" t="s">
        <v>622</v>
      </c>
      <c r="Q1130" s="375" t="s">
        <v>622</v>
      </c>
      <c r="R1130" s="696">
        <v>20231026</v>
      </c>
      <c r="S1130" s="375" t="s">
        <v>7770</v>
      </c>
      <c r="T1130" s="697">
        <v>0.20900000000000002</v>
      </c>
      <c r="U1130" s="375" t="s">
        <v>7771</v>
      </c>
      <c r="V1130" s="723">
        <v>100.53</v>
      </c>
      <c r="W1130" s="723">
        <v>2.59</v>
      </c>
      <c r="X1130" s="723">
        <v>12.08</v>
      </c>
      <c r="Y1130" s="723">
        <v>48.33</v>
      </c>
      <c r="Z1130" s="382" t="s">
        <v>927</v>
      </c>
      <c r="AA1130" s="372">
        <v>234.50602929999999</v>
      </c>
      <c r="AB1130" s="372">
        <v>266.91070760000002</v>
      </c>
      <c r="AC1130" s="372">
        <v>228.35113390000001</v>
      </c>
      <c r="AD1130" s="372">
        <v>128.45576070000001</v>
      </c>
      <c r="AE1130" s="372">
        <v>202</v>
      </c>
      <c r="AF1130" s="372">
        <v>0</v>
      </c>
      <c r="AG1130" s="372">
        <v>0</v>
      </c>
      <c r="AH1130" s="372">
        <v>0</v>
      </c>
    </row>
    <row r="1131" spans="1:34">
      <c r="A1131" s="372" t="s">
        <v>7772</v>
      </c>
      <c r="B1131" s="373" t="s">
        <v>7773</v>
      </c>
      <c r="C1131" s="372" t="s">
        <v>7774</v>
      </c>
      <c r="D1131" s="374">
        <v>1101116895217</v>
      </c>
      <c r="E1131" s="372" t="s">
        <v>7775</v>
      </c>
      <c r="F1131" s="375" t="s">
        <v>5600</v>
      </c>
      <c r="G1131" s="375" t="s">
        <v>5600</v>
      </c>
      <c r="H1131" s="375" t="s">
        <v>1531</v>
      </c>
      <c r="I1131" s="375" t="s">
        <v>862</v>
      </c>
      <c r="J1131" s="375">
        <v>127349.20335</v>
      </c>
      <c r="K1131" s="375">
        <v>26373.142049999999</v>
      </c>
      <c r="L1131" s="375">
        <v>21762.541949999999</v>
      </c>
      <c r="M1131" s="375">
        <v>116776.93373999999</v>
      </c>
      <c r="N1131" s="372">
        <v>0.48299999999999998</v>
      </c>
      <c r="O1131" s="704">
        <v>50.982340410624531</v>
      </c>
      <c r="P1131" s="375" t="s">
        <v>622</v>
      </c>
      <c r="Q1131" s="375" t="s">
        <v>622</v>
      </c>
      <c r="R1131" s="696">
        <v>20181221</v>
      </c>
      <c r="S1131" s="375" t="s">
        <v>7776</v>
      </c>
      <c r="T1131" s="697">
        <v>0.23100000000000001</v>
      </c>
      <c r="U1131" s="372" t="s">
        <v>7777</v>
      </c>
      <c r="V1131" s="723">
        <v>2.97</v>
      </c>
      <c r="W1131" s="723">
        <v>1.21</v>
      </c>
      <c r="X1131" s="723">
        <v>1.04</v>
      </c>
      <c r="Y1131" s="723">
        <v>7.47</v>
      </c>
      <c r="Z1131" s="382">
        <v>0.11886920559545033</v>
      </c>
      <c r="AA1131" s="372">
        <v>158.8592093</v>
      </c>
      <c r="AB1131" s="372">
        <v>490.36805409999999</v>
      </c>
      <c r="AC1131" s="372">
        <v>578.16068959999996</v>
      </c>
      <c r="AD1131" s="372">
        <v>1113.4690432</v>
      </c>
      <c r="AE1131" s="372">
        <v>1443.5</v>
      </c>
      <c r="AF1131" s="372">
        <v>1530</v>
      </c>
      <c r="AG1131" s="372">
        <v>1745</v>
      </c>
      <c r="AH1131" s="372">
        <v>0</v>
      </c>
    </row>
    <row r="1132" spans="1:34">
      <c r="A1132" s="372" t="s">
        <v>7778</v>
      </c>
      <c r="B1132" s="373" t="s">
        <v>7779</v>
      </c>
      <c r="C1132" s="372" t="s">
        <v>7780</v>
      </c>
      <c r="D1132" s="374">
        <v>1101111983653</v>
      </c>
      <c r="E1132" s="372" t="s">
        <v>7781</v>
      </c>
      <c r="F1132" s="375" t="s">
        <v>2124</v>
      </c>
      <c r="G1132" s="375" t="s">
        <v>16278</v>
      </c>
      <c r="H1132" s="375" t="s">
        <v>861</v>
      </c>
      <c r="I1132" s="375" t="s">
        <v>862</v>
      </c>
      <c r="J1132" s="375">
        <v>95632.243050000005</v>
      </c>
      <c r="K1132" s="375">
        <v>4030.31889</v>
      </c>
      <c r="L1132" s="375">
        <v>-2442.4199600000002</v>
      </c>
      <c r="M1132" s="375">
        <v>83032.895860000004</v>
      </c>
      <c r="N1132" s="372">
        <v>0.69299999999999995</v>
      </c>
      <c r="O1132" s="704">
        <v>64.657760800575659</v>
      </c>
      <c r="P1132" s="375" t="s">
        <v>622</v>
      </c>
      <c r="Q1132" s="372" t="s">
        <v>622</v>
      </c>
      <c r="R1132" s="696">
        <v>20130305</v>
      </c>
      <c r="S1132" s="372" t="s">
        <v>7782</v>
      </c>
      <c r="T1132" s="697" t="s">
        <v>771</v>
      </c>
      <c r="U1132" s="372" t="s">
        <v>7783</v>
      </c>
      <c r="V1132" s="723">
        <v>12.62</v>
      </c>
      <c r="W1132" s="723">
        <v>1.19</v>
      </c>
      <c r="X1132" s="723">
        <v>0.89</v>
      </c>
      <c r="Y1132" s="723" t="s">
        <v>773</v>
      </c>
      <c r="Z1132" s="382" t="s">
        <v>927</v>
      </c>
      <c r="AA1132" s="372">
        <v>404.96102250000001</v>
      </c>
      <c r="AB1132" s="372">
        <v>446.29700359999998</v>
      </c>
      <c r="AC1132" s="372">
        <v>639.08978490000004</v>
      </c>
      <c r="AD1132" s="372">
        <v>920.4604061</v>
      </c>
      <c r="AE1132" s="372">
        <v>840</v>
      </c>
      <c r="AF1132" s="372">
        <v>0</v>
      </c>
      <c r="AG1132" s="372">
        <v>0</v>
      </c>
      <c r="AH1132" s="372">
        <v>0</v>
      </c>
    </row>
    <row r="1133" spans="1:34">
      <c r="A1133" s="372" t="s">
        <v>7784</v>
      </c>
      <c r="B1133" s="373" t="s">
        <v>7785</v>
      </c>
      <c r="C1133" s="372" t="s">
        <v>7786</v>
      </c>
      <c r="D1133" s="374">
        <v>1341110422240</v>
      </c>
      <c r="E1133" s="372" t="s">
        <v>7787</v>
      </c>
      <c r="F1133" s="375" t="s">
        <v>16101</v>
      </c>
      <c r="G1133" s="375" t="s">
        <v>16101</v>
      </c>
      <c r="H1133" s="375" t="s">
        <v>861</v>
      </c>
      <c r="I1133" s="375" t="s">
        <v>862</v>
      </c>
      <c r="J1133" s="375">
        <v>24089.699809999998</v>
      </c>
      <c r="K1133" s="375">
        <v>-39098.883009999998</v>
      </c>
      <c r="L1133" s="375">
        <v>-40180.375919999999</v>
      </c>
      <c r="M1133" s="375">
        <v>102097.42774</v>
      </c>
      <c r="N1133" s="372">
        <v>1.0429999999999999</v>
      </c>
      <c r="O1133" s="704">
        <v>27.598226959063421</v>
      </c>
      <c r="P1133" s="375" t="s">
        <v>622</v>
      </c>
      <c r="Q1133" s="372" t="s">
        <v>622</v>
      </c>
      <c r="R1133" s="696">
        <v>20181226</v>
      </c>
      <c r="S1133" s="372" t="s">
        <v>7788</v>
      </c>
      <c r="T1133" s="697" t="s">
        <v>771</v>
      </c>
      <c r="U1133" s="372" t="s">
        <v>7789</v>
      </c>
      <c r="V1133" s="723" t="s">
        <v>773</v>
      </c>
      <c r="W1133" s="723">
        <v>2.2999999999999998</v>
      </c>
      <c r="X1133" s="723">
        <v>5.26</v>
      </c>
      <c r="Y1133" s="723" t="s">
        <v>773</v>
      </c>
      <c r="Z1133" s="382" t="s">
        <v>927</v>
      </c>
      <c r="AA1133" s="372">
        <v>1.5058130999999999</v>
      </c>
      <c r="AB1133" s="372">
        <v>4.5124582000000002</v>
      </c>
      <c r="AC1133" s="372">
        <v>140.8460819</v>
      </c>
      <c r="AD1133" s="372">
        <v>142.9599547</v>
      </c>
      <c r="AE1133" s="372">
        <v>0</v>
      </c>
      <c r="AF1133" s="372">
        <v>0</v>
      </c>
      <c r="AG1133" s="372">
        <v>0</v>
      </c>
      <c r="AH1133" s="372">
        <v>0</v>
      </c>
    </row>
    <row r="1134" spans="1:34">
      <c r="A1134" s="372" t="s">
        <v>7790</v>
      </c>
      <c r="B1134" s="373" t="s">
        <v>7791</v>
      </c>
      <c r="C1134" s="372" t="s">
        <v>7792</v>
      </c>
      <c r="D1134" s="374">
        <v>1301110012050</v>
      </c>
      <c r="E1134" s="372" t="s">
        <v>7793</v>
      </c>
      <c r="F1134" s="375" t="s">
        <v>3885</v>
      </c>
      <c r="G1134" s="375" t="s">
        <v>7794</v>
      </c>
      <c r="H1134" s="375" t="s">
        <v>895</v>
      </c>
      <c r="I1134" s="375" t="s">
        <v>862</v>
      </c>
      <c r="J1134" s="375">
        <v>109248.58749999999</v>
      </c>
      <c r="K1134" s="375">
        <v>22774.56004</v>
      </c>
      <c r="L1134" s="375">
        <v>22796.313419999999</v>
      </c>
      <c r="M1134" s="375">
        <v>179551.22474999999</v>
      </c>
      <c r="N1134" s="372">
        <v>0.97199999999999998</v>
      </c>
      <c r="O1134" s="704">
        <v>0</v>
      </c>
      <c r="P1134" s="375" t="s">
        <v>622</v>
      </c>
      <c r="Q1134" s="375" t="s">
        <v>622</v>
      </c>
      <c r="R1134" s="696">
        <v>19910705</v>
      </c>
      <c r="S1134" s="375" t="s">
        <v>7795</v>
      </c>
      <c r="T1134" s="697">
        <v>0.23100000000000001</v>
      </c>
      <c r="U1134" s="372" t="s">
        <v>7796</v>
      </c>
      <c r="V1134" s="723">
        <v>0</v>
      </c>
      <c r="W1134" s="723">
        <v>0</v>
      </c>
      <c r="X1134" s="723">
        <v>0</v>
      </c>
      <c r="Y1134" s="723">
        <v>0</v>
      </c>
      <c r="Z1134" s="382" t="s">
        <v>927</v>
      </c>
      <c r="AA1134" s="372">
        <v>321.89109439999999</v>
      </c>
      <c r="AB1134" s="372">
        <v>1176.1945687</v>
      </c>
      <c r="AC1134" s="372">
        <v>1009.8767872</v>
      </c>
      <c r="AD1134" s="372">
        <v>1357.8925084</v>
      </c>
      <c r="AE1134" s="372">
        <v>0</v>
      </c>
      <c r="AF1134" s="372">
        <v>0</v>
      </c>
      <c r="AG1134" s="372">
        <v>0</v>
      </c>
      <c r="AH1134" s="372">
        <v>0</v>
      </c>
    </row>
    <row r="1135" spans="1:34">
      <c r="A1135" s="372" t="s">
        <v>7797</v>
      </c>
      <c r="B1135" s="373" t="s">
        <v>7798</v>
      </c>
      <c r="C1135" s="372" t="s">
        <v>7799</v>
      </c>
      <c r="D1135" s="374">
        <v>1101116058485</v>
      </c>
      <c r="E1135" s="372" t="s">
        <v>7800</v>
      </c>
      <c r="F1135" s="375" t="s">
        <v>1116</v>
      </c>
      <c r="G1135" s="375" t="s">
        <v>1336</v>
      </c>
      <c r="H1135" s="375" t="s">
        <v>1337</v>
      </c>
      <c r="I1135" s="375" t="s">
        <v>862</v>
      </c>
      <c r="J1135" s="375">
        <v>1772.3733999999999</v>
      </c>
      <c r="K1135" s="375">
        <v>-14505.50438</v>
      </c>
      <c r="L1135" s="375">
        <v>-16491.61032</v>
      </c>
      <c r="M1135" s="375">
        <v>31733.46199</v>
      </c>
      <c r="N1135" s="372">
        <v>1.0649999999999999</v>
      </c>
      <c r="O1135" s="704">
        <v>23.20031367827854</v>
      </c>
      <c r="P1135" s="375" t="s">
        <v>622</v>
      </c>
      <c r="Q1135" s="372" t="s">
        <v>622</v>
      </c>
      <c r="R1135" s="696">
        <v>20210722</v>
      </c>
      <c r="S1135" s="372" t="s">
        <v>7801</v>
      </c>
      <c r="T1135" s="697" t="s">
        <v>771</v>
      </c>
      <c r="U1135" s="372" t="s">
        <v>7802</v>
      </c>
      <c r="V1135" s="723">
        <v>0</v>
      </c>
      <c r="W1135" s="723">
        <v>0</v>
      </c>
      <c r="X1135" s="723">
        <v>0</v>
      </c>
      <c r="Y1135" s="723">
        <v>0</v>
      </c>
      <c r="Z1135" s="382" t="s">
        <v>927</v>
      </c>
      <c r="AA1135" s="372">
        <v>0</v>
      </c>
      <c r="AB1135" s="372">
        <v>62.549525000000003</v>
      </c>
      <c r="AC1135" s="372">
        <v>35.828589700000002</v>
      </c>
      <c r="AD1135" s="372">
        <v>102.9439076</v>
      </c>
      <c r="AE1135" s="372">
        <v>0</v>
      </c>
      <c r="AF1135" s="372">
        <v>0</v>
      </c>
      <c r="AG1135" s="372">
        <v>0</v>
      </c>
      <c r="AH1135" s="372">
        <v>0</v>
      </c>
    </row>
    <row r="1136" spans="1:34">
      <c r="A1136" s="372" t="s">
        <v>7803</v>
      </c>
      <c r="B1136" s="373" t="s">
        <v>7804</v>
      </c>
      <c r="C1136" s="372" t="s">
        <v>7805</v>
      </c>
      <c r="D1136" s="374">
        <v>1101111284449</v>
      </c>
      <c r="E1136" s="372" t="s">
        <v>7806</v>
      </c>
      <c r="F1136" s="375" t="s">
        <v>12092</v>
      </c>
      <c r="G1136" s="375" t="s">
        <v>12092</v>
      </c>
      <c r="H1136" s="375" t="s">
        <v>3099</v>
      </c>
      <c r="I1136" s="375" t="s">
        <v>862</v>
      </c>
      <c r="J1136" s="375">
        <v>682867.92449</v>
      </c>
      <c r="K1136" s="375">
        <v>29357.003130000001</v>
      </c>
      <c r="L1136" s="375">
        <v>21298.47925</v>
      </c>
      <c r="M1136" s="375">
        <v>126161.43141999999</v>
      </c>
      <c r="N1136" s="372">
        <v>1.0449999999999999</v>
      </c>
      <c r="O1136" s="704">
        <v>121.33616983884919</v>
      </c>
      <c r="P1136" s="375" t="s">
        <v>622</v>
      </c>
      <c r="Q1136" s="375" t="s">
        <v>622</v>
      </c>
      <c r="R1136" s="696">
        <v>20160202</v>
      </c>
      <c r="S1136" s="375" t="s">
        <v>7808</v>
      </c>
      <c r="T1136" s="697">
        <v>0.23100000000000001</v>
      </c>
      <c r="U1136" s="372" t="s">
        <v>7809</v>
      </c>
      <c r="V1136" s="723">
        <v>5.82</v>
      </c>
      <c r="W1136" s="723">
        <v>0.87</v>
      </c>
      <c r="X1136" s="723">
        <v>0.16</v>
      </c>
      <c r="Y1136" s="723">
        <v>6.82</v>
      </c>
      <c r="Z1136" s="382" t="s">
        <v>927</v>
      </c>
      <c r="AA1136" s="372">
        <v>2913.5635705</v>
      </c>
      <c r="AB1136" s="372">
        <v>3784.0122087</v>
      </c>
      <c r="AC1136" s="372">
        <v>5250.4856104</v>
      </c>
      <c r="AD1136" s="372">
        <v>5980.9376221000002</v>
      </c>
      <c r="AE1136" s="372">
        <v>0</v>
      </c>
      <c r="AF1136" s="372">
        <v>0</v>
      </c>
      <c r="AG1136" s="372">
        <v>0</v>
      </c>
      <c r="AH1136" s="372">
        <v>0</v>
      </c>
    </row>
    <row r="1137" spans="1:34">
      <c r="A1137" s="372" t="s">
        <v>7810</v>
      </c>
      <c r="B1137" s="373" t="s">
        <v>7811</v>
      </c>
      <c r="C1137" s="372" t="s">
        <v>7812</v>
      </c>
      <c r="D1137" s="374">
        <v>1101111921140</v>
      </c>
      <c r="E1137" s="372" t="s">
        <v>7813</v>
      </c>
      <c r="F1137" s="372" t="s">
        <v>7814</v>
      </c>
      <c r="G1137" s="375" t="s">
        <v>7815</v>
      </c>
      <c r="H1137" s="375" t="s">
        <v>3099</v>
      </c>
      <c r="I1137" s="375" t="s">
        <v>862</v>
      </c>
      <c r="J1137" s="375">
        <v>239484.63024999999</v>
      </c>
      <c r="K1137" s="375">
        <v>14347.65056</v>
      </c>
      <c r="L1137" s="375">
        <v>4872.8455199999999</v>
      </c>
      <c r="M1137" s="375">
        <v>190515.01162</v>
      </c>
      <c r="N1137" s="372">
        <v>0.81599999999999995</v>
      </c>
      <c r="O1137" s="704">
        <v>138.54257595481957</v>
      </c>
      <c r="P1137" s="375" t="s">
        <v>622</v>
      </c>
      <c r="Q1137" s="375" t="s">
        <v>622</v>
      </c>
      <c r="R1137" s="696">
        <v>20170125</v>
      </c>
      <c r="S1137" s="375" t="s">
        <v>7816</v>
      </c>
      <c r="T1137" s="697">
        <v>0.20900000000000002</v>
      </c>
      <c r="U1137" s="372" t="s">
        <v>7817</v>
      </c>
      <c r="V1137" s="723">
        <v>12.57</v>
      </c>
      <c r="W1137" s="723">
        <v>0.56000000000000005</v>
      </c>
      <c r="X1137" s="723">
        <v>0.46</v>
      </c>
      <c r="Y1137" s="723">
        <v>34.22</v>
      </c>
      <c r="Z1137" s="382" t="s">
        <v>927</v>
      </c>
      <c r="AA1137" s="372">
        <v>1255.6022177</v>
      </c>
      <c r="AB1137" s="372">
        <v>2066.3652234000001</v>
      </c>
      <c r="AC1137" s="372">
        <v>2349.2123746000002</v>
      </c>
      <c r="AD1137" s="372">
        <v>1660.3485255999999</v>
      </c>
      <c r="AE1137" s="372">
        <v>2195</v>
      </c>
      <c r="AF1137" s="372">
        <v>0</v>
      </c>
      <c r="AG1137" s="372">
        <v>0</v>
      </c>
      <c r="AH1137" s="372">
        <v>0</v>
      </c>
    </row>
    <row r="1138" spans="1:34">
      <c r="A1138" s="372" t="s">
        <v>7818</v>
      </c>
      <c r="B1138" s="373" t="s">
        <v>7819</v>
      </c>
      <c r="C1138" s="372" t="s">
        <v>7820</v>
      </c>
      <c r="D1138" s="374">
        <v>2149110002560</v>
      </c>
      <c r="E1138" s="372" t="s">
        <v>7821</v>
      </c>
      <c r="F1138" s="375" t="s">
        <v>769</v>
      </c>
      <c r="G1138" s="375" t="s">
        <v>769</v>
      </c>
      <c r="H1138" s="375" t="s">
        <v>753</v>
      </c>
      <c r="I1138" s="375" t="s">
        <v>754</v>
      </c>
      <c r="J1138" s="375">
        <v>126403.77297000001</v>
      </c>
      <c r="K1138" s="375">
        <v>-298.37878000000001</v>
      </c>
      <c r="L1138" s="375">
        <v>3488.5899899999999</v>
      </c>
      <c r="M1138" s="375">
        <v>234330.05716</v>
      </c>
      <c r="N1138" s="372">
        <v>0.65900000000000003</v>
      </c>
      <c r="O1138" s="704">
        <v>0.22408394501201107</v>
      </c>
      <c r="P1138" s="375" t="s">
        <v>622</v>
      </c>
      <c r="Q1138" s="372" t="s">
        <v>622</v>
      </c>
      <c r="R1138" s="696">
        <v>19961016</v>
      </c>
      <c r="S1138" s="372" t="s">
        <v>7822</v>
      </c>
      <c r="T1138" s="697">
        <v>0.20900000000000002</v>
      </c>
      <c r="U1138" s="372" t="s">
        <v>7823</v>
      </c>
      <c r="V1138" s="723">
        <v>19.760000000000002</v>
      </c>
      <c r="W1138" s="723">
        <v>0.43</v>
      </c>
      <c r="X1138" s="723">
        <v>0.86</v>
      </c>
      <c r="Y1138" s="723">
        <v>35.49</v>
      </c>
      <c r="Z1138" s="382" t="s">
        <v>927</v>
      </c>
      <c r="AA1138" s="372">
        <v>1501.7256680999999</v>
      </c>
      <c r="AB1138" s="372">
        <v>1737.7367512999999</v>
      </c>
      <c r="AC1138" s="372">
        <v>1522.0107201999999</v>
      </c>
      <c r="AD1138" s="372">
        <v>1257.0527963</v>
      </c>
      <c r="AE1138" s="372">
        <v>0</v>
      </c>
      <c r="AF1138" s="372">
        <v>0</v>
      </c>
      <c r="AG1138" s="372">
        <v>0</v>
      </c>
      <c r="AH1138" s="372">
        <v>0</v>
      </c>
    </row>
    <row r="1139" spans="1:34">
      <c r="A1139" s="372" t="s">
        <v>7824</v>
      </c>
      <c r="B1139" s="373" t="s">
        <v>7825</v>
      </c>
      <c r="C1139" s="372" t="s">
        <v>7826</v>
      </c>
      <c r="D1139" s="374">
        <v>1101110382020</v>
      </c>
      <c r="E1139" s="372" t="s">
        <v>7827</v>
      </c>
      <c r="F1139" s="375" t="s">
        <v>1041</v>
      </c>
      <c r="G1139" s="375" t="s">
        <v>1042</v>
      </c>
      <c r="H1139" s="375" t="s">
        <v>861</v>
      </c>
      <c r="I1139" s="375" t="s">
        <v>862</v>
      </c>
      <c r="J1139" s="375">
        <v>50873.757030000001</v>
      </c>
      <c r="K1139" s="375">
        <v>-20234.35888</v>
      </c>
      <c r="L1139" s="375">
        <v>-28660.59274</v>
      </c>
      <c r="M1139" s="375">
        <v>70438.065329999998</v>
      </c>
      <c r="N1139" s="372">
        <v>0.96899999999999997</v>
      </c>
      <c r="O1139" s="704">
        <v>115.03557435457495</v>
      </c>
      <c r="P1139" s="375" t="s">
        <v>622</v>
      </c>
      <c r="Q1139" s="375" t="s">
        <v>622</v>
      </c>
      <c r="R1139" s="696">
        <v>19931124</v>
      </c>
      <c r="S1139" s="375" t="s">
        <v>7828</v>
      </c>
      <c r="T1139" s="697" t="s">
        <v>771</v>
      </c>
      <c r="U1139" s="372" t="s">
        <v>7829</v>
      </c>
      <c r="V1139" s="723" t="s">
        <v>773</v>
      </c>
      <c r="W1139" s="723">
        <v>1.85</v>
      </c>
      <c r="X1139" s="723">
        <v>2.2599999999999998</v>
      </c>
      <c r="Y1139" s="723" t="s">
        <v>773</v>
      </c>
      <c r="Z1139" s="382" t="s">
        <v>927</v>
      </c>
      <c r="AA1139" s="372">
        <v>801.68052969999997</v>
      </c>
      <c r="AB1139" s="372">
        <v>1496.5949516999999</v>
      </c>
      <c r="AC1139" s="372">
        <v>2391.7901576999998</v>
      </c>
      <c r="AD1139" s="372">
        <v>1077.3923996000001</v>
      </c>
      <c r="AE1139" s="372">
        <v>0</v>
      </c>
      <c r="AF1139" s="372">
        <v>0</v>
      </c>
      <c r="AG1139" s="372">
        <v>0</v>
      </c>
      <c r="AH1139" s="372">
        <v>0</v>
      </c>
    </row>
    <row r="1140" spans="1:34">
      <c r="A1140" s="372" t="s">
        <v>7830</v>
      </c>
      <c r="B1140" s="373" t="s">
        <v>7831</v>
      </c>
      <c r="C1140" s="372" t="s">
        <v>7832</v>
      </c>
      <c r="D1140" s="374">
        <v>1701110000745</v>
      </c>
      <c r="E1140" s="372" t="s">
        <v>7833</v>
      </c>
      <c r="F1140" s="372" t="s">
        <v>1954</v>
      </c>
      <c r="G1140" s="375" t="s">
        <v>7834</v>
      </c>
      <c r="H1140" s="375" t="s">
        <v>861</v>
      </c>
      <c r="I1140" s="375" t="s">
        <v>862</v>
      </c>
      <c r="J1140" s="375">
        <v>159083.35654000001</v>
      </c>
      <c r="K1140" s="375">
        <v>11533.03717</v>
      </c>
      <c r="L1140" s="375">
        <v>11643.53895</v>
      </c>
      <c r="M1140" s="375">
        <v>182231.20426</v>
      </c>
      <c r="N1140" s="372">
        <v>0.82</v>
      </c>
      <c r="O1140" s="704">
        <v>7.0721357850070721</v>
      </c>
      <c r="P1140" s="375" t="s">
        <v>622</v>
      </c>
      <c r="Q1140" s="375" t="s">
        <v>622</v>
      </c>
      <c r="R1140" s="696">
        <v>19941116</v>
      </c>
      <c r="S1140" s="375" t="s">
        <v>7835</v>
      </c>
      <c r="T1140" s="697">
        <v>0.20900000000000002</v>
      </c>
      <c r="U1140" s="372" t="s">
        <v>7836</v>
      </c>
      <c r="V1140" s="723">
        <v>7.07</v>
      </c>
      <c r="W1140" s="723">
        <v>0.82</v>
      </c>
      <c r="X1140" s="723">
        <v>0.82</v>
      </c>
      <c r="Y1140" s="723">
        <v>18.75</v>
      </c>
      <c r="Z1140" s="382" t="s">
        <v>927</v>
      </c>
      <c r="AA1140" s="372">
        <v>1179.8983896</v>
      </c>
      <c r="AB1140" s="372">
        <v>1276.9808886000001</v>
      </c>
      <c r="AC1140" s="372">
        <v>1539.8845586</v>
      </c>
      <c r="AD1140" s="372">
        <v>1684.6709676</v>
      </c>
      <c r="AE1140" s="372">
        <v>0</v>
      </c>
      <c r="AF1140" s="372">
        <v>0</v>
      </c>
      <c r="AG1140" s="372">
        <v>0</v>
      </c>
      <c r="AH1140" s="372">
        <v>0</v>
      </c>
    </row>
    <row r="1141" spans="1:34">
      <c r="A1141" s="372" t="s">
        <v>7837</v>
      </c>
      <c r="B1141" s="373" t="s">
        <v>7838</v>
      </c>
      <c r="C1141" s="372" t="s">
        <v>7839</v>
      </c>
      <c r="D1141" s="374">
        <v>1601110235641</v>
      </c>
      <c r="E1141" s="372" t="s">
        <v>7840</v>
      </c>
      <c r="F1141" s="375" t="s">
        <v>1116</v>
      </c>
      <c r="G1141" s="375" t="s">
        <v>1336</v>
      </c>
      <c r="H1141" s="375" t="s">
        <v>1337</v>
      </c>
      <c r="I1141" s="375" t="s">
        <v>862</v>
      </c>
      <c r="J1141" s="375">
        <v>4922.1878200000001</v>
      </c>
      <c r="K1141" s="375">
        <v>-10421.74999</v>
      </c>
      <c r="L1141" s="375">
        <v>-20051.488689999998</v>
      </c>
      <c r="M1141" s="375">
        <v>20036.97565</v>
      </c>
      <c r="N1141" s="372" t="s">
        <v>1026</v>
      </c>
      <c r="O1141" s="704">
        <v>1.5150986381667246</v>
      </c>
      <c r="P1141" s="375" t="s">
        <v>622</v>
      </c>
      <c r="Q1141" s="375" t="s">
        <v>622</v>
      </c>
      <c r="R1141" s="696">
        <v>20231205</v>
      </c>
      <c r="S1141" s="375" t="s">
        <v>7841</v>
      </c>
      <c r="T1141" s="697" t="s">
        <v>771</v>
      </c>
      <c r="U1141" s="375" t="s">
        <v>7842</v>
      </c>
      <c r="V1141" s="723">
        <v>0</v>
      </c>
      <c r="W1141" s="723">
        <v>0</v>
      </c>
      <c r="X1141" s="723">
        <v>0</v>
      </c>
      <c r="Y1141" s="723">
        <v>0</v>
      </c>
      <c r="Z1141" s="382" t="s">
        <v>927</v>
      </c>
      <c r="AA1141" s="372">
        <v>67.314782899999997</v>
      </c>
      <c r="AB1141" s="372">
        <v>48.473337000000001</v>
      </c>
      <c r="AC1141" s="372">
        <v>41.505578900000003</v>
      </c>
      <c r="AD1141" s="372">
        <v>34.7908075</v>
      </c>
      <c r="AE1141" s="372">
        <v>0</v>
      </c>
      <c r="AF1141" s="372">
        <v>0</v>
      </c>
      <c r="AG1141" s="372">
        <v>0</v>
      </c>
      <c r="AH1141" s="372">
        <v>0</v>
      </c>
    </row>
    <row r="1142" spans="1:34">
      <c r="A1142" s="372" t="s">
        <v>7843</v>
      </c>
      <c r="B1142" s="373" t="s">
        <v>7844</v>
      </c>
      <c r="C1142" s="372" t="s">
        <v>7845</v>
      </c>
      <c r="D1142" s="374">
        <v>1101110366719</v>
      </c>
      <c r="E1142" s="372" t="s">
        <v>7846</v>
      </c>
      <c r="F1142" s="375" t="s">
        <v>2426</v>
      </c>
      <c r="G1142" s="375" t="s">
        <v>2427</v>
      </c>
      <c r="H1142" s="375" t="s">
        <v>1043</v>
      </c>
      <c r="I1142" s="375" t="s">
        <v>754</v>
      </c>
      <c r="J1142" s="375">
        <v>480465.32978999999</v>
      </c>
      <c r="K1142" s="375">
        <v>30277.469010000001</v>
      </c>
      <c r="L1142" s="375">
        <v>18840.427930000002</v>
      </c>
      <c r="M1142" s="375">
        <v>113256.19206</v>
      </c>
      <c r="N1142" s="372">
        <v>1.1160000000000001</v>
      </c>
      <c r="O1142" s="704">
        <v>159.86835797612656</v>
      </c>
      <c r="P1142" s="375" t="s">
        <v>622</v>
      </c>
      <c r="Q1142" s="372" t="s">
        <v>622</v>
      </c>
      <c r="R1142" s="696">
        <v>20010807</v>
      </c>
      <c r="S1142" s="375" t="s">
        <v>7847</v>
      </c>
      <c r="T1142" s="697">
        <v>0.20900000000000002</v>
      </c>
      <c r="U1142" s="375" t="s">
        <v>7848</v>
      </c>
      <c r="V1142" s="723">
        <v>6.62</v>
      </c>
      <c r="W1142" s="723">
        <v>0.95</v>
      </c>
      <c r="X1142" s="723">
        <v>0.24</v>
      </c>
      <c r="Y1142" s="723">
        <v>8.86</v>
      </c>
      <c r="Z1142" s="382">
        <v>0.23328520378514161</v>
      </c>
      <c r="AA1142" s="372">
        <v>2406.6444821</v>
      </c>
      <c r="AB1142" s="372">
        <v>2623.3778926</v>
      </c>
      <c r="AC1142" s="372">
        <v>2545.3846222000002</v>
      </c>
      <c r="AD1142" s="372">
        <v>2421.9576115</v>
      </c>
      <c r="AE1142" s="372">
        <v>5411.75</v>
      </c>
      <c r="AF1142" s="372">
        <v>4724.67</v>
      </c>
      <c r="AG1142" s="372">
        <v>5603</v>
      </c>
      <c r="AH1142" s="372">
        <v>0</v>
      </c>
    </row>
    <row r="1143" spans="1:34">
      <c r="A1143" s="372" t="s">
        <v>7849</v>
      </c>
      <c r="B1143" s="373" t="s">
        <v>7850</v>
      </c>
      <c r="C1143" s="372" t="s">
        <v>7851</v>
      </c>
      <c r="D1143" s="374">
        <v>1760110003901</v>
      </c>
      <c r="E1143" s="372" t="s">
        <v>7852</v>
      </c>
      <c r="F1143" s="375" t="s">
        <v>845</v>
      </c>
      <c r="G1143" s="375" t="s">
        <v>845</v>
      </c>
      <c r="H1143" s="375" t="s">
        <v>3099</v>
      </c>
      <c r="I1143" s="375" t="s">
        <v>862</v>
      </c>
      <c r="J1143" s="375">
        <v>392269.01143999997</v>
      </c>
      <c r="K1143" s="375">
        <v>20314.80069</v>
      </c>
      <c r="L1143" s="375">
        <v>23118.663499999999</v>
      </c>
      <c r="M1143" s="375">
        <v>235548.70681999999</v>
      </c>
      <c r="N1143" s="372">
        <v>0.68100000000000005</v>
      </c>
      <c r="O1143" s="704">
        <v>174.33216888218232</v>
      </c>
      <c r="P1143" s="375" t="s">
        <v>622</v>
      </c>
      <c r="Q1143" s="372" t="s">
        <v>622</v>
      </c>
      <c r="R1143" s="696">
        <v>20020709</v>
      </c>
      <c r="S1143" s="372" t="s">
        <v>7853</v>
      </c>
      <c r="T1143" s="697">
        <v>0.23100000000000001</v>
      </c>
      <c r="U1143" s="372" t="s">
        <v>7854</v>
      </c>
      <c r="V1143" s="723">
        <v>8</v>
      </c>
      <c r="W1143" s="723">
        <v>0.77</v>
      </c>
      <c r="X1143" s="723">
        <v>0.33</v>
      </c>
      <c r="Y1143" s="723">
        <v>10</v>
      </c>
      <c r="Z1143" s="382" t="s">
        <v>927</v>
      </c>
      <c r="AA1143" s="372">
        <v>2558.9976428999998</v>
      </c>
      <c r="AB1143" s="372">
        <v>3250.0240474000002</v>
      </c>
      <c r="AC1143" s="372">
        <v>4320.5665479999998</v>
      </c>
      <c r="AD1143" s="372">
        <v>4274.9692255</v>
      </c>
      <c r="AE1143" s="372">
        <v>0</v>
      </c>
      <c r="AF1143" s="372">
        <v>0</v>
      </c>
      <c r="AG1143" s="372">
        <v>0</v>
      </c>
      <c r="AH1143" s="372">
        <v>0</v>
      </c>
    </row>
    <row r="1144" spans="1:34">
      <c r="A1144" s="372" t="s">
        <v>7855</v>
      </c>
      <c r="B1144" s="373" t="s">
        <v>7856</v>
      </c>
      <c r="C1144" s="372" t="s">
        <v>7857</v>
      </c>
      <c r="D1144" s="374">
        <v>1101112034562</v>
      </c>
      <c r="E1144" s="372" t="s">
        <v>7858</v>
      </c>
      <c r="F1144" s="372" t="s">
        <v>2032</v>
      </c>
      <c r="G1144" s="375" t="s">
        <v>7243</v>
      </c>
      <c r="H1144" s="375" t="s">
        <v>1531</v>
      </c>
      <c r="I1144" s="375" t="s">
        <v>862</v>
      </c>
      <c r="J1144" s="375">
        <v>109037.50463</v>
      </c>
      <c r="K1144" s="375">
        <v>-18312.13868</v>
      </c>
      <c r="L1144" s="375">
        <v>-33801.785170000003</v>
      </c>
      <c r="M1144" s="375">
        <v>26217.032360000001</v>
      </c>
      <c r="N1144" s="372">
        <v>0.76900000000000002</v>
      </c>
      <c r="O1144" s="704">
        <v>28.564329766177622</v>
      </c>
      <c r="P1144" s="375" t="s">
        <v>622</v>
      </c>
      <c r="Q1144" s="375" t="s">
        <v>622</v>
      </c>
      <c r="R1144" s="696">
        <v>20221206</v>
      </c>
      <c r="S1144" s="375" t="s">
        <v>7859</v>
      </c>
      <c r="T1144" s="697" t="s">
        <v>771</v>
      </c>
      <c r="U1144" s="372" t="s">
        <v>7860</v>
      </c>
      <c r="V1144" s="723" t="s">
        <v>773</v>
      </c>
      <c r="W1144" s="723">
        <v>5.51</v>
      </c>
      <c r="X1144" s="723">
        <v>1.24</v>
      </c>
      <c r="Y1144" s="723" t="s">
        <v>773</v>
      </c>
      <c r="Z1144" s="382">
        <v>9.6290854193315845E-2</v>
      </c>
      <c r="AA1144" s="372">
        <v>235.59441319999999</v>
      </c>
      <c r="AB1144" s="372">
        <v>383.74161620000001</v>
      </c>
      <c r="AC1144" s="372">
        <v>683.22017040000003</v>
      </c>
      <c r="AD1144" s="372">
        <v>951.22568509999996</v>
      </c>
      <c r="AE1144" s="372">
        <v>1083</v>
      </c>
      <c r="AF1144" s="372">
        <v>1216</v>
      </c>
      <c r="AG1144" s="372">
        <v>1374</v>
      </c>
      <c r="AH1144" s="372">
        <v>0</v>
      </c>
    </row>
    <row r="1145" spans="1:34">
      <c r="A1145" s="372" t="s">
        <v>7861</v>
      </c>
      <c r="B1145" s="373" t="s">
        <v>7862</v>
      </c>
      <c r="C1145" s="372" t="s">
        <v>7863</v>
      </c>
      <c r="D1145" s="374">
        <v>1201110005703</v>
      </c>
      <c r="E1145" s="372" t="s">
        <v>7864</v>
      </c>
      <c r="F1145" s="372" t="s">
        <v>4252</v>
      </c>
      <c r="G1145" s="375" t="s">
        <v>7865</v>
      </c>
      <c r="H1145" s="375" t="s">
        <v>826</v>
      </c>
      <c r="I1145" s="375" t="s">
        <v>754</v>
      </c>
      <c r="J1145" s="375">
        <v>363037.54814000003</v>
      </c>
      <c r="K1145" s="375">
        <v>20599.727070000001</v>
      </c>
      <c r="L1145" s="375">
        <v>5616.7598200000002</v>
      </c>
      <c r="M1145" s="375">
        <v>260913.38007000001</v>
      </c>
      <c r="N1145" s="372">
        <v>0.96799999999999997</v>
      </c>
      <c r="O1145" s="704">
        <v>182.38384644797219</v>
      </c>
      <c r="P1145" s="375" t="s">
        <v>622</v>
      </c>
      <c r="Q1145" s="372" t="s">
        <v>622</v>
      </c>
      <c r="R1145" s="696">
        <v>19951005</v>
      </c>
      <c r="S1145" s="372" t="s">
        <v>7866</v>
      </c>
      <c r="T1145" s="697">
        <v>0.20900000000000002</v>
      </c>
      <c r="U1145" s="372" t="s">
        <v>7867</v>
      </c>
      <c r="V1145" s="723">
        <v>7.39</v>
      </c>
      <c r="W1145" s="723">
        <v>0.56999999999999995</v>
      </c>
      <c r="X1145" s="723">
        <v>0.37</v>
      </c>
      <c r="Y1145" s="723">
        <v>39.83</v>
      </c>
      <c r="Z1145" s="382" t="s">
        <v>927</v>
      </c>
      <c r="AA1145" s="372">
        <v>3293.1207817999998</v>
      </c>
      <c r="AB1145" s="372">
        <v>4033.2565860999998</v>
      </c>
      <c r="AC1145" s="372">
        <v>4026.3734122999999</v>
      </c>
      <c r="AD1145" s="372">
        <v>3454.0824008</v>
      </c>
      <c r="AE1145" s="372">
        <v>0</v>
      </c>
      <c r="AF1145" s="372">
        <v>0</v>
      </c>
      <c r="AG1145" s="372">
        <v>0</v>
      </c>
      <c r="AH1145" s="372">
        <v>0</v>
      </c>
    </row>
    <row r="1146" spans="1:34">
      <c r="A1146" s="372" t="s">
        <v>7868</v>
      </c>
      <c r="B1146" s="373" t="s">
        <v>7869</v>
      </c>
      <c r="C1146" s="372" t="s">
        <v>7870</v>
      </c>
      <c r="D1146" s="374">
        <v>1601110084890</v>
      </c>
      <c r="E1146" s="372" t="s">
        <v>7871</v>
      </c>
      <c r="F1146" s="375" t="s">
        <v>16101</v>
      </c>
      <c r="G1146" s="375" t="s">
        <v>16101</v>
      </c>
      <c r="H1146" s="375" t="s">
        <v>861</v>
      </c>
      <c r="I1146" s="375" t="s">
        <v>862</v>
      </c>
      <c r="J1146" s="375">
        <v>82072.411840000001</v>
      </c>
      <c r="K1146" s="375">
        <v>-11728.101629999999</v>
      </c>
      <c r="L1146" s="375">
        <v>-8272.9618499999997</v>
      </c>
      <c r="M1146" s="375">
        <v>178678.97024</v>
      </c>
      <c r="N1146" s="372">
        <v>0.91700000000000004</v>
      </c>
      <c r="O1146" s="704">
        <v>4.0159043811790207</v>
      </c>
      <c r="P1146" s="375" t="s">
        <v>622</v>
      </c>
      <c r="Q1146" s="372" t="s">
        <v>622</v>
      </c>
      <c r="R1146" s="696">
        <v>20130925</v>
      </c>
      <c r="S1146" s="372" t="s">
        <v>7872</v>
      </c>
      <c r="T1146" s="697" t="s">
        <v>771</v>
      </c>
      <c r="U1146" s="372" t="s">
        <v>7873</v>
      </c>
      <c r="V1146" s="723" t="s">
        <v>773</v>
      </c>
      <c r="W1146" s="723">
        <v>0.68</v>
      </c>
      <c r="X1146" s="723">
        <v>1.56</v>
      </c>
      <c r="Y1146" s="723" t="s">
        <v>773</v>
      </c>
      <c r="Z1146" s="382" t="s">
        <v>927</v>
      </c>
      <c r="AA1146" s="372">
        <v>258.18432589999998</v>
      </c>
      <c r="AB1146" s="372">
        <v>229.754985</v>
      </c>
      <c r="AC1146" s="372">
        <v>266.3763123</v>
      </c>
      <c r="AD1146" s="372">
        <v>760.38893900000005</v>
      </c>
      <c r="AE1146" s="372">
        <v>0</v>
      </c>
      <c r="AF1146" s="372">
        <v>0</v>
      </c>
      <c r="AG1146" s="372">
        <v>0</v>
      </c>
      <c r="AH1146" s="372">
        <v>0</v>
      </c>
    </row>
    <row r="1147" spans="1:34">
      <c r="A1147" s="372" t="s">
        <v>7874</v>
      </c>
      <c r="B1147" s="373" t="s">
        <v>7875</v>
      </c>
      <c r="C1147" s="372" t="s">
        <v>7876</v>
      </c>
      <c r="D1147" s="374">
        <v>1801110000587</v>
      </c>
      <c r="E1147" s="372" t="s">
        <v>7877</v>
      </c>
      <c r="F1147" s="375" t="s">
        <v>2485</v>
      </c>
      <c r="G1147" s="375" t="s">
        <v>7878</v>
      </c>
      <c r="H1147" s="375" t="s">
        <v>812</v>
      </c>
      <c r="I1147" s="375" t="s">
        <v>754</v>
      </c>
      <c r="J1147" s="375">
        <v>433987.99874000001</v>
      </c>
      <c r="K1147" s="375">
        <v>20610.31179</v>
      </c>
      <c r="L1147" s="375">
        <v>22885.244279999999</v>
      </c>
      <c r="M1147" s="375">
        <v>353174.37083000003</v>
      </c>
      <c r="N1147" s="372">
        <v>0.60099999999999998</v>
      </c>
      <c r="O1147" s="704">
        <v>2.3473811011053636</v>
      </c>
      <c r="P1147" s="375" t="s">
        <v>622</v>
      </c>
      <c r="Q1147" s="372" t="s">
        <v>622</v>
      </c>
      <c r="R1147" s="696">
        <v>19691212</v>
      </c>
      <c r="S1147" s="372" t="s">
        <v>7879</v>
      </c>
      <c r="T1147" s="697">
        <v>0.23100000000000001</v>
      </c>
      <c r="U1147" s="372" t="s">
        <v>7880</v>
      </c>
      <c r="V1147" s="723">
        <v>5.2</v>
      </c>
      <c r="W1147" s="723">
        <v>0.42</v>
      </c>
      <c r="X1147" s="723">
        <v>0.34</v>
      </c>
      <c r="Y1147" s="723">
        <v>8.76</v>
      </c>
      <c r="Z1147" s="382" t="s">
        <v>927</v>
      </c>
      <c r="AA1147" s="372">
        <v>3282.8863035999998</v>
      </c>
      <c r="AB1147" s="372">
        <v>5101.8509549999999</v>
      </c>
      <c r="AC1147" s="372">
        <v>4842.9122577999997</v>
      </c>
      <c r="AD1147" s="372">
        <v>4563.2569747999996</v>
      </c>
      <c r="AE1147" s="372">
        <v>0</v>
      </c>
      <c r="AF1147" s="372">
        <v>0</v>
      </c>
      <c r="AG1147" s="372">
        <v>0</v>
      </c>
      <c r="AH1147" s="372">
        <v>0</v>
      </c>
    </row>
    <row r="1148" spans="1:34">
      <c r="A1148" s="372" t="s">
        <v>7881</v>
      </c>
      <c r="B1148" s="373" t="s">
        <v>7882</v>
      </c>
      <c r="C1148" s="372" t="s">
        <v>7883</v>
      </c>
      <c r="D1148" s="374">
        <v>1341110048674</v>
      </c>
      <c r="E1148" s="372" t="s">
        <v>7884</v>
      </c>
      <c r="F1148" s="375" t="s">
        <v>2184</v>
      </c>
      <c r="G1148" s="375" t="s">
        <v>7885</v>
      </c>
      <c r="H1148" s="375" t="s">
        <v>861</v>
      </c>
      <c r="I1148" s="375" t="s">
        <v>862</v>
      </c>
      <c r="J1148" s="375">
        <v>0</v>
      </c>
      <c r="K1148" s="375">
        <v>0</v>
      </c>
      <c r="L1148" s="375">
        <v>0</v>
      </c>
      <c r="M1148" s="375">
        <v>56974.087469999999</v>
      </c>
      <c r="N1148" s="372">
        <v>0.29599999999999999</v>
      </c>
      <c r="O1148" s="704">
        <v>15.9901539983696</v>
      </c>
      <c r="P1148" s="375" t="s">
        <v>622</v>
      </c>
      <c r="Q1148" s="372" t="s">
        <v>622</v>
      </c>
      <c r="R1148" s="696">
        <v>20030203</v>
      </c>
      <c r="S1148" s="372" t="s">
        <v>7886</v>
      </c>
      <c r="T1148" s="697" t="s">
        <v>771</v>
      </c>
      <c r="U1148" s="372" t="s">
        <v>7887</v>
      </c>
      <c r="V1148" s="723">
        <v>0</v>
      </c>
      <c r="W1148" s="723">
        <v>2.44</v>
      </c>
      <c r="X1148" s="723">
        <v>0</v>
      </c>
      <c r="Y1148" s="723">
        <v>0</v>
      </c>
      <c r="Z1148" s="382" t="s">
        <v>927</v>
      </c>
      <c r="AA1148" s="372">
        <v>672.86854219999998</v>
      </c>
      <c r="AB1148" s="372">
        <v>1024.6611339000001</v>
      </c>
      <c r="AC1148" s="372">
        <v>743.74891490000005</v>
      </c>
      <c r="AD1148" s="372">
        <v>549.28577800000005</v>
      </c>
      <c r="AE1148" s="372">
        <v>0</v>
      </c>
      <c r="AF1148" s="372">
        <v>0</v>
      </c>
      <c r="AG1148" s="372">
        <v>0</v>
      </c>
      <c r="AH1148" s="372">
        <v>0</v>
      </c>
    </row>
    <row r="1149" spans="1:34">
      <c r="A1149" s="372" t="s">
        <v>7888</v>
      </c>
      <c r="B1149" s="373" t="s">
        <v>7889</v>
      </c>
      <c r="C1149" s="372" t="s">
        <v>16005</v>
      </c>
      <c r="D1149" s="374">
        <v>1101117695210</v>
      </c>
      <c r="E1149" s="372" t="s">
        <v>16006</v>
      </c>
      <c r="F1149" s="375" t="s">
        <v>5514</v>
      </c>
      <c r="G1149" s="375" t="s">
        <v>5514</v>
      </c>
      <c r="H1149" s="375" t="s">
        <v>861</v>
      </c>
      <c r="I1149" s="375" t="s">
        <v>862</v>
      </c>
      <c r="J1149" s="375">
        <v>0</v>
      </c>
      <c r="K1149" s="375">
        <v>0</v>
      </c>
      <c r="L1149" s="375">
        <v>0</v>
      </c>
      <c r="M1149" s="375">
        <v>2361.5032500000002</v>
      </c>
      <c r="N1149" s="372">
        <v>0.76700000000000002</v>
      </c>
      <c r="O1149" s="704">
        <v>42.473123060632247</v>
      </c>
      <c r="P1149" s="375" t="s">
        <v>622</v>
      </c>
      <c r="Q1149" s="372" t="s">
        <v>622</v>
      </c>
      <c r="R1149" s="696">
        <v>20210226</v>
      </c>
      <c r="S1149" s="375" t="s">
        <v>7890</v>
      </c>
      <c r="T1149" s="697" t="s">
        <v>771</v>
      </c>
      <c r="U1149" s="375" t="s">
        <v>7891</v>
      </c>
      <c r="V1149" s="723">
        <v>0</v>
      </c>
      <c r="W1149" s="723">
        <v>18.100000000000001</v>
      </c>
      <c r="X1149" s="723">
        <v>0</v>
      </c>
      <c r="Y1149" s="723">
        <v>0</v>
      </c>
      <c r="Z1149" s="382" t="s">
        <v>927</v>
      </c>
      <c r="AA1149" s="372">
        <v>101.0112682</v>
      </c>
      <c r="AB1149" s="372">
        <v>141.02810360000001</v>
      </c>
      <c r="AC1149" s="372">
        <v>164.85049079999999</v>
      </c>
      <c r="AD1149" s="372">
        <v>97.761176199999994</v>
      </c>
      <c r="AE1149" s="372">
        <v>0</v>
      </c>
      <c r="AF1149" s="372">
        <v>0</v>
      </c>
      <c r="AG1149" s="372">
        <v>0</v>
      </c>
      <c r="AH1149" s="372">
        <v>0</v>
      </c>
    </row>
    <row r="1150" spans="1:34">
      <c r="A1150" s="372" t="s">
        <v>7892</v>
      </c>
      <c r="B1150" s="373" t="s">
        <v>7893</v>
      </c>
      <c r="C1150" s="372" t="s">
        <v>7894</v>
      </c>
      <c r="D1150" s="374">
        <v>1101111992670</v>
      </c>
      <c r="E1150" s="372" t="s">
        <v>7895</v>
      </c>
      <c r="F1150" s="375" t="s">
        <v>1116</v>
      </c>
      <c r="G1150" s="375" t="s">
        <v>1336</v>
      </c>
      <c r="H1150" s="375" t="s">
        <v>1337</v>
      </c>
      <c r="I1150" s="375" t="s">
        <v>862</v>
      </c>
      <c r="J1150" s="375">
        <v>370.65834000000001</v>
      </c>
      <c r="K1150" s="375">
        <v>-7147.2179500000002</v>
      </c>
      <c r="L1150" s="375">
        <v>-4613.9260999999997</v>
      </c>
      <c r="M1150" s="375">
        <v>32689.361949999999</v>
      </c>
      <c r="N1150" s="372">
        <v>0.80100000000000005</v>
      </c>
      <c r="O1150" s="704">
        <v>8.9920757356265018</v>
      </c>
      <c r="P1150" s="375" t="s">
        <v>622</v>
      </c>
      <c r="Q1150" s="375" t="s">
        <v>622</v>
      </c>
      <c r="R1150" s="696">
        <v>20211022</v>
      </c>
      <c r="S1150" s="375" t="s">
        <v>7896</v>
      </c>
      <c r="T1150" s="697" t="s">
        <v>771</v>
      </c>
      <c r="U1150" s="372" t="s">
        <v>7897</v>
      </c>
      <c r="V1150" s="723">
        <v>0</v>
      </c>
      <c r="W1150" s="723">
        <v>0</v>
      </c>
      <c r="X1150" s="723">
        <v>0</v>
      </c>
      <c r="Y1150" s="723">
        <v>0</v>
      </c>
      <c r="Z1150" s="382" t="s">
        <v>927</v>
      </c>
      <c r="AA1150" s="372">
        <v>0.77796489999999996</v>
      </c>
      <c r="AB1150" s="372">
        <v>5</v>
      </c>
      <c r="AC1150" s="372">
        <v>1.794845</v>
      </c>
      <c r="AD1150" s="372">
        <v>2.9412419999999999</v>
      </c>
      <c r="AE1150" s="372">
        <v>0</v>
      </c>
      <c r="AF1150" s="372">
        <v>0</v>
      </c>
      <c r="AG1150" s="372">
        <v>0</v>
      </c>
      <c r="AH1150" s="372">
        <v>0</v>
      </c>
    </row>
    <row r="1151" spans="1:34">
      <c r="A1151" s="372" t="s">
        <v>7898</v>
      </c>
      <c r="B1151" s="373" t="s">
        <v>7899</v>
      </c>
      <c r="C1151" s="372" t="s">
        <v>7900</v>
      </c>
      <c r="D1151" s="374">
        <v>1350110049673</v>
      </c>
      <c r="E1151" s="372" t="s">
        <v>7901</v>
      </c>
      <c r="F1151" s="375" t="s">
        <v>1275</v>
      </c>
      <c r="G1151" s="375" t="s">
        <v>1275</v>
      </c>
      <c r="H1151" s="375" t="s">
        <v>861</v>
      </c>
      <c r="I1151" s="375" t="s">
        <v>862</v>
      </c>
      <c r="J1151" s="375">
        <v>50892.442860000003</v>
      </c>
      <c r="K1151" s="375">
        <v>-21391.219570000001</v>
      </c>
      <c r="L1151" s="375">
        <v>-37248.797420000003</v>
      </c>
      <c r="M1151" s="375">
        <v>28917.87844</v>
      </c>
      <c r="N1151" s="372">
        <v>0.94199999999999995</v>
      </c>
      <c r="O1151" s="704">
        <v>20.2221844854549</v>
      </c>
      <c r="P1151" s="375" t="s">
        <v>622</v>
      </c>
      <c r="Q1151" s="372" t="s">
        <v>622</v>
      </c>
      <c r="R1151" s="696">
        <v>20220228</v>
      </c>
      <c r="S1151" s="372" t="s">
        <v>7902</v>
      </c>
      <c r="T1151" s="697" t="s">
        <v>771</v>
      </c>
      <c r="U1151" s="372" t="s">
        <v>7903</v>
      </c>
      <c r="V1151" s="723" t="s">
        <v>773</v>
      </c>
      <c r="W1151" s="723">
        <v>7.09</v>
      </c>
      <c r="X1151" s="723">
        <v>4.03</v>
      </c>
      <c r="Y1151" s="723" t="s">
        <v>773</v>
      </c>
      <c r="Z1151" s="382" t="s">
        <v>927</v>
      </c>
      <c r="AA1151" s="372">
        <v>371.17471260000002</v>
      </c>
      <c r="AB1151" s="372">
        <v>419.53096060000001</v>
      </c>
      <c r="AC1151" s="372">
        <v>449.13983309999998</v>
      </c>
      <c r="AD1151" s="372">
        <v>430.54017779999998</v>
      </c>
      <c r="AE1151" s="372">
        <v>909</v>
      </c>
      <c r="AF1151" s="372">
        <v>1220</v>
      </c>
      <c r="AG1151" s="372">
        <v>0</v>
      </c>
      <c r="AH1151" s="372">
        <v>0</v>
      </c>
    </row>
    <row r="1152" spans="1:34">
      <c r="A1152" s="372" t="s">
        <v>7904</v>
      </c>
      <c r="B1152" s="373" t="s">
        <v>7905</v>
      </c>
      <c r="C1152" s="372" t="s">
        <v>7906</v>
      </c>
      <c r="D1152" s="374">
        <v>1101110123797</v>
      </c>
      <c r="E1152" s="372" t="s">
        <v>7907</v>
      </c>
      <c r="F1152" s="375" t="s">
        <v>893</v>
      </c>
      <c r="G1152" s="375" t="s">
        <v>894</v>
      </c>
      <c r="H1152" s="375" t="s">
        <v>855</v>
      </c>
      <c r="I1152" s="375" t="s">
        <v>754</v>
      </c>
      <c r="J1152" s="375">
        <v>400088.48298999999</v>
      </c>
      <c r="K1152" s="375">
        <v>2263.29873</v>
      </c>
      <c r="L1152" s="375">
        <v>4023.1157600000001</v>
      </c>
      <c r="M1152" s="375">
        <v>334214.96337000001</v>
      </c>
      <c r="N1152" s="372">
        <v>0.55300000000000005</v>
      </c>
      <c r="O1152" s="704">
        <v>84.257555980962167</v>
      </c>
      <c r="P1152" s="375" t="s">
        <v>622</v>
      </c>
      <c r="Q1152" s="372" t="s">
        <v>622</v>
      </c>
      <c r="R1152" s="696">
        <v>19760629</v>
      </c>
      <c r="S1152" s="372" t="s">
        <v>7908</v>
      </c>
      <c r="T1152" s="697">
        <v>0.20900000000000002</v>
      </c>
      <c r="U1152" s="372" t="s">
        <v>7909</v>
      </c>
      <c r="V1152" s="723">
        <v>9.92</v>
      </c>
      <c r="W1152" s="723">
        <v>0.57999999999999996</v>
      </c>
      <c r="X1152" s="723">
        <v>0.33</v>
      </c>
      <c r="Y1152" s="723">
        <v>37.5</v>
      </c>
      <c r="Z1152" s="382" t="s">
        <v>927</v>
      </c>
      <c r="AA1152" s="372">
        <v>3190.7643653</v>
      </c>
      <c r="AB1152" s="372">
        <v>3489.6342365999999</v>
      </c>
      <c r="AC1152" s="372">
        <v>3718.2751667000002</v>
      </c>
      <c r="AD1152" s="372">
        <v>3839.2649695</v>
      </c>
      <c r="AE1152" s="372">
        <v>0</v>
      </c>
      <c r="AF1152" s="372">
        <v>0</v>
      </c>
      <c r="AG1152" s="372">
        <v>0</v>
      </c>
      <c r="AH1152" s="372">
        <v>0</v>
      </c>
    </row>
    <row r="1153" spans="1:34">
      <c r="A1153" s="372" t="s">
        <v>7910</v>
      </c>
      <c r="B1153" s="373" t="s">
        <v>7911</v>
      </c>
      <c r="C1153" s="372" t="s">
        <v>7912</v>
      </c>
      <c r="D1153" s="374">
        <v>1101110008200</v>
      </c>
      <c r="E1153" s="372" t="s">
        <v>7913</v>
      </c>
      <c r="F1153" s="372" t="s">
        <v>1323</v>
      </c>
      <c r="G1153" s="375" t="s">
        <v>16106</v>
      </c>
      <c r="H1153" s="375" t="s">
        <v>784</v>
      </c>
      <c r="I1153" s="375" t="s">
        <v>754</v>
      </c>
      <c r="J1153" s="375">
        <v>87627.614660000007</v>
      </c>
      <c r="K1153" s="375">
        <v>-3225.9863799999998</v>
      </c>
      <c r="L1153" s="375">
        <v>-3263.0399000000002</v>
      </c>
      <c r="M1153" s="375">
        <v>37091.85785</v>
      </c>
      <c r="N1153" s="372">
        <v>0.40699999999999997</v>
      </c>
      <c r="O1153" s="704">
        <v>51.927417439602607</v>
      </c>
      <c r="P1153" s="375" t="s">
        <v>622</v>
      </c>
      <c r="Q1153" s="375" t="s">
        <v>622</v>
      </c>
      <c r="R1153" s="696">
        <v>19900119</v>
      </c>
      <c r="S1153" s="375" t="s">
        <v>7914</v>
      </c>
      <c r="T1153" s="697" t="s">
        <v>771</v>
      </c>
      <c r="U1153" s="372" t="s">
        <v>7915</v>
      </c>
      <c r="V1153" s="723">
        <v>0</v>
      </c>
      <c r="W1153" s="723">
        <v>0</v>
      </c>
      <c r="X1153" s="723">
        <v>0</v>
      </c>
      <c r="Y1153" s="723">
        <v>0</v>
      </c>
      <c r="Z1153" s="382" t="s">
        <v>927</v>
      </c>
      <c r="AA1153" s="372">
        <v>877.99927100000002</v>
      </c>
      <c r="AB1153" s="372">
        <v>844.0765778</v>
      </c>
      <c r="AC1153" s="372">
        <v>933.28194829999995</v>
      </c>
      <c r="AD1153" s="372">
        <v>885.93588699999998</v>
      </c>
      <c r="AE1153" s="372">
        <v>0</v>
      </c>
      <c r="AF1153" s="372">
        <v>0</v>
      </c>
      <c r="AG1153" s="372">
        <v>0</v>
      </c>
      <c r="AH1153" s="372">
        <v>0</v>
      </c>
    </row>
    <row r="1154" spans="1:34">
      <c r="A1154" s="372" t="s">
        <v>7916</v>
      </c>
      <c r="B1154" s="373" t="s">
        <v>7917</v>
      </c>
      <c r="C1154" s="372" t="s">
        <v>7918</v>
      </c>
      <c r="D1154" s="374">
        <v>1348110004870</v>
      </c>
      <c r="E1154" s="372" t="s">
        <v>7919</v>
      </c>
      <c r="F1154" s="375" t="s">
        <v>2075</v>
      </c>
      <c r="G1154" s="375" t="s">
        <v>3403</v>
      </c>
      <c r="H1154" s="375" t="s">
        <v>861</v>
      </c>
      <c r="I1154" s="375" t="s">
        <v>862</v>
      </c>
      <c r="J1154" s="375">
        <v>552310.05383999995</v>
      </c>
      <c r="K1154" s="375">
        <v>50505.586329999998</v>
      </c>
      <c r="L1154" s="375">
        <v>59838.501680000001</v>
      </c>
      <c r="M1154" s="375">
        <v>365319.55352000002</v>
      </c>
      <c r="N1154" s="372">
        <v>0.85399999999999998</v>
      </c>
      <c r="O1154" s="704">
        <v>0.13287479724860835</v>
      </c>
      <c r="P1154" s="375" t="s">
        <v>622</v>
      </c>
      <c r="Q1154" s="372" t="s">
        <v>622</v>
      </c>
      <c r="R1154" s="696">
        <v>20050125</v>
      </c>
      <c r="S1154" s="375" t="s">
        <v>7920</v>
      </c>
      <c r="T1154" s="697">
        <v>0.23100000000000001</v>
      </c>
      <c r="U1154" s="372" t="s">
        <v>7921</v>
      </c>
      <c r="V1154" s="723">
        <v>2.4</v>
      </c>
      <c r="W1154" s="723">
        <v>0.41</v>
      </c>
      <c r="X1154" s="723">
        <v>0.27</v>
      </c>
      <c r="Y1154" s="723">
        <v>2.79</v>
      </c>
      <c r="Z1154" s="382" t="s">
        <v>927</v>
      </c>
      <c r="AA1154" s="372">
        <v>4614.2434961999998</v>
      </c>
      <c r="AB1154" s="372">
        <v>5194.2095861999996</v>
      </c>
      <c r="AC1154" s="372">
        <v>5598.1129800999997</v>
      </c>
      <c r="AD1154" s="372">
        <v>5369.1417332999999</v>
      </c>
      <c r="AE1154" s="372">
        <v>0</v>
      </c>
      <c r="AF1154" s="372">
        <v>0</v>
      </c>
      <c r="AG1154" s="372">
        <v>0</v>
      </c>
      <c r="AH1154" s="372">
        <v>0</v>
      </c>
    </row>
    <row r="1155" spans="1:34">
      <c r="A1155" s="372" t="s">
        <v>7922</v>
      </c>
      <c r="B1155" s="373" t="s">
        <v>7923</v>
      </c>
      <c r="C1155" s="372" t="s">
        <v>7924</v>
      </c>
      <c r="D1155" s="374">
        <v>1812110000906</v>
      </c>
      <c r="E1155" s="372" t="s">
        <v>7925</v>
      </c>
      <c r="F1155" s="375" t="s">
        <v>2103</v>
      </c>
      <c r="G1155" s="375" t="s">
        <v>2103</v>
      </c>
      <c r="H1155" s="375" t="s">
        <v>855</v>
      </c>
      <c r="I1155" s="375" t="s">
        <v>754</v>
      </c>
      <c r="J1155" s="375">
        <v>303444.571</v>
      </c>
      <c r="K1155" s="375">
        <v>17716.108370000002</v>
      </c>
      <c r="L1155" s="375">
        <v>18103.255880000001</v>
      </c>
      <c r="M1155" s="375">
        <v>465000.69118000002</v>
      </c>
      <c r="N1155" s="372">
        <v>0.95799999999999996</v>
      </c>
      <c r="O1155" s="704">
        <v>24.908969806849569</v>
      </c>
      <c r="P1155" s="375" t="s">
        <v>622</v>
      </c>
      <c r="Q1155" s="375" t="s">
        <v>622</v>
      </c>
      <c r="R1155" s="696">
        <v>19970307</v>
      </c>
      <c r="S1155" s="375" t="s">
        <v>854</v>
      </c>
      <c r="T1155" s="697">
        <v>0.20900000000000002</v>
      </c>
      <c r="U1155" s="372" t="s">
        <v>7926</v>
      </c>
      <c r="V1155" s="723">
        <v>5.69</v>
      </c>
      <c r="W1155" s="723">
        <v>0.38</v>
      </c>
      <c r="X1155" s="723">
        <v>0.59</v>
      </c>
      <c r="Y1155" s="723">
        <v>13.2</v>
      </c>
      <c r="Z1155" s="382" t="s">
        <v>927</v>
      </c>
      <c r="AA1155" s="372">
        <v>3105.3298783999999</v>
      </c>
      <c r="AB1155" s="372">
        <v>2984.6110887999998</v>
      </c>
      <c r="AC1155" s="372">
        <v>2755.3956154000002</v>
      </c>
      <c r="AD1155" s="372">
        <v>3125.4094071</v>
      </c>
      <c r="AE1155" s="372">
        <v>0</v>
      </c>
      <c r="AF1155" s="372">
        <v>0</v>
      </c>
      <c r="AG1155" s="372">
        <v>0</v>
      </c>
      <c r="AH1155" s="372">
        <v>0</v>
      </c>
    </row>
    <row r="1156" spans="1:34">
      <c r="A1156" s="372" t="s">
        <v>7927</v>
      </c>
      <c r="B1156" s="373" t="s">
        <v>7928</v>
      </c>
      <c r="C1156" s="372" t="s">
        <v>7929</v>
      </c>
      <c r="D1156" s="374">
        <v>1101116314449</v>
      </c>
      <c r="E1156" s="372" t="s">
        <v>7930</v>
      </c>
      <c r="F1156" s="372" t="s">
        <v>1275</v>
      </c>
      <c r="G1156" s="375" t="s">
        <v>1275</v>
      </c>
      <c r="H1156" s="375" t="s">
        <v>861</v>
      </c>
      <c r="I1156" s="375" t="s">
        <v>862</v>
      </c>
      <c r="J1156" s="375">
        <v>69356.832410000003</v>
      </c>
      <c r="K1156" s="375">
        <v>6298.3724199999997</v>
      </c>
      <c r="L1156" s="375">
        <v>5943.91957</v>
      </c>
      <c r="M1156" s="375">
        <v>50111.48848</v>
      </c>
      <c r="N1156" s="372">
        <v>0.72299999999999998</v>
      </c>
      <c r="O1156" s="704">
        <v>2.6748816119602652</v>
      </c>
      <c r="P1156" s="375" t="s">
        <v>622</v>
      </c>
      <c r="Q1156" s="375" t="s">
        <v>622</v>
      </c>
      <c r="R1156" s="696">
        <v>20170601</v>
      </c>
      <c r="S1156" s="375" t="s">
        <v>7931</v>
      </c>
      <c r="T1156" s="697">
        <v>0.20900000000000002</v>
      </c>
      <c r="U1156" s="372" t="s">
        <v>7932</v>
      </c>
      <c r="V1156" s="723">
        <v>20.99</v>
      </c>
      <c r="W1156" s="723">
        <v>3.57</v>
      </c>
      <c r="X1156" s="723">
        <v>2.5499999999999998</v>
      </c>
      <c r="Y1156" s="723">
        <v>29.62</v>
      </c>
      <c r="Z1156" s="382" t="s">
        <v>927</v>
      </c>
      <c r="AA1156" s="372">
        <v>611.59595469999999</v>
      </c>
      <c r="AB1156" s="372">
        <v>782.78088160000004</v>
      </c>
      <c r="AC1156" s="372">
        <v>825.95000689999995</v>
      </c>
      <c r="AD1156" s="372">
        <v>684.49331329999995</v>
      </c>
      <c r="AE1156" s="372">
        <v>0</v>
      </c>
      <c r="AF1156" s="372">
        <v>0</v>
      </c>
      <c r="AG1156" s="372">
        <v>0</v>
      </c>
      <c r="AH1156" s="372">
        <v>0</v>
      </c>
    </row>
    <row r="1157" spans="1:34">
      <c r="A1157" s="372" t="s">
        <v>7933</v>
      </c>
      <c r="B1157" s="373" t="s">
        <v>7934</v>
      </c>
      <c r="C1157" s="372" t="s">
        <v>7935</v>
      </c>
      <c r="D1157" s="374">
        <v>1101110412778</v>
      </c>
      <c r="E1157" s="372" t="s">
        <v>7936</v>
      </c>
      <c r="F1157" s="372" t="s">
        <v>7937</v>
      </c>
      <c r="G1157" s="375" t="s">
        <v>7937</v>
      </c>
      <c r="H1157" s="375" t="s">
        <v>1337</v>
      </c>
      <c r="I1157" s="375" t="s">
        <v>862</v>
      </c>
      <c r="J1157" s="375">
        <v>77082.092279999997</v>
      </c>
      <c r="K1157" s="375">
        <v>3007.33347</v>
      </c>
      <c r="L1157" s="375">
        <v>3434.3653599999998</v>
      </c>
      <c r="M1157" s="375">
        <v>56993.723899999997</v>
      </c>
      <c r="N1157" s="372" t="s">
        <v>1026</v>
      </c>
      <c r="O1157" s="704">
        <v>0.35307118531191617</v>
      </c>
      <c r="P1157" s="375" t="s">
        <v>622</v>
      </c>
      <c r="Q1157" s="375" t="s">
        <v>622</v>
      </c>
      <c r="R1157" s="696">
        <v>19970704</v>
      </c>
      <c r="S1157" s="375" t="s">
        <v>16304</v>
      </c>
      <c r="T1157" s="697">
        <v>0.20900000000000002</v>
      </c>
      <c r="U1157" s="375" t="s">
        <v>15893</v>
      </c>
      <c r="V1157" s="723">
        <v>0</v>
      </c>
      <c r="W1157" s="723">
        <v>0</v>
      </c>
      <c r="X1157" s="723">
        <v>0</v>
      </c>
      <c r="Y1157" s="723">
        <v>0</v>
      </c>
      <c r="Z1157" s="382" t="s">
        <v>927</v>
      </c>
      <c r="AA1157" s="372">
        <v>63.668180300000003</v>
      </c>
      <c r="AB1157" s="372">
        <v>472.60489519999999</v>
      </c>
      <c r="AC1157" s="372">
        <v>625.66412209999999</v>
      </c>
      <c r="AD1157" s="372">
        <v>509.7713377</v>
      </c>
      <c r="AE1157" s="372">
        <v>0</v>
      </c>
      <c r="AF1157" s="372">
        <v>0</v>
      </c>
      <c r="AG1157" s="372">
        <v>0</v>
      </c>
      <c r="AH1157" s="372">
        <v>0</v>
      </c>
    </row>
    <row r="1158" spans="1:34">
      <c r="A1158" s="372" t="s">
        <v>7938</v>
      </c>
      <c r="B1158" s="373" t="s">
        <v>7939</v>
      </c>
      <c r="C1158" s="372" t="s">
        <v>7940</v>
      </c>
      <c r="D1158" s="374">
        <v>1348110106600</v>
      </c>
      <c r="E1158" s="372" t="s">
        <v>7941</v>
      </c>
      <c r="F1158" s="375" t="s">
        <v>3236</v>
      </c>
      <c r="G1158" s="375" t="s">
        <v>3236</v>
      </c>
      <c r="H1158" s="375" t="s">
        <v>861</v>
      </c>
      <c r="I1158" s="375" t="s">
        <v>862</v>
      </c>
      <c r="J1158" s="375">
        <v>58250.670330000001</v>
      </c>
      <c r="K1158" s="375">
        <v>10706.956469999999</v>
      </c>
      <c r="L1158" s="375">
        <v>9909.3593799999999</v>
      </c>
      <c r="M1158" s="375">
        <v>73442.34461</v>
      </c>
      <c r="N1158" s="372">
        <v>0.94599999999999995</v>
      </c>
      <c r="O1158" s="704">
        <v>44.339881609507451</v>
      </c>
      <c r="P1158" s="375" t="s">
        <v>622</v>
      </c>
      <c r="Q1158" s="372" t="s">
        <v>622</v>
      </c>
      <c r="R1158" s="696">
        <v>20191025</v>
      </c>
      <c r="S1158" s="372" t="s">
        <v>7942</v>
      </c>
      <c r="T1158" s="697">
        <v>0.20900000000000002</v>
      </c>
      <c r="U1158" s="372" t="s">
        <v>7943</v>
      </c>
      <c r="V1158" s="723">
        <v>11.15</v>
      </c>
      <c r="W1158" s="723">
        <v>1.83</v>
      </c>
      <c r="X1158" s="723">
        <v>2.29</v>
      </c>
      <c r="Y1158" s="723">
        <v>16.86</v>
      </c>
      <c r="Z1158" s="382">
        <v>7.9225247464439041E-2</v>
      </c>
      <c r="AA1158" s="372">
        <v>425.92377320000003</v>
      </c>
      <c r="AB1158" s="372">
        <v>465.10956659999999</v>
      </c>
      <c r="AC1158" s="372">
        <v>623.14404179999997</v>
      </c>
      <c r="AD1158" s="372">
        <v>619.19993099999999</v>
      </c>
      <c r="AE1158" s="372">
        <v>758</v>
      </c>
      <c r="AF1158" s="372">
        <v>714</v>
      </c>
      <c r="AG1158" s="372">
        <v>840</v>
      </c>
      <c r="AH1158" s="372">
        <v>0</v>
      </c>
    </row>
    <row r="1159" spans="1:34">
      <c r="A1159" s="372" t="s">
        <v>7944</v>
      </c>
      <c r="B1159" s="373" t="s">
        <v>7945</v>
      </c>
      <c r="C1159" s="372" t="s">
        <v>7946</v>
      </c>
      <c r="D1159" s="374">
        <v>1501110006185</v>
      </c>
      <c r="E1159" s="372" t="s">
        <v>7947</v>
      </c>
      <c r="F1159" s="375" t="s">
        <v>621</v>
      </c>
      <c r="G1159" s="375" t="s">
        <v>621</v>
      </c>
      <c r="H1159" s="375" t="s">
        <v>861</v>
      </c>
      <c r="I1159" s="375" t="s">
        <v>862</v>
      </c>
      <c r="J1159" s="375">
        <v>1258134.9979300001</v>
      </c>
      <c r="K1159" s="375">
        <v>-175252.03632000001</v>
      </c>
      <c r="L1159" s="375">
        <v>-152607.52319000001</v>
      </c>
      <c r="M1159" s="375">
        <v>347484.66350999998</v>
      </c>
      <c r="N1159" s="372">
        <v>1.08</v>
      </c>
      <c r="O1159" s="704">
        <v>939.1631034478678</v>
      </c>
      <c r="P1159" s="375" t="s">
        <v>622</v>
      </c>
      <c r="Q1159" s="375" t="s">
        <v>622</v>
      </c>
      <c r="R1159" s="696">
        <v>19991229</v>
      </c>
      <c r="S1159" s="375" t="s">
        <v>2288</v>
      </c>
      <c r="T1159" s="697" t="s">
        <v>771</v>
      </c>
      <c r="U1159" s="372" t="s">
        <v>7948</v>
      </c>
      <c r="V1159" s="723" t="s">
        <v>773</v>
      </c>
      <c r="W1159" s="723">
        <v>1.1399999999999999</v>
      </c>
      <c r="X1159" s="723">
        <v>7.0000000000000007E-2</v>
      </c>
      <c r="Y1159" s="723" t="s">
        <v>773</v>
      </c>
      <c r="Z1159" s="382" t="s">
        <v>927</v>
      </c>
      <c r="AA1159" s="372">
        <v>12017.1025558</v>
      </c>
      <c r="AB1159" s="372">
        <v>13661.285294400001</v>
      </c>
      <c r="AC1159" s="372">
        <v>17104.171707400001</v>
      </c>
      <c r="AD1159" s="372">
        <v>10929.5828124</v>
      </c>
      <c r="AE1159" s="372">
        <v>0</v>
      </c>
      <c r="AF1159" s="372">
        <v>0</v>
      </c>
      <c r="AG1159" s="372">
        <v>0</v>
      </c>
      <c r="AH1159" s="372">
        <v>0</v>
      </c>
    </row>
    <row r="1160" spans="1:34">
      <c r="A1160" s="372" t="s">
        <v>7949</v>
      </c>
      <c r="B1160" s="373" t="s">
        <v>7950</v>
      </c>
      <c r="C1160" s="372" t="s">
        <v>7951</v>
      </c>
      <c r="D1160" s="374">
        <v>1901110002721</v>
      </c>
      <c r="E1160" s="372" t="s">
        <v>7952</v>
      </c>
      <c r="F1160" s="375" t="s">
        <v>1954</v>
      </c>
      <c r="G1160" s="375" t="s">
        <v>1955</v>
      </c>
      <c r="H1160" s="375" t="s">
        <v>1316</v>
      </c>
      <c r="I1160" s="375" t="s">
        <v>754</v>
      </c>
      <c r="J1160" s="375">
        <v>149912.10371</v>
      </c>
      <c r="K1160" s="375">
        <v>16896.75563</v>
      </c>
      <c r="L1160" s="375">
        <v>67828.21819</v>
      </c>
      <c r="M1160" s="375">
        <v>564124.62821</v>
      </c>
      <c r="N1160" s="372">
        <v>0.72799999999999998</v>
      </c>
      <c r="O1160" s="704">
        <v>36.673210459439368</v>
      </c>
      <c r="P1160" s="375" t="s">
        <v>622</v>
      </c>
      <c r="Q1160" s="375" t="s">
        <v>622</v>
      </c>
      <c r="R1160" s="696">
        <v>19980727</v>
      </c>
      <c r="S1160" s="375" t="s">
        <v>1956</v>
      </c>
      <c r="T1160" s="697">
        <v>0.23100000000000001</v>
      </c>
      <c r="U1160" s="372" t="s">
        <v>7953</v>
      </c>
      <c r="V1160" s="723">
        <v>6.3</v>
      </c>
      <c r="W1160" s="723">
        <v>0.28999999999999998</v>
      </c>
      <c r="X1160" s="723">
        <v>1.1399999999999999</v>
      </c>
      <c r="Y1160" s="723">
        <v>3.33</v>
      </c>
      <c r="Z1160" s="382" t="s">
        <v>927</v>
      </c>
      <c r="AA1160" s="372">
        <v>1393.5180522999999</v>
      </c>
      <c r="AB1160" s="372">
        <v>1269.2833959</v>
      </c>
      <c r="AC1160" s="372">
        <v>1528.3244480999999</v>
      </c>
      <c r="AD1160" s="372">
        <v>1465.7370082</v>
      </c>
      <c r="AE1160" s="372">
        <v>0</v>
      </c>
      <c r="AF1160" s="372">
        <v>0</v>
      </c>
      <c r="AG1160" s="372">
        <v>0</v>
      </c>
      <c r="AH1160" s="372">
        <v>0</v>
      </c>
    </row>
    <row r="1161" spans="1:34">
      <c r="A1161" s="372" t="s">
        <v>7954</v>
      </c>
      <c r="B1161" s="373" t="s">
        <v>7955</v>
      </c>
      <c r="C1161" s="372" t="s">
        <v>7956</v>
      </c>
      <c r="D1161" s="374">
        <v>1101110511273</v>
      </c>
      <c r="E1161" s="372" t="s">
        <v>7957</v>
      </c>
      <c r="F1161" s="372" t="s">
        <v>3885</v>
      </c>
      <c r="G1161" s="375" t="s">
        <v>7794</v>
      </c>
      <c r="H1161" s="375" t="s">
        <v>895</v>
      </c>
      <c r="I1161" s="375" t="s">
        <v>862</v>
      </c>
      <c r="J1161" s="375">
        <v>20276.168669999999</v>
      </c>
      <c r="K1161" s="375">
        <v>6311.80782</v>
      </c>
      <c r="L1161" s="375">
        <v>6353.2736699999996</v>
      </c>
      <c r="M1161" s="375">
        <v>133694.77953999999</v>
      </c>
      <c r="N1161" s="372">
        <v>1.0029999999999999</v>
      </c>
      <c r="O1161" s="704">
        <v>0</v>
      </c>
      <c r="P1161" s="375" t="s">
        <v>622</v>
      </c>
      <c r="Q1161" s="375" t="s">
        <v>622</v>
      </c>
      <c r="R1161" s="696">
        <v>19890830</v>
      </c>
      <c r="S1161" s="375" t="s">
        <v>7795</v>
      </c>
      <c r="T1161" s="697">
        <v>0.20900000000000002</v>
      </c>
      <c r="U1161" s="372" t="s">
        <v>7958</v>
      </c>
      <c r="V1161" s="723">
        <v>0</v>
      </c>
      <c r="W1161" s="723">
        <v>0</v>
      </c>
      <c r="X1161" s="723">
        <v>0</v>
      </c>
      <c r="Y1161" s="723">
        <v>0</v>
      </c>
      <c r="Z1161" s="382" t="s">
        <v>927</v>
      </c>
      <c r="AA1161" s="372">
        <v>263.95904030000003</v>
      </c>
      <c r="AB1161" s="372">
        <v>383.88753400000002</v>
      </c>
      <c r="AC1161" s="372">
        <v>169.1939137</v>
      </c>
      <c r="AD1161" s="372">
        <v>292.76094469999998</v>
      </c>
      <c r="AE1161" s="372">
        <v>0</v>
      </c>
      <c r="AF1161" s="372">
        <v>0</v>
      </c>
      <c r="AG1161" s="372">
        <v>0</v>
      </c>
      <c r="AH1161" s="372">
        <v>0</v>
      </c>
    </row>
    <row r="1162" spans="1:34">
      <c r="A1162" s="372" t="s">
        <v>7959</v>
      </c>
      <c r="B1162" s="373" t="s">
        <v>7960</v>
      </c>
      <c r="C1162" s="372" t="s">
        <v>7961</v>
      </c>
      <c r="D1162" s="374">
        <v>1101114962042</v>
      </c>
      <c r="E1162" s="372" t="s">
        <v>7962</v>
      </c>
      <c r="F1162" s="375" t="s">
        <v>1696</v>
      </c>
      <c r="G1162" s="375" t="s">
        <v>1696</v>
      </c>
      <c r="H1162" s="375" t="s">
        <v>1337</v>
      </c>
      <c r="I1162" s="375" t="s">
        <v>862</v>
      </c>
      <c r="J1162" s="375">
        <v>104879.04640000001</v>
      </c>
      <c r="K1162" s="375">
        <v>-4145.4544100000003</v>
      </c>
      <c r="L1162" s="375">
        <v>-6065.8776099999995</v>
      </c>
      <c r="M1162" s="375">
        <v>29528.64399</v>
      </c>
      <c r="N1162" s="372">
        <v>1.0840000000000001</v>
      </c>
      <c r="O1162" s="704">
        <v>50.688817588602461</v>
      </c>
      <c r="P1162" s="375" t="s">
        <v>622</v>
      </c>
      <c r="Q1162" s="375" t="s">
        <v>622</v>
      </c>
      <c r="R1162" s="696">
        <v>20210121</v>
      </c>
      <c r="S1162" s="375" t="s">
        <v>7963</v>
      </c>
      <c r="T1162" s="697" t="s">
        <v>771</v>
      </c>
      <c r="U1162" s="372" t="s">
        <v>7964</v>
      </c>
      <c r="V1162" s="723" t="s">
        <v>773</v>
      </c>
      <c r="W1162" s="723">
        <v>1.82</v>
      </c>
      <c r="X1162" s="723">
        <v>0.61</v>
      </c>
      <c r="Y1162" s="723" t="s">
        <v>773</v>
      </c>
      <c r="Z1162" s="382">
        <v>0.12194957661058026</v>
      </c>
      <c r="AA1162" s="372">
        <v>442.82769919999998</v>
      </c>
      <c r="AB1162" s="372">
        <v>824.06273999999996</v>
      </c>
      <c r="AC1162" s="372">
        <v>1082.1087373</v>
      </c>
      <c r="AD1162" s="372">
        <v>1066.5797858999999</v>
      </c>
      <c r="AE1162" s="372">
        <v>1068</v>
      </c>
      <c r="AF1162" s="372">
        <v>1288</v>
      </c>
      <c r="AG1162" s="372">
        <v>1690</v>
      </c>
      <c r="AH1162" s="372">
        <v>0</v>
      </c>
    </row>
    <row r="1163" spans="1:34">
      <c r="A1163" s="372" t="s">
        <v>7965</v>
      </c>
      <c r="B1163" s="373" t="s">
        <v>7966</v>
      </c>
      <c r="C1163" s="372" t="s">
        <v>7967</v>
      </c>
      <c r="D1163" s="374">
        <v>1201110764789</v>
      </c>
      <c r="E1163" s="372" t="s">
        <v>7968</v>
      </c>
      <c r="F1163" s="375" t="s">
        <v>1820</v>
      </c>
      <c r="G1163" s="375" t="s">
        <v>1821</v>
      </c>
      <c r="H1163" s="375" t="s">
        <v>861</v>
      </c>
      <c r="I1163" s="375" t="s">
        <v>862</v>
      </c>
      <c r="J1163" s="375">
        <v>13494.49193</v>
      </c>
      <c r="K1163" s="375">
        <v>-15577.399729999999</v>
      </c>
      <c r="L1163" s="375">
        <v>-16346.30207</v>
      </c>
      <c r="M1163" s="375">
        <v>6462.2674999999999</v>
      </c>
      <c r="N1163" s="372" t="s">
        <v>1026</v>
      </c>
      <c r="O1163" s="704">
        <v>25.60237428237933</v>
      </c>
      <c r="P1163" s="375" t="s">
        <v>622</v>
      </c>
      <c r="Q1163" s="372" t="s">
        <v>622</v>
      </c>
      <c r="R1163" s="696">
        <v>20230719</v>
      </c>
      <c r="S1163" s="372" t="s">
        <v>7969</v>
      </c>
      <c r="T1163" s="697" t="s">
        <v>771</v>
      </c>
      <c r="U1163" s="372" t="s">
        <v>7970</v>
      </c>
      <c r="V1163" s="723" t="s">
        <v>773</v>
      </c>
      <c r="W1163" s="723">
        <v>10.17</v>
      </c>
      <c r="X1163" s="723">
        <v>4.8499999999999996</v>
      </c>
      <c r="Y1163" s="723" t="s">
        <v>773</v>
      </c>
      <c r="Z1163" s="382" t="s">
        <v>927</v>
      </c>
      <c r="AA1163" s="372">
        <v>31.5689815</v>
      </c>
      <c r="AB1163" s="372">
        <v>45.967706499999998</v>
      </c>
      <c r="AC1163" s="372">
        <v>56.142896700000001</v>
      </c>
      <c r="AD1163" s="372">
        <v>84.629195800000005</v>
      </c>
      <c r="AE1163" s="372">
        <v>0</v>
      </c>
      <c r="AF1163" s="372">
        <v>0</v>
      </c>
      <c r="AG1163" s="372">
        <v>0</v>
      </c>
      <c r="AH1163" s="372">
        <v>0</v>
      </c>
    </row>
    <row r="1164" spans="1:34">
      <c r="A1164" s="372" t="s">
        <v>7971</v>
      </c>
      <c r="B1164" s="373" t="s">
        <v>7972</v>
      </c>
      <c r="C1164" s="372" t="s">
        <v>7973</v>
      </c>
      <c r="D1164" s="374">
        <v>1101113306861</v>
      </c>
      <c r="E1164" s="372" t="s">
        <v>7974</v>
      </c>
      <c r="F1164" s="372" t="s">
        <v>1069</v>
      </c>
      <c r="G1164" s="375" t="s">
        <v>1069</v>
      </c>
      <c r="H1164" s="375" t="s">
        <v>3099</v>
      </c>
      <c r="I1164" s="375" t="s">
        <v>862</v>
      </c>
      <c r="J1164" s="375">
        <v>16841.623780000002</v>
      </c>
      <c r="K1164" s="375">
        <v>-4720.8629899999996</v>
      </c>
      <c r="L1164" s="375">
        <v>-8394.1796099999992</v>
      </c>
      <c r="M1164" s="375">
        <v>114046.00675</v>
      </c>
      <c r="N1164" s="372">
        <v>0.70499999999999996</v>
      </c>
      <c r="O1164" s="704">
        <v>68.216557089382164</v>
      </c>
      <c r="P1164" s="375" t="s">
        <v>622</v>
      </c>
      <c r="Q1164" s="372" t="s">
        <v>622</v>
      </c>
      <c r="R1164" s="696">
        <v>20220124</v>
      </c>
      <c r="S1164" s="372" t="s">
        <v>7975</v>
      </c>
      <c r="T1164" s="697" t="s">
        <v>771</v>
      </c>
      <c r="U1164" s="372" t="s">
        <v>7976</v>
      </c>
      <c r="V1164" s="723" t="s">
        <v>773</v>
      </c>
      <c r="W1164" s="723">
        <v>1.1000000000000001</v>
      </c>
      <c r="X1164" s="723">
        <v>7.87</v>
      </c>
      <c r="Y1164" s="723" t="s">
        <v>773</v>
      </c>
      <c r="Z1164" s="382" t="s">
        <v>927</v>
      </c>
      <c r="AA1164" s="372">
        <v>241.92455620000001</v>
      </c>
      <c r="AB1164" s="372">
        <v>383.00247389999998</v>
      </c>
      <c r="AC1164" s="372">
        <v>277.16194309999997</v>
      </c>
      <c r="AD1164" s="372">
        <v>121.5492653</v>
      </c>
      <c r="AE1164" s="372">
        <v>0</v>
      </c>
      <c r="AF1164" s="372">
        <v>0</v>
      </c>
      <c r="AG1164" s="372">
        <v>0</v>
      </c>
      <c r="AH1164" s="372">
        <v>0</v>
      </c>
    </row>
    <row r="1165" spans="1:34">
      <c r="A1165" s="372" t="s">
        <v>7977</v>
      </c>
      <c r="B1165" s="373" t="s">
        <v>7978</v>
      </c>
      <c r="C1165" s="372" t="s">
        <v>7979</v>
      </c>
      <c r="D1165" s="374">
        <v>2801110078161</v>
      </c>
      <c r="E1165" s="372" t="s">
        <v>7980</v>
      </c>
      <c r="F1165" s="375" t="s">
        <v>5861</v>
      </c>
      <c r="G1165" s="375" t="s">
        <v>5861</v>
      </c>
      <c r="H1165" s="375" t="s">
        <v>861</v>
      </c>
      <c r="I1165" s="375" t="s">
        <v>862</v>
      </c>
      <c r="J1165" s="375">
        <v>0</v>
      </c>
      <c r="K1165" s="375">
        <v>0</v>
      </c>
      <c r="L1165" s="375">
        <v>0</v>
      </c>
      <c r="M1165" s="375">
        <v>74944.118889999998</v>
      </c>
      <c r="N1165" s="372">
        <v>0.79300000000000004</v>
      </c>
      <c r="O1165" s="704">
        <v>0.54591118270388017</v>
      </c>
      <c r="P1165" s="375" t="s">
        <v>622</v>
      </c>
      <c r="Q1165" s="375" t="s">
        <v>622</v>
      </c>
      <c r="R1165" s="696">
        <v>20220323</v>
      </c>
      <c r="S1165" s="375" t="s">
        <v>7981</v>
      </c>
      <c r="T1165" s="697" t="s">
        <v>771</v>
      </c>
      <c r="U1165" s="372" t="s">
        <v>7982</v>
      </c>
      <c r="V1165" s="723">
        <v>0</v>
      </c>
      <c r="W1165" s="723">
        <v>1.52</v>
      </c>
      <c r="X1165" s="723">
        <v>0</v>
      </c>
      <c r="Y1165" s="723">
        <v>0</v>
      </c>
      <c r="Z1165" s="382" t="s">
        <v>927</v>
      </c>
      <c r="AA1165" s="372">
        <v>326.83410500000002</v>
      </c>
      <c r="AB1165" s="372">
        <v>473.19807500000002</v>
      </c>
      <c r="AC1165" s="372">
        <v>586.86880110000004</v>
      </c>
      <c r="AD1165" s="372">
        <v>530.09477349999997</v>
      </c>
      <c r="AE1165" s="372">
        <v>0</v>
      </c>
      <c r="AF1165" s="372">
        <v>0</v>
      </c>
      <c r="AG1165" s="372">
        <v>0</v>
      </c>
      <c r="AH1165" s="372">
        <v>0</v>
      </c>
    </row>
    <row r="1166" spans="1:34">
      <c r="A1166" s="372" t="s">
        <v>7983</v>
      </c>
      <c r="B1166" s="373" t="s">
        <v>7984</v>
      </c>
      <c r="C1166" s="372" t="s">
        <v>7985</v>
      </c>
      <c r="D1166" s="374">
        <v>1301110008961</v>
      </c>
      <c r="E1166" s="372" t="s">
        <v>7986</v>
      </c>
      <c r="F1166" s="375" t="s">
        <v>1863</v>
      </c>
      <c r="G1166" s="375" t="s">
        <v>7987</v>
      </c>
      <c r="H1166" s="375" t="s">
        <v>861</v>
      </c>
      <c r="I1166" s="375" t="s">
        <v>862</v>
      </c>
      <c r="J1166" s="375">
        <v>929740.45891000004</v>
      </c>
      <c r="K1166" s="375">
        <v>39602.313119999999</v>
      </c>
      <c r="L1166" s="375">
        <v>19865.837930000002</v>
      </c>
      <c r="M1166" s="375">
        <v>219799.14726999999</v>
      </c>
      <c r="N1166" s="372">
        <v>0.872</v>
      </c>
      <c r="O1166" s="704">
        <v>185.46269387522113</v>
      </c>
      <c r="P1166" s="375" t="s">
        <v>622</v>
      </c>
      <c r="Q1166" s="375" t="s">
        <v>622</v>
      </c>
      <c r="R1166" s="696">
        <v>19941019</v>
      </c>
      <c r="S1166" s="375" t="s">
        <v>7988</v>
      </c>
      <c r="T1166" s="697">
        <v>0.20900000000000002</v>
      </c>
      <c r="U1166" s="375" t="s">
        <v>7989</v>
      </c>
      <c r="V1166" s="723">
        <v>5.58</v>
      </c>
      <c r="W1166" s="723">
        <v>0.63</v>
      </c>
      <c r="X1166" s="723">
        <v>0.15</v>
      </c>
      <c r="Y1166" s="723">
        <v>11.4</v>
      </c>
      <c r="Z1166" s="382" t="s">
        <v>927</v>
      </c>
      <c r="AA1166" s="372">
        <v>7364.7366288000003</v>
      </c>
      <c r="AB1166" s="372">
        <v>7645.7307365999995</v>
      </c>
      <c r="AC1166" s="372">
        <v>9222.0863571000009</v>
      </c>
      <c r="AD1166" s="372">
        <v>9393.5313779999997</v>
      </c>
      <c r="AE1166" s="372">
        <v>0</v>
      </c>
      <c r="AF1166" s="372">
        <v>0</v>
      </c>
      <c r="AG1166" s="372">
        <v>0</v>
      </c>
      <c r="AH1166" s="372">
        <v>0</v>
      </c>
    </row>
    <row r="1167" spans="1:34">
      <c r="A1167" s="372" t="s">
        <v>7990</v>
      </c>
      <c r="B1167" s="373" t="s">
        <v>7991</v>
      </c>
      <c r="C1167" s="372" t="s">
        <v>7992</v>
      </c>
      <c r="D1167" s="374">
        <v>1101113430040</v>
      </c>
      <c r="E1167" s="372" t="s">
        <v>7993</v>
      </c>
      <c r="F1167" s="375" t="s">
        <v>1096</v>
      </c>
      <c r="G1167" s="375" t="s">
        <v>1097</v>
      </c>
      <c r="H1167" s="375" t="s">
        <v>861</v>
      </c>
      <c r="I1167" s="375" t="s">
        <v>862</v>
      </c>
      <c r="J1167" s="375">
        <v>28384.862509999999</v>
      </c>
      <c r="K1167" s="375">
        <v>-4333.2683800000004</v>
      </c>
      <c r="L1167" s="375">
        <v>-13129.928599999999</v>
      </c>
      <c r="M1167" s="375">
        <v>27620.309410000002</v>
      </c>
      <c r="N1167" s="372">
        <v>0.94199999999999995</v>
      </c>
      <c r="O1167" s="704">
        <v>23.67823903680474</v>
      </c>
      <c r="P1167" s="375" t="s">
        <v>622</v>
      </c>
      <c r="Q1167" s="372" t="s">
        <v>622</v>
      </c>
      <c r="R1167" s="696">
        <v>20191111</v>
      </c>
      <c r="S1167" s="372" t="s">
        <v>7994</v>
      </c>
      <c r="T1167" s="697" t="s">
        <v>771</v>
      </c>
      <c r="U1167" s="375" t="s">
        <v>7995</v>
      </c>
      <c r="V1167" s="723">
        <v>113510.19</v>
      </c>
      <c r="W1167" s="723">
        <v>4.75</v>
      </c>
      <c r="X1167" s="723">
        <v>5.99</v>
      </c>
      <c r="Y1167" s="723" t="s">
        <v>773</v>
      </c>
      <c r="Z1167" s="382" t="s">
        <v>927</v>
      </c>
      <c r="AA1167" s="372">
        <v>178.6172157</v>
      </c>
      <c r="AB1167" s="372">
        <v>203.39266559999999</v>
      </c>
      <c r="AC1167" s="372">
        <v>236.3874658</v>
      </c>
      <c r="AD1167" s="372">
        <v>279.35888369999998</v>
      </c>
      <c r="AE1167" s="372">
        <v>284</v>
      </c>
      <c r="AF1167" s="372">
        <v>0</v>
      </c>
      <c r="AG1167" s="372">
        <v>0</v>
      </c>
      <c r="AH1167" s="372">
        <v>0</v>
      </c>
    </row>
    <row r="1168" spans="1:34">
      <c r="A1168" s="372" t="s">
        <v>7996</v>
      </c>
      <c r="B1168" s="373" t="s">
        <v>7997</v>
      </c>
      <c r="C1168" s="372" t="s">
        <v>7998</v>
      </c>
      <c r="D1168" s="374">
        <v>1101111412256</v>
      </c>
      <c r="E1168" s="372" t="s">
        <v>7999</v>
      </c>
      <c r="F1168" s="375" t="s">
        <v>5899</v>
      </c>
      <c r="G1168" s="375" t="s">
        <v>5899</v>
      </c>
      <c r="H1168" s="375" t="s">
        <v>817</v>
      </c>
      <c r="I1168" s="375" t="s">
        <v>754</v>
      </c>
      <c r="J1168" s="375">
        <v>502952.60755000002</v>
      </c>
      <c r="K1168" s="375">
        <v>17842.61966</v>
      </c>
      <c r="L1168" s="375">
        <v>16118.92282</v>
      </c>
      <c r="M1168" s="375">
        <v>72306.69786</v>
      </c>
      <c r="N1168" s="372">
        <v>0.57299999999999995</v>
      </c>
      <c r="O1168" s="704">
        <v>17.130560605851461</v>
      </c>
      <c r="P1168" s="375" t="s">
        <v>622</v>
      </c>
      <c r="Q1168" s="372" t="s">
        <v>622</v>
      </c>
      <c r="R1168" s="696">
        <v>20071025</v>
      </c>
      <c r="S1168" s="372" t="s">
        <v>8000</v>
      </c>
      <c r="T1168" s="697">
        <v>0.20900000000000002</v>
      </c>
      <c r="U1168" s="372" t="s">
        <v>8001</v>
      </c>
      <c r="V1168" s="723">
        <v>3.47</v>
      </c>
      <c r="W1168" s="723">
        <v>2.0099999999999998</v>
      </c>
      <c r="X1168" s="723">
        <v>0.32</v>
      </c>
      <c r="Y1168" s="723">
        <v>12.43</v>
      </c>
      <c r="Z1168" s="382" t="s">
        <v>927</v>
      </c>
      <c r="AA1168" s="372">
        <v>4841.1958352000001</v>
      </c>
      <c r="AB1168" s="372">
        <v>4759.0442937999997</v>
      </c>
      <c r="AC1168" s="372">
        <v>5112.6662034000001</v>
      </c>
      <c r="AD1168" s="372">
        <v>5037.7495515000001</v>
      </c>
      <c r="AE1168" s="372">
        <v>0</v>
      </c>
      <c r="AF1168" s="372">
        <v>0</v>
      </c>
      <c r="AG1168" s="372">
        <v>0</v>
      </c>
      <c r="AH1168" s="372">
        <v>0</v>
      </c>
    </row>
    <row r="1169" spans="1:34">
      <c r="A1169" s="372" t="s">
        <v>8002</v>
      </c>
      <c r="B1169" s="373" t="s">
        <v>8003</v>
      </c>
      <c r="C1169" s="372" t="s">
        <v>8004</v>
      </c>
      <c r="D1169" s="374">
        <v>1358110085019</v>
      </c>
      <c r="E1169" s="372" t="s">
        <v>8005</v>
      </c>
      <c r="F1169" s="372" t="s">
        <v>1249</v>
      </c>
      <c r="G1169" s="375" t="s">
        <v>1249</v>
      </c>
      <c r="H1169" s="375" t="s">
        <v>861</v>
      </c>
      <c r="I1169" s="375" t="s">
        <v>862</v>
      </c>
      <c r="J1169" s="375">
        <v>87275.486139999994</v>
      </c>
      <c r="K1169" s="375">
        <v>4066.2672600000001</v>
      </c>
      <c r="L1169" s="375">
        <v>-2884.9743899999999</v>
      </c>
      <c r="M1169" s="375">
        <v>105102.04213</v>
      </c>
      <c r="N1169" s="372">
        <v>0.86399999999999999</v>
      </c>
      <c r="O1169" s="704">
        <v>13.472807051978874</v>
      </c>
      <c r="P1169" s="375" t="s">
        <v>622</v>
      </c>
      <c r="Q1169" s="372" t="s">
        <v>622</v>
      </c>
      <c r="R1169" s="696">
        <v>20051118</v>
      </c>
      <c r="S1169" s="372" t="s">
        <v>8006</v>
      </c>
      <c r="T1169" s="697" t="s">
        <v>771</v>
      </c>
      <c r="U1169" s="372" t="s">
        <v>8007</v>
      </c>
      <c r="V1169" s="723">
        <v>28.63</v>
      </c>
      <c r="W1169" s="723">
        <v>1.81</v>
      </c>
      <c r="X1169" s="723">
        <v>2.1800000000000002</v>
      </c>
      <c r="Y1169" s="723" t="s">
        <v>773</v>
      </c>
      <c r="Z1169" s="382" t="s">
        <v>927</v>
      </c>
      <c r="AA1169" s="372">
        <v>435.91507389999998</v>
      </c>
      <c r="AB1169" s="372">
        <v>575.59898920000001</v>
      </c>
      <c r="AC1169" s="372">
        <v>515.64307020000001</v>
      </c>
      <c r="AD1169" s="372">
        <v>713.17790869999999</v>
      </c>
      <c r="AE1169" s="372">
        <v>0</v>
      </c>
      <c r="AF1169" s="372">
        <v>0</v>
      </c>
      <c r="AG1169" s="372">
        <v>0</v>
      </c>
      <c r="AH1169" s="372">
        <v>0</v>
      </c>
    </row>
    <row r="1170" spans="1:34">
      <c r="A1170" s="372" t="s">
        <v>8008</v>
      </c>
      <c r="B1170" s="373" t="s">
        <v>8009</v>
      </c>
      <c r="C1170" s="372" t="s">
        <v>8010</v>
      </c>
      <c r="D1170" s="374">
        <v>1650110006768</v>
      </c>
      <c r="E1170" s="372" t="s">
        <v>8011</v>
      </c>
      <c r="F1170" s="375" t="s">
        <v>1357</v>
      </c>
      <c r="G1170" s="375" t="s">
        <v>1357</v>
      </c>
      <c r="H1170" s="375" t="s">
        <v>826</v>
      </c>
      <c r="I1170" s="375" t="s">
        <v>754</v>
      </c>
      <c r="J1170" s="375">
        <v>986451.45915999997</v>
      </c>
      <c r="K1170" s="375">
        <v>29496.84821</v>
      </c>
      <c r="L1170" s="375">
        <v>13863.93082</v>
      </c>
      <c r="M1170" s="375">
        <v>323450.01202999998</v>
      </c>
      <c r="N1170" s="372">
        <v>0.745</v>
      </c>
      <c r="O1170" s="704">
        <v>140.42452139076264</v>
      </c>
      <c r="P1170" s="375" t="s">
        <v>622</v>
      </c>
      <c r="Q1170" s="375" t="s">
        <v>622</v>
      </c>
      <c r="R1170" s="696">
        <v>20060925</v>
      </c>
      <c r="S1170" s="375" t="s">
        <v>8012</v>
      </c>
      <c r="T1170" s="697">
        <v>0.20900000000000002</v>
      </c>
      <c r="U1170" s="372" t="s">
        <v>8013</v>
      </c>
      <c r="V1170" s="723">
        <v>5.5</v>
      </c>
      <c r="W1170" s="723">
        <v>0.39</v>
      </c>
      <c r="X1170" s="723">
        <v>0.14000000000000001</v>
      </c>
      <c r="Y1170" s="723">
        <v>15.03</v>
      </c>
      <c r="Z1170" s="382" t="s">
        <v>927</v>
      </c>
      <c r="AA1170" s="372">
        <v>6894.2141023000004</v>
      </c>
      <c r="AB1170" s="372">
        <v>8597.5710192000006</v>
      </c>
      <c r="AC1170" s="372">
        <v>10383.913394699999</v>
      </c>
      <c r="AD1170" s="372">
        <v>10081.200846399999</v>
      </c>
      <c r="AE1170" s="372">
        <v>7149</v>
      </c>
      <c r="AF1170" s="372">
        <v>0</v>
      </c>
      <c r="AG1170" s="372">
        <v>0</v>
      </c>
      <c r="AH1170" s="372">
        <v>0</v>
      </c>
    </row>
    <row r="1171" spans="1:34">
      <c r="A1171" s="372" t="s">
        <v>8014</v>
      </c>
      <c r="B1171" s="373" t="s">
        <v>8015</v>
      </c>
      <c r="C1171" s="372" t="s">
        <v>8016</v>
      </c>
      <c r="D1171" s="374">
        <v>1101111234543</v>
      </c>
      <c r="E1171" s="372" t="s">
        <v>8017</v>
      </c>
      <c r="F1171" s="375" t="s">
        <v>1151</v>
      </c>
      <c r="G1171" s="375" t="s">
        <v>1151</v>
      </c>
      <c r="H1171" s="375" t="s">
        <v>8018</v>
      </c>
      <c r="I1171" s="375" t="s">
        <v>862</v>
      </c>
      <c r="J1171" s="375">
        <v>948540.02599999995</v>
      </c>
      <c r="K1171" s="375">
        <v>43998.31508</v>
      </c>
      <c r="L1171" s="375">
        <v>38568.83812</v>
      </c>
      <c r="M1171" s="375">
        <v>240890.00787999999</v>
      </c>
      <c r="N1171" s="372">
        <v>0.63500000000000001</v>
      </c>
      <c r="O1171" s="704">
        <v>113.50428559078982</v>
      </c>
      <c r="P1171" s="375" t="s">
        <v>622</v>
      </c>
      <c r="Q1171" s="372" t="s">
        <v>622</v>
      </c>
      <c r="R1171" s="696">
        <v>20191210</v>
      </c>
      <c r="S1171" s="372" t="s">
        <v>8019</v>
      </c>
      <c r="T1171" s="697">
        <v>0.23100000000000001</v>
      </c>
      <c r="U1171" s="372" t="s">
        <v>8020</v>
      </c>
      <c r="V1171" s="723">
        <v>3.55</v>
      </c>
      <c r="W1171" s="723">
        <v>0.67</v>
      </c>
      <c r="X1171" s="723">
        <v>0.18</v>
      </c>
      <c r="Y1171" s="723">
        <v>5.93</v>
      </c>
      <c r="Z1171" s="382" t="s">
        <v>927</v>
      </c>
      <c r="AA1171" s="372">
        <v>3412.8955099</v>
      </c>
      <c r="AB1171" s="372">
        <v>9390.0225967000006</v>
      </c>
      <c r="AC1171" s="372">
        <v>13282.0733206</v>
      </c>
      <c r="AD1171" s="372">
        <v>7703.3885446000004</v>
      </c>
      <c r="AE1171" s="372">
        <v>0</v>
      </c>
      <c r="AF1171" s="372">
        <v>0</v>
      </c>
      <c r="AG1171" s="372">
        <v>0</v>
      </c>
      <c r="AH1171" s="372">
        <v>0</v>
      </c>
    </row>
    <row r="1172" spans="1:34">
      <c r="A1172" s="372" t="s">
        <v>8021</v>
      </c>
      <c r="B1172" s="373" t="s">
        <v>8022</v>
      </c>
      <c r="C1172" s="372" t="s">
        <v>8023</v>
      </c>
      <c r="D1172" s="374">
        <v>1101111767510</v>
      </c>
      <c r="E1172" s="372" t="s">
        <v>8024</v>
      </c>
      <c r="F1172" s="375" t="s">
        <v>4736</v>
      </c>
      <c r="G1172" s="375" t="s">
        <v>5968</v>
      </c>
      <c r="H1172" s="375" t="s">
        <v>1337</v>
      </c>
      <c r="I1172" s="375" t="s">
        <v>862</v>
      </c>
      <c r="J1172" s="375">
        <v>84991.926380000004</v>
      </c>
      <c r="K1172" s="375">
        <v>2848.1473599999999</v>
      </c>
      <c r="L1172" s="375">
        <v>10121.739589999999</v>
      </c>
      <c r="M1172" s="375">
        <v>175844.91292</v>
      </c>
      <c r="N1172" s="372">
        <v>0.61699999999999999</v>
      </c>
      <c r="O1172" s="704">
        <v>9.1346547543139867</v>
      </c>
      <c r="P1172" s="375" t="s">
        <v>622</v>
      </c>
      <c r="Q1172" s="372" t="s">
        <v>622</v>
      </c>
      <c r="R1172" s="696">
        <v>20040728</v>
      </c>
      <c r="S1172" s="372" t="s">
        <v>8025</v>
      </c>
      <c r="T1172" s="697">
        <v>0.20900000000000002</v>
      </c>
      <c r="U1172" s="372" t="s">
        <v>8026</v>
      </c>
      <c r="V1172" s="723">
        <v>18.21</v>
      </c>
      <c r="W1172" s="723">
        <v>0.69</v>
      </c>
      <c r="X1172" s="723">
        <v>1.5</v>
      </c>
      <c r="Y1172" s="723">
        <v>15.55</v>
      </c>
      <c r="Z1172" s="382" t="s">
        <v>927</v>
      </c>
      <c r="AA1172" s="372">
        <v>948.75092110000003</v>
      </c>
      <c r="AB1172" s="372">
        <v>1194.2081169000001</v>
      </c>
      <c r="AC1172" s="372">
        <v>885.85591299999999</v>
      </c>
      <c r="AD1172" s="372">
        <v>823.09037639999997</v>
      </c>
      <c r="AE1172" s="372">
        <v>0</v>
      </c>
      <c r="AF1172" s="372">
        <v>0</v>
      </c>
      <c r="AG1172" s="372">
        <v>0</v>
      </c>
      <c r="AH1172" s="372">
        <v>0</v>
      </c>
    </row>
    <row r="1173" spans="1:34">
      <c r="A1173" s="372" t="s">
        <v>8027</v>
      </c>
      <c r="B1173" s="373" t="s">
        <v>8028</v>
      </c>
      <c r="C1173" s="372" t="s">
        <v>8029</v>
      </c>
      <c r="D1173" s="374">
        <v>1101113734955</v>
      </c>
      <c r="E1173" s="372" t="s">
        <v>8030</v>
      </c>
      <c r="F1173" s="375" t="s">
        <v>1696</v>
      </c>
      <c r="G1173" s="375" t="s">
        <v>1696</v>
      </c>
      <c r="H1173" s="375" t="s">
        <v>1337</v>
      </c>
      <c r="I1173" s="375" t="s">
        <v>862</v>
      </c>
      <c r="J1173" s="375">
        <v>44718.345289999997</v>
      </c>
      <c r="K1173" s="375">
        <v>9838.95471</v>
      </c>
      <c r="L1173" s="375">
        <v>13189.85752</v>
      </c>
      <c r="M1173" s="375">
        <v>118017.07424</v>
      </c>
      <c r="N1173" s="372">
        <v>0.621</v>
      </c>
      <c r="O1173" s="704">
        <v>3.9559579775036822</v>
      </c>
      <c r="P1173" s="375" t="s">
        <v>622</v>
      </c>
      <c r="Q1173" s="372" t="s">
        <v>622</v>
      </c>
      <c r="R1173" s="696">
        <v>20161031</v>
      </c>
      <c r="S1173" s="372" t="s">
        <v>8031</v>
      </c>
      <c r="T1173" s="697">
        <v>0.20900000000000002</v>
      </c>
      <c r="U1173" s="372" t="s">
        <v>8032</v>
      </c>
      <c r="V1173" s="723">
        <v>7.74</v>
      </c>
      <c r="W1173" s="723">
        <v>0.65</v>
      </c>
      <c r="X1173" s="723">
        <v>1.98</v>
      </c>
      <c r="Y1173" s="723">
        <v>8.69</v>
      </c>
      <c r="Z1173" s="382" t="s">
        <v>927</v>
      </c>
      <c r="AA1173" s="372">
        <v>394.40174259999998</v>
      </c>
      <c r="AB1173" s="372">
        <v>518.01203740000005</v>
      </c>
      <c r="AC1173" s="372">
        <v>533.08042479999995</v>
      </c>
      <c r="AD1173" s="372">
        <v>468.17787149999998</v>
      </c>
      <c r="AE1173" s="372">
        <v>530</v>
      </c>
      <c r="AF1173" s="372">
        <v>580</v>
      </c>
      <c r="AG1173" s="372">
        <v>0</v>
      </c>
      <c r="AH1173" s="372">
        <v>0</v>
      </c>
    </row>
    <row r="1174" spans="1:34">
      <c r="A1174" s="372" t="s">
        <v>8033</v>
      </c>
      <c r="B1174" s="373" t="s">
        <v>8034</v>
      </c>
      <c r="C1174" s="372" t="s">
        <v>16080</v>
      </c>
      <c r="D1174" s="374">
        <v>1450110002801</v>
      </c>
      <c r="E1174" s="372" t="s">
        <v>16081</v>
      </c>
      <c r="F1174" s="375" t="s">
        <v>3289</v>
      </c>
      <c r="G1174" s="375" t="s">
        <v>8035</v>
      </c>
      <c r="H1174" s="375" t="s">
        <v>817</v>
      </c>
      <c r="I1174" s="375" t="s">
        <v>754</v>
      </c>
      <c r="J1174" s="375">
        <v>274385.12781999999</v>
      </c>
      <c r="K1174" s="375">
        <v>31223.428970000001</v>
      </c>
      <c r="L1174" s="375">
        <v>23774.873899999999</v>
      </c>
      <c r="M1174" s="375">
        <v>393268.03427</v>
      </c>
      <c r="N1174" s="372">
        <v>0.61899999999999999</v>
      </c>
      <c r="O1174" s="704">
        <v>156.20165079243674</v>
      </c>
      <c r="P1174" s="375" t="s">
        <v>622</v>
      </c>
      <c r="Q1174" s="372" t="s">
        <v>622</v>
      </c>
      <c r="R1174" s="696">
        <v>20160527</v>
      </c>
      <c r="S1174" s="372" t="s">
        <v>8036</v>
      </c>
      <c r="T1174" s="697">
        <v>0.23100000000000001</v>
      </c>
      <c r="U1174" s="372" t="s">
        <v>8037</v>
      </c>
      <c r="V1174" s="723">
        <v>7.77</v>
      </c>
      <c r="W1174" s="723">
        <v>0.51</v>
      </c>
      <c r="X1174" s="723">
        <v>0.74</v>
      </c>
      <c r="Y1174" s="723">
        <v>10.82</v>
      </c>
      <c r="Z1174" s="382">
        <v>0.18942113925083159</v>
      </c>
      <c r="AA1174" s="372">
        <v>1274.1772526</v>
      </c>
      <c r="AB1174" s="372">
        <v>2363.3011465999998</v>
      </c>
      <c r="AC1174" s="372">
        <v>1433.149572</v>
      </c>
      <c r="AD1174" s="372">
        <v>2116.4759610999999</v>
      </c>
      <c r="AE1174" s="372">
        <v>3386.5</v>
      </c>
      <c r="AF1174" s="372">
        <v>3795</v>
      </c>
      <c r="AG1174" s="372">
        <v>4236</v>
      </c>
      <c r="AH1174" s="372">
        <v>4364</v>
      </c>
    </row>
    <row r="1175" spans="1:34">
      <c r="A1175" s="372" t="s">
        <v>8038</v>
      </c>
      <c r="B1175" s="373" t="s">
        <v>8039</v>
      </c>
      <c r="C1175" s="372" t="s">
        <v>16305</v>
      </c>
      <c r="D1175" s="374">
        <v>1351110082291</v>
      </c>
      <c r="E1175" s="372" t="s">
        <v>8040</v>
      </c>
      <c r="F1175" s="375" t="s">
        <v>2124</v>
      </c>
      <c r="G1175" s="375" t="s">
        <v>4231</v>
      </c>
      <c r="H1175" s="375" t="s">
        <v>861</v>
      </c>
      <c r="I1175" s="375" t="s">
        <v>862</v>
      </c>
      <c r="J1175" s="375">
        <v>0</v>
      </c>
      <c r="K1175" s="375">
        <v>0</v>
      </c>
      <c r="L1175" s="375">
        <v>0</v>
      </c>
      <c r="M1175" s="375">
        <v>0</v>
      </c>
      <c r="N1175" s="372">
        <v>0.33400000000000002</v>
      </c>
      <c r="O1175" s="704" t="s">
        <v>16301</v>
      </c>
      <c r="P1175" s="375" t="s">
        <v>622</v>
      </c>
      <c r="Q1175" s="375" t="s">
        <v>622</v>
      </c>
      <c r="R1175" s="696">
        <v>20200806</v>
      </c>
      <c r="S1175" s="375" t="e">
        <v>#N/A</v>
      </c>
      <c r="T1175" s="697" t="s">
        <v>771</v>
      </c>
      <c r="U1175" s="372" t="s">
        <v>8041</v>
      </c>
      <c r="V1175" s="723">
        <v>0</v>
      </c>
      <c r="W1175" s="723">
        <v>0</v>
      </c>
      <c r="X1175" s="723">
        <v>0</v>
      </c>
      <c r="Y1175" s="723">
        <v>0</v>
      </c>
      <c r="Z1175" s="382" t="s">
        <v>927</v>
      </c>
      <c r="AA1175" s="372">
        <v>210.3026031</v>
      </c>
      <c r="AB1175" s="372">
        <v>306.91930660000003</v>
      </c>
      <c r="AC1175" s="372">
        <v>462.83191740000001</v>
      </c>
      <c r="AD1175" s="372">
        <v>562.04476590000002</v>
      </c>
      <c r="AE1175" s="372">
        <v>777</v>
      </c>
      <c r="AF1175" s="372">
        <v>0</v>
      </c>
      <c r="AG1175" s="372">
        <v>0</v>
      </c>
      <c r="AH1175" s="372">
        <v>0</v>
      </c>
    </row>
    <row r="1176" spans="1:34">
      <c r="A1176" s="372" t="s">
        <v>8042</v>
      </c>
      <c r="B1176" s="373" t="s">
        <v>8043</v>
      </c>
      <c r="C1176" s="372" t="s">
        <v>8044</v>
      </c>
      <c r="D1176" s="374">
        <v>1101116353116</v>
      </c>
      <c r="E1176" s="372" t="s">
        <v>8045</v>
      </c>
      <c r="F1176" s="375" t="s">
        <v>1962</v>
      </c>
      <c r="G1176" s="375" t="s">
        <v>1962</v>
      </c>
      <c r="H1176" s="375" t="s">
        <v>861</v>
      </c>
      <c r="I1176" s="375" t="s">
        <v>862</v>
      </c>
      <c r="J1176" s="375">
        <v>137508.4258</v>
      </c>
      <c r="K1176" s="375">
        <v>264.19447000000002</v>
      </c>
      <c r="L1176" s="375">
        <v>28492.508969999999</v>
      </c>
      <c r="M1176" s="375">
        <v>90315.349419999999</v>
      </c>
      <c r="N1176" s="372">
        <v>0.83899999999999997</v>
      </c>
      <c r="O1176" s="704">
        <v>70.831730914401717</v>
      </c>
      <c r="P1176" s="375" t="s">
        <v>622</v>
      </c>
      <c r="Q1176" s="375" t="s">
        <v>622</v>
      </c>
      <c r="R1176" s="696">
        <v>20170622</v>
      </c>
      <c r="S1176" s="375" t="s">
        <v>8046</v>
      </c>
      <c r="T1176" s="697">
        <v>0.23100000000000001</v>
      </c>
      <c r="U1176" s="375" t="s">
        <v>8047</v>
      </c>
      <c r="V1176" s="723">
        <v>53.22</v>
      </c>
      <c r="W1176" s="723">
        <v>1.39</v>
      </c>
      <c r="X1176" s="723">
        <v>0.83</v>
      </c>
      <c r="Y1176" s="723">
        <v>5.49</v>
      </c>
      <c r="Z1176" s="382">
        <v>0.15502678143513782</v>
      </c>
      <c r="AA1176" s="372">
        <v>658.65810339999996</v>
      </c>
      <c r="AB1176" s="372">
        <v>630.80213449999997</v>
      </c>
      <c r="AC1176" s="372">
        <v>888.18411479999997</v>
      </c>
      <c r="AD1176" s="372">
        <v>1230.4837927000001</v>
      </c>
      <c r="AE1176" s="372">
        <v>1650</v>
      </c>
      <c r="AF1176" s="372">
        <v>1904</v>
      </c>
      <c r="AG1176" s="372">
        <v>2190</v>
      </c>
      <c r="AH1176" s="372">
        <v>0</v>
      </c>
    </row>
    <row r="1177" spans="1:34">
      <c r="A1177" s="372" t="s">
        <v>8048</v>
      </c>
      <c r="B1177" s="373" t="s">
        <v>8049</v>
      </c>
      <c r="C1177" s="372" t="s">
        <v>8050</v>
      </c>
      <c r="D1177" s="374">
        <v>1101116246759</v>
      </c>
      <c r="E1177" s="372" t="s">
        <v>8051</v>
      </c>
      <c r="F1177" s="375" t="s">
        <v>1750</v>
      </c>
      <c r="G1177" s="375" t="s">
        <v>1750</v>
      </c>
      <c r="H1177" s="375" t="s">
        <v>861</v>
      </c>
      <c r="I1177" s="375" t="s">
        <v>862</v>
      </c>
      <c r="J1177" s="375">
        <v>109517.87579999999</v>
      </c>
      <c r="K1177" s="375">
        <v>1962.61932</v>
      </c>
      <c r="L1177" s="375">
        <v>-1132.6948600000001</v>
      </c>
      <c r="M1177" s="375">
        <v>62641.564539999999</v>
      </c>
      <c r="N1177" s="372">
        <v>0.83599999999999997</v>
      </c>
      <c r="O1177" s="704">
        <v>103.97292185619631</v>
      </c>
      <c r="P1177" s="375" t="s">
        <v>622</v>
      </c>
      <c r="Q1177" s="375" t="s">
        <v>622</v>
      </c>
      <c r="R1177" s="696">
        <v>20170626</v>
      </c>
      <c r="S1177" s="375" t="s">
        <v>8052</v>
      </c>
      <c r="T1177" s="697" t="s">
        <v>771</v>
      </c>
      <c r="U1177" s="372" t="s">
        <v>8053</v>
      </c>
      <c r="V1177" s="723">
        <v>27.31</v>
      </c>
      <c r="W1177" s="723">
        <v>1.81</v>
      </c>
      <c r="X1177" s="723">
        <v>1.0900000000000001</v>
      </c>
      <c r="Y1177" s="723">
        <v>156.56</v>
      </c>
      <c r="Z1177" s="382" t="s">
        <v>927</v>
      </c>
      <c r="AA1177" s="372">
        <v>467.1723101</v>
      </c>
      <c r="AB1177" s="372">
        <v>657.40648190000002</v>
      </c>
      <c r="AC1177" s="372">
        <v>870.87135920000003</v>
      </c>
      <c r="AD1177" s="372">
        <v>943.34674930000006</v>
      </c>
      <c r="AE1177" s="372">
        <v>1383</v>
      </c>
      <c r="AF1177" s="372">
        <v>0</v>
      </c>
      <c r="AG1177" s="372">
        <v>0</v>
      </c>
      <c r="AH1177" s="372">
        <v>0</v>
      </c>
    </row>
    <row r="1178" spans="1:34">
      <c r="A1178" s="372" t="s">
        <v>8054</v>
      </c>
      <c r="B1178" s="373" t="s">
        <v>8055</v>
      </c>
      <c r="C1178" s="372" t="s">
        <v>8056</v>
      </c>
      <c r="D1178" s="374">
        <v>1351110048798</v>
      </c>
      <c r="E1178" s="372" t="s">
        <v>8057</v>
      </c>
      <c r="F1178" s="375" t="s">
        <v>2184</v>
      </c>
      <c r="G1178" s="375" t="s">
        <v>4883</v>
      </c>
      <c r="H1178" s="375" t="s">
        <v>861</v>
      </c>
      <c r="I1178" s="375" t="s">
        <v>862</v>
      </c>
      <c r="J1178" s="375">
        <v>33666.71862</v>
      </c>
      <c r="K1178" s="375">
        <v>3998.70282</v>
      </c>
      <c r="L1178" s="375">
        <v>5223.2000399999997</v>
      </c>
      <c r="M1178" s="375">
        <v>71106.691470000005</v>
      </c>
      <c r="N1178" s="372">
        <v>0.77800000000000002</v>
      </c>
      <c r="O1178" s="704">
        <v>0.21806228501309108</v>
      </c>
      <c r="P1178" s="375" t="s">
        <v>622</v>
      </c>
      <c r="Q1178" s="375" t="s">
        <v>622</v>
      </c>
      <c r="R1178" s="696">
        <v>20200729</v>
      </c>
      <c r="S1178" s="375" t="s">
        <v>8058</v>
      </c>
      <c r="T1178" s="697">
        <v>0.20900000000000002</v>
      </c>
      <c r="U1178" s="372" t="s">
        <v>8059</v>
      </c>
      <c r="V1178" s="723">
        <v>0</v>
      </c>
      <c r="W1178" s="723">
        <v>0</v>
      </c>
      <c r="X1178" s="723">
        <v>0</v>
      </c>
      <c r="Y1178" s="723">
        <v>0</v>
      </c>
      <c r="Z1178" s="382" t="s">
        <v>927</v>
      </c>
      <c r="AA1178" s="372">
        <v>332.22849480000002</v>
      </c>
      <c r="AB1178" s="372">
        <v>392.86972300000002</v>
      </c>
      <c r="AC1178" s="372">
        <v>416.82637749999998</v>
      </c>
      <c r="AD1178" s="372">
        <v>330.20955070000002</v>
      </c>
      <c r="AE1178" s="372">
        <v>0</v>
      </c>
      <c r="AF1178" s="372">
        <v>0</v>
      </c>
      <c r="AG1178" s="372">
        <v>0</v>
      </c>
      <c r="AH1178" s="372">
        <v>0</v>
      </c>
    </row>
    <row r="1179" spans="1:34">
      <c r="A1179" s="372" t="s">
        <v>8060</v>
      </c>
      <c r="B1179" s="373" t="s">
        <v>8061</v>
      </c>
      <c r="C1179" s="372" t="s">
        <v>8062</v>
      </c>
      <c r="D1179" s="374">
        <v>1101111909906</v>
      </c>
      <c r="E1179" s="372" t="s">
        <v>8063</v>
      </c>
      <c r="F1179" s="372" t="s">
        <v>845</v>
      </c>
      <c r="G1179" s="375" t="s">
        <v>845</v>
      </c>
      <c r="H1179" s="375" t="s">
        <v>3099</v>
      </c>
      <c r="I1179" s="375" t="s">
        <v>862</v>
      </c>
      <c r="J1179" s="375">
        <v>6953.0427799999998</v>
      </c>
      <c r="K1179" s="375">
        <v>-3138.4603400000001</v>
      </c>
      <c r="L1179" s="375">
        <v>-1442.49414</v>
      </c>
      <c r="M1179" s="375">
        <v>112509.45213999999</v>
      </c>
      <c r="N1179" s="372">
        <v>0.88400000000000001</v>
      </c>
      <c r="O1179" s="704">
        <v>0</v>
      </c>
      <c r="P1179" s="375" t="s">
        <v>622</v>
      </c>
      <c r="Q1179" s="372" t="s">
        <v>622</v>
      </c>
      <c r="R1179" s="696">
        <v>20160215</v>
      </c>
      <c r="S1179" s="375" t="s">
        <v>8064</v>
      </c>
      <c r="T1179" s="697" t="s">
        <v>771</v>
      </c>
      <c r="U1179" s="372" t="s">
        <v>8065</v>
      </c>
      <c r="V1179" s="723">
        <v>0</v>
      </c>
      <c r="W1179" s="723">
        <v>0</v>
      </c>
      <c r="X1179" s="723">
        <v>0</v>
      </c>
      <c r="Y1179" s="723">
        <v>0</v>
      </c>
      <c r="Z1179" s="382" t="s">
        <v>927</v>
      </c>
      <c r="AA1179" s="372">
        <v>41.512334699999997</v>
      </c>
      <c r="AB1179" s="372">
        <v>81.215526999999994</v>
      </c>
      <c r="AC1179" s="372">
        <v>65.9101079</v>
      </c>
      <c r="AD1179" s="372">
        <v>65.002495300000007</v>
      </c>
      <c r="AE1179" s="372">
        <v>0</v>
      </c>
      <c r="AF1179" s="372">
        <v>0</v>
      </c>
      <c r="AG1179" s="372">
        <v>0</v>
      </c>
      <c r="AH1179" s="372">
        <v>0</v>
      </c>
    </row>
    <row r="1180" spans="1:34">
      <c r="A1180" s="372" t="s">
        <v>8066</v>
      </c>
      <c r="B1180" s="373" t="s">
        <v>8067</v>
      </c>
      <c r="C1180" s="372" t="s">
        <v>8068</v>
      </c>
      <c r="D1180" s="374">
        <v>1801110001717</v>
      </c>
      <c r="E1180" s="372" t="s">
        <v>8069</v>
      </c>
      <c r="F1180" s="375" t="s">
        <v>2625</v>
      </c>
      <c r="G1180" s="375" t="s">
        <v>2626</v>
      </c>
      <c r="H1180" s="375" t="s">
        <v>817</v>
      </c>
      <c r="I1180" s="375" t="s">
        <v>754</v>
      </c>
      <c r="J1180" s="375">
        <v>152277.24546999999</v>
      </c>
      <c r="K1180" s="375">
        <v>-6152.8524699999998</v>
      </c>
      <c r="L1180" s="375">
        <v>-10574.58287</v>
      </c>
      <c r="M1180" s="375">
        <v>583860.12211999996</v>
      </c>
      <c r="N1180" s="372">
        <v>0.78500000000000003</v>
      </c>
      <c r="O1180" s="704">
        <v>47.322332728151373</v>
      </c>
      <c r="P1180" s="375" t="s">
        <v>622</v>
      </c>
      <c r="Q1180" s="375" t="s">
        <v>622</v>
      </c>
      <c r="R1180" s="696">
        <v>19760602</v>
      </c>
      <c r="S1180" s="375" t="s">
        <v>8070</v>
      </c>
      <c r="T1180" s="697" t="s">
        <v>771</v>
      </c>
      <c r="U1180" s="372" t="s">
        <v>8071</v>
      </c>
      <c r="V1180" s="723">
        <v>70.83</v>
      </c>
      <c r="W1180" s="723">
        <v>0.19</v>
      </c>
      <c r="X1180" s="723">
        <v>0.74</v>
      </c>
      <c r="Y1180" s="723" t="s">
        <v>773</v>
      </c>
      <c r="Z1180" s="382" t="s">
        <v>927</v>
      </c>
      <c r="AA1180" s="372">
        <v>1709.1658316999999</v>
      </c>
      <c r="AB1180" s="372">
        <v>1979.4031305999999</v>
      </c>
      <c r="AC1180" s="372">
        <v>2275.1969761999999</v>
      </c>
      <c r="AD1180" s="372">
        <v>1662.5379929999999</v>
      </c>
      <c r="AE1180" s="372">
        <v>0</v>
      </c>
      <c r="AF1180" s="372">
        <v>0</v>
      </c>
      <c r="AG1180" s="372">
        <v>0</v>
      </c>
      <c r="AH1180" s="372">
        <v>0</v>
      </c>
    </row>
    <row r="1181" spans="1:34">
      <c r="A1181" s="372" t="s">
        <v>8072</v>
      </c>
      <c r="B1181" s="373" t="s">
        <v>8073</v>
      </c>
      <c r="C1181" s="372" t="s">
        <v>8074</v>
      </c>
      <c r="D1181" s="374">
        <v>1101112102070</v>
      </c>
      <c r="E1181" s="372" t="s">
        <v>8075</v>
      </c>
      <c r="F1181" s="375" t="s">
        <v>1947</v>
      </c>
      <c r="G1181" s="375" t="s">
        <v>2498</v>
      </c>
      <c r="H1181" s="375" t="s">
        <v>826</v>
      </c>
      <c r="I1181" s="375" t="s">
        <v>754</v>
      </c>
      <c r="J1181" s="375">
        <v>934794.05998000002</v>
      </c>
      <c r="K1181" s="375">
        <v>-43893.839820000001</v>
      </c>
      <c r="L1181" s="375">
        <v>-109692.24980999999</v>
      </c>
      <c r="M1181" s="375">
        <v>221326.66028000001</v>
      </c>
      <c r="N1181" s="372">
        <v>0.52700000000000002</v>
      </c>
      <c r="O1181" s="704">
        <v>388.94082696964097</v>
      </c>
      <c r="P1181" s="375" t="s">
        <v>622</v>
      </c>
      <c r="Q1181" s="372" t="s">
        <v>622</v>
      </c>
      <c r="R1181" s="696">
        <v>20120223</v>
      </c>
      <c r="S1181" s="372" t="s">
        <v>8076</v>
      </c>
      <c r="T1181" s="697" t="s">
        <v>771</v>
      </c>
      <c r="U1181" s="372" t="s">
        <v>8077</v>
      </c>
      <c r="V1181" s="723" t="s">
        <v>773</v>
      </c>
      <c r="W1181" s="723">
        <v>0.43</v>
      </c>
      <c r="X1181" s="723">
        <v>0.11</v>
      </c>
      <c r="Y1181" s="723" t="s">
        <v>773</v>
      </c>
      <c r="Z1181" s="382" t="s">
        <v>927</v>
      </c>
      <c r="AA1181" s="372">
        <v>9203.0330916000003</v>
      </c>
      <c r="AB1181" s="372">
        <v>10825.715269300001</v>
      </c>
      <c r="AC1181" s="372">
        <v>10217.259819700001</v>
      </c>
      <c r="AD1181" s="372">
        <v>9276.7916991000002</v>
      </c>
      <c r="AE1181" s="372">
        <v>0</v>
      </c>
      <c r="AF1181" s="372">
        <v>0</v>
      </c>
      <c r="AG1181" s="372">
        <v>0</v>
      </c>
      <c r="AH1181" s="372">
        <v>0</v>
      </c>
    </row>
    <row r="1182" spans="1:34">
      <c r="A1182" s="372" t="s">
        <v>8078</v>
      </c>
      <c r="B1182" s="373" t="s">
        <v>8079</v>
      </c>
      <c r="C1182" s="372" t="s">
        <v>8080</v>
      </c>
      <c r="D1182" s="374">
        <v>1311110131159</v>
      </c>
      <c r="E1182" s="372" t="s">
        <v>8081</v>
      </c>
      <c r="F1182" s="375" t="s">
        <v>1796</v>
      </c>
      <c r="G1182" s="375" t="s">
        <v>2797</v>
      </c>
      <c r="H1182" s="375" t="s">
        <v>861</v>
      </c>
      <c r="I1182" s="375" t="s">
        <v>862</v>
      </c>
      <c r="J1182" s="375">
        <v>46072.131809999999</v>
      </c>
      <c r="K1182" s="375">
        <v>7442.1969300000001</v>
      </c>
      <c r="L1182" s="375">
        <v>7761.6655099999998</v>
      </c>
      <c r="M1182" s="375">
        <v>50630.899380000003</v>
      </c>
      <c r="N1182" s="372">
        <v>0.72399999999999998</v>
      </c>
      <c r="O1182" s="704">
        <v>0.57187829000849155</v>
      </c>
      <c r="P1182" s="375" t="s">
        <v>622</v>
      </c>
      <c r="Q1182" s="372" t="s">
        <v>622</v>
      </c>
      <c r="R1182" s="696">
        <v>20170802</v>
      </c>
      <c r="S1182" s="372" t="s">
        <v>8082</v>
      </c>
      <c r="T1182" s="697">
        <v>0.20900000000000002</v>
      </c>
      <c r="U1182" s="372" t="s">
        <v>8083</v>
      </c>
      <c r="V1182" s="723">
        <v>11.36</v>
      </c>
      <c r="W1182" s="723">
        <v>1.61</v>
      </c>
      <c r="X1182" s="723">
        <v>2.02</v>
      </c>
      <c r="Y1182" s="723">
        <v>12.4</v>
      </c>
      <c r="Z1182" s="382">
        <v>0.11334109122206582</v>
      </c>
      <c r="AA1182" s="372">
        <v>268.14488779999999</v>
      </c>
      <c r="AB1182" s="372">
        <v>319.17740930000002</v>
      </c>
      <c r="AC1182" s="372">
        <v>384.52577830000001</v>
      </c>
      <c r="AD1182" s="372">
        <v>428.91621149999997</v>
      </c>
      <c r="AE1182" s="372">
        <v>485</v>
      </c>
      <c r="AF1182" s="372">
        <v>561</v>
      </c>
      <c r="AG1182" s="372">
        <v>659</v>
      </c>
      <c r="AH1182" s="372">
        <v>0</v>
      </c>
    </row>
    <row r="1183" spans="1:34">
      <c r="A1183" s="372" t="s">
        <v>8084</v>
      </c>
      <c r="B1183" s="373" t="s">
        <v>8085</v>
      </c>
      <c r="C1183" s="372" t="s">
        <v>8086</v>
      </c>
      <c r="D1183" s="374">
        <v>1345110021549</v>
      </c>
      <c r="E1183" s="372" t="s">
        <v>8087</v>
      </c>
      <c r="F1183" s="375" t="s">
        <v>2124</v>
      </c>
      <c r="G1183" s="375" t="s">
        <v>4231</v>
      </c>
      <c r="H1183" s="375" t="s">
        <v>2056</v>
      </c>
      <c r="I1183" s="375" t="s">
        <v>754</v>
      </c>
      <c r="J1183" s="375">
        <v>121554.53271</v>
      </c>
      <c r="K1183" s="375">
        <v>6469.1453000000001</v>
      </c>
      <c r="L1183" s="375">
        <v>5768.7297799999997</v>
      </c>
      <c r="M1183" s="375">
        <v>133002.52116999999</v>
      </c>
      <c r="N1183" s="372">
        <v>-6.3E-2</v>
      </c>
      <c r="O1183" s="704">
        <v>3.0494161573673564</v>
      </c>
      <c r="P1183" s="375" t="s">
        <v>622</v>
      </c>
      <c r="Q1183" s="372" t="s">
        <v>622</v>
      </c>
      <c r="R1183" s="696">
        <v>20210817</v>
      </c>
      <c r="S1183" s="372" t="s">
        <v>8088</v>
      </c>
      <c r="T1183" s="697">
        <v>0.20900000000000002</v>
      </c>
      <c r="U1183" s="372" t="s">
        <v>15894</v>
      </c>
      <c r="V1183" s="723">
        <v>8.4</v>
      </c>
      <c r="W1183" s="723">
        <v>0.79</v>
      </c>
      <c r="X1183" s="723">
        <v>0.86</v>
      </c>
      <c r="Y1183" s="723">
        <v>16.3</v>
      </c>
      <c r="Z1183" s="382">
        <v>9.963211598046473E-2</v>
      </c>
      <c r="AA1183" s="372">
        <v>1518.4184103</v>
      </c>
      <c r="AB1183" s="372">
        <v>1211.4035664999999</v>
      </c>
      <c r="AC1183" s="372">
        <v>1001.2011284</v>
      </c>
      <c r="AD1183" s="372">
        <v>1127.7971531999999</v>
      </c>
      <c r="AE1183" s="372">
        <v>1051</v>
      </c>
      <c r="AF1183" s="372">
        <v>1413</v>
      </c>
      <c r="AG1183" s="372">
        <v>1649</v>
      </c>
      <c r="AH1183" s="372">
        <v>0</v>
      </c>
    </row>
    <row r="1184" spans="1:34">
      <c r="A1184" s="372" t="s">
        <v>8089</v>
      </c>
      <c r="B1184" s="373" t="s">
        <v>8090</v>
      </c>
      <c r="C1184" s="372" t="s">
        <v>8091</v>
      </c>
      <c r="D1184" s="374">
        <v>1101112494451</v>
      </c>
      <c r="E1184" s="372" t="s">
        <v>8092</v>
      </c>
      <c r="F1184" s="375" t="s">
        <v>1185</v>
      </c>
      <c r="G1184" s="375" t="s">
        <v>3115</v>
      </c>
      <c r="H1184" s="375" t="s">
        <v>861</v>
      </c>
      <c r="I1184" s="375" t="s">
        <v>862</v>
      </c>
      <c r="J1184" s="375">
        <v>36420.706310000001</v>
      </c>
      <c r="K1184" s="375">
        <v>-6664.7641599999997</v>
      </c>
      <c r="L1184" s="375">
        <v>-6271.4675800000005</v>
      </c>
      <c r="M1184" s="375">
        <v>145406.82513000001</v>
      </c>
      <c r="N1184" s="372">
        <v>1.133</v>
      </c>
      <c r="O1184" s="704">
        <v>3.4272927934506989</v>
      </c>
      <c r="P1184" s="375" t="s">
        <v>622</v>
      </c>
      <c r="Q1184" s="375" t="s">
        <v>622</v>
      </c>
      <c r="R1184" s="696">
        <v>20170929</v>
      </c>
      <c r="S1184" s="375" t="s">
        <v>8093</v>
      </c>
      <c r="T1184" s="697" t="s">
        <v>771</v>
      </c>
      <c r="U1184" s="375" t="s">
        <v>8094</v>
      </c>
      <c r="V1184" s="723" t="s">
        <v>773</v>
      </c>
      <c r="W1184" s="723">
        <v>0.7</v>
      </c>
      <c r="X1184" s="723">
        <v>2.96</v>
      </c>
      <c r="Y1184" s="723" t="s">
        <v>773</v>
      </c>
      <c r="Z1184" s="382" t="s">
        <v>927</v>
      </c>
      <c r="AA1184" s="372">
        <v>550.55076919999999</v>
      </c>
      <c r="AB1184" s="372">
        <v>496.92710770000002</v>
      </c>
      <c r="AC1184" s="372">
        <v>548.12295300000005</v>
      </c>
      <c r="AD1184" s="372">
        <v>419.87801719999999</v>
      </c>
      <c r="AE1184" s="372">
        <v>1515</v>
      </c>
      <c r="AF1184" s="372">
        <v>0</v>
      </c>
      <c r="AG1184" s="372">
        <v>0</v>
      </c>
      <c r="AH1184" s="372">
        <v>0</v>
      </c>
    </row>
    <row r="1185" spans="1:34">
      <c r="A1185" s="372" t="s">
        <v>8095</v>
      </c>
      <c r="B1185" s="373" t="s">
        <v>8096</v>
      </c>
      <c r="C1185" s="372" t="s">
        <v>8097</v>
      </c>
      <c r="D1185" s="374">
        <v>1101116363313</v>
      </c>
      <c r="E1185" s="372" t="s">
        <v>8098</v>
      </c>
      <c r="F1185" s="375" t="s">
        <v>1116</v>
      </c>
      <c r="G1185" s="375" t="s">
        <v>1336</v>
      </c>
      <c r="H1185" s="375" t="s">
        <v>1337</v>
      </c>
      <c r="I1185" s="375" t="s">
        <v>862</v>
      </c>
      <c r="J1185" s="375">
        <v>25099.615819999999</v>
      </c>
      <c r="K1185" s="375">
        <v>-18813.87919</v>
      </c>
      <c r="L1185" s="375">
        <v>-25151.781650000001</v>
      </c>
      <c r="M1185" s="375">
        <v>20039.051650000001</v>
      </c>
      <c r="N1185" s="372">
        <v>1.5669999999999999</v>
      </c>
      <c r="O1185" s="704">
        <v>28.324109017992832</v>
      </c>
      <c r="P1185" s="375" t="s">
        <v>622</v>
      </c>
      <c r="Q1185" s="372" t="s">
        <v>622</v>
      </c>
      <c r="R1185" s="696">
        <v>20221111</v>
      </c>
      <c r="S1185" s="375" t="s">
        <v>8099</v>
      </c>
      <c r="T1185" s="697" t="s">
        <v>771</v>
      </c>
      <c r="U1185" s="372" t="s">
        <v>8100</v>
      </c>
      <c r="V1185" s="723">
        <v>0</v>
      </c>
      <c r="W1185" s="723">
        <v>0</v>
      </c>
      <c r="X1185" s="723">
        <v>0</v>
      </c>
      <c r="Y1185" s="723">
        <v>0</v>
      </c>
      <c r="Z1185" s="382" t="s">
        <v>927</v>
      </c>
      <c r="AA1185" s="372">
        <v>200.88805780000001</v>
      </c>
      <c r="AB1185" s="372">
        <v>327.48664659999997</v>
      </c>
      <c r="AC1185" s="372">
        <v>440.076999</v>
      </c>
      <c r="AD1185" s="372">
        <v>265.86277360000003</v>
      </c>
      <c r="AE1185" s="372">
        <v>0</v>
      </c>
      <c r="AF1185" s="372">
        <v>0</v>
      </c>
      <c r="AG1185" s="372">
        <v>0</v>
      </c>
      <c r="AH1185" s="372">
        <v>0</v>
      </c>
    </row>
    <row r="1186" spans="1:34">
      <c r="A1186" s="372" t="s">
        <v>8101</v>
      </c>
      <c r="B1186" s="373" t="s">
        <v>8102</v>
      </c>
      <c r="C1186" s="372" t="s">
        <v>8103</v>
      </c>
      <c r="D1186" s="374">
        <v>1942110234534</v>
      </c>
      <c r="E1186" s="372" t="s">
        <v>8104</v>
      </c>
      <c r="F1186" s="375" t="s">
        <v>1282</v>
      </c>
      <c r="G1186" s="375" t="s">
        <v>1283</v>
      </c>
      <c r="H1186" s="375" t="s">
        <v>1043</v>
      </c>
      <c r="I1186" s="375" t="s">
        <v>754</v>
      </c>
      <c r="J1186" s="375">
        <v>400773.94071</v>
      </c>
      <c r="K1186" s="375">
        <v>27794.479759999998</v>
      </c>
      <c r="L1186" s="375">
        <v>27492.483980000001</v>
      </c>
      <c r="M1186" s="375">
        <v>279937.19390999997</v>
      </c>
      <c r="N1186" s="372">
        <v>0.78200000000000003</v>
      </c>
      <c r="O1186" s="704">
        <v>6.7930789454452345</v>
      </c>
      <c r="P1186" s="375" t="s">
        <v>622</v>
      </c>
      <c r="Q1186" s="372" t="s">
        <v>622</v>
      </c>
      <c r="R1186" s="696">
        <v>20150115</v>
      </c>
      <c r="S1186" s="372" t="s">
        <v>8105</v>
      </c>
      <c r="T1186" s="697">
        <v>0.23100000000000001</v>
      </c>
      <c r="U1186" s="372" t="s">
        <v>8106</v>
      </c>
      <c r="V1186" s="723">
        <v>3.43</v>
      </c>
      <c r="W1186" s="723">
        <v>0.49</v>
      </c>
      <c r="X1186" s="723">
        <v>0.34</v>
      </c>
      <c r="Y1186" s="723">
        <v>6.48</v>
      </c>
      <c r="Z1186" s="382" t="s">
        <v>927</v>
      </c>
      <c r="AA1186" s="372">
        <v>3047.5106328000002</v>
      </c>
      <c r="AB1186" s="372">
        <v>4371.6157110000004</v>
      </c>
      <c r="AC1186" s="372">
        <v>4190.1870608999998</v>
      </c>
      <c r="AD1186" s="372">
        <v>4300.346759</v>
      </c>
      <c r="AE1186" s="372">
        <v>0</v>
      </c>
      <c r="AF1186" s="372">
        <v>0</v>
      </c>
      <c r="AG1186" s="372">
        <v>0</v>
      </c>
      <c r="AH1186" s="372">
        <v>0</v>
      </c>
    </row>
    <row r="1187" spans="1:34">
      <c r="A1187" s="372" t="s">
        <v>8107</v>
      </c>
      <c r="B1187" s="373" t="s">
        <v>8108</v>
      </c>
      <c r="C1187" s="372" t="s">
        <v>8109</v>
      </c>
      <c r="D1187" s="374">
        <v>1341110045290</v>
      </c>
      <c r="E1187" s="372" t="s">
        <v>8110</v>
      </c>
      <c r="F1187" s="375" t="s">
        <v>1185</v>
      </c>
      <c r="G1187" s="375" t="s">
        <v>3115</v>
      </c>
      <c r="H1187" s="375" t="s">
        <v>861</v>
      </c>
      <c r="I1187" s="375" t="s">
        <v>862</v>
      </c>
      <c r="J1187" s="375">
        <v>28454.40079</v>
      </c>
      <c r="K1187" s="375">
        <v>-15929.731169999999</v>
      </c>
      <c r="L1187" s="375">
        <v>-7210.2587599999997</v>
      </c>
      <c r="M1187" s="375">
        <v>136881.73848</v>
      </c>
      <c r="N1187" s="372">
        <v>0.57799999999999996</v>
      </c>
      <c r="O1187" s="704">
        <v>11.16869473062086</v>
      </c>
      <c r="P1187" s="375" t="s">
        <v>622</v>
      </c>
      <c r="Q1187" s="372" t="s">
        <v>622</v>
      </c>
      <c r="R1187" s="696">
        <v>20090923</v>
      </c>
      <c r="S1187" s="372" t="s">
        <v>8111</v>
      </c>
      <c r="T1187" s="697" t="s">
        <v>771</v>
      </c>
      <c r="U1187" s="372" t="s">
        <v>8112</v>
      </c>
      <c r="V1187" s="723" t="s">
        <v>773</v>
      </c>
      <c r="W1187" s="723">
        <v>1.07</v>
      </c>
      <c r="X1187" s="723">
        <v>4.8099999999999996</v>
      </c>
      <c r="Y1187" s="723" t="s">
        <v>773</v>
      </c>
      <c r="Z1187" s="382" t="s">
        <v>927</v>
      </c>
      <c r="AA1187" s="372">
        <v>325.8732104</v>
      </c>
      <c r="AB1187" s="372">
        <v>497.91112170000002</v>
      </c>
      <c r="AC1187" s="372">
        <v>482.31988769999998</v>
      </c>
      <c r="AD1187" s="372">
        <v>715.00309070000003</v>
      </c>
      <c r="AE1187" s="372">
        <v>0</v>
      </c>
      <c r="AF1187" s="372">
        <v>0</v>
      </c>
      <c r="AG1187" s="372">
        <v>0</v>
      </c>
      <c r="AH1187" s="372">
        <v>0</v>
      </c>
    </row>
    <row r="1188" spans="1:34">
      <c r="A1188" s="372" t="s">
        <v>8113</v>
      </c>
      <c r="B1188" s="373" t="s">
        <v>8114</v>
      </c>
      <c r="C1188" s="372" t="s">
        <v>8115</v>
      </c>
      <c r="D1188" s="374">
        <v>1845110001335</v>
      </c>
      <c r="E1188" s="372" t="s">
        <v>8116</v>
      </c>
      <c r="F1188" s="375" t="s">
        <v>4825</v>
      </c>
      <c r="G1188" s="375" t="s">
        <v>4826</v>
      </c>
      <c r="H1188" s="375" t="s">
        <v>826</v>
      </c>
      <c r="I1188" s="375" t="s">
        <v>754</v>
      </c>
      <c r="J1188" s="375">
        <v>1112231.08406</v>
      </c>
      <c r="K1188" s="375">
        <v>24720.526040000001</v>
      </c>
      <c r="L1188" s="375">
        <v>14445.18045</v>
      </c>
      <c r="M1188" s="375">
        <v>231495.74405000001</v>
      </c>
      <c r="N1188" s="372">
        <v>0.47299999999999998</v>
      </c>
      <c r="O1188" s="704">
        <v>181.10149216765109</v>
      </c>
      <c r="P1188" s="375" t="s">
        <v>622</v>
      </c>
      <c r="Q1188" s="375" t="s">
        <v>622</v>
      </c>
      <c r="R1188" s="696">
        <v>19910131</v>
      </c>
      <c r="S1188" s="375" t="s">
        <v>8117</v>
      </c>
      <c r="T1188" s="697">
        <v>0.20900000000000002</v>
      </c>
      <c r="U1188" s="372" t="s">
        <v>8118</v>
      </c>
      <c r="V1188" s="723">
        <v>9.7200000000000006</v>
      </c>
      <c r="W1188" s="723">
        <v>0.64</v>
      </c>
      <c r="X1188" s="723">
        <v>0.12</v>
      </c>
      <c r="Y1188" s="723">
        <v>13.21</v>
      </c>
      <c r="Z1188" s="382" t="s">
        <v>927</v>
      </c>
      <c r="AA1188" s="372">
        <v>6228.6117491000005</v>
      </c>
      <c r="AB1188" s="372">
        <v>9648.3174254999994</v>
      </c>
      <c r="AC1188" s="372">
        <v>12424.7583545</v>
      </c>
      <c r="AD1188" s="372">
        <v>11579.988072100001</v>
      </c>
      <c r="AE1188" s="372">
        <v>0</v>
      </c>
      <c r="AF1188" s="372">
        <v>0</v>
      </c>
      <c r="AG1188" s="372">
        <v>0</v>
      </c>
      <c r="AH1188" s="372">
        <v>0</v>
      </c>
    </row>
    <row r="1189" spans="1:34">
      <c r="A1189" s="372" t="s">
        <v>8119</v>
      </c>
      <c r="B1189" s="373" t="s">
        <v>8120</v>
      </c>
      <c r="C1189" s="372" t="s">
        <v>8121</v>
      </c>
      <c r="D1189" s="374">
        <v>1101110047864</v>
      </c>
      <c r="E1189" s="372" t="s">
        <v>8122</v>
      </c>
      <c r="F1189" s="375" t="s">
        <v>5132</v>
      </c>
      <c r="G1189" s="375" t="s">
        <v>8123</v>
      </c>
      <c r="H1189" s="375" t="s">
        <v>846</v>
      </c>
      <c r="I1189" s="375" t="s">
        <v>754</v>
      </c>
      <c r="J1189" s="375">
        <v>103838.8432</v>
      </c>
      <c r="K1189" s="375">
        <v>8439.0308499999992</v>
      </c>
      <c r="L1189" s="375">
        <v>8866.3374600000006</v>
      </c>
      <c r="M1189" s="375">
        <v>115003.86439</v>
      </c>
      <c r="N1189" s="372">
        <v>0.34200000000000003</v>
      </c>
      <c r="O1189" s="704">
        <v>9.7417241540355199</v>
      </c>
      <c r="P1189" s="375" t="s">
        <v>622</v>
      </c>
      <c r="Q1189" s="375" t="s">
        <v>622</v>
      </c>
      <c r="R1189" s="696">
        <v>19910208</v>
      </c>
      <c r="S1189" s="375" t="s">
        <v>8124</v>
      </c>
      <c r="T1189" s="697">
        <v>0.20900000000000002</v>
      </c>
      <c r="U1189" s="372" t="s">
        <v>8125</v>
      </c>
      <c r="V1189" s="723">
        <v>11.8</v>
      </c>
      <c r="W1189" s="723">
        <v>1.17</v>
      </c>
      <c r="X1189" s="723">
        <v>1.31</v>
      </c>
      <c r="Y1189" s="723">
        <v>20.58</v>
      </c>
      <c r="Z1189" s="382" t="s">
        <v>927</v>
      </c>
      <c r="AA1189" s="372">
        <v>1166.5226928</v>
      </c>
      <c r="AB1189" s="372">
        <v>1268.5344037</v>
      </c>
      <c r="AC1189" s="372">
        <v>1181.7654666000001</v>
      </c>
      <c r="AD1189" s="372">
        <v>1124.4278047</v>
      </c>
      <c r="AE1189" s="372">
        <v>0</v>
      </c>
      <c r="AF1189" s="372">
        <v>0</v>
      </c>
      <c r="AG1189" s="372">
        <v>0</v>
      </c>
      <c r="AH1189" s="372">
        <v>0</v>
      </c>
    </row>
    <row r="1190" spans="1:34">
      <c r="A1190" s="372" t="s">
        <v>8126</v>
      </c>
      <c r="B1190" s="373" t="s">
        <v>8127</v>
      </c>
      <c r="C1190" s="372" t="s">
        <v>8128</v>
      </c>
      <c r="D1190" s="374">
        <v>1101110300303</v>
      </c>
      <c r="E1190" s="372" t="s">
        <v>8129</v>
      </c>
      <c r="F1190" s="375" t="s">
        <v>2834</v>
      </c>
      <c r="G1190" s="375" t="s">
        <v>2834</v>
      </c>
      <c r="H1190" s="375" t="s">
        <v>861</v>
      </c>
      <c r="I1190" s="375" t="s">
        <v>862</v>
      </c>
      <c r="J1190" s="375">
        <v>3175156.2702299999</v>
      </c>
      <c r="K1190" s="375">
        <v>84770.636939999997</v>
      </c>
      <c r="L1190" s="375">
        <v>74342.963889999999</v>
      </c>
      <c r="M1190" s="375">
        <v>589164.13268000004</v>
      </c>
      <c r="N1190" s="372">
        <v>0.75900000000000001</v>
      </c>
      <c r="O1190" s="704">
        <v>169.03523855530176</v>
      </c>
      <c r="P1190" s="375" t="s">
        <v>622</v>
      </c>
      <c r="Q1190" s="375" t="s">
        <v>622</v>
      </c>
      <c r="R1190" s="696">
        <v>19991214</v>
      </c>
      <c r="S1190" s="372" t="s">
        <v>8130</v>
      </c>
      <c r="T1190" s="697">
        <v>0.23100000000000001</v>
      </c>
      <c r="U1190" s="372" t="s">
        <v>8131</v>
      </c>
      <c r="V1190" s="723">
        <v>5.0999999999999996</v>
      </c>
      <c r="W1190" s="723">
        <v>0.37</v>
      </c>
      <c r="X1190" s="723">
        <v>0.04</v>
      </c>
      <c r="Y1190" s="723">
        <v>3.27</v>
      </c>
      <c r="Z1190" s="382" t="s">
        <v>927</v>
      </c>
      <c r="AA1190" s="372">
        <v>15894.773949099999</v>
      </c>
      <c r="AB1190" s="372">
        <v>24833.9864017</v>
      </c>
      <c r="AC1190" s="372">
        <v>29189.0306021</v>
      </c>
      <c r="AD1190" s="372">
        <v>25262.079279099999</v>
      </c>
      <c r="AE1190" s="372">
        <v>0</v>
      </c>
      <c r="AF1190" s="372">
        <v>0</v>
      </c>
      <c r="AG1190" s="372">
        <v>0</v>
      </c>
      <c r="AH1190" s="372">
        <v>0</v>
      </c>
    </row>
    <row r="1191" spans="1:34">
      <c r="A1191" s="372" t="s">
        <v>8132</v>
      </c>
      <c r="B1191" s="373" t="s">
        <v>8133</v>
      </c>
      <c r="C1191" s="372" t="s">
        <v>8134</v>
      </c>
      <c r="D1191" s="374">
        <v>1101112407470</v>
      </c>
      <c r="E1191" s="372" t="s">
        <v>8135</v>
      </c>
      <c r="F1191" s="375" t="s">
        <v>2222</v>
      </c>
      <c r="G1191" s="375" t="s">
        <v>2222</v>
      </c>
      <c r="H1191" s="375" t="s">
        <v>861</v>
      </c>
      <c r="I1191" s="375" t="s">
        <v>862</v>
      </c>
      <c r="J1191" s="375">
        <v>317977.89971000003</v>
      </c>
      <c r="K1191" s="375">
        <v>8086.4413999999997</v>
      </c>
      <c r="L1191" s="375">
        <v>-2832.7866300000001</v>
      </c>
      <c r="M1191" s="375">
        <v>34942.049030000002</v>
      </c>
      <c r="N1191" s="372">
        <v>0.498</v>
      </c>
      <c r="O1191" s="704">
        <v>254.40624415324672</v>
      </c>
      <c r="P1191" s="375" t="s">
        <v>622</v>
      </c>
      <c r="Q1191" s="372" t="s">
        <v>622</v>
      </c>
      <c r="R1191" s="696">
        <v>20151216</v>
      </c>
      <c r="S1191" s="372" t="s">
        <v>3567</v>
      </c>
      <c r="T1191" s="697" t="s">
        <v>771</v>
      </c>
      <c r="U1191" s="372" t="s">
        <v>8136</v>
      </c>
      <c r="V1191" s="723">
        <v>9.34</v>
      </c>
      <c r="W1191" s="723">
        <v>2.1</v>
      </c>
      <c r="X1191" s="723">
        <v>0.2</v>
      </c>
      <c r="Y1191" s="723" t="s">
        <v>773</v>
      </c>
      <c r="Z1191" s="382" t="s">
        <v>927</v>
      </c>
      <c r="AA1191" s="372">
        <v>2667.9132463000001</v>
      </c>
      <c r="AB1191" s="372">
        <v>2893.4725779999999</v>
      </c>
      <c r="AC1191" s="372">
        <v>3282.07413</v>
      </c>
      <c r="AD1191" s="372">
        <v>3336.3090888000002</v>
      </c>
      <c r="AE1191" s="372">
        <v>3351</v>
      </c>
      <c r="AF1191" s="372">
        <v>3507</v>
      </c>
      <c r="AG1191" s="372">
        <v>0</v>
      </c>
      <c r="AH1191" s="372">
        <v>0</v>
      </c>
    </row>
    <row r="1192" spans="1:34">
      <c r="A1192" s="372" t="s">
        <v>8137</v>
      </c>
      <c r="B1192" s="373" t="s">
        <v>8138</v>
      </c>
      <c r="C1192" s="372" t="s">
        <v>8139</v>
      </c>
      <c r="D1192" s="374">
        <v>1101111574874</v>
      </c>
      <c r="E1192" s="372" t="s">
        <v>8140</v>
      </c>
      <c r="F1192" s="375" t="s">
        <v>1796</v>
      </c>
      <c r="G1192" s="375" t="s">
        <v>2797</v>
      </c>
      <c r="H1192" s="375" t="s">
        <v>861</v>
      </c>
      <c r="I1192" s="375" t="s">
        <v>862</v>
      </c>
      <c r="J1192" s="375">
        <v>542568.10453000001</v>
      </c>
      <c r="K1192" s="375">
        <v>27621.09388</v>
      </c>
      <c r="L1192" s="375">
        <v>31243.876670000001</v>
      </c>
      <c r="M1192" s="375">
        <v>209049.03052</v>
      </c>
      <c r="N1192" s="372">
        <v>0.88200000000000001</v>
      </c>
      <c r="O1192" s="704">
        <v>30.888805842381263</v>
      </c>
      <c r="P1192" s="375" t="s">
        <v>622</v>
      </c>
      <c r="Q1192" s="375" t="s">
        <v>622</v>
      </c>
      <c r="R1192" s="696">
        <v>20020524</v>
      </c>
      <c r="S1192" s="375" t="s">
        <v>8141</v>
      </c>
      <c r="T1192" s="697">
        <v>0.23100000000000001</v>
      </c>
      <c r="U1192" s="375" t="s">
        <v>8142</v>
      </c>
      <c r="V1192" s="723">
        <v>5.16</v>
      </c>
      <c r="W1192" s="723">
        <v>1.03</v>
      </c>
      <c r="X1192" s="723">
        <v>0.28000000000000003</v>
      </c>
      <c r="Y1192" s="723">
        <v>9.16</v>
      </c>
      <c r="Z1192" s="382">
        <v>9.8710656818083775E-2</v>
      </c>
      <c r="AA1192" s="372">
        <v>2588.898001</v>
      </c>
      <c r="AB1192" s="372">
        <v>3786.0366706</v>
      </c>
      <c r="AC1192" s="372">
        <v>4546.3245642000002</v>
      </c>
      <c r="AD1192" s="372">
        <v>5089.0459641999996</v>
      </c>
      <c r="AE1192" s="372">
        <v>5732</v>
      </c>
      <c r="AF1192" s="372">
        <v>6484.5</v>
      </c>
      <c r="AG1192" s="372">
        <v>7416</v>
      </c>
      <c r="AH1192" s="372">
        <v>0</v>
      </c>
    </row>
    <row r="1193" spans="1:34">
      <c r="A1193" s="372" t="s">
        <v>8143</v>
      </c>
      <c r="B1193" s="373" t="s">
        <v>8144</v>
      </c>
      <c r="C1193" s="372" t="s">
        <v>8145</v>
      </c>
      <c r="D1193" s="374">
        <v>1101112693235</v>
      </c>
      <c r="E1193" s="372" t="s">
        <v>8146</v>
      </c>
      <c r="F1193" s="375" t="s">
        <v>1796</v>
      </c>
      <c r="G1193" s="375" t="s">
        <v>1797</v>
      </c>
      <c r="H1193" s="375" t="s">
        <v>1337</v>
      </c>
      <c r="I1193" s="375" t="s">
        <v>862</v>
      </c>
      <c r="J1193" s="375">
        <v>129054.66471</v>
      </c>
      <c r="K1193" s="375">
        <v>19872.857049999999</v>
      </c>
      <c r="L1193" s="375">
        <v>6830.3349200000002</v>
      </c>
      <c r="M1193" s="375">
        <v>101199.35408</v>
      </c>
      <c r="N1193" s="372">
        <v>0.53600000000000003</v>
      </c>
      <c r="O1193" s="704">
        <v>5.5793407024149273</v>
      </c>
      <c r="P1193" s="375" t="s">
        <v>622</v>
      </c>
      <c r="Q1193" s="372" t="s">
        <v>622</v>
      </c>
      <c r="R1193" s="696">
        <v>20131227</v>
      </c>
      <c r="S1193" s="372" t="s">
        <v>8147</v>
      </c>
      <c r="T1193" s="697">
        <v>0.20900000000000002</v>
      </c>
      <c r="U1193" s="372" t="s">
        <v>15895</v>
      </c>
      <c r="V1193" s="723">
        <v>5.44</v>
      </c>
      <c r="W1193" s="723">
        <v>1.25</v>
      </c>
      <c r="X1193" s="723">
        <v>0.98</v>
      </c>
      <c r="Y1193" s="723">
        <v>90.31</v>
      </c>
      <c r="Z1193" s="382" t="s">
        <v>927</v>
      </c>
      <c r="AA1193" s="372">
        <v>871.87532329999999</v>
      </c>
      <c r="AB1193" s="372">
        <v>965.21903810000003</v>
      </c>
      <c r="AC1193" s="372">
        <v>1124.6035827999999</v>
      </c>
      <c r="AD1193" s="372">
        <v>1179.5167199</v>
      </c>
      <c r="AE1193" s="372">
        <v>1304.56</v>
      </c>
      <c r="AF1193" s="372">
        <v>1412</v>
      </c>
      <c r="AG1193" s="372">
        <v>0</v>
      </c>
      <c r="AH1193" s="372">
        <v>0</v>
      </c>
    </row>
    <row r="1194" spans="1:34">
      <c r="A1194" s="372" t="s">
        <v>8148</v>
      </c>
      <c r="B1194" s="373" t="s">
        <v>8149</v>
      </c>
      <c r="C1194" s="372" t="s">
        <v>8150</v>
      </c>
      <c r="D1194" s="374">
        <v>1101110724107</v>
      </c>
      <c r="E1194" s="372" t="s">
        <v>8151</v>
      </c>
      <c r="F1194" s="375" t="s">
        <v>1323</v>
      </c>
      <c r="G1194" s="375" t="s">
        <v>16106</v>
      </c>
      <c r="H1194" s="375" t="s">
        <v>861</v>
      </c>
      <c r="I1194" s="375" t="s">
        <v>862</v>
      </c>
      <c r="J1194" s="375">
        <v>247741.30230000001</v>
      </c>
      <c r="K1194" s="375">
        <v>11988.867329999999</v>
      </c>
      <c r="L1194" s="375">
        <v>31357.350920000001</v>
      </c>
      <c r="M1194" s="375">
        <v>184690.30215</v>
      </c>
      <c r="N1194" s="372">
        <v>0.872</v>
      </c>
      <c r="O1194" s="704">
        <v>46.077615707548084</v>
      </c>
      <c r="P1194" s="375" t="s">
        <v>622</v>
      </c>
      <c r="Q1194" s="375" t="s">
        <v>622</v>
      </c>
      <c r="R1194" s="696">
        <v>20040524</v>
      </c>
      <c r="S1194" s="375" t="s">
        <v>8152</v>
      </c>
      <c r="T1194" s="697">
        <v>0.23100000000000001</v>
      </c>
      <c r="U1194" s="372" t="s">
        <v>8153</v>
      </c>
      <c r="V1194" s="723">
        <v>8.4499999999999993</v>
      </c>
      <c r="W1194" s="723">
        <v>0.67</v>
      </c>
      <c r="X1194" s="723">
        <v>0.45</v>
      </c>
      <c r="Y1194" s="723">
        <v>4.0999999999999996</v>
      </c>
      <c r="Z1194" s="382" t="s">
        <v>927</v>
      </c>
      <c r="AA1194" s="372">
        <v>1430.2252742000001</v>
      </c>
      <c r="AB1194" s="372">
        <v>1665.6662478000001</v>
      </c>
      <c r="AC1194" s="372">
        <v>1907.6901928</v>
      </c>
      <c r="AD1194" s="372">
        <v>2217.2462372</v>
      </c>
      <c r="AE1194" s="372">
        <v>0</v>
      </c>
      <c r="AF1194" s="372">
        <v>0</v>
      </c>
      <c r="AG1194" s="372">
        <v>0</v>
      </c>
      <c r="AH1194" s="372">
        <v>0</v>
      </c>
    </row>
    <row r="1195" spans="1:34">
      <c r="A1195" s="372" t="s">
        <v>8154</v>
      </c>
      <c r="B1195" s="373" t="s">
        <v>8155</v>
      </c>
      <c r="C1195" s="372" t="s">
        <v>8156</v>
      </c>
      <c r="D1195" s="374">
        <v>1101111871072</v>
      </c>
      <c r="E1195" s="372" t="s">
        <v>8157</v>
      </c>
      <c r="F1195" s="375" t="s">
        <v>6986</v>
      </c>
      <c r="G1195" s="375" t="s">
        <v>6987</v>
      </c>
      <c r="H1195" s="375" t="s">
        <v>3099</v>
      </c>
      <c r="I1195" s="375" t="s">
        <v>862</v>
      </c>
      <c r="J1195" s="375">
        <v>67906.256009999997</v>
      </c>
      <c r="K1195" s="375">
        <v>829.49884999999995</v>
      </c>
      <c r="L1195" s="375">
        <v>40.201799999999999</v>
      </c>
      <c r="M1195" s="375">
        <v>81368.738830000002</v>
      </c>
      <c r="N1195" s="372">
        <v>0.623</v>
      </c>
      <c r="O1195" s="704">
        <v>0.63796561918325456</v>
      </c>
      <c r="P1195" s="375" t="s">
        <v>622</v>
      </c>
      <c r="Q1195" s="375" t="s">
        <v>622</v>
      </c>
      <c r="R1195" s="696">
        <v>20130219</v>
      </c>
      <c r="S1195" s="375" t="s">
        <v>8158</v>
      </c>
      <c r="T1195" s="697">
        <v>9.9000000000000005E-2</v>
      </c>
      <c r="U1195" s="372" t="s">
        <v>8159</v>
      </c>
      <c r="V1195" s="723">
        <v>21.97</v>
      </c>
      <c r="W1195" s="723">
        <v>1.1000000000000001</v>
      </c>
      <c r="X1195" s="723">
        <v>1.31</v>
      </c>
      <c r="Y1195" s="723" t="s">
        <v>773</v>
      </c>
      <c r="Z1195" s="382" t="s">
        <v>927</v>
      </c>
      <c r="AA1195" s="372">
        <v>1410.0074460000001</v>
      </c>
      <c r="AB1195" s="372">
        <v>863.73685780000005</v>
      </c>
      <c r="AC1195" s="372">
        <v>903.91450840000005</v>
      </c>
      <c r="AD1195" s="372">
        <v>694.12990000000002</v>
      </c>
      <c r="AE1195" s="372">
        <v>1295</v>
      </c>
      <c r="AF1195" s="372">
        <v>1652</v>
      </c>
      <c r="AG1195" s="372">
        <v>0</v>
      </c>
      <c r="AH1195" s="372">
        <v>0</v>
      </c>
    </row>
    <row r="1196" spans="1:34">
      <c r="A1196" s="372" t="s">
        <v>8160</v>
      </c>
      <c r="B1196" s="373" t="s">
        <v>8161</v>
      </c>
      <c r="C1196" s="372" t="s">
        <v>8162</v>
      </c>
      <c r="D1196" s="374">
        <v>1101110008254</v>
      </c>
      <c r="E1196" s="372" t="s">
        <v>8163</v>
      </c>
      <c r="F1196" s="375" t="s">
        <v>6167</v>
      </c>
      <c r="G1196" s="375" t="s">
        <v>6168</v>
      </c>
      <c r="H1196" s="375">
        <v>0</v>
      </c>
      <c r="I1196" s="375" t="s">
        <v>754</v>
      </c>
      <c r="J1196" s="375">
        <v>506832.16603999998</v>
      </c>
      <c r="K1196" s="375">
        <v>18859.258949999999</v>
      </c>
      <c r="L1196" s="375">
        <v>20126.739659999999</v>
      </c>
      <c r="M1196" s="375">
        <v>581015.23074000003</v>
      </c>
      <c r="N1196" s="372">
        <v>0.60599999999999998</v>
      </c>
      <c r="O1196" s="704">
        <v>52.716965935138859</v>
      </c>
      <c r="P1196" s="375" t="s">
        <v>622</v>
      </c>
      <c r="Q1196" s="375" t="s">
        <v>622</v>
      </c>
      <c r="R1196" s="696">
        <v>19760630</v>
      </c>
      <c r="S1196" s="375" t="s">
        <v>8164</v>
      </c>
      <c r="T1196" s="697">
        <v>0.23100000000000001</v>
      </c>
      <c r="U1196" s="372" t="s">
        <v>8165</v>
      </c>
      <c r="V1196" s="723">
        <v>3.7</v>
      </c>
      <c r="W1196" s="723">
        <v>0.26</v>
      </c>
      <c r="X1196" s="723">
        <v>0.28999999999999998</v>
      </c>
      <c r="Y1196" s="723">
        <v>9.18</v>
      </c>
      <c r="Z1196" s="382">
        <v>3.310540853274313E-2</v>
      </c>
      <c r="AA1196" s="372">
        <v>3723.2211527999998</v>
      </c>
      <c r="AB1196" s="372">
        <v>3465.0204604999999</v>
      </c>
      <c r="AC1196" s="372">
        <v>4326.4928055999999</v>
      </c>
      <c r="AD1196" s="372">
        <v>4341.8575553000001</v>
      </c>
      <c r="AE1196" s="372">
        <v>4513</v>
      </c>
      <c r="AF1196" s="372">
        <v>4712</v>
      </c>
      <c r="AG1196" s="372">
        <v>4946</v>
      </c>
      <c r="AH1196" s="372">
        <v>0</v>
      </c>
    </row>
    <row r="1197" spans="1:34">
      <c r="A1197" s="372" t="s">
        <v>8166</v>
      </c>
      <c r="B1197" s="373" t="s">
        <v>8167</v>
      </c>
      <c r="C1197" s="372" t="s">
        <v>8168</v>
      </c>
      <c r="D1197" s="374">
        <v>1701110202416</v>
      </c>
      <c r="E1197" s="372" t="s">
        <v>8169</v>
      </c>
      <c r="F1197" s="375" t="s">
        <v>1764</v>
      </c>
      <c r="G1197" s="375" t="s">
        <v>8170</v>
      </c>
      <c r="H1197" s="375" t="s">
        <v>861</v>
      </c>
      <c r="I1197" s="375" t="s">
        <v>862</v>
      </c>
      <c r="J1197" s="375">
        <v>66954.07157</v>
      </c>
      <c r="K1197" s="375">
        <v>-10859.17038</v>
      </c>
      <c r="L1197" s="375">
        <v>-16525.217290000001</v>
      </c>
      <c r="M1197" s="375">
        <v>50123.519769999999</v>
      </c>
      <c r="N1197" s="372">
        <v>1.2589999999999999</v>
      </c>
      <c r="O1197" s="704">
        <v>39.833688688765747</v>
      </c>
      <c r="P1197" s="375" t="s">
        <v>622</v>
      </c>
      <c r="Q1197" s="372" t="s">
        <v>622</v>
      </c>
      <c r="R1197" s="696">
        <v>20220714</v>
      </c>
      <c r="S1197" s="372" t="s">
        <v>8171</v>
      </c>
      <c r="T1197" s="697" t="s">
        <v>771</v>
      </c>
      <c r="U1197" s="372" t="s">
        <v>8172</v>
      </c>
      <c r="V1197" s="723">
        <v>0</v>
      </c>
      <c r="W1197" s="723">
        <v>0</v>
      </c>
      <c r="X1197" s="723">
        <v>0</v>
      </c>
      <c r="Y1197" s="723">
        <v>0</v>
      </c>
      <c r="Z1197" s="382" t="s">
        <v>927</v>
      </c>
      <c r="AA1197" s="372">
        <v>607.59972119999998</v>
      </c>
      <c r="AB1197" s="372">
        <v>664.30133750000005</v>
      </c>
      <c r="AC1197" s="372">
        <v>823.50140220000003</v>
      </c>
      <c r="AD1197" s="372">
        <v>622.7167925</v>
      </c>
      <c r="AE1197" s="372">
        <v>0</v>
      </c>
      <c r="AF1197" s="372">
        <v>0</v>
      </c>
      <c r="AG1197" s="372">
        <v>0</v>
      </c>
      <c r="AH1197" s="372">
        <v>0</v>
      </c>
    </row>
    <row r="1198" spans="1:34">
      <c r="A1198" s="372" t="s">
        <v>8173</v>
      </c>
      <c r="B1198" s="373" t="s">
        <v>8174</v>
      </c>
      <c r="C1198" s="372" t="s">
        <v>8175</v>
      </c>
      <c r="D1198" s="374">
        <v>1101110152770</v>
      </c>
      <c r="E1198" s="372" t="s">
        <v>8176</v>
      </c>
      <c r="F1198" s="375" t="s">
        <v>1537</v>
      </c>
      <c r="G1198" s="375" t="s">
        <v>3641</v>
      </c>
      <c r="H1198" s="375" t="s">
        <v>1539</v>
      </c>
      <c r="I1198" s="375" t="s">
        <v>754</v>
      </c>
      <c r="J1198" s="375">
        <v>889565.62962000002</v>
      </c>
      <c r="K1198" s="375">
        <v>23534.366620000001</v>
      </c>
      <c r="L1198" s="375">
        <v>294.24898000000002</v>
      </c>
      <c r="M1198" s="375">
        <v>212363.67199</v>
      </c>
      <c r="N1198" s="372">
        <v>0.7</v>
      </c>
      <c r="O1198" s="704">
        <v>288.26072858812768</v>
      </c>
      <c r="P1198" s="375" t="s">
        <v>622</v>
      </c>
      <c r="Q1198" s="372" t="s">
        <v>622</v>
      </c>
      <c r="R1198" s="696">
        <v>19880824</v>
      </c>
      <c r="S1198" s="372" t="s">
        <v>8177</v>
      </c>
      <c r="T1198" s="697">
        <v>0.20900000000000002</v>
      </c>
      <c r="U1198" s="372" t="s">
        <v>8178</v>
      </c>
      <c r="V1198" s="723">
        <v>9.7799999999999994</v>
      </c>
      <c r="W1198" s="723">
        <v>0.48</v>
      </c>
      <c r="X1198" s="723">
        <v>0.14000000000000001</v>
      </c>
      <c r="Y1198" s="723" t="s">
        <v>773</v>
      </c>
      <c r="Z1198" s="382" t="s">
        <v>927</v>
      </c>
      <c r="AA1198" s="372">
        <v>6942.9686948999997</v>
      </c>
      <c r="AB1198" s="372">
        <v>8794.1758620000001</v>
      </c>
      <c r="AC1198" s="372">
        <v>9954.3950430999994</v>
      </c>
      <c r="AD1198" s="372">
        <v>8344.7814146000001</v>
      </c>
      <c r="AE1198" s="372">
        <v>0</v>
      </c>
      <c r="AF1198" s="372">
        <v>0</v>
      </c>
      <c r="AG1198" s="372">
        <v>0</v>
      </c>
      <c r="AH1198" s="372">
        <v>0</v>
      </c>
    </row>
    <row r="1199" spans="1:34">
      <c r="A1199" s="372" t="s">
        <v>8179</v>
      </c>
      <c r="B1199" s="373" t="s">
        <v>8180</v>
      </c>
      <c r="C1199" s="372" t="s">
        <v>8181</v>
      </c>
      <c r="D1199" s="374">
        <v>1101113161306</v>
      </c>
      <c r="E1199" s="372" t="s">
        <v>8182</v>
      </c>
      <c r="F1199" s="372" t="s">
        <v>5625</v>
      </c>
      <c r="G1199" s="375" t="s">
        <v>5625</v>
      </c>
      <c r="H1199" s="375" t="s">
        <v>861</v>
      </c>
      <c r="I1199" s="375" t="s">
        <v>862</v>
      </c>
      <c r="J1199" s="375">
        <v>52089.439259999999</v>
      </c>
      <c r="K1199" s="375">
        <v>14789.4</v>
      </c>
      <c r="L1199" s="375">
        <v>17125.717270000001</v>
      </c>
      <c r="M1199" s="375">
        <v>94786.994120000003</v>
      </c>
      <c r="N1199" s="372" t="s">
        <v>1026</v>
      </c>
      <c r="O1199" s="704">
        <v>0.14565918255704322</v>
      </c>
      <c r="P1199" s="375" t="s">
        <v>622</v>
      </c>
      <c r="Q1199" s="375" t="s">
        <v>622</v>
      </c>
      <c r="R1199" s="696">
        <v>20230517</v>
      </c>
      <c r="S1199" s="375" t="s">
        <v>8183</v>
      </c>
      <c r="T1199" s="697">
        <v>0.20900000000000002</v>
      </c>
      <c r="U1199" s="375" t="s">
        <v>8184</v>
      </c>
      <c r="V1199" s="723">
        <v>0</v>
      </c>
      <c r="W1199" s="723">
        <v>0</v>
      </c>
      <c r="X1199" s="723">
        <v>0</v>
      </c>
      <c r="Y1199" s="723">
        <v>0</v>
      </c>
      <c r="Z1199" s="382" t="s">
        <v>927</v>
      </c>
      <c r="AA1199" s="372">
        <v>330.10686320000002</v>
      </c>
      <c r="AB1199" s="372">
        <v>359.80311710000001</v>
      </c>
      <c r="AC1199" s="372">
        <v>388.31800709999999</v>
      </c>
      <c r="AD1199" s="372">
        <v>471.74831929999999</v>
      </c>
      <c r="AE1199" s="372">
        <v>0</v>
      </c>
      <c r="AF1199" s="372">
        <v>0</v>
      </c>
      <c r="AG1199" s="372">
        <v>0</v>
      </c>
      <c r="AH1199" s="372">
        <v>0</v>
      </c>
    </row>
    <row r="1200" spans="1:34">
      <c r="A1200" s="372" t="s">
        <v>8185</v>
      </c>
      <c r="B1200" s="373" t="s">
        <v>8186</v>
      </c>
      <c r="C1200" s="372" t="s">
        <v>8187</v>
      </c>
      <c r="D1200" s="374">
        <v>1101111327869</v>
      </c>
      <c r="E1200" s="372" t="s">
        <v>8188</v>
      </c>
      <c r="F1200" s="375" t="s">
        <v>6013</v>
      </c>
      <c r="G1200" s="375" t="s">
        <v>6013</v>
      </c>
      <c r="H1200" s="375" t="s">
        <v>1531</v>
      </c>
      <c r="I1200" s="375" t="s">
        <v>862</v>
      </c>
      <c r="J1200" s="375">
        <v>64850.77691</v>
      </c>
      <c r="K1200" s="375">
        <v>893.03179</v>
      </c>
      <c r="L1200" s="375">
        <v>-7366.5353999999998</v>
      </c>
      <c r="M1200" s="375">
        <v>51221.288439999997</v>
      </c>
      <c r="N1200" s="372">
        <v>0.94499999999999995</v>
      </c>
      <c r="O1200" s="704">
        <v>9.4272326673173623</v>
      </c>
      <c r="P1200" s="375" t="s">
        <v>622</v>
      </c>
      <c r="Q1200" s="372" t="s">
        <v>622</v>
      </c>
      <c r="R1200" s="696">
        <v>20031112</v>
      </c>
      <c r="S1200" s="372" t="s">
        <v>8189</v>
      </c>
      <c r="T1200" s="697" t="s">
        <v>771</v>
      </c>
      <c r="U1200" s="372" t="s">
        <v>8190</v>
      </c>
      <c r="V1200" s="723">
        <v>0</v>
      </c>
      <c r="W1200" s="723">
        <v>0</v>
      </c>
      <c r="X1200" s="723">
        <v>0</v>
      </c>
      <c r="Y1200" s="723">
        <v>0</v>
      </c>
      <c r="Z1200" s="382" t="s">
        <v>927</v>
      </c>
      <c r="AA1200" s="372">
        <v>481.10630559999998</v>
      </c>
      <c r="AB1200" s="372">
        <v>465.25413579999997</v>
      </c>
      <c r="AC1200" s="372">
        <v>620.44179220000001</v>
      </c>
      <c r="AD1200" s="372">
        <v>520.23895530000004</v>
      </c>
      <c r="AE1200" s="372">
        <v>0</v>
      </c>
      <c r="AF1200" s="372">
        <v>0</v>
      </c>
      <c r="AG1200" s="372">
        <v>0</v>
      </c>
      <c r="AH1200" s="372">
        <v>0</v>
      </c>
    </row>
    <row r="1201" spans="1:34">
      <c r="A1201" s="372" t="s">
        <v>8191</v>
      </c>
      <c r="B1201" s="373" t="s">
        <v>8192</v>
      </c>
      <c r="C1201" s="372" t="s">
        <v>8193</v>
      </c>
      <c r="D1201" s="374">
        <v>1101114222503</v>
      </c>
      <c r="E1201" s="372" t="s">
        <v>8194</v>
      </c>
      <c r="F1201" s="372" t="s">
        <v>3672</v>
      </c>
      <c r="G1201" s="375" t="s">
        <v>3672</v>
      </c>
      <c r="H1201" s="375" t="s">
        <v>1337</v>
      </c>
      <c r="I1201" s="375" t="s">
        <v>862</v>
      </c>
      <c r="J1201" s="375">
        <v>3966.9927200000002</v>
      </c>
      <c r="K1201" s="375">
        <v>-31454.901730000001</v>
      </c>
      <c r="L1201" s="375">
        <v>-21615.677680000001</v>
      </c>
      <c r="M1201" s="375">
        <v>48069.44786</v>
      </c>
      <c r="N1201" s="372">
        <v>0.83299999999999996</v>
      </c>
      <c r="O1201" s="704">
        <v>8.5709891710644079</v>
      </c>
      <c r="P1201" s="375" t="s">
        <v>622</v>
      </c>
      <c r="Q1201" s="372" t="s">
        <v>622</v>
      </c>
      <c r="R1201" s="696">
        <v>20191226</v>
      </c>
      <c r="S1201" s="372" t="s">
        <v>8195</v>
      </c>
      <c r="T1201" s="697" t="s">
        <v>771</v>
      </c>
      <c r="U1201" s="372" t="s">
        <v>8196</v>
      </c>
      <c r="V1201" s="723" t="s">
        <v>773</v>
      </c>
      <c r="W1201" s="723">
        <v>2.2799999999999998</v>
      </c>
      <c r="X1201" s="723">
        <v>27.63</v>
      </c>
      <c r="Y1201" s="723" t="s">
        <v>773</v>
      </c>
      <c r="Z1201" s="382" t="s">
        <v>927</v>
      </c>
      <c r="AA1201" s="372">
        <v>53.115467700000004</v>
      </c>
      <c r="AB1201" s="372">
        <v>43.630272900000001</v>
      </c>
      <c r="AC1201" s="372">
        <v>40.746616899999999</v>
      </c>
      <c r="AD1201" s="372">
        <v>55.750537199999997</v>
      </c>
      <c r="AE1201" s="372">
        <v>0</v>
      </c>
      <c r="AF1201" s="372">
        <v>0</v>
      </c>
      <c r="AG1201" s="372">
        <v>0</v>
      </c>
      <c r="AH1201" s="372">
        <v>0</v>
      </c>
    </row>
    <row r="1202" spans="1:34">
      <c r="A1202" s="372" t="s">
        <v>8197</v>
      </c>
      <c r="B1202" s="373" t="s">
        <v>8198</v>
      </c>
      <c r="C1202" s="372" t="s">
        <v>8199</v>
      </c>
      <c r="D1202" s="374">
        <v>1101111303140</v>
      </c>
      <c r="E1202" s="372" t="s">
        <v>8200</v>
      </c>
      <c r="F1202" s="375" t="s">
        <v>2441</v>
      </c>
      <c r="G1202" s="375" t="s">
        <v>2441</v>
      </c>
      <c r="H1202" s="375" t="s">
        <v>1337</v>
      </c>
      <c r="I1202" s="375" t="s">
        <v>862</v>
      </c>
      <c r="J1202" s="375">
        <v>356506.70935999998</v>
      </c>
      <c r="K1202" s="375">
        <v>44879.050759999998</v>
      </c>
      <c r="L1202" s="375">
        <v>25783.021669999998</v>
      </c>
      <c r="M1202" s="375">
        <v>212065.58098</v>
      </c>
      <c r="N1202" s="372">
        <v>0.49299999999999999</v>
      </c>
      <c r="O1202" s="704">
        <v>303.04774468943282</v>
      </c>
      <c r="P1202" s="375" t="s">
        <v>622</v>
      </c>
      <c r="Q1202" s="372" t="s">
        <v>622</v>
      </c>
      <c r="R1202" s="696">
        <v>20000128</v>
      </c>
      <c r="S1202" s="372" t="s">
        <v>8201</v>
      </c>
      <c r="T1202" s="697">
        <v>0.23100000000000001</v>
      </c>
      <c r="U1202" s="375" t="s">
        <v>15896</v>
      </c>
      <c r="V1202" s="723">
        <v>2.36</v>
      </c>
      <c r="W1202" s="723">
        <v>0.63</v>
      </c>
      <c r="X1202" s="723">
        <v>0.38</v>
      </c>
      <c r="Y1202" s="723">
        <v>6.61</v>
      </c>
      <c r="Z1202" s="382" t="s">
        <v>927</v>
      </c>
      <c r="AA1202" s="372">
        <v>2294.8941742000002</v>
      </c>
      <c r="AB1202" s="372">
        <v>2289.3266134</v>
      </c>
      <c r="AC1202" s="372">
        <v>2620.6478547000002</v>
      </c>
      <c r="AD1202" s="372">
        <v>3381.8314240999998</v>
      </c>
      <c r="AE1202" s="372">
        <v>0</v>
      </c>
      <c r="AF1202" s="372">
        <v>0</v>
      </c>
      <c r="AG1202" s="372">
        <v>0</v>
      </c>
      <c r="AH1202" s="372">
        <v>0</v>
      </c>
    </row>
    <row r="1203" spans="1:34">
      <c r="A1203" s="372" t="s">
        <v>8202</v>
      </c>
      <c r="B1203" s="373" t="s">
        <v>8203</v>
      </c>
      <c r="C1203" s="372" t="s">
        <v>8204</v>
      </c>
      <c r="D1203" s="374">
        <v>1345110144268</v>
      </c>
      <c r="E1203" s="372" t="s">
        <v>8205</v>
      </c>
      <c r="F1203" s="375" t="s">
        <v>3591</v>
      </c>
      <c r="G1203" s="375" t="s">
        <v>3592</v>
      </c>
      <c r="H1203" s="375" t="s">
        <v>861</v>
      </c>
      <c r="I1203" s="375" t="s">
        <v>862</v>
      </c>
      <c r="J1203" s="375">
        <v>575191.09488999995</v>
      </c>
      <c r="K1203" s="375">
        <v>14413.484759999999</v>
      </c>
      <c r="L1203" s="375">
        <v>-85093.627949999995</v>
      </c>
      <c r="M1203" s="375">
        <v>200677.95647999999</v>
      </c>
      <c r="N1203" s="372">
        <v>0.94</v>
      </c>
      <c r="O1203" s="704">
        <v>311.91850022915975</v>
      </c>
      <c r="P1203" s="375" t="s">
        <v>622</v>
      </c>
      <c r="Q1203" s="372" t="s">
        <v>622</v>
      </c>
      <c r="R1203" s="696">
        <v>20091116</v>
      </c>
      <c r="S1203" s="372" t="s">
        <v>8206</v>
      </c>
      <c r="T1203" s="697" t="s">
        <v>771</v>
      </c>
      <c r="U1203" s="372" t="s">
        <v>8207</v>
      </c>
      <c r="V1203" s="723">
        <v>11.48</v>
      </c>
      <c r="W1203" s="723">
        <v>0.43</v>
      </c>
      <c r="X1203" s="723">
        <v>0.14000000000000001</v>
      </c>
      <c r="Y1203" s="723" t="s">
        <v>773</v>
      </c>
      <c r="Z1203" s="382" t="s">
        <v>927</v>
      </c>
      <c r="AA1203" s="372">
        <v>8746.1129772000004</v>
      </c>
      <c r="AB1203" s="372">
        <v>6438.8790172999998</v>
      </c>
      <c r="AC1203" s="372">
        <v>6894.7525298</v>
      </c>
      <c r="AD1203" s="372">
        <v>6526.3370403999998</v>
      </c>
      <c r="AE1203" s="372">
        <v>0</v>
      </c>
      <c r="AF1203" s="372">
        <v>0</v>
      </c>
      <c r="AG1203" s="372">
        <v>0</v>
      </c>
      <c r="AH1203" s="372">
        <v>0</v>
      </c>
    </row>
    <row r="1204" spans="1:34">
      <c r="A1204" s="372" t="s">
        <v>8208</v>
      </c>
      <c r="B1204" s="373" t="s">
        <v>8209</v>
      </c>
      <c r="C1204" s="372" t="s">
        <v>8210</v>
      </c>
      <c r="D1204" s="374">
        <v>1101110010001</v>
      </c>
      <c r="E1204" s="372" t="s">
        <v>8211</v>
      </c>
      <c r="F1204" s="375" t="s">
        <v>2864</v>
      </c>
      <c r="G1204" s="375" t="s">
        <v>2865</v>
      </c>
      <c r="H1204" s="375" t="s">
        <v>826</v>
      </c>
      <c r="I1204" s="375" t="s">
        <v>754</v>
      </c>
      <c r="J1204" s="375">
        <v>123995.34565</v>
      </c>
      <c r="K1204" s="375">
        <v>8271.4695200000006</v>
      </c>
      <c r="L1204" s="375">
        <v>14428.73251</v>
      </c>
      <c r="M1204" s="375">
        <v>73548.555800000002</v>
      </c>
      <c r="N1204" s="372">
        <v>0.59299999999999997</v>
      </c>
      <c r="O1204" s="704">
        <v>27.641041550851682</v>
      </c>
      <c r="P1204" s="375" t="s">
        <v>622</v>
      </c>
      <c r="Q1204" s="375" t="s">
        <v>622</v>
      </c>
      <c r="R1204" s="696">
        <v>19760630</v>
      </c>
      <c r="S1204" s="375" t="s">
        <v>8212</v>
      </c>
      <c r="T1204" s="697">
        <v>0.20900000000000002</v>
      </c>
      <c r="U1204" s="372" t="s">
        <v>8213</v>
      </c>
      <c r="V1204" s="723">
        <v>15.04</v>
      </c>
      <c r="W1204" s="723">
        <v>2.48</v>
      </c>
      <c r="X1204" s="723">
        <v>1.51</v>
      </c>
      <c r="Y1204" s="723">
        <v>8.7899999999999991</v>
      </c>
      <c r="Z1204" s="382">
        <v>8.8356727885503306E-2</v>
      </c>
      <c r="AA1204" s="372">
        <v>1176.5777691999999</v>
      </c>
      <c r="AB1204" s="372">
        <v>1332.697762</v>
      </c>
      <c r="AC1204" s="372">
        <v>1352.5643603999999</v>
      </c>
      <c r="AD1204" s="372">
        <v>1225.8670781000001</v>
      </c>
      <c r="AE1204" s="372">
        <v>1369</v>
      </c>
      <c r="AF1204" s="372">
        <v>1592.5</v>
      </c>
      <c r="AG1204" s="372">
        <v>1720</v>
      </c>
      <c r="AH1204" s="372">
        <v>0</v>
      </c>
    </row>
    <row r="1205" spans="1:34">
      <c r="A1205" s="372" t="s">
        <v>8214</v>
      </c>
      <c r="B1205" s="373" t="s">
        <v>8215</v>
      </c>
      <c r="C1205" s="372" t="s">
        <v>8216</v>
      </c>
      <c r="D1205" s="374">
        <v>1101110016679</v>
      </c>
      <c r="E1205" s="372" t="s">
        <v>8217</v>
      </c>
      <c r="F1205" s="375" t="s">
        <v>1323</v>
      </c>
      <c r="G1205" s="375" t="s">
        <v>16106</v>
      </c>
      <c r="H1205" s="375" t="s">
        <v>784</v>
      </c>
      <c r="I1205" s="375" t="s">
        <v>754</v>
      </c>
      <c r="J1205" s="375">
        <v>212424.25846000001</v>
      </c>
      <c r="K1205" s="375">
        <v>5152.2389000000003</v>
      </c>
      <c r="L1205" s="375">
        <v>3001.5871699999998</v>
      </c>
      <c r="M1205" s="375">
        <v>174646.285</v>
      </c>
      <c r="N1205" s="372">
        <v>0.42699999999999999</v>
      </c>
      <c r="O1205" s="704">
        <v>42.926442618208419</v>
      </c>
      <c r="P1205" s="375" t="s">
        <v>622</v>
      </c>
      <c r="Q1205" s="375" t="s">
        <v>622</v>
      </c>
      <c r="R1205" s="696">
        <v>19850529</v>
      </c>
      <c r="S1205" s="375" t="s">
        <v>8218</v>
      </c>
      <c r="T1205" s="697">
        <v>0.20900000000000002</v>
      </c>
      <c r="U1205" s="375" t="s">
        <v>8219</v>
      </c>
      <c r="V1205" s="723">
        <v>45.86</v>
      </c>
      <c r="W1205" s="723">
        <v>1.95</v>
      </c>
      <c r="X1205" s="723">
        <v>1.51</v>
      </c>
      <c r="Y1205" s="723" t="s">
        <v>773</v>
      </c>
      <c r="Z1205" s="382">
        <v>0.12899563409891046</v>
      </c>
      <c r="AA1205" s="372">
        <v>1229.9899215</v>
      </c>
      <c r="AB1205" s="372">
        <v>1342.4677787999999</v>
      </c>
      <c r="AC1205" s="372">
        <v>1796.7610824000001</v>
      </c>
      <c r="AD1205" s="372">
        <v>1963.4580784</v>
      </c>
      <c r="AE1205" s="372">
        <v>2420</v>
      </c>
      <c r="AF1205" s="372">
        <v>2780</v>
      </c>
      <c r="AG1205" s="372">
        <v>3190</v>
      </c>
      <c r="AH1205" s="372">
        <v>3620</v>
      </c>
    </row>
    <row r="1206" spans="1:34">
      <c r="A1206" s="372" t="s">
        <v>8220</v>
      </c>
      <c r="B1206" s="373" t="s">
        <v>8221</v>
      </c>
      <c r="C1206" s="372" t="s">
        <v>8222</v>
      </c>
      <c r="D1206" s="374">
        <v>1101116108587</v>
      </c>
      <c r="E1206" s="372" t="s">
        <v>8223</v>
      </c>
      <c r="F1206" s="372" t="s">
        <v>5769</v>
      </c>
      <c r="G1206" s="375" t="s">
        <v>5769</v>
      </c>
      <c r="H1206" s="375" t="s">
        <v>1337</v>
      </c>
      <c r="I1206" s="375" t="s">
        <v>862</v>
      </c>
      <c r="J1206" s="375">
        <v>4744.9582499999997</v>
      </c>
      <c r="K1206" s="375">
        <v>-2660.6001200000001</v>
      </c>
      <c r="L1206" s="375">
        <v>3135.5278800000001</v>
      </c>
      <c r="M1206" s="375">
        <v>38552.295590000002</v>
      </c>
      <c r="N1206" s="372">
        <v>-0.185</v>
      </c>
      <c r="O1206" s="704">
        <v>6.097448026687605</v>
      </c>
      <c r="P1206" s="375" t="s">
        <v>622</v>
      </c>
      <c r="Q1206" s="375" t="s">
        <v>622</v>
      </c>
      <c r="R1206" s="696">
        <v>20160908</v>
      </c>
      <c r="S1206" s="375" t="s">
        <v>8224</v>
      </c>
      <c r="T1206" s="697">
        <v>0.20900000000000002</v>
      </c>
      <c r="U1206" s="372" t="s">
        <v>8225</v>
      </c>
      <c r="V1206" s="723">
        <v>0</v>
      </c>
      <c r="W1206" s="723">
        <v>0</v>
      </c>
      <c r="X1206" s="723">
        <v>0</v>
      </c>
      <c r="Y1206" s="723">
        <v>0</v>
      </c>
      <c r="Z1206" s="382" t="s">
        <v>927</v>
      </c>
      <c r="AA1206" s="372">
        <v>138.92032119999999</v>
      </c>
      <c r="AB1206" s="372">
        <v>152.14261970000001</v>
      </c>
      <c r="AC1206" s="372">
        <v>196.6510394</v>
      </c>
      <c r="AD1206" s="372">
        <v>190.8238911</v>
      </c>
      <c r="AE1206" s="372">
        <v>0</v>
      </c>
      <c r="AF1206" s="372">
        <v>0</v>
      </c>
      <c r="AG1206" s="372">
        <v>0</v>
      </c>
      <c r="AH1206" s="372">
        <v>0</v>
      </c>
    </row>
    <row r="1207" spans="1:34">
      <c r="A1207" s="372" t="s">
        <v>8226</v>
      </c>
      <c r="B1207" s="373" t="s">
        <v>8227</v>
      </c>
      <c r="C1207" s="372" t="s">
        <v>8228</v>
      </c>
      <c r="D1207" s="374">
        <v>1101112499641</v>
      </c>
      <c r="E1207" s="372" t="s">
        <v>8229</v>
      </c>
      <c r="F1207" s="375" t="s">
        <v>1006</v>
      </c>
      <c r="G1207" s="375" t="s">
        <v>1006</v>
      </c>
      <c r="H1207" s="375" t="s">
        <v>861</v>
      </c>
      <c r="I1207" s="375" t="s">
        <v>862</v>
      </c>
      <c r="J1207" s="375">
        <v>4353.0750900000003</v>
      </c>
      <c r="K1207" s="375">
        <v>-7389.0905599999996</v>
      </c>
      <c r="L1207" s="375">
        <v>-6604.6274999999996</v>
      </c>
      <c r="M1207" s="375">
        <v>18465.424360000001</v>
      </c>
      <c r="N1207" s="372">
        <v>0.53200000000000003</v>
      </c>
      <c r="O1207" s="704">
        <v>1.1743564685542518</v>
      </c>
      <c r="P1207" s="375" t="s">
        <v>622</v>
      </c>
      <c r="Q1207" s="375" t="s">
        <v>622</v>
      </c>
      <c r="R1207" s="696">
        <v>20220204</v>
      </c>
      <c r="S1207" s="375" t="s">
        <v>8230</v>
      </c>
      <c r="T1207" s="697" t="s">
        <v>771</v>
      </c>
      <c r="U1207" s="372" t="s">
        <v>8231</v>
      </c>
      <c r="V1207" s="723" t="s">
        <v>773</v>
      </c>
      <c r="W1207" s="723">
        <v>2.76</v>
      </c>
      <c r="X1207" s="723">
        <v>11.69</v>
      </c>
      <c r="Y1207" s="723" t="s">
        <v>773</v>
      </c>
      <c r="Z1207" s="382" t="s">
        <v>927</v>
      </c>
      <c r="AA1207" s="372">
        <v>47.122664100000001</v>
      </c>
      <c r="AB1207" s="372">
        <v>61.134198400000002</v>
      </c>
      <c r="AC1207" s="372">
        <v>36.433138900000003</v>
      </c>
      <c r="AD1207" s="372">
        <v>62.475586100000001</v>
      </c>
      <c r="AE1207" s="372">
        <v>143</v>
      </c>
      <c r="AF1207" s="372">
        <v>169</v>
      </c>
      <c r="AG1207" s="372">
        <v>0</v>
      </c>
      <c r="AH1207" s="372">
        <v>0</v>
      </c>
    </row>
    <row r="1208" spans="1:34">
      <c r="A1208" s="372" t="s">
        <v>8232</v>
      </c>
      <c r="B1208" s="373" t="s">
        <v>8233</v>
      </c>
      <c r="C1208" s="372" t="s">
        <v>8234</v>
      </c>
      <c r="D1208" s="374">
        <v>1101110963341</v>
      </c>
      <c r="E1208" s="372" t="s">
        <v>8235</v>
      </c>
      <c r="F1208" s="375" t="s">
        <v>1275</v>
      </c>
      <c r="G1208" s="375" t="s">
        <v>1275</v>
      </c>
      <c r="H1208" s="375" t="s">
        <v>861</v>
      </c>
      <c r="I1208" s="375" t="s">
        <v>862</v>
      </c>
      <c r="J1208" s="375">
        <v>49823.749940000002</v>
      </c>
      <c r="K1208" s="375">
        <v>-11736.96963</v>
      </c>
      <c r="L1208" s="375">
        <v>-24459.738969999999</v>
      </c>
      <c r="M1208" s="375">
        <v>92394.886589999995</v>
      </c>
      <c r="N1208" s="372">
        <v>0.98799999999999999</v>
      </c>
      <c r="O1208" s="704">
        <v>67.380441990491391</v>
      </c>
      <c r="P1208" s="375" t="s">
        <v>622</v>
      </c>
      <c r="Q1208" s="372" t="s">
        <v>622</v>
      </c>
      <c r="R1208" s="696">
        <v>20000425</v>
      </c>
      <c r="S1208" s="372" t="s">
        <v>8236</v>
      </c>
      <c r="T1208" s="697" t="s">
        <v>771</v>
      </c>
      <c r="U1208" s="372" t="s">
        <v>8237</v>
      </c>
      <c r="V1208" s="723" t="s">
        <v>773</v>
      </c>
      <c r="W1208" s="723">
        <v>0.88</v>
      </c>
      <c r="X1208" s="723">
        <v>1.46</v>
      </c>
      <c r="Y1208" s="723" t="s">
        <v>773</v>
      </c>
      <c r="Z1208" s="382" t="s">
        <v>927</v>
      </c>
      <c r="AA1208" s="372">
        <v>584.49522460000003</v>
      </c>
      <c r="AB1208" s="372">
        <v>812.28449880000005</v>
      </c>
      <c r="AC1208" s="372">
        <v>742.14714549999997</v>
      </c>
      <c r="AD1208" s="372">
        <v>591.79508580000004</v>
      </c>
      <c r="AE1208" s="372">
        <v>0</v>
      </c>
      <c r="AF1208" s="372">
        <v>0</v>
      </c>
      <c r="AG1208" s="372">
        <v>0</v>
      </c>
      <c r="AH1208" s="372">
        <v>0</v>
      </c>
    </row>
    <row r="1209" spans="1:34">
      <c r="A1209" s="372" t="s">
        <v>8238</v>
      </c>
      <c r="B1209" s="373" t="s">
        <v>8239</v>
      </c>
      <c r="C1209" s="372" t="s">
        <v>8240</v>
      </c>
      <c r="D1209" s="374">
        <v>1348110001256</v>
      </c>
      <c r="E1209" s="372" t="s">
        <v>8241</v>
      </c>
      <c r="F1209" s="372" t="s">
        <v>7807</v>
      </c>
      <c r="G1209" s="375" t="s">
        <v>8242</v>
      </c>
      <c r="H1209" s="375" t="s">
        <v>846</v>
      </c>
      <c r="I1209" s="375" t="s">
        <v>754</v>
      </c>
      <c r="J1209" s="375">
        <v>186382.34323999999</v>
      </c>
      <c r="K1209" s="375">
        <v>3068.3473600000002</v>
      </c>
      <c r="L1209" s="375">
        <v>4279.8177100000003</v>
      </c>
      <c r="M1209" s="375">
        <v>84276.225179999994</v>
      </c>
      <c r="N1209" s="372">
        <v>0.48899999999999999</v>
      </c>
      <c r="O1209" s="704">
        <v>38.255108443118715</v>
      </c>
      <c r="P1209" s="375" t="s">
        <v>622</v>
      </c>
      <c r="Q1209" s="375" t="s">
        <v>622</v>
      </c>
      <c r="R1209" s="696">
        <v>19750930</v>
      </c>
      <c r="S1209" s="375" t="s">
        <v>8243</v>
      </c>
      <c r="T1209" s="697">
        <v>0.20900000000000002</v>
      </c>
      <c r="U1209" s="372" t="s">
        <v>8244</v>
      </c>
      <c r="V1209" s="723">
        <v>0</v>
      </c>
      <c r="W1209" s="723">
        <v>0</v>
      </c>
      <c r="X1209" s="723">
        <v>0</v>
      </c>
      <c r="Y1209" s="723">
        <v>0</v>
      </c>
      <c r="Z1209" s="382" t="s">
        <v>927</v>
      </c>
      <c r="AA1209" s="372">
        <v>1724.4151454</v>
      </c>
      <c r="AB1209" s="372">
        <v>1935.1709980999999</v>
      </c>
      <c r="AC1209" s="372">
        <v>2027.2899044000001</v>
      </c>
      <c r="AD1209" s="372">
        <v>1842.995762</v>
      </c>
      <c r="AE1209" s="372">
        <v>0</v>
      </c>
      <c r="AF1209" s="372">
        <v>0</v>
      </c>
      <c r="AG1209" s="372">
        <v>0</v>
      </c>
      <c r="AH1209" s="372">
        <v>0</v>
      </c>
    </row>
    <row r="1210" spans="1:34">
      <c r="A1210" s="372" t="s">
        <v>8245</v>
      </c>
      <c r="B1210" s="373" t="s">
        <v>8246</v>
      </c>
      <c r="C1210" s="372" t="s">
        <v>8247</v>
      </c>
      <c r="D1210" s="374">
        <v>1345110147171</v>
      </c>
      <c r="E1210" s="372" t="s">
        <v>8248</v>
      </c>
      <c r="F1210" s="372" t="s">
        <v>1275</v>
      </c>
      <c r="G1210" s="375" t="s">
        <v>1275</v>
      </c>
      <c r="H1210" s="375" t="s">
        <v>861</v>
      </c>
      <c r="I1210" s="375" t="s">
        <v>862</v>
      </c>
      <c r="J1210" s="375">
        <v>70992.71011</v>
      </c>
      <c r="K1210" s="375">
        <v>-4902.5073700000003</v>
      </c>
      <c r="L1210" s="375">
        <v>-6379.2276000000002</v>
      </c>
      <c r="M1210" s="375">
        <v>30572.366249999999</v>
      </c>
      <c r="N1210" s="372">
        <v>1.476</v>
      </c>
      <c r="O1210" s="704">
        <v>22.74949601548979</v>
      </c>
      <c r="P1210" s="375" t="s">
        <v>622</v>
      </c>
      <c r="Q1210" s="375" t="s">
        <v>622</v>
      </c>
      <c r="R1210" s="696">
        <v>20170811</v>
      </c>
      <c r="S1210" s="375" t="s">
        <v>8249</v>
      </c>
      <c r="T1210" s="697" t="s">
        <v>771</v>
      </c>
      <c r="U1210" s="372" t="s">
        <v>8250</v>
      </c>
      <c r="V1210" s="723" t="s">
        <v>773</v>
      </c>
      <c r="W1210" s="723">
        <v>3.58</v>
      </c>
      <c r="X1210" s="723">
        <v>1.57</v>
      </c>
      <c r="Y1210" s="723" t="s">
        <v>773</v>
      </c>
      <c r="Z1210" s="382" t="s">
        <v>927</v>
      </c>
      <c r="AA1210" s="372">
        <v>987.49760819999995</v>
      </c>
      <c r="AB1210" s="372">
        <v>1134.2972950000001</v>
      </c>
      <c r="AC1210" s="372">
        <v>1024.4880246</v>
      </c>
      <c r="AD1210" s="372">
        <v>797.47736810000004</v>
      </c>
      <c r="AE1210" s="372">
        <v>1480</v>
      </c>
      <c r="AF1210" s="372">
        <v>0</v>
      </c>
      <c r="AG1210" s="372">
        <v>0</v>
      </c>
      <c r="AH1210" s="372">
        <v>0</v>
      </c>
    </row>
    <row r="1211" spans="1:34">
      <c r="A1211" s="372" t="s">
        <v>8251</v>
      </c>
      <c r="B1211" s="373" t="s">
        <v>8252</v>
      </c>
      <c r="C1211" s="372" t="s">
        <v>8253</v>
      </c>
      <c r="D1211" s="374">
        <v>1601110176572</v>
      </c>
      <c r="E1211" s="372" t="s">
        <v>8254</v>
      </c>
      <c r="F1211" s="375" t="s">
        <v>3121</v>
      </c>
      <c r="G1211" s="375" t="s">
        <v>3121</v>
      </c>
      <c r="H1211" s="375" t="s">
        <v>861</v>
      </c>
      <c r="I1211" s="375" t="s">
        <v>862</v>
      </c>
      <c r="J1211" s="375">
        <v>15320.510700000001</v>
      </c>
      <c r="K1211" s="375">
        <v>-2474.3633300000001</v>
      </c>
      <c r="L1211" s="375">
        <v>-805.65602000000001</v>
      </c>
      <c r="M1211" s="375">
        <v>-15023.748089999999</v>
      </c>
      <c r="N1211" s="372" t="s">
        <v>1026</v>
      </c>
      <c r="O1211" s="704">
        <v>19.80961866652769</v>
      </c>
      <c r="P1211" s="375" t="s">
        <v>16115</v>
      </c>
      <c r="Q1211" s="372" t="s">
        <v>16116</v>
      </c>
      <c r="R1211" s="696">
        <v>20171226</v>
      </c>
      <c r="S1211" s="372" t="s">
        <v>8255</v>
      </c>
      <c r="T1211" s="697" t="s">
        <v>771</v>
      </c>
      <c r="U1211" s="372" t="s">
        <v>8256</v>
      </c>
      <c r="V1211" s="723" t="s">
        <v>773</v>
      </c>
      <c r="W1211" s="723" t="s">
        <v>773</v>
      </c>
      <c r="X1211" s="723">
        <v>8.6199999999999992</v>
      </c>
      <c r="Y1211" s="723" t="s">
        <v>773</v>
      </c>
      <c r="Z1211" s="382" t="s">
        <v>927</v>
      </c>
      <c r="AA1211" s="372">
        <v>196.00403610000001</v>
      </c>
      <c r="AB1211" s="372">
        <v>169.69391150000001</v>
      </c>
      <c r="AC1211" s="372">
        <v>265.38567310000002</v>
      </c>
      <c r="AD1211" s="372">
        <v>144.9695778</v>
      </c>
      <c r="AE1211" s="372">
        <v>0</v>
      </c>
      <c r="AF1211" s="372">
        <v>0</v>
      </c>
      <c r="AG1211" s="372">
        <v>0</v>
      </c>
      <c r="AH1211" s="372">
        <v>0</v>
      </c>
    </row>
    <row r="1212" spans="1:34">
      <c r="A1212" s="372" t="s">
        <v>8257</v>
      </c>
      <c r="B1212" s="373" t="s">
        <v>8258</v>
      </c>
      <c r="C1212" s="372" t="s">
        <v>8259</v>
      </c>
      <c r="D1212" s="374">
        <v>1101111549786</v>
      </c>
      <c r="E1212" s="372" t="s">
        <v>8260</v>
      </c>
      <c r="F1212" s="375" t="s">
        <v>2032</v>
      </c>
      <c r="G1212" s="375" t="s">
        <v>2033</v>
      </c>
      <c r="H1212" s="375" t="s">
        <v>1531</v>
      </c>
      <c r="I1212" s="375" t="s">
        <v>862</v>
      </c>
      <c r="J1212" s="375">
        <v>244177.70806999999</v>
      </c>
      <c r="K1212" s="375">
        <v>-6606.6746700000003</v>
      </c>
      <c r="L1212" s="375">
        <v>-63713.499459999999</v>
      </c>
      <c r="M1212" s="375">
        <v>321272.41954999999</v>
      </c>
      <c r="N1212" s="372">
        <v>0.624</v>
      </c>
      <c r="O1212" s="704">
        <v>22.138612689298071</v>
      </c>
      <c r="P1212" s="375" t="s">
        <v>16115</v>
      </c>
      <c r="Q1212" s="372" t="s">
        <v>16116</v>
      </c>
      <c r="R1212" s="696">
        <v>20021220</v>
      </c>
      <c r="S1212" s="372" t="s">
        <v>8261</v>
      </c>
      <c r="T1212" s="697" t="s">
        <v>771</v>
      </c>
      <c r="U1212" s="372" t="s">
        <v>8262</v>
      </c>
      <c r="V1212" s="723">
        <v>4.33</v>
      </c>
      <c r="W1212" s="723">
        <v>0.44</v>
      </c>
      <c r="X1212" s="723">
        <v>0.54</v>
      </c>
      <c r="Y1212" s="723" t="s">
        <v>773</v>
      </c>
      <c r="Z1212" s="382" t="s">
        <v>927</v>
      </c>
      <c r="AA1212" s="372">
        <v>467.40870589999997</v>
      </c>
      <c r="AB1212" s="372">
        <v>1491.1004144999999</v>
      </c>
      <c r="AC1212" s="372">
        <v>1925.4218913</v>
      </c>
      <c r="AD1212" s="372">
        <v>2413.1582044000002</v>
      </c>
      <c r="AE1212" s="372">
        <v>0</v>
      </c>
      <c r="AF1212" s="372">
        <v>0</v>
      </c>
      <c r="AG1212" s="372">
        <v>0</v>
      </c>
      <c r="AH1212" s="372">
        <v>0</v>
      </c>
    </row>
    <row r="1213" spans="1:34">
      <c r="A1213" s="372" t="s">
        <v>8263</v>
      </c>
      <c r="B1213" s="373" t="s">
        <v>8264</v>
      </c>
      <c r="C1213" s="372" t="s">
        <v>8265</v>
      </c>
      <c r="D1213" s="374">
        <v>1350110119749</v>
      </c>
      <c r="E1213" s="372" t="s">
        <v>8266</v>
      </c>
      <c r="F1213" s="375" t="s">
        <v>7044</v>
      </c>
      <c r="G1213" s="375" t="s">
        <v>8267</v>
      </c>
      <c r="H1213" s="375" t="s">
        <v>861</v>
      </c>
      <c r="I1213" s="375" t="s">
        <v>862</v>
      </c>
      <c r="J1213" s="375">
        <v>82903.273319999993</v>
      </c>
      <c r="K1213" s="375">
        <v>-1766.25414</v>
      </c>
      <c r="L1213" s="375">
        <v>-5120.6429200000002</v>
      </c>
      <c r="M1213" s="375">
        <v>52885.357409999997</v>
      </c>
      <c r="N1213" s="372">
        <v>1.1359999999999999</v>
      </c>
      <c r="O1213" s="704">
        <v>80.833711837388506</v>
      </c>
      <c r="P1213" s="375" t="s">
        <v>622</v>
      </c>
      <c r="Q1213" s="375" t="s">
        <v>622</v>
      </c>
      <c r="R1213" s="696">
        <v>20211007</v>
      </c>
      <c r="S1213" s="375" t="s">
        <v>8268</v>
      </c>
      <c r="T1213" s="697" t="s">
        <v>771</v>
      </c>
      <c r="U1213" s="372" t="s">
        <v>8269</v>
      </c>
      <c r="V1213" s="723">
        <v>87.8</v>
      </c>
      <c r="W1213" s="723">
        <v>1.7</v>
      </c>
      <c r="X1213" s="723">
        <v>1.17</v>
      </c>
      <c r="Y1213" s="723" t="s">
        <v>773</v>
      </c>
      <c r="Z1213" s="382">
        <v>0.20686646318092428</v>
      </c>
      <c r="AA1213" s="372">
        <v>447.96833270000002</v>
      </c>
      <c r="AB1213" s="372">
        <v>588.94552599999997</v>
      </c>
      <c r="AC1213" s="372">
        <v>886.5576757</v>
      </c>
      <c r="AD1213" s="372">
        <v>868.73727989999998</v>
      </c>
      <c r="AE1213" s="372">
        <v>805</v>
      </c>
      <c r="AF1213" s="372">
        <v>1118</v>
      </c>
      <c r="AG1213" s="372">
        <v>1843</v>
      </c>
      <c r="AH1213" s="372">
        <v>0</v>
      </c>
    </row>
    <row r="1214" spans="1:34">
      <c r="A1214" s="372" t="s">
        <v>8270</v>
      </c>
      <c r="B1214" s="373" t="s">
        <v>8271</v>
      </c>
      <c r="C1214" s="372" t="s">
        <v>16082</v>
      </c>
      <c r="D1214" s="374">
        <v>1341110000400</v>
      </c>
      <c r="E1214" s="372" t="s">
        <v>8272</v>
      </c>
      <c r="F1214" s="375" t="s">
        <v>7212</v>
      </c>
      <c r="G1214" s="375" t="s">
        <v>8273</v>
      </c>
      <c r="H1214" s="375" t="s">
        <v>861</v>
      </c>
      <c r="I1214" s="375" t="s">
        <v>4413</v>
      </c>
      <c r="J1214" s="375">
        <v>148561.67478999999</v>
      </c>
      <c r="K1214" s="375">
        <v>-5165.7599799999998</v>
      </c>
      <c r="L1214" s="375">
        <v>-5223.9433799999997</v>
      </c>
      <c r="M1214" s="375">
        <v>136738.54159000001</v>
      </c>
      <c r="N1214" s="372" t="s">
        <v>1026</v>
      </c>
      <c r="O1214" s="704" t="e">
        <v>#DIV/0!</v>
      </c>
      <c r="P1214" s="375" t="s">
        <v>622</v>
      </c>
      <c r="Q1214" s="372" t="s">
        <v>622</v>
      </c>
      <c r="R1214" s="696">
        <v>19931222</v>
      </c>
      <c r="S1214" s="375" t="e">
        <v>#N/A</v>
      </c>
      <c r="T1214" s="697" t="s">
        <v>771</v>
      </c>
      <c r="U1214" s="372" t="s">
        <v>5744</v>
      </c>
      <c r="V1214" s="723">
        <v>7.46</v>
      </c>
      <c r="W1214" s="723">
        <v>0</v>
      </c>
      <c r="X1214" s="723">
        <v>0</v>
      </c>
      <c r="Y1214" s="723">
        <v>0</v>
      </c>
      <c r="Z1214" s="382" t="s">
        <v>927</v>
      </c>
      <c r="AA1214" s="372">
        <v>2140.2456354999999</v>
      </c>
      <c r="AB1214" s="372">
        <v>1275.5743084999999</v>
      </c>
      <c r="AC1214" s="372">
        <v>1233.4109605000001</v>
      </c>
      <c r="AD1214" s="372">
        <v>1501.9475768</v>
      </c>
      <c r="AE1214" s="372">
        <v>0</v>
      </c>
      <c r="AF1214" s="372">
        <v>0</v>
      </c>
      <c r="AG1214" s="372">
        <v>0</v>
      </c>
      <c r="AH1214" s="372">
        <v>0</v>
      </c>
    </row>
    <row r="1215" spans="1:34">
      <c r="A1215" s="372" t="s">
        <v>8275</v>
      </c>
      <c r="B1215" s="373" t="s">
        <v>8276</v>
      </c>
      <c r="C1215" s="372" t="s">
        <v>8277</v>
      </c>
      <c r="D1215" s="374">
        <v>1801110796665</v>
      </c>
      <c r="E1215" s="372" t="s">
        <v>8278</v>
      </c>
      <c r="F1215" s="375" t="s">
        <v>5619</v>
      </c>
      <c r="G1215" s="375" t="s">
        <v>5619</v>
      </c>
      <c r="H1215" s="375" t="s">
        <v>861</v>
      </c>
      <c r="I1215" s="375" t="s">
        <v>862</v>
      </c>
      <c r="J1215" s="375">
        <v>47475.147069999999</v>
      </c>
      <c r="K1215" s="375">
        <v>4361.7779600000003</v>
      </c>
      <c r="L1215" s="375">
        <v>3777.7819300000001</v>
      </c>
      <c r="M1215" s="375">
        <v>57814.707719999999</v>
      </c>
      <c r="N1215" s="372" t="s">
        <v>1026</v>
      </c>
      <c r="O1215" s="704">
        <v>6.0419048364798424</v>
      </c>
      <c r="P1215" s="375" t="s">
        <v>622</v>
      </c>
      <c r="Q1215" s="372" t="s">
        <v>622</v>
      </c>
      <c r="R1215" s="696">
        <v>20231124</v>
      </c>
      <c r="S1215" s="375" t="s">
        <v>8279</v>
      </c>
      <c r="T1215" s="697">
        <v>0.20900000000000002</v>
      </c>
      <c r="U1215" s="372" t="s">
        <v>8280</v>
      </c>
      <c r="V1215" s="723">
        <v>0</v>
      </c>
      <c r="W1215" s="723">
        <v>0</v>
      </c>
      <c r="X1215" s="723">
        <v>0</v>
      </c>
      <c r="Y1215" s="723">
        <v>0</v>
      </c>
      <c r="Z1215" s="382" t="s">
        <v>927</v>
      </c>
      <c r="AA1215" s="372">
        <v>212.25830780000001</v>
      </c>
      <c r="AB1215" s="372">
        <v>271.99896999999999</v>
      </c>
      <c r="AC1215" s="372">
        <v>409.71122320000001</v>
      </c>
      <c r="AD1215" s="372">
        <v>477.52548300000001</v>
      </c>
      <c r="AE1215" s="372">
        <v>0</v>
      </c>
      <c r="AF1215" s="372">
        <v>0</v>
      </c>
      <c r="AG1215" s="372">
        <v>0</v>
      </c>
      <c r="AH1215" s="372">
        <v>0</v>
      </c>
    </row>
    <row r="1216" spans="1:34">
      <c r="A1216" s="372" t="s">
        <v>8281</v>
      </c>
      <c r="B1216" s="373" t="s">
        <v>8282</v>
      </c>
      <c r="C1216" s="372" t="s">
        <v>8283</v>
      </c>
      <c r="D1216" s="374">
        <v>1301110057421</v>
      </c>
      <c r="E1216" s="372" t="s">
        <v>8284</v>
      </c>
      <c r="F1216" s="372" t="s">
        <v>16101</v>
      </c>
      <c r="G1216" s="375" t="s">
        <v>16101</v>
      </c>
      <c r="H1216" s="375" t="s">
        <v>861</v>
      </c>
      <c r="I1216" s="375" t="s">
        <v>862</v>
      </c>
      <c r="J1216" s="375">
        <v>12813.049000000001</v>
      </c>
      <c r="K1216" s="375">
        <v>-5950.1169</v>
      </c>
      <c r="L1216" s="375">
        <v>-3027.6244299999998</v>
      </c>
      <c r="M1216" s="375">
        <v>36315.539640000003</v>
      </c>
      <c r="N1216" s="372">
        <v>0.873</v>
      </c>
      <c r="O1216" s="704">
        <v>19.432308810230339</v>
      </c>
      <c r="P1216" s="375" t="s">
        <v>622</v>
      </c>
      <c r="Q1216" s="372" t="s">
        <v>622</v>
      </c>
      <c r="R1216" s="696">
        <v>20180820</v>
      </c>
      <c r="S1216" s="372" t="s">
        <v>8285</v>
      </c>
      <c r="T1216" s="697" t="s">
        <v>771</v>
      </c>
      <c r="U1216" s="372" t="s">
        <v>8286</v>
      </c>
      <c r="V1216" s="723">
        <v>0</v>
      </c>
      <c r="W1216" s="723">
        <v>0</v>
      </c>
      <c r="X1216" s="723">
        <v>0</v>
      </c>
      <c r="Y1216" s="723">
        <v>0</v>
      </c>
      <c r="Z1216" s="382" t="s">
        <v>927</v>
      </c>
      <c r="AA1216" s="372">
        <v>77.441934599999996</v>
      </c>
      <c r="AB1216" s="372">
        <v>118.0225902</v>
      </c>
      <c r="AC1216" s="372">
        <v>101.016426</v>
      </c>
      <c r="AD1216" s="372">
        <v>124.61714310000001</v>
      </c>
      <c r="AE1216" s="372">
        <v>0</v>
      </c>
      <c r="AF1216" s="372">
        <v>0</v>
      </c>
      <c r="AG1216" s="372">
        <v>0</v>
      </c>
      <c r="AH1216" s="372">
        <v>0</v>
      </c>
    </row>
    <row r="1217" spans="1:34">
      <c r="A1217" s="372" t="s">
        <v>8287</v>
      </c>
      <c r="B1217" s="373" t="s">
        <v>8288</v>
      </c>
      <c r="C1217" s="372" t="s">
        <v>8289</v>
      </c>
      <c r="D1217" s="374">
        <v>1801110000537</v>
      </c>
      <c r="E1217" s="372" t="s">
        <v>8290</v>
      </c>
      <c r="F1217" s="375" t="s">
        <v>4825</v>
      </c>
      <c r="G1217" s="375" t="s">
        <v>4826</v>
      </c>
      <c r="H1217" s="375" t="s">
        <v>826</v>
      </c>
      <c r="I1217" s="375" t="s">
        <v>754</v>
      </c>
      <c r="J1217" s="375">
        <v>423113.78135</v>
      </c>
      <c r="K1217" s="375">
        <v>44858.57602</v>
      </c>
      <c r="L1217" s="375">
        <v>83095.363970000006</v>
      </c>
      <c r="M1217" s="375">
        <v>411859.53406999999</v>
      </c>
      <c r="N1217" s="372">
        <v>0.45100000000000001</v>
      </c>
      <c r="O1217" s="704">
        <v>36.091594097840776</v>
      </c>
      <c r="P1217" s="375" t="s">
        <v>622</v>
      </c>
      <c r="Q1217" s="372" t="s">
        <v>622</v>
      </c>
      <c r="R1217" s="696">
        <v>19890927</v>
      </c>
      <c r="S1217" s="372" t="s">
        <v>8291</v>
      </c>
      <c r="T1217" s="697">
        <v>0.23100000000000001</v>
      </c>
      <c r="U1217" s="372" t="s">
        <v>8292</v>
      </c>
      <c r="V1217" s="723">
        <v>0</v>
      </c>
      <c r="W1217" s="723">
        <v>0</v>
      </c>
      <c r="X1217" s="723">
        <v>0</v>
      </c>
      <c r="Y1217" s="723">
        <v>0</v>
      </c>
      <c r="Z1217" s="382" t="s">
        <v>927</v>
      </c>
      <c r="AA1217" s="372">
        <v>2775.7823492000002</v>
      </c>
      <c r="AB1217" s="372">
        <v>4062.9267273</v>
      </c>
      <c r="AC1217" s="372">
        <v>4187.8969004999999</v>
      </c>
      <c r="AD1217" s="372">
        <v>4092.3473555999999</v>
      </c>
      <c r="AE1217" s="372">
        <v>0</v>
      </c>
      <c r="AF1217" s="372">
        <v>0</v>
      </c>
      <c r="AG1217" s="372">
        <v>0</v>
      </c>
      <c r="AH1217" s="372">
        <v>0</v>
      </c>
    </row>
    <row r="1218" spans="1:34">
      <c r="A1218" s="372" t="s">
        <v>8293</v>
      </c>
      <c r="B1218" s="373" t="s">
        <v>8294</v>
      </c>
      <c r="C1218" s="372" t="s">
        <v>8295</v>
      </c>
      <c r="D1218" s="374">
        <v>1101116110045</v>
      </c>
      <c r="E1218" s="372" t="s">
        <v>8296</v>
      </c>
      <c r="F1218" s="375" t="s">
        <v>2222</v>
      </c>
      <c r="G1218" s="375" t="s">
        <v>2222</v>
      </c>
      <c r="H1218" s="375" t="s">
        <v>1316</v>
      </c>
      <c r="I1218" s="375" t="s">
        <v>754</v>
      </c>
      <c r="J1218" s="375">
        <v>399918.21623000002</v>
      </c>
      <c r="K1218" s="375">
        <v>2988.27702</v>
      </c>
      <c r="L1218" s="375">
        <v>3213.5116200000002</v>
      </c>
      <c r="M1218" s="375">
        <v>240589.71934000001</v>
      </c>
      <c r="N1218" s="372">
        <v>0.59099999999999997</v>
      </c>
      <c r="O1218" s="704">
        <v>56.729758368169904</v>
      </c>
      <c r="P1218" s="375" t="s">
        <v>622</v>
      </c>
      <c r="Q1218" s="372" t="s">
        <v>622</v>
      </c>
      <c r="R1218" s="696">
        <v>20160809</v>
      </c>
      <c r="S1218" s="372" t="s">
        <v>8297</v>
      </c>
      <c r="T1218" s="697">
        <v>0.20900000000000002</v>
      </c>
      <c r="U1218" s="375" t="s">
        <v>7909</v>
      </c>
      <c r="V1218" s="723">
        <v>6.2</v>
      </c>
      <c r="W1218" s="723">
        <v>0.54</v>
      </c>
      <c r="X1218" s="723">
        <v>0.32</v>
      </c>
      <c r="Y1218" s="723">
        <v>35.81</v>
      </c>
      <c r="Z1218" s="382" t="s">
        <v>927</v>
      </c>
      <c r="AA1218" s="372">
        <v>3189.4877895999998</v>
      </c>
      <c r="AB1218" s="372">
        <v>3487.0105431000002</v>
      </c>
      <c r="AC1218" s="372">
        <v>3711.9828096000001</v>
      </c>
      <c r="AD1218" s="372">
        <v>3834.2604074000001</v>
      </c>
      <c r="AE1218" s="372">
        <v>0</v>
      </c>
      <c r="AF1218" s="372">
        <v>0</v>
      </c>
      <c r="AG1218" s="372">
        <v>0</v>
      </c>
      <c r="AH1218" s="372">
        <v>0</v>
      </c>
    </row>
    <row r="1219" spans="1:34">
      <c r="A1219" s="372" t="s">
        <v>8298</v>
      </c>
      <c r="B1219" s="373" t="s">
        <v>8299</v>
      </c>
      <c r="C1219" s="372" t="s">
        <v>8300</v>
      </c>
      <c r="D1219" s="374">
        <v>1341110106357</v>
      </c>
      <c r="E1219" s="372" t="s">
        <v>8301</v>
      </c>
      <c r="F1219" s="372" t="s">
        <v>1962</v>
      </c>
      <c r="G1219" s="375" t="s">
        <v>1962</v>
      </c>
      <c r="H1219" s="375" t="s">
        <v>861</v>
      </c>
      <c r="I1219" s="375" t="s">
        <v>862</v>
      </c>
      <c r="J1219" s="375">
        <v>211327.65435</v>
      </c>
      <c r="K1219" s="375">
        <v>13531.522300000001</v>
      </c>
      <c r="L1219" s="375">
        <v>11927.81984</v>
      </c>
      <c r="M1219" s="375">
        <v>78954.451419999998</v>
      </c>
      <c r="N1219" s="372">
        <v>1.1910000000000001</v>
      </c>
      <c r="O1219" s="704">
        <v>84.005406309345759</v>
      </c>
      <c r="P1219" s="375" t="s">
        <v>622</v>
      </c>
      <c r="Q1219" s="372" t="s">
        <v>622</v>
      </c>
      <c r="R1219" s="696">
        <v>20170920</v>
      </c>
      <c r="S1219" s="372" t="s">
        <v>8302</v>
      </c>
      <c r="T1219" s="697">
        <v>0.20900000000000002</v>
      </c>
      <c r="U1219" s="375" t="s">
        <v>8303</v>
      </c>
      <c r="V1219" s="723">
        <v>8.51</v>
      </c>
      <c r="W1219" s="723">
        <v>1.56</v>
      </c>
      <c r="X1219" s="723">
        <v>0.61</v>
      </c>
      <c r="Y1219" s="723">
        <v>12.43</v>
      </c>
      <c r="Z1219" s="382" t="s">
        <v>927</v>
      </c>
      <c r="AA1219" s="372">
        <v>1585.4080469999999</v>
      </c>
      <c r="AB1219" s="372">
        <v>764.8180476</v>
      </c>
      <c r="AC1219" s="372">
        <v>1166.1160364</v>
      </c>
      <c r="AD1219" s="372">
        <v>3400.5160799999999</v>
      </c>
      <c r="AE1219" s="372">
        <v>3495</v>
      </c>
      <c r="AF1219" s="372">
        <v>3995</v>
      </c>
      <c r="AG1219" s="372">
        <v>0</v>
      </c>
      <c r="AH1219" s="372">
        <v>0</v>
      </c>
    </row>
    <row r="1220" spans="1:34">
      <c r="A1220" s="372" t="s">
        <v>8304</v>
      </c>
      <c r="B1220" s="373" t="s">
        <v>8305</v>
      </c>
      <c r="C1220" s="372" t="s">
        <v>8306</v>
      </c>
      <c r="D1220" s="374">
        <v>1311110056480</v>
      </c>
      <c r="E1220" s="372" t="s">
        <v>8307</v>
      </c>
      <c r="F1220" s="375" t="s">
        <v>880</v>
      </c>
      <c r="G1220" s="375" t="s">
        <v>880</v>
      </c>
      <c r="H1220" s="375" t="s">
        <v>861</v>
      </c>
      <c r="I1220" s="375" t="s">
        <v>862</v>
      </c>
      <c r="J1220" s="375">
        <v>83639.172489999997</v>
      </c>
      <c r="K1220" s="375">
        <v>4409.1152499999998</v>
      </c>
      <c r="L1220" s="375">
        <v>4480.3121099999998</v>
      </c>
      <c r="M1220" s="375">
        <v>125352.8317</v>
      </c>
      <c r="N1220" s="372">
        <v>1.0069999999999999</v>
      </c>
      <c r="O1220" s="704">
        <v>84.10822755015954</v>
      </c>
      <c r="P1220" s="375" t="s">
        <v>622</v>
      </c>
      <c r="Q1220" s="372" t="s">
        <v>622</v>
      </c>
      <c r="R1220" s="696">
        <v>20090929</v>
      </c>
      <c r="S1220" s="375" t="s">
        <v>8308</v>
      </c>
      <c r="T1220" s="697">
        <v>0.20900000000000002</v>
      </c>
      <c r="U1220" s="375" t="s">
        <v>8309</v>
      </c>
      <c r="V1220" s="723">
        <v>7.46</v>
      </c>
      <c r="W1220" s="723">
        <v>0.57999999999999996</v>
      </c>
      <c r="X1220" s="723">
        <v>0.88</v>
      </c>
      <c r="Y1220" s="723">
        <v>18.71</v>
      </c>
      <c r="Z1220" s="382" t="s">
        <v>927</v>
      </c>
      <c r="AA1220" s="372">
        <v>278.84159119999998</v>
      </c>
      <c r="AB1220" s="372">
        <v>718.31826390000003</v>
      </c>
      <c r="AC1220" s="372">
        <v>995.81713539999998</v>
      </c>
      <c r="AD1220" s="372">
        <v>953.69711649999999</v>
      </c>
      <c r="AE1220" s="372">
        <v>0</v>
      </c>
      <c r="AF1220" s="372">
        <v>0</v>
      </c>
      <c r="AG1220" s="372">
        <v>0</v>
      </c>
      <c r="AH1220" s="372">
        <v>0</v>
      </c>
    </row>
    <row r="1221" spans="1:34">
      <c r="A1221" s="372" t="s">
        <v>8310</v>
      </c>
      <c r="B1221" s="373" t="s">
        <v>8311</v>
      </c>
      <c r="C1221" s="372" t="s">
        <v>8312</v>
      </c>
      <c r="D1221" s="374">
        <v>2062110001540</v>
      </c>
      <c r="E1221" s="372" t="s">
        <v>8313</v>
      </c>
      <c r="F1221" s="375" t="s">
        <v>8314</v>
      </c>
      <c r="G1221" s="375" t="s">
        <v>8314</v>
      </c>
      <c r="H1221" s="375" t="s">
        <v>1337</v>
      </c>
      <c r="I1221" s="375" t="s">
        <v>862</v>
      </c>
      <c r="J1221" s="375">
        <v>117258.76751000001</v>
      </c>
      <c r="K1221" s="375">
        <v>31698.071650000002</v>
      </c>
      <c r="L1221" s="375">
        <v>31972.991099999999</v>
      </c>
      <c r="M1221" s="375">
        <v>282883.55114</v>
      </c>
      <c r="N1221" s="372">
        <v>0.82499999999999996</v>
      </c>
      <c r="O1221" s="704">
        <v>82.902845352116287</v>
      </c>
      <c r="P1221" s="375" t="s">
        <v>622</v>
      </c>
      <c r="Q1221" s="375" t="s">
        <v>622</v>
      </c>
      <c r="R1221" s="696">
        <v>20051223</v>
      </c>
      <c r="S1221" s="375" t="s">
        <v>8315</v>
      </c>
      <c r="T1221" s="697">
        <v>0.23100000000000001</v>
      </c>
      <c r="U1221" s="372" t="s">
        <v>8316</v>
      </c>
      <c r="V1221" s="723">
        <v>3.93</v>
      </c>
      <c r="W1221" s="723">
        <v>0.43</v>
      </c>
      <c r="X1221" s="723">
        <v>1.04</v>
      </c>
      <c r="Y1221" s="723">
        <v>4.75</v>
      </c>
      <c r="Z1221" s="382">
        <v>6.2137842591283299E-2</v>
      </c>
      <c r="AA1221" s="372">
        <v>1060.3365533000001</v>
      </c>
      <c r="AB1221" s="372">
        <v>1117.8891060000001</v>
      </c>
      <c r="AC1221" s="372">
        <v>1238.0255161</v>
      </c>
      <c r="AD1221" s="372">
        <v>1213.9616126999999</v>
      </c>
      <c r="AE1221" s="372">
        <v>1256</v>
      </c>
      <c r="AF1221" s="372">
        <v>1373</v>
      </c>
      <c r="AG1221" s="372">
        <v>1545</v>
      </c>
      <c r="AH1221" s="372">
        <v>0</v>
      </c>
    </row>
    <row r="1222" spans="1:34">
      <c r="A1222" s="372" t="s">
        <v>8317</v>
      </c>
      <c r="B1222" s="373" t="s">
        <v>8318</v>
      </c>
      <c r="C1222" s="372" t="s">
        <v>8319</v>
      </c>
      <c r="D1222" s="374">
        <v>1101112683179</v>
      </c>
      <c r="E1222" s="372" t="s">
        <v>8320</v>
      </c>
      <c r="F1222" s="375" t="s">
        <v>1370</v>
      </c>
      <c r="G1222" s="375" t="s">
        <v>1370</v>
      </c>
      <c r="H1222" s="375" t="s">
        <v>861</v>
      </c>
      <c r="I1222" s="375" t="s">
        <v>862</v>
      </c>
      <c r="J1222" s="375">
        <v>100771.81707</v>
      </c>
      <c r="K1222" s="375">
        <v>10148.533450000001</v>
      </c>
      <c r="L1222" s="375">
        <v>34795.626029999999</v>
      </c>
      <c r="M1222" s="375">
        <v>157073.75007000001</v>
      </c>
      <c r="N1222" s="372">
        <v>0.88200000000000001</v>
      </c>
      <c r="O1222" s="704">
        <v>3.2595884223438163</v>
      </c>
      <c r="P1222" s="375" t="s">
        <v>622</v>
      </c>
      <c r="Q1222" s="375" t="s">
        <v>622</v>
      </c>
      <c r="R1222" s="696">
        <v>20100526</v>
      </c>
      <c r="S1222" s="375" t="s">
        <v>8321</v>
      </c>
      <c r="T1222" s="697">
        <v>0.23100000000000001</v>
      </c>
      <c r="U1222" s="375" t="s">
        <v>8322</v>
      </c>
      <c r="V1222" s="723">
        <v>8.3800000000000008</v>
      </c>
      <c r="W1222" s="723">
        <v>0.67</v>
      </c>
      <c r="X1222" s="723">
        <v>1.04</v>
      </c>
      <c r="Y1222" s="723">
        <v>3.5</v>
      </c>
      <c r="Z1222" s="382" t="s">
        <v>927</v>
      </c>
      <c r="AA1222" s="372">
        <v>700.69398669999998</v>
      </c>
      <c r="AB1222" s="372">
        <v>781.69939460000001</v>
      </c>
      <c r="AC1222" s="372">
        <v>882.86336630000005</v>
      </c>
      <c r="AD1222" s="372">
        <v>920.18605209999998</v>
      </c>
      <c r="AE1222" s="372">
        <v>0</v>
      </c>
      <c r="AF1222" s="372">
        <v>0</v>
      </c>
      <c r="AG1222" s="372">
        <v>0</v>
      </c>
      <c r="AH1222" s="372">
        <v>0</v>
      </c>
    </row>
    <row r="1223" spans="1:34">
      <c r="A1223" s="372" t="s">
        <v>8323</v>
      </c>
      <c r="B1223" s="373" t="s">
        <v>8324</v>
      </c>
      <c r="C1223" s="372" t="s">
        <v>8325</v>
      </c>
      <c r="D1223" s="374">
        <v>1244110000662</v>
      </c>
      <c r="E1223" s="372" t="s">
        <v>8326</v>
      </c>
      <c r="F1223" s="372" t="s">
        <v>4833</v>
      </c>
      <c r="G1223" s="375" t="s">
        <v>4833</v>
      </c>
      <c r="H1223" s="375" t="s">
        <v>1316</v>
      </c>
      <c r="I1223" s="375" t="s">
        <v>754</v>
      </c>
      <c r="J1223" s="375">
        <v>681269.50392000005</v>
      </c>
      <c r="K1223" s="375">
        <v>53326.286930000002</v>
      </c>
      <c r="L1223" s="375">
        <v>34625.967340000003</v>
      </c>
      <c r="M1223" s="375">
        <v>282355.11080000002</v>
      </c>
      <c r="N1223" s="372">
        <v>0.70599999999999996</v>
      </c>
      <c r="O1223" s="704">
        <v>110.91189321933868</v>
      </c>
      <c r="P1223" s="375" t="s">
        <v>622</v>
      </c>
      <c r="Q1223" s="372" t="s">
        <v>622</v>
      </c>
      <c r="R1223" s="696">
        <v>19890624</v>
      </c>
      <c r="S1223" s="372" t="s">
        <v>8327</v>
      </c>
      <c r="T1223" s="697">
        <v>0.23100000000000001</v>
      </c>
      <c r="U1223" s="372" t="s">
        <v>8328</v>
      </c>
      <c r="V1223" s="723">
        <v>0</v>
      </c>
      <c r="W1223" s="723">
        <v>0</v>
      </c>
      <c r="X1223" s="723">
        <v>0</v>
      </c>
      <c r="Y1223" s="723">
        <v>0</v>
      </c>
      <c r="Z1223" s="382" t="s">
        <v>927</v>
      </c>
      <c r="AA1223" s="372">
        <v>3876.0362009</v>
      </c>
      <c r="AB1223" s="372">
        <v>4121.3956076000004</v>
      </c>
      <c r="AC1223" s="372">
        <v>6315.6723318000004</v>
      </c>
      <c r="AD1223" s="372">
        <v>6784.9788688999997</v>
      </c>
      <c r="AE1223" s="372">
        <v>0</v>
      </c>
      <c r="AF1223" s="372">
        <v>0</v>
      </c>
      <c r="AG1223" s="372">
        <v>0</v>
      </c>
      <c r="AH1223" s="372">
        <v>0</v>
      </c>
    </row>
    <row r="1224" spans="1:34">
      <c r="A1224" s="372" t="s">
        <v>8329</v>
      </c>
      <c r="B1224" s="373" t="s">
        <v>8330</v>
      </c>
      <c r="C1224" s="372" t="s">
        <v>8331</v>
      </c>
      <c r="D1224" s="374">
        <v>1801110051770</v>
      </c>
      <c r="E1224" s="372" t="s">
        <v>8332</v>
      </c>
      <c r="F1224" s="375" t="s">
        <v>1136</v>
      </c>
      <c r="G1224" s="375" t="s">
        <v>3128</v>
      </c>
      <c r="H1224" s="375" t="s">
        <v>861</v>
      </c>
      <c r="I1224" s="375" t="s">
        <v>862</v>
      </c>
      <c r="J1224" s="375">
        <v>534311.38656000001</v>
      </c>
      <c r="K1224" s="375">
        <v>39553.458250000003</v>
      </c>
      <c r="L1224" s="375">
        <v>38762.666270000002</v>
      </c>
      <c r="M1224" s="375">
        <v>261714.16670999999</v>
      </c>
      <c r="N1224" s="372">
        <v>0.83699999999999997</v>
      </c>
      <c r="O1224" s="704">
        <v>120.32240419024028</v>
      </c>
      <c r="P1224" s="375" t="s">
        <v>622</v>
      </c>
      <c r="Q1224" s="372" t="s">
        <v>622</v>
      </c>
      <c r="R1224" s="696">
        <v>20070529</v>
      </c>
      <c r="S1224" s="372" t="s">
        <v>8333</v>
      </c>
      <c r="T1224" s="697">
        <v>0.23100000000000001</v>
      </c>
      <c r="U1224" s="372" t="s">
        <v>8334</v>
      </c>
      <c r="V1224" s="723">
        <v>7.15</v>
      </c>
      <c r="W1224" s="723">
        <v>0.65</v>
      </c>
      <c r="X1224" s="723">
        <v>0.28000000000000003</v>
      </c>
      <c r="Y1224" s="723">
        <v>5.3</v>
      </c>
      <c r="Z1224" s="382">
        <v>-2.8307492451793426E-3</v>
      </c>
      <c r="AA1224" s="372">
        <v>4202.0292497</v>
      </c>
      <c r="AB1224" s="372">
        <v>4276.6628363999998</v>
      </c>
      <c r="AC1224" s="372">
        <v>6097.0036245000001</v>
      </c>
      <c r="AD1224" s="372">
        <v>5906.5969323999998</v>
      </c>
      <c r="AE1224" s="372">
        <v>5413</v>
      </c>
      <c r="AF1224" s="372">
        <v>5648</v>
      </c>
      <c r="AG1224" s="372">
        <v>5840</v>
      </c>
      <c r="AH1224" s="372">
        <v>0</v>
      </c>
    </row>
    <row r="1225" spans="1:34">
      <c r="A1225" s="372" t="s">
        <v>8335</v>
      </c>
      <c r="B1225" s="373" t="s">
        <v>8336</v>
      </c>
      <c r="C1225" s="372" t="s">
        <v>8337</v>
      </c>
      <c r="D1225" s="374">
        <v>1301110009498</v>
      </c>
      <c r="E1225" s="372" t="s">
        <v>8338</v>
      </c>
      <c r="F1225" s="375" t="s">
        <v>2116</v>
      </c>
      <c r="G1225" s="375" t="s">
        <v>8339</v>
      </c>
      <c r="H1225" s="375" t="s">
        <v>812</v>
      </c>
      <c r="I1225" s="375" t="s">
        <v>754</v>
      </c>
      <c r="J1225" s="375">
        <v>441929.07977999997</v>
      </c>
      <c r="K1225" s="375">
        <v>23554.354739999999</v>
      </c>
      <c r="L1225" s="375">
        <v>18926.649259999998</v>
      </c>
      <c r="M1225" s="375">
        <v>138230.04306</v>
      </c>
      <c r="N1225" s="372">
        <v>0.64600000000000002</v>
      </c>
      <c r="O1225" s="704">
        <v>88.370040815687162</v>
      </c>
      <c r="P1225" s="375" t="s">
        <v>622</v>
      </c>
      <c r="Q1225" s="372" t="s">
        <v>622</v>
      </c>
      <c r="R1225" s="696">
        <v>19950818</v>
      </c>
      <c r="S1225" s="372" t="s">
        <v>8340</v>
      </c>
      <c r="T1225" s="697">
        <v>0.20900000000000002</v>
      </c>
      <c r="U1225" s="372" t="s">
        <v>8341</v>
      </c>
      <c r="V1225" s="723">
        <v>0</v>
      </c>
      <c r="W1225" s="723">
        <v>0</v>
      </c>
      <c r="X1225" s="723">
        <v>0</v>
      </c>
      <c r="Y1225" s="723">
        <v>0</v>
      </c>
      <c r="Z1225" s="382" t="s">
        <v>927</v>
      </c>
      <c r="AA1225" s="372">
        <v>2029.3644495999999</v>
      </c>
      <c r="AB1225" s="372">
        <v>3343.5673194999999</v>
      </c>
      <c r="AC1225" s="372">
        <v>4296.1875221999999</v>
      </c>
      <c r="AD1225" s="372">
        <v>4333.7317773000004</v>
      </c>
      <c r="AE1225" s="372">
        <v>0</v>
      </c>
      <c r="AF1225" s="372">
        <v>0</v>
      </c>
      <c r="AG1225" s="372">
        <v>0</v>
      </c>
      <c r="AH1225" s="372">
        <v>0</v>
      </c>
    </row>
    <row r="1226" spans="1:34">
      <c r="A1226" s="372" t="s">
        <v>8342</v>
      </c>
      <c r="B1226" s="373" t="s">
        <v>8343</v>
      </c>
      <c r="C1226" s="372" t="s">
        <v>8344</v>
      </c>
      <c r="D1226" s="374">
        <v>1101110254104</v>
      </c>
      <c r="E1226" s="372" t="s">
        <v>8345</v>
      </c>
      <c r="F1226" s="375" t="s">
        <v>6260</v>
      </c>
      <c r="G1226" s="375" t="s">
        <v>6260</v>
      </c>
      <c r="H1226" s="375" t="s">
        <v>3957</v>
      </c>
      <c r="I1226" s="375" t="s">
        <v>754</v>
      </c>
      <c r="J1226" s="375">
        <v>280945.33729</v>
      </c>
      <c r="K1226" s="375">
        <v>5189.8273200000003</v>
      </c>
      <c r="L1226" s="375">
        <v>5471.7272000000003</v>
      </c>
      <c r="M1226" s="375">
        <v>178518.89001999999</v>
      </c>
      <c r="N1226" s="372">
        <v>1.0680000000000001</v>
      </c>
      <c r="O1226" s="704">
        <v>9.8655804810538079</v>
      </c>
      <c r="P1226" s="375" t="s">
        <v>622</v>
      </c>
      <c r="Q1226" s="372" t="s">
        <v>622</v>
      </c>
      <c r="R1226" s="696">
        <v>19900306</v>
      </c>
      <c r="S1226" s="372" t="s">
        <v>8346</v>
      </c>
      <c r="T1226" s="697">
        <v>0.20900000000000002</v>
      </c>
      <c r="U1226" s="372" t="s">
        <v>5744</v>
      </c>
      <c r="V1226" s="723">
        <v>0</v>
      </c>
      <c r="W1226" s="723">
        <v>0</v>
      </c>
      <c r="X1226" s="723">
        <v>0</v>
      </c>
      <c r="Y1226" s="723">
        <v>0</v>
      </c>
      <c r="Z1226" s="382" t="s">
        <v>927</v>
      </c>
      <c r="AA1226" s="372">
        <v>2607.0638647999999</v>
      </c>
      <c r="AB1226" s="372">
        <v>2957.6369117999998</v>
      </c>
      <c r="AC1226" s="372">
        <v>3025.5404638999998</v>
      </c>
      <c r="AD1226" s="372">
        <v>2834.6247567</v>
      </c>
      <c r="AE1226" s="372">
        <v>0</v>
      </c>
      <c r="AF1226" s="372">
        <v>0</v>
      </c>
      <c r="AG1226" s="372">
        <v>0</v>
      </c>
      <c r="AH1226" s="372">
        <v>0</v>
      </c>
    </row>
    <row r="1227" spans="1:34">
      <c r="A1227" s="372" t="s">
        <v>8347</v>
      </c>
      <c r="B1227" s="373" t="s">
        <v>8348</v>
      </c>
      <c r="C1227" s="372" t="s">
        <v>8349</v>
      </c>
      <c r="D1227" s="374">
        <v>0</v>
      </c>
      <c r="E1227" s="372" t="s">
        <v>8350</v>
      </c>
      <c r="F1227" s="375" t="s">
        <v>893</v>
      </c>
      <c r="G1227" s="375" t="s">
        <v>894</v>
      </c>
      <c r="H1227" s="375">
        <v>0</v>
      </c>
      <c r="I1227" s="375" t="s">
        <v>862</v>
      </c>
      <c r="J1227" s="375">
        <v>101782.196</v>
      </c>
      <c r="K1227" s="375">
        <v>24059.876</v>
      </c>
      <c r="L1227" s="375">
        <v>3579.2280000000001</v>
      </c>
      <c r="M1227" s="375">
        <v>456138.272</v>
      </c>
      <c r="N1227" s="372">
        <v>0.871</v>
      </c>
      <c r="O1227" s="704">
        <v>7.0310515347630549</v>
      </c>
      <c r="P1227" s="375" t="s">
        <v>622</v>
      </c>
      <c r="Q1227" s="372" t="s">
        <v>622</v>
      </c>
      <c r="R1227" s="696">
        <v>20160128</v>
      </c>
      <c r="S1227" s="372" t="s">
        <v>8351</v>
      </c>
      <c r="T1227" s="697">
        <v>0.20900000000000002</v>
      </c>
      <c r="U1227" s="372" t="s">
        <v>8352</v>
      </c>
      <c r="V1227" s="723">
        <v>3.62</v>
      </c>
      <c r="W1227" s="723">
        <v>0.31</v>
      </c>
      <c r="X1227" s="723">
        <v>1.21</v>
      </c>
      <c r="Y1227" s="723" t="s">
        <v>773</v>
      </c>
      <c r="Z1227" s="382" t="s">
        <v>927</v>
      </c>
      <c r="AA1227" s="372">
        <v>908.38702000000001</v>
      </c>
      <c r="AB1227" s="372">
        <v>622.98941000000002</v>
      </c>
      <c r="AC1227" s="372">
        <v>779.73671999999999</v>
      </c>
      <c r="AD1227" s="372">
        <v>823.34388999999999</v>
      </c>
      <c r="AE1227" s="372">
        <v>0</v>
      </c>
      <c r="AF1227" s="372">
        <v>0</v>
      </c>
      <c r="AG1227" s="372">
        <v>0</v>
      </c>
      <c r="AH1227" s="372">
        <v>0</v>
      </c>
    </row>
    <row r="1228" spans="1:34">
      <c r="A1228" s="372" t="s">
        <v>8353</v>
      </c>
      <c r="B1228" s="373" t="s">
        <v>8354</v>
      </c>
      <c r="C1228" s="372" t="s">
        <v>8355</v>
      </c>
      <c r="D1228" s="374">
        <v>1812110025384</v>
      </c>
      <c r="E1228" s="372" t="s">
        <v>8356</v>
      </c>
      <c r="F1228" s="375" t="s">
        <v>7005</v>
      </c>
      <c r="G1228" s="375" t="s">
        <v>7005</v>
      </c>
      <c r="H1228" s="375" t="s">
        <v>4847</v>
      </c>
      <c r="I1228" s="375" t="s">
        <v>862</v>
      </c>
      <c r="J1228" s="375">
        <v>266199.09990999999</v>
      </c>
      <c r="K1228" s="375">
        <v>-11511.481089999999</v>
      </c>
      <c r="L1228" s="375">
        <v>-1257.8905299999999</v>
      </c>
      <c r="M1228" s="375">
        <v>89280.781310000006</v>
      </c>
      <c r="N1228" s="372" t="s">
        <v>1026</v>
      </c>
      <c r="O1228" s="704">
        <v>23.744001587286146</v>
      </c>
      <c r="P1228" s="375" t="s">
        <v>622</v>
      </c>
      <c r="Q1228" s="372" t="s">
        <v>622</v>
      </c>
      <c r="R1228" s="696">
        <v>20230313</v>
      </c>
      <c r="S1228" s="372" t="s">
        <v>8357</v>
      </c>
      <c r="T1228" s="697" t="s">
        <v>771</v>
      </c>
      <c r="U1228" s="372" t="s">
        <v>8358</v>
      </c>
      <c r="V1228" s="723" t="s">
        <v>773</v>
      </c>
      <c r="W1228" s="723">
        <v>1.55</v>
      </c>
      <c r="X1228" s="723">
        <v>0.52</v>
      </c>
      <c r="Y1228" s="723" t="s">
        <v>773</v>
      </c>
      <c r="Z1228" s="382" t="s">
        <v>927</v>
      </c>
      <c r="AA1228" s="372">
        <v>1491.9326295999999</v>
      </c>
      <c r="AB1228" s="372">
        <v>1730.219169</v>
      </c>
      <c r="AC1228" s="372">
        <v>2305.9844457999998</v>
      </c>
      <c r="AD1228" s="372">
        <v>2388.5767913999998</v>
      </c>
      <c r="AE1228" s="372">
        <v>0</v>
      </c>
      <c r="AF1228" s="372">
        <v>0</v>
      </c>
      <c r="AG1228" s="372">
        <v>0</v>
      </c>
      <c r="AH1228" s="372">
        <v>0</v>
      </c>
    </row>
    <row r="1229" spans="1:34">
      <c r="A1229" s="372" t="s">
        <v>8359</v>
      </c>
      <c r="B1229" s="373" t="s">
        <v>8360</v>
      </c>
      <c r="C1229" s="372" t="s">
        <v>8361</v>
      </c>
      <c r="D1229" s="374">
        <v>1350110045639</v>
      </c>
      <c r="E1229" s="372" t="s">
        <v>8362</v>
      </c>
      <c r="F1229" s="375" t="s">
        <v>2834</v>
      </c>
      <c r="G1229" s="375" t="s">
        <v>2834</v>
      </c>
      <c r="H1229" s="375" t="s">
        <v>861</v>
      </c>
      <c r="I1229" s="375" t="s">
        <v>862</v>
      </c>
      <c r="J1229" s="375">
        <v>354590.03425999999</v>
      </c>
      <c r="K1229" s="375">
        <v>9714.1208100000003</v>
      </c>
      <c r="L1229" s="375">
        <v>8883.5030200000001</v>
      </c>
      <c r="M1229" s="375">
        <v>242726.39666999999</v>
      </c>
      <c r="N1229" s="372">
        <v>0.85299999999999998</v>
      </c>
      <c r="O1229" s="704">
        <v>133.32686862796825</v>
      </c>
      <c r="P1229" s="375" t="s">
        <v>622</v>
      </c>
      <c r="Q1229" s="375" t="s">
        <v>622</v>
      </c>
      <c r="R1229" s="696">
        <v>20020514</v>
      </c>
      <c r="S1229" s="372" t="s">
        <v>8363</v>
      </c>
      <c r="T1229" s="697">
        <v>0.20900000000000002</v>
      </c>
      <c r="U1229" s="372" t="s">
        <v>8364</v>
      </c>
      <c r="V1229" s="723">
        <v>6.34</v>
      </c>
      <c r="W1229" s="723">
        <v>0.42</v>
      </c>
      <c r="X1229" s="723">
        <v>0.28999999999999998</v>
      </c>
      <c r="Y1229" s="723">
        <v>31.7</v>
      </c>
      <c r="Z1229" s="382" t="s">
        <v>927</v>
      </c>
      <c r="AA1229" s="372">
        <v>2578.5791470999998</v>
      </c>
      <c r="AB1229" s="372">
        <v>3258.2406141000001</v>
      </c>
      <c r="AC1229" s="372">
        <v>3605.5433413000001</v>
      </c>
      <c r="AD1229" s="372">
        <v>3143.7811617000002</v>
      </c>
      <c r="AE1229" s="372">
        <v>0</v>
      </c>
      <c r="AF1229" s="372">
        <v>0</v>
      </c>
      <c r="AG1229" s="372">
        <v>0</v>
      </c>
      <c r="AH1229" s="372">
        <v>0</v>
      </c>
    </row>
    <row r="1230" spans="1:34">
      <c r="A1230" s="372" t="s">
        <v>8365</v>
      </c>
      <c r="B1230" s="373" t="s">
        <v>8366</v>
      </c>
      <c r="C1230" s="372" t="s">
        <v>8367</v>
      </c>
      <c r="D1230" s="374">
        <v>1101110397699</v>
      </c>
      <c r="E1230" s="372" t="s">
        <v>8368</v>
      </c>
      <c r="F1230" s="375" t="s">
        <v>1796</v>
      </c>
      <c r="G1230" s="375" t="s">
        <v>2797</v>
      </c>
      <c r="H1230" s="375" t="s">
        <v>861</v>
      </c>
      <c r="I1230" s="375" t="s">
        <v>862</v>
      </c>
      <c r="J1230" s="375">
        <v>36702.717510000002</v>
      </c>
      <c r="K1230" s="375">
        <v>7331.2328900000002</v>
      </c>
      <c r="L1230" s="375">
        <v>8701.8145600000007</v>
      </c>
      <c r="M1230" s="375">
        <v>69720.820340000006</v>
      </c>
      <c r="N1230" s="372">
        <v>1.1259999999999999</v>
      </c>
      <c r="O1230" s="704">
        <v>1.3266408201836248</v>
      </c>
      <c r="P1230" s="375" t="s">
        <v>622</v>
      </c>
      <c r="Q1230" s="372" t="s">
        <v>622</v>
      </c>
      <c r="R1230" s="696">
        <v>19970704</v>
      </c>
      <c r="S1230" s="372" t="s">
        <v>8369</v>
      </c>
      <c r="T1230" s="697">
        <v>0.20900000000000002</v>
      </c>
      <c r="U1230" s="372" t="s">
        <v>8370</v>
      </c>
      <c r="V1230" s="723">
        <v>9.8800000000000008</v>
      </c>
      <c r="W1230" s="723">
        <v>1.2</v>
      </c>
      <c r="X1230" s="723">
        <v>2.37</v>
      </c>
      <c r="Y1230" s="723">
        <v>12.03</v>
      </c>
      <c r="Z1230" s="382" t="s">
        <v>927</v>
      </c>
      <c r="AA1230" s="372">
        <v>380.10552580000001</v>
      </c>
      <c r="AB1230" s="372">
        <v>364.33517669999998</v>
      </c>
      <c r="AC1230" s="372">
        <v>351.34664620000001</v>
      </c>
      <c r="AD1230" s="372">
        <v>334.58508899999998</v>
      </c>
      <c r="AE1230" s="372">
        <v>0</v>
      </c>
      <c r="AF1230" s="372">
        <v>0</v>
      </c>
      <c r="AG1230" s="372">
        <v>0</v>
      </c>
      <c r="AH1230" s="372">
        <v>0</v>
      </c>
    </row>
    <row r="1231" spans="1:34">
      <c r="A1231" s="372" t="s">
        <v>8371</v>
      </c>
      <c r="B1231" s="373" t="s">
        <v>8372</v>
      </c>
      <c r="C1231" s="372" t="s">
        <v>8373</v>
      </c>
      <c r="D1231" s="374">
        <v>1801110162585</v>
      </c>
      <c r="E1231" s="372" t="s">
        <v>8374</v>
      </c>
      <c r="F1231" s="375" t="s">
        <v>3685</v>
      </c>
      <c r="G1231" s="375" t="s">
        <v>3685</v>
      </c>
      <c r="H1231" s="375" t="s">
        <v>1337</v>
      </c>
      <c r="I1231" s="375" t="s">
        <v>862</v>
      </c>
      <c r="J1231" s="375">
        <v>66428.953949999996</v>
      </c>
      <c r="K1231" s="375">
        <v>3805.0997900000002</v>
      </c>
      <c r="L1231" s="375">
        <v>9395.4131600000001</v>
      </c>
      <c r="M1231" s="375">
        <v>218631.95897000001</v>
      </c>
      <c r="N1231" s="372">
        <v>0.68700000000000006</v>
      </c>
      <c r="O1231" s="704">
        <v>0.46647497845708052</v>
      </c>
      <c r="P1231" s="375" t="s">
        <v>622</v>
      </c>
      <c r="Q1231" s="372" t="s">
        <v>622</v>
      </c>
      <c r="R1231" s="696">
        <v>20101103</v>
      </c>
      <c r="S1231" s="375" t="s">
        <v>8375</v>
      </c>
      <c r="T1231" s="697">
        <v>0.20900000000000002</v>
      </c>
      <c r="U1231" s="375" t="s">
        <v>8376</v>
      </c>
      <c r="V1231" s="723">
        <v>14.73</v>
      </c>
      <c r="W1231" s="723">
        <v>0.47</v>
      </c>
      <c r="X1231" s="723">
        <v>1.53</v>
      </c>
      <c r="Y1231" s="723">
        <v>13.49</v>
      </c>
      <c r="Z1231" s="382" t="s">
        <v>927</v>
      </c>
      <c r="AA1231" s="372">
        <v>573.3156209</v>
      </c>
      <c r="AB1231" s="372">
        <v>649.77971319999995</v>
      </c>
      <c r="AC1231" s="372">
        <v>659.59982379999997</v>
      </c>
      <c r="AD1231" s="372">
        <v>660.7780004</v>
      </c>
      <c r="AE1231" s="372">
        <v>0</v>
      </c>
      <c r="AF1231" s="372">
        <v>0</v>
      </c>
      <c r="AG1231" s="372">
        <v>0</v>
      </c>
      <c r="AH1231" s="372">
        <v>0</v>
      </c>
    </row>
    <row r="1232" spans="1:34">
      <c r="A1232" s="372" t="s">
        <v>8377</v>
      </c>
      <c r="B1232" s="373" t="s">
        <v>8378</v>
      </c>
      <c r="C1232" s="372" t="s">
        <v>8379</v>
      </c>
      <c r="D1232" s="374">
        <v>1101110853419</v>
      </c>
      <c r="E1232" s="372" t="s">
        <v>8380</v>
      </c>
      <c r="F1232" s="372" t="s">
        <v>3180</v>
      </c>
      <c r="G1232" s="375" t="s">
        <v>3181</v>
      </c>
      <c r="H1232" s="375" t="s">
        <v>1337</v>
      </c>
      <c r="I1232" s="375" t="s">
        <v>862</v>
      </c>
      <c r="J1232" s="375">
        <v>36646.730360000001</v>
      </c>
      <c r="K1232" s="375">
        <v>4116.6833500000002</v>
      </c>
      <c r="L1232" s="375">
        <v>3239.3276599999999</v>
      </c>
      <c r="M1232" s="375">
        <v>31099.779470000001</v>
      </c>
      <c r="N1232" s="372">
        <v>-0.16400000000000001</v>
      </c>
      <c r="O1232" s="704">
        <v>0.73281423782787347</v>
      </c>
      <c r="P1232" s="375" t="s">
        <v>622</v>
      </c>
      <c r="Q1232" s="372" t="s">
        <v>622</v>
      </c>
      <c r="R1232" s="696">
        <v>19991204</v>
      </c>
      <c r="S1232" s="372" t="s">
        <v>8381</v>
      </c>
      <c r="T1232" s="697">
        <v>0.20900000000000002</v>
      </c>
      <c r="U1232" s="372" t="s">
        <v>8382</v>
      </c>
      <c r="V1232" s="723">
        <v>15.49</v>
      </c>
      <c r="W1232" s="723">
        <v>3.09</v>
      </c>
      <c r="X1232" s="723">
        <v>2.5499999999999998</v>
      </c>
      <c r="Y1232" s="723">
        <v>39.61</v>
      </c>
      <c r="Z1232" s="382" t="s">
        <v>927</v>
      </c>
      <c r="AA1232" s="372">
        <v>509.25674770000001</v>
      </c>
      <c r="AB1232" s="372">
        <v>503.69344430000001</v>
      </c>
      <c r="AC1232" s="372">
        <v>408.99238300000002</v>
      </c>
      <c r="AD1232" s="372">
        <v>343.74009969999997</v>
      </c>
      <c r="AE1232" s="372">
        <v>0</v>
      </c>
      <c r="AF1232" s="372">
        <v>0</v>
      </c>
      <c r="AG1232" s="372">
        <v>0</v>
      </c>
      <c r="AH1232" s="372">
        <v>0</v>
      </c>
    </row>
    <row r="1233" spans="1:34">
      <c r="A1233" s="372" t="s">
        <v>8383</v>
      </c>
      <c r="B1233" s="373" t="s">
        <v>8384</v>
      </c>
      <c r="C1233" s="372" t="s">
        <v>8385</v>
      </c>
      <c r="D1233" s="374">
        <v>1301110015049</v>
      </c>
      <c r="E1233" s="372" t="s">
        <v>8386</v>
      </c>
      <c r="F1233" s="375" t="s">
        <v>8387</v>
      </c>
      <c r="G1233" s="375" t="s">
        <v>8388</v>
      </c>
      <c r="H1233" s="375">
        <v>0</v>
      </c>
      <c r="I1233" s="375" t="s">
        <v>862</v>
      </c>
      <c r="J1233" s="375">
        <v>139660.38897</v>
      </c>
      <c r="K1233" s="375">
        <v>13087.614610000001</v>
      </c>
      <c r="L1233" s="375">
        <v>12136.56703</v>
      </c>
      <c r="M1233" s="375">
        <v>267114.03834000003</v>
      </c>
      <c r="N1233" s="372">
        <v>0.61899999999999999</v>
      </c>
      <c r="O1233" s="704">
        <v>19.849741743682809</v>
      </c>
      <c r="P1233" s="375" t="s">
        <v>622</v>
      </c>
      <c r="Q1233" s="372" t="s">
        <v>622</v>
      </c>
      <c r="R1233" s="696">
        <v>20020329</v>
      </c>
      <c r="S1233" s="372" t="s">
        <v>8389</v>
      </c>
      <c r="T1233" s="697">
        <v>0.20900000000000002</v>
      </c>
      <c r="U1233" s="372" t="s">
        <v>8390</v>
      </c>
      <c r="V1233" s="723">
        <v>6.31</v>
      </c>
      <c r="W1233" s="723">
        <v>0.45</v>
      </c>
      <c r="X1233" s="723">
        <v>0.85</v>
      </c>
      <c r="Y1233" s="723">
        <v>11.55</v>
      </c>
      <c r="Z1233" s="382" t="s">
        <v>927</v>
      </c>
      <c r="AA1233" s="372">
        <v>1300.3034677999999</v>
      </c>
      <c r="AB1233" s="372">
        <v>1328.4271710999999</v>
      </c>
      <c r="AC1233" s="372">
        <v>1333.9976183000001</v>
      </c>
      <c r="AD1233" s="372">
        <v>1358.4361177999999</v>
      </c>
      <c r="AE1233" s="372">
        <v>1513</v>
      </c>
      <c r="AF1233" s="372">
        <v>1887</v>
      </c>
      <c r="AG1233" s="372">
        <v>0</v>
      </c>
      <c r="AH1233" s="372">
        <v>0</v>
      </c>
    </row>
    <row r="1234" spans="1:34">
      <c r="A1234" s="372" t="s">
        <v>8391</v>
      </c>
      <c r="B1234" s="373" t="s">
        <v>8392</v>
      </c>
      <c r="C1234" s="372" t="s">
        <v>8393</v>
      </c>
      <c r="D1234" s="374">
        <v>1311110045540</v>
      </c>
      <c r="E1234" s="372" t="s">
        <v>8394</v>
      </c>
      <c r="F1234" s="375" t="s">
        <v>2834</v>
      </c>
      <c r="G1234" s="375" t="s">
        <v>8395</v>
      </c>
      <c r="H1234" s="375" t="s">
        <v>861</v>
      </c>
      <c r="I1234" s="375" t="s">
        <v>862</v>
      </c>
      <c r="J1234" s="375">
        <v>295565.36105000001</v>
      </c>
      <c r="K1234" s="375">
        <v>3379.17346</v>
      </c>
      <c r="L1234" s="375">
        <v>-21219.229670000001</v>
      </c>
      <c r="M1234" s="375">
        <v>60838.404990000003</v>
      </c>
      <c r="N1234" s="372">
        <v>0.97199999999999998</v>
      </c>
      <c r="O1234" s="704">
        <v>123.89997369946144</v>
      </c>
      <c r="P1234" s="375" t="s">
        <v>622</v>
      </c>
      <c r="Q1234" s="372" t="s">
        <v>622</v>
      </c>
      <c r="R1234" s="696">
        <v>20071226</v>
      </c>
      <c r="S1234" s="372" t="s">
        <v>8396</v>
      </c>
      <c r="T1234" s="697" t="s">
        <v>771</v>
      </c>
      <c r="U1234" s="372" t="s">
        <v>8397</v>
      </c>
      <c r="V1234" s="723">
        <v>8.44</v>
      </c>
      <c r="W1234" s="723">
        <v>1.05</v>
      </c>
      <c r="X1234" s="723">
        <v>0.23</v>
      </c>
      <c r="Y1234" s="723" t="s">
        <v>773</v>
      </c>
      <c r="Z1234" s="382" t="s">
        <v>927</v>
      </c>
      <c r="AA1234" s="372">
        <v>1851.6827894999999</v>
      </c>
      <c r="AB1234" s="372">
        <v>1813.5041232000001</v>
      </c>
      <c r="AC1234" s="372">
        <v>2003.5785973</v>
      </c>
      <c r="AD1234" s="372">
        <v>2753.1363876999999</v>
      </c>
      <c r="AE1234" s="372">
        <v>0</v>
      </c>
      <c r="AF1234" s="372">
        <v>0</v>
      </c>
      <c r="AG1234" s="372">
        <v>0</v>
      </c>
      <c r="AH1234" s="372">
        <v>0</v>
      </c>
    </row>
    <row r="1235" spans="1:34">
      <c r="A1235" s="372" t="s">
        <v>8398</v>
      </c>
      <c r="B1235" s="373" t="s">
        <v>8399</v>
      </c>
      <c r="C1235" s="372" t="s">
        <v>8400</v>
      </c>
      <c r="D1235" s="374">
        <v>1311110030369</v>
      </c>
      <c r="E1235" s="372" t="s">
        <v>8401</v>
      </c>
      <c r="F1235" s="375" t="s">
        <v>16101</v>
      </c>
      <c r="G1235" s="375" t="s">
        <v>16101</v>
      </c>
      <c r="H1235" s="375" t="s">
        <v>861</v>
      </c>
      <c r="I1235" s="375" t="s">
        <v>862</v>
      </c>
      <c r="J1235" s="375">
        <v>20885.587680000001</v>
      </c>
      <c r="K1235" s="375">
        <v>-342.55721</v>
      </c>
      <c r="L1235" s="375">
        <v>1770.5396699999999</v>
      </c>
      <c r="M1235" s="375">
        <v>54632.953699999998</v>
      </c>
      <c r="N1235" s="372">
        <v>0.66600000000000004</v>
      </c>
      <c r="O1235" s="704">
        <v>1.9638801133791417</v>
      </c>
      <c r="P1235" s="375" t="s">
        <v>622</v>
      </c>
      <c r="Q1235" s="375" t="s">
        <v>622</v>
      </c>
      <c r="R1235" s="696">
        <v>20040602</v>
      </c>
      <c r="S1235" s="375" t="s">
        <v>8404</v>
      </c>
      <c r="T1235" s="697">
        <v>0.20900000000000002</v>
      </c>
      <c r="U1235" s="372" t="s">
        <v>8405</v>
      </c>
      <c r="V1235" s="723">
        <v>921.11</v>
      </c>
      <c r="W1235" s="723">
        <v>1.87</v>
      </c>
      <c r="X1235" s="723">
        <v>4.9000000000000004</v>
      </c>
      <c r="Y1235" s="723">
        <v>55.15</v>
      </c>
      <c r="Z1235" s="382" t="s">
        <v>927</v>
      </c>
      <c r="AA1235" s="372">
        <v>176.50767020000001</v>
      </c>
      <c r="AB1235" s="372">
        <v>228.48959780000001</v>
      </c>
      <c r="AC1235" s="372">
        <v>273.36928089999998</v>
      </c>
      <c r="AD1235" s="372">
        <v>208.8662271</v>
      </c>
      <c r="AE1235" s="372">
        <v>332</v>
      </c>
      <c r="AF1235" s="372">
        <v>0</v>
      </c>
      <c r="AG1235" s="372">
        <v>0</v>
      </c>
      <c r="AH1235" s="372">
        <v>0</v>
      </c>
    </row>
    <row r="1236" spans="1:34">
      <c r="A1236" s="372" t="s">
        <v>8406</v>
      </c>
      <c r="B1236" s="373" t="s">
        <v>8407</v>
      </c>
      <c r="C1236" s="372" t="s">
        <v>8408</v>
      </c>
      <c r="D1236" s="374">
        <v>1101112024026</v>
      </c>
      <c r="E1236" s="372" t="s">
        <v>8409</v>
      </c>
      <c r="F1236" s="375" t="s">
        <v>4037</v>
      </c>
      <c r="G1236" s="375" t="s">
        <v>4037</v>
      </c>
      <c r="H1236" s="375" t="s">
        <v>861</v>
      </c>
      <c r="I1236" s="375" t="s">
        <v>862</v>
      </c>
      <c r="J1236" s="375">
        <v>126661.49574</v>
      </c>
      <c r="K1236" s="375">
        <v>23807.987580000001</v>
      </c>
      <c r="L1236" s="375">
        <v>31074.742999999999</v>
      </c>
      <c r="M1236" s="375">
        <v>359106.1642</v>
      </c>
      <c r="N1236" s="372">
        <v>0.52600000000000002</v>
      </c>
      <c r="O1236" s="704">
        <v>60.392405731059029</v>
      </c>
      <c r="P1236" s="375" t="s">
        <v>622</v>
      </c>
      <c r="Q1236" s="375" t="s">
        <v>622</v>
      </c>
      <c r="R1236" s="696">
        <v>20041217</v>
      </c>
      <c r="S1236" s="375" t="s">
        <v>8410</v>
      </c>
      <c r="T1236" s="697">
        <v>0.23100000000000001</v>
      </c>
      <c r="U1236" s="372" t="s">
        <v>8411</v>
      </c>
      <c r="V1236" s="723">
        <v>4.46</v>
      </c>
      <c r="W1236" s="723">
        <v>0.4</v>
      </c>
      <c r="X1236" s="723">
        <v>1.06</v>
      </c>
      <c r="Y1236" s="723">
        <v>6.05</v>
      </c>
      <c r="Z1236" s="382" t="s">
        <v>927</v>
      </c>
      <c r="AA1236" s="372">
        <v>1329.5410936999999</v>
      </c>
      <c r="AB1236" s="372">
        <v>1336.2405463</v>
      </c>
      <c r="AC1236" s="372">
        <v>1216.0061545999999</v>
      </c>
      <c r="AD1236" s="372">
        <v>1077.8488202000001</v>
      </c>
      <c r="AE1236" s="372">
        <v>0</v>
      </c>
      <c r="AF1236" s="372">
        <v>0</v>
      </c>
      <c r="AG1236" s="372">
        <v>0</v>
      </c>
      <c r="AH1236" s="372">
        <v>0</v>
      </c>
    </row>
    <row r="1237" spans="1:34">
      <c r="A1237" s="372" t="s">
        <v>8412</v>
      </c>
      <c r="B1237" s="373" t="s">
        <v>8413</v>
      </c>
      <c r="C1237" s="372" t="s">
        <v>8414</v>
      </c>
      <c r="D1237" s="374">
        <v>1311110127512</v>
      </c>
      <c r="E1237" s="372" t="s">
        <v>8415</v>
      </c>
      <c r="F1237" s="375" t="s">
        <v>2834</v>
      </c>
      <c r="G1237" s="375" t="s">
        <v>2835</v>
      </c>
      <c r="H1237" s="375" t="s">
        <v>861</v>
      </c>
      <c r="I1237" s="375" t="s">
        <v>862</v>
      </c>
      <c r="J1237" s="375">
        <v>62517.337890000003</v>
      </c>
      <c r="K1237" s="375">
        <v>-2433.6196500000001</v>
      </c>
      <c r="L1237" s="375">
        <v>-2660.3010100000001</v>
      </c>
      <c r="M1237" s="375">
        <v>34651.097419999998</v>
      </c>
      <c r="N1237" s="372">
        <v>0.78</v>
      </c>
      <c r="O1237" s="704">
        <v>20.963503349191257</v>
      </c>
      <c r="P1237" s="375" t="s">
        <v>622</v>
      </c>
      <c r="Q1237" s="372" t="s">
        <v>622</v>
      </c>
      <c r="R1237" s="696">
        <v>20210324</v>
      </c>
      <c r="S1237" s="372" t="s">
        <v>8416</v>
      </c>
      <c r="T1237" s="697" t="s">
        <v>771</v>
      </c>
      <c r="U1237" s="372" t="s">
        <v>8417</v>
      </c>
      <c r="V1237" s="723">
        <v>0</v>
      </c>
      <c r="W1237" s="723">
        <v>0</v>
      </c>
      <c r="X1237" s="723">
        <v>0</v>
      </c>
      <c r="Y1237" s="723">
        <v>0</v>
      </c>
      <c r="Z1237" s="382" t="s">
        <v>927</v>
      </c>
      <c r="AA1237" s="372">
        <v>340.89085740000002</v>
      </c>
      <c r="AB1237" s="372">
        <v>456.39344419999998</v>
      </c>
      <c r="AC1237" s="372">
        <v>507.04825049999999</v>
      </c>
      <c r="AD1237" s="372">
        <v>551.12129389999996</v>
      </c>
      <c r="AE1237" s="372">
        <v>0</v>
      </c>
      <c r="AF1237" s="372">
        <v>0</v>
      </c>
      <c r="AG1237" s="372">
        <v>0</v>
      </c>
      <c r="AH1237" s="372">
        <v>0</v>
      </c>
    </row>
    <row r="1238" spans="1:34">
      <c r="A1238" s="372" t="s">
        <v>8418</v>
      </c>
      <c r="B1238" s="373" t="s">
        <v>8419</v>
      </c>
      <c r="C1238" s="372" t="s">
        <v>8420</v>
      </c>
      <c r="D1238" s="374">
        <v>1601110004947</v>
      </c>
      <c r="E1238" s="372" t="s">
        <v>8421</v>
      </c>
      <c r="F1238" s="375" t="s">
        <v>1764</v>
      </c>
      <c r="G1238" s="375" t="s">
        <v>2238</v>
      </c>
      <c r="H1238" s="375" t="s">
        <v>861</v>
      </c>
      <c r="I1238" s="375" t="s">
        <v>862</v>
      </c>
      <c r="J1238" s="375">
        <v>133689.66839000001</v>
      </c>
      <c r="K1238" s="375">
        <v>6983.5157799999997</v>
      </c>
      <c r="L1238" s="375">
        <v>4794.0183200000001</v>
      </c>
      <c r="M1238" s="375">
        <v>127964.46573</v>
      </c>
      <c r="N1238" s="372">
        <v>0.745</v>
      </c>
      <c r="O1238" s="704">
        <v>18.2395707714848</v>
      </c>
      <c r="P1238" s="375" t="s">
        <v>622</v>
      </c>
      <c r="Q1238" s="375" t="s">
        <v>622</v>
      </c>
      <c r="R1238" s="696">
        <v>20131119</v>
      </c>
      <c r="S1238" s="375" t="s">
        <v>8422</v>
      </c>
      <c r="T1238" s="697">
        <v>0.20900000000000002</v>
      </c>
      <c r="U1238" s="372" t="s">
        <v>8423</v>
      </c>
      <c r="V1238" s="723">
        <v>7.8</v>
      </c>
      <c r="W1238" s="723">
        <v>0.6</v>
      </c>
      <c r="X1238" s="723">
        <v>0.59</v>
      </c>
      <c r="Y1238" s="723">
        <v>20.62</v>
      </c>
      <c r="Z1238" s="382" t="s">
        <v>927</v>
      </c>
      <c r="AA1238" s="372">
        <v>1325.7083935999999</v>
      </c>
      <c r="AB1238" s="372">
        <v>1504.1627922</v>
      </c>
      <c r="AC1238" s="372">
        <v>1520.0068060999999</v>
      </c>
      <c r="AD1238" s="372">
        <v>1307.8271087000001</v>
      </c>
      <c r="AE1238" s="372">
        <v>0</v>
      </c>
      <c r="AF1238" s="372">
        <v>0</v>
      </c>
      <c r="AG1238" s="372">
        <v>0</v>
      </c>
      <c r="AH1238" s="372">
        <v>0</v>
      </c>
    </row>
    <row r="1239" spans="1:34">
      <c r="A1239" s="372" t="s">
        <v>8424</v>
      </c>
      <c r="B1239" s="373" t="s">
        <v>8425</v>
      </c>
      <c r="C1239" s="372" t="s">
        <v>8426</v>
      </c>
      <c r="D1239" s="374">
        <v>1101110117211</v>
      </c>
      <c r="E1239" s="372" t="s">
        <v>8427</v>
      </c>
      <c r="F1239" s="375" t="s">
        <v>8428</v>
      </c>
      <c r="G1239" s="375" t="s">
        <v>8429</v>
      </c>
      <c r="H1239" s="375" t="s">
        <v>895</v>
      </c>
      <c r="I1239" s="375" t="s">
        <v>862</v>
      </c>
      <c r="J1239" s="375">
        <v>86668.685960000003</v>
      </c>
      <c r="K1239" s="375">
        <v>4213.2140600000002</v>
      </c>
      <c r="L1239" s="375">
        <v>12720.34749</v>
      </c>
      <c r="M1239" s="375">
        <v>313660.10227999999</v>
      </c>
      <c r="N1239" s="372">
        <v>0.63900000000000001</v>
      </c>
      <c r="O1239" s="704">
        <v>0</v>
      </c>
      <c r="P1239" s="375" t="s">
        <v>622</v>
      </c>
      <c r="Q1239" s="372" t="s">
        <v>622</v>
      </c>
      <c r="R1239" s="696">
        <v>19931130</v>
      </c>
      <c r="S1239" s="372" t="s">
        <v>8430</v>
      </c>
      <c r="T1239" s="697">
        <v>0.20900000000000002</v>
      </c>
      <c r="U1239" s="372" t="s">
        <v>8431</v>
      </c>
      <c r="V1239" s="723">
        <v>0</v>
      </c>
      <c r="W1239" s="723">
        <v>0</v>
      </c>
      <c r="X1239" s="723">
        <v>0</v>
      </c>
      <c r="Y1239" s="723">
        <v>0</v>
      </c>
      <c r="Z1239" s="382" t="s">
        <v>927</v>
      </c>
      <c r="AA1239" s="372">
        <v>520.15478480000002</v>
      </c>
      <c r="AB1239" s="372">
        <v>527.37954109999998</v>
      </c>
      <c r="AC1239" s="372">
        <v>643.10272810000004</v>
      </c>
      <c r="AD1239" s="372">
        <v>857.79154029999995</v>
      </c>
      <c r="AE1239" s="372">
        <v>0</v>
      </c>
      <c r="AF1239" s="372">
        <v>0</v>
      </c>
      <c r="AG1239" s="372">
        <v>0</v>
      </c>
      <c r="AH1239" s="372">
        <v>0</v>
      </c>
    </row>
    <row r="1240" spans="1:34">
      <c r="A1240" s="372" t="s">
        <v>8432</v>
      </c>
      <c r="B1240" s="373" t="s">
        <v>8433</v>
      </c>
      <c r="C1240" s="372" t="s">
        <v>8434</v>
      </c>
      <c r="D1240" s="374">
        <v>1701110176489</v>
      </c>
      <c r="E1240" s="372" t="s">
        <v>8435</v>
      </c>
      <c r="F1240" s="372" t="s">
        <v>8436</v>
      </c>
      <c r="G1240" s="375" t="s">
        <v>8437</v>
      </c>
      <c r="H1240" s="375" t="s">
        <v>1468</v>
      </c>
      <c r="I1240" s="375" t="s">
        <v>754</v>
      </c>
      <c r="J1240" s="375">
        <v>110325.72851</v>
      </c>
      <c r="K1240" s="375">
        <v>-9800.3229900000006</v>
      </c>
      <c r="L1240" s="375">
        <v>-25315.692309999999</v>
      </c>
      <c r="M1240" s="375">
        <v>54420.770629999999</v>
      </c>
      <c r="N1240" s="372">
        <v>0.64900000000000002</v>
      </c>
      <c r="O1240" s="704">
        <v>96.929985161744014</v>
      </c>
      <c r="P1240" s="375" t="s">
        <v>622</v>
      </c>
      <c r="Q1240" s="372" t="s">
        <v>622</v>
      </c>
      <c r="R1240" s="696">
        <v>20090929</v>
      </c>
      <c r="S1240" s="375" t="s">
        <v>8438</v>
      </c>
      <c r="T1240" s="697" t="s">
        <v>771</v>
      </c>
      <c r="U1240" s="372" t="s">
        <v>8439</v>
      </c>
      <c r="V1240" s="723" t="s">
        <v>773</v>
      </c>
      <c r="W1240" s="723">
        <v>1.64</v>
      </c>
      <c r="X1240" s="723">
        <v>0.81</v>
      </c>
      <c r="Y1240" s="723" t="s">
        <v>773</v>
      </c>
      <c r="Z1240" s="382" t="s">
        <v>927</v>
      </c>
      <c r="AA1240" s="372">
        <v>935.08565620000002</v>
      </c>
      <c r="AB1240" s="372">
        <v>1182.6147844</v>
      </c>
      <c r="AC1240" s="372">
        <v>1261.4683735999999</v>
      </c>
      <c r="AD1240" s="372">
        <v>1164.7023414</v>
      </c>
      <c r="AE1240" s="372">
        <v>0</v>
      </c>
      <c r="AF1240" s="372">
        <v>0</v>
      </c>
      <c r="AG1240" s="372">
        <v>0</v>
      </c>
      <c r="AH1240" s="372">
        <v>0</v>
      </c>
    </row>
    <row r="1241" spans="1:34">
      <c r="A1241" s="372" t="s">
        <v>8440</v>
      </c>
      <c r="B1241" s="373" t="s">
        <v>8441</v>
      </c>
      <c r="C1241" s="372" t="s">
        <v>8442</v>
      </c>
      <c r="D1241" s="374">
        <v>1601110003121</v>
      </c>
      <c r="E1241" s="372" t="s">
        <v>8443</v>
      </c>
      <c r="F1241" s="375" t="s">
        <v>1879</v>
      </c>
      <c r="G1241" s="375" t="s">
        <v>1879</v>
      </c>
      <c r="H1241" s="375" t="s">
        <v>1386</v>
      </c>
      <c r="I1241" s="375" t="s">
        <v>754</v>
      </c>
      <c r="J1241" s="375">
        <v>3198515.6852000002</v>
      </c>
      <c r="K1241" s="375">
        <v>121280.57468999999</v>
      </c>
      <c r="L1241" s="375">
        <v>79216.521349999995</v>
      </c>
      <c r="M1241" s="375">
        <v>898761.64711999998</v>
      </c>
      <c r="N1241" s="372">
        <v>0.77800000000000002</v>
      </c>
      <c r="O1241" s="704">
        <v>874.48499723792781</v>
      </c>
      <c r="P1241" s="375" t="s">
        <v>622</v>
      </c>
      <c r="Q1241" s="372" t="s">
        <v>622</v>
      </c>
      <c r="R1241" s="696">
        <v>19960130</v>
      </c>
      <c r="S1241" s="372" t="s">
        <v>8444</v>
      </c>
      <c r="T1241" s="697">
        <v>0.23100000000000001</v>
      </c>
      <c r="U1241" s="372" t="s">
        <v>8445</v>
      </c>
      <c r="V1241" s="723">
        <v>5.53</v>
      </c>
      <c r="W1241" s="723">
        <v>0.15</v>
      </c>
      <c r="X1241" s="723">
        <v>0.04</v>
      </c>
      <c r="Y1241" s="723">
        <v>2.4</v>
      </c>
      <c r="Z1241" s="382">
        <v>3.757457682551002E-2</v>
      </c>
      <c r="AA1241" s="372">
        <v>21999.6190818</v>
      </c>
      <c r="AB1241" s="372">
        <v>25618.01412</v>
      </c>
      <c r="AC1241" s="372">
        <v>29496.802500000002</v>
      </c>
      <c r="AD1241" s="372">
        <v>29770.050444799999</v>
      </c>
      <c r="AE1241" s="372">
        <v>32333</v>
      </c>
      <c r="AF1241" s="372">
        <v>32029</v>
      </c>
      <c r="AG1241" s="372">
        <v>34503</v>
      </c>
      <c r="AH1241" s="372">
        <v>29770</v>
      </c>
    </row>
    <row r="1242" spans="1:34">
      <c r="A1242" s="372" t="s">
        <v>8446</v>
      </c>
      <c r="B1242" s="373" t="s">
        <v>8447</v>
      </c>
      <c r="C1242" s="372" t="s">
        <v>8448</v>
      </c>
      <c r="D1242" s="374">
        <v>1801110328550</v>
      </c>
      <c r="E1242" s="372" t="s">
        <v>8449</v>
      </c>
      <c r="F1242" s="375" t="s">
        <v>1041</v>
      </c>
      <c r="G1242" s="375" t="s">
        <v>3167</v>
      </c>
      <c r="H1242" s="375" t="s">
        <v>861</v>
      </c>
      <c r="I1242" s="375" t="s">
        <v>862</v>
      </c>
      <c r="J1242" s="375">
        <v>84290.474619999994</v>
      </c>
      <c r="K1242" s="375">
        <v>15551.819939999999</v>
      </c>
      <c r="L1242" s="375">
        <v>13730.750679999999</v>
      </c>
      <c r="M1242" s="375">
        <v>66463.242069999993</v>
      </c>
      <c r="N1242" s="372">
        <v>0.61399999999999999</v>
      </c>
      <c r="O1242" s="704">
        <v>17.547467040763724</v>
      </c>
      <c r="P1242" s="375" t="s">
        <v>622</v>
      </c>
      <c r="Q1242" s="372" t="s">
        <v>622</v>
      </c>
      <c r="R1242" s="696">
        <v>20041215</v>
      </c>
      <c r="S1242" s="372" t="s">
        <v>8450</v>
      </c>
      <c r="T1242" s="697">
        <v>0.20900000000000002</v>
      </c>
      <c r="U1242" s="372" t="s">
        <v>8451</v>
      </c>
      <c r="V1242" s="723">
        <v>0</v>
      </c>
      <c r="W1242" s="723">
        <v>0</v>
      </c>
      <c r="X1242" s="723">
        <v>0</v>
      </c>
      <c r="Y1242" s="723">
        <v>0</v>
      </c>
      <c r="Z1242" s="382" t="s">
        <v>927</v>
      </c>
      <c r="AA1242" s="372">
        <v>394.37590210000002</v>
      </c>
      <c r="AB1242" s="372">
        <v>438.26656220000001</v>
      </c>
      <c r="AC1242" s="372">
        <v>636.68531910000002</v>
      </c>
      <c r="AD1242" s="372">
        <v>816.26661939999997</v>
      </c>
      <c r="AE1242" s="372">
        <v>0</v>
      </c>
      <c r="AF1242" s="372">
        <v>0</v>
      </c>
      <c r="AG1242" s="372">
        <v>0</v>
      </c>
      <c r="AH1242" s="372">
        <v>0</v>
      </c>
    </row>
    <row r="1243" spans="1:34">
      <c r="A1243" s="372" t="s">
        <v>8452</v>
      </c>
      <c r="B1243" s="373" t="s">
        <v>8453</v>
      </c>
      <c r="C1243" s="372" t="s">
        <v>8454</v>
      </c>
      <c r="D1243" s="374">
        <v>1101113104661</v>
      </c>
      <c r="E1243" s="372" t="s">
        <v>8455</v>
      </c>
      <c r="F1243" s="375" t="s">
        <v>975</v>
      </c>
      <c r="G1243" s="375" t="s">
        <v>976</v>
      </c>
      <c r="H1243" s="375" t="s">
        <v>1337</v>
      </c>
      <c r="I1243" s="375" t="s">
        <v>862</v>
      </c>
      <c r="J1243" s="375">
        <v>199414.81486000001</v>
      </c>
      <c r="K1243" s="375">
        <v>8227.6794599999994</v>
      </c>
      <c r="L1243" s="375">
        <v>8058.5576099999998</v>
      </c>
      <c r="M1243" s="375">
        <v>48784.742050000001</v>
      </c>
      <c r="N1243" s="372">
        <v>0.97099999999999997</v>
      </c>
      <c r="O1243" s="704">
        <v>24.485547339708763</v>
      </c>
      <c r="P1243" s="375" t="s">
        <v>622</v>
      </c>
      <c r="Q1243" s="375" t="s">
        <v>622</v>
      </c>
      <c r="R1243" s="696">
        <v>20161220</v>
      </c>
      <c r="S1243" s="375" t="s">
        <v>8456</v>
      </c>
      <c r="T1243" s="697">
        <v>0.20900000000000002</v>
      </c>
      <c r="U1243" s="372" t="s">
        <v>8457</v>
      </c>
      <c r="V1243" s="723">
        <v>10.78</v>
      </c>
      <c r="W1243" s="723">
        <v>1.93</v>
      </c>
      <c r="X1243" s="723">
        <v>0.46</v>
      </c>
      <c r="Y1243" s="723">
        <v>14.5</v>
      </c>
      <c r="Z1243" s="382" t="s">
        <v>927</v>
      </c>
      <c r="AA1243" s="372">
        <v>1119.7336322000001</v>
      </c>
      <c r="AB1243" s="372">
        <v>1217.5606330999999</v>
      </c>
      <c r="AC1243" s="372">
        <v>1705.8540697999999</v>
      </c>
      <c r="AD1243" s="372">
        <v>2249.8056213</v>
      </c>
      <c r="AE1243" s="372">
        <v>0</v>
      </c>
      <c r="AF1243" s="372">
        <v>0</v>
      </c>
      <c r="AG1243" s="372">
        <v>0</v>
      </c>
      <c r="AH1243" s="372">
        <v>0</v>
      </c>
    </row>
    <row r="1244" spans="1:34">
      <c r="A1244" s="372" t="s">
        <v>8458</v>
      </c>
      <c r="B1244" s="373" t="s">
        <v>8459</v>
      </c>
      <c r="C1244" s="372" t="s">
        <v>8460</v>
      </c>
      <c r="D1244" s="374">
        <v>1244110093120</v>
      </c>
      <c r="E1244" s="372" t="s">
        <v>8461</v>
      </c>
      <c r="F1244" s="375" t="s">
        <v>1275</v>
      </c>
      <c r="G1244" s="375" t="s">
        <v>1275</v>
      </c>
      <c r="H1244" s="375" t="s">
        <v>861</v>
      </c>
      <c r="I1244" s="375" t="s">
        <v>862</v>
      </c>
      <c r="J1244" s="375">
        <v>125894.44265</v>
      </c>
      <c r="K1244" s="375">
        <v>1811.1819499999999</v>
      </c>
      <c r="L1244" s="375">
        <v>-3355.3645799999999</v>
      </c>
      <c r="M1244" s="375">
        <v>38305.392849999997</v>
      </c>
      <c r="N1244" s="372">
        <v>0.69299999999999995</v>
      </c>
      <c r="O1244" s="704">
        <v>58.865828049540767</v>
      </c>
      <c r="P1244" s="375" t="s">
        <v>622</v>
      </c>
      <c r="Q1244" s="372" t="s">
        <v>622</v>
      </c>
      <c r="R1244" s="696">
        <v>20210625</v>
      </c>
      <c r="S1244" s="372" t="s">
        <v>8462</v>
      </c>
      <c r="T1244" s="697" t="s">
        <v>771</v>
      </c>
      <c r="U1244" s="372" t="s">
        <v>8463</v>
      </c>
      <c r="V1244" s="723">
        <v>0</v>
      </c>
      <c r="W1244" s="723">
        <v>0</v>
      </c>
      <c r="X1244" s="723">
        <v>0</v>
      </c>
      <c r="Y1244" s="723">
        <v>0</v>
      </c>
      <c r="Z1244" s="382" t="s">
        <v>927</v>
      </c>
      <c r="AA1244" s="372">
        <v>436.12305049999998</v>
      </c>
      <c r="AB1244" s="372">
        <v>567.59468519999996</v>
      </c>
      <c r="AC1244" s="372">
        <v>630.13530319999995</v>
      </c>
      <c r="AD1244" s="372">
        <v>874.53532389999998</v>
      </c>
      <c r="AE1244" s="372">
        <v>0</v>
      </c>
      <c r="AF1244" s="372">
        <v>0</v>
      </c>
      <c r="AG1244" s="372">
        <v>0</v>
      </c>
      <c r="AH1244" s="372">
        <v>0</v>
      </c>
    </row>
    <row r="1245" spans="1:34">
      <c r="A1245" s="372" t="s">
        <v>8464</v>
      </c>
      <c r="B1245" s="373" t="s">
        <v>8465</v>
      </c>
      <c r="C1245" s="372" t="s">
        <v>8466</v>
      </c>
      <c r="D1245" s="374">
        <v>1601110383490</v>
      </c>
      <c r="E1245" s="372" t="s">
        <v>8467</v>
      </c>
      <c r="F1245" s="375" t="s">
        <v>8468</v>
      </c>
      <c r="G1245" s="375" t="s">
        <v>8469</v>
      </c>
      <c r="H1245" s="375" t="s">
        <v>861</v>
      </c>
      <c r="I1245" s="375" t="s">
        <v>862</v>
      </c>
      <c r="J1245" s="375">
        <v>37661.001479999999</v>
      </c>
      <c r="K1245" s="375">
        <v>-515.01106000000004</v>
      </c>
      <c r="L1245" s="375">
        <v>-3068.7001</v>
      </c>
      <c r="M1245" s="375">
        <v>33588.811690000002</v>
      </c>
      <c r="N1245" s="372" t="s">
        <v>1026</v>
      </c>
      <c r="O1245" s="704">
        <v>30.257046365091806</v>
      </c>
      <c r="P1245" s="375" t="s">
        <v>622</v>
      </c>
      <c r="Q1245" s="372" t="s">
        <v>622</v>
      </c>
      <c r="R1245" s="696">
        <v>20230209</v>
      </c>
      <c r="S1245" s="372" t="s">
        <v>8470</v>
      </c>
      <c r="T1245" s="697" t="s">
        <v>771</v>
      </c>
      <c r="U1245" s="375" t="s">
        <v>15897</v>
      </c>
      <c r="V1245" s="723">
        <v>575.53</v>
      </c>
      <c r="W1245" s="723">
        <v>2.48</v>
      </c>
      <c r="X1245" s="723">
        <v>2.2200000000000002</v>
      </c>
      <c r="Y1245" s="723" t="s">
        <v>773</v>
      </c>
      <c r="Z1245" s="382" t="s">
        <v>927</v>
      </c>
      <c r="AA1245" s="372">
        <v>184.9925307</v>
      </c>
      <c r="AB1245" s="372">
        <v>208.9639205</v>
      </c>
      <c r="AC1245" s="372">
        <v>271.81744149999997</v>
      </c>
      <c r="AD1245" s="372">
        <v>289.27922419999999</v>
      </c>
      <c r="AE1245" s="372">
        <v>496</v>
      </c>
      <c r="AF1245" s="372">
        <v>0</v>
      </c>
      <c r="AG1245" s="372">
        <v>0</v>
      </c>
      <c r="AH1245" s="372">
        <v>0</v>
      </c>
    </row>
    <row r="1246" spans="1:34">
      <c r="A1246" s="372" t="s">
        <v>8471</v>
      </c>
      <c r="B1246" s="373" t="s">
        <v>8472</v>
      </c>
      <c r="C1246" s="372" t="s">
        <v>8473</v>
      </c>
      <c r="D1246" s="374">
        <v>1348110002981</v>
      </c>
      <c r="E1246" s="372" t="s">
        <v>8474</v>
      </c>
      <c r="F1246" s="375" t="s">
        <v>1282</v>
      </c>
      <c r="G1246" s="375" t="s">
        <v>1283</v>
      </c>
      <c r="H1246" s="375" t="s">
        <v>1043</v>
      </c>
      <c r="I1246" s="375" t="s">
        <v>754</v>
      </c>
      <c r="J1246" s="375">
        <v>199290.67379999999</v>
      </c>
      <c r="K1246" s="375">
        <v>12095.473770000001</v>
      </c>
      <c r="L1246" s="375">
        <v>12304.614149999999</v>
      </c>
      <c r="M1246" s="375">
        <v>181602.80604</v>
      </c>
      <c r="N1246" s="372">
        <v>0.92500000000000004</v>
      </c>
      <c r="O1246" s="704">
        <v>35.306603781100833</v>
      </c>
      <c r="P1246" s="375" t="s">
        <v>622</v>
      </c>
      <c r="Q1246" s="372" t="s">
        <v>622</v>
      </c>
      <c r="R1246" s="696">
        <v>19910830</v>
      </c>
      <c r="S1246" s="372" t="s">
        <v>8475</v>
      </c>
      <c r="T1246" s="697">
        <v>0.20900000000000002</v>
      </c>
      <c r="U1246" s="372" t="s">
        <v>15898</v>
      </c>
      <c r="V1246" s="723">
        <v>6.58</v>
      </c>
      <c r="W1246" s="723">
        <v>0.57999999999999996</v>
      </c>
      <c r="X1246" s="723">
        <v>0.53</v>
      </c>
      <c r="Y1246" s="723">
        <v>9.2899999999999991</v>
      </c>
      <c r="Z1246" s="382" t="s">
        <v>927</v>
      </c>
      <c r="AA1246" s="372">
        <v>1378.2969896</v>
      </c>
      <c r="AB1246" s="372">
        <v>2529.9240584999998</v>
      </c>
      <c r="AC1246" s="372">
        <v>2862.9676935000002</v>
      </c>
      <c r="AD1246" s="372">
        <v>2265.4051051000001</v>
      </c>
      <c r="AE1246" s="372">
        <v>0</v>
      </c>
      <c r="AF1246" s="372">
        <v>0</v>
      </c>
      <c r="AG1246" s="372">
        <v>0</v>
      </c>
      <c r="AH1246" s="372">
        <v>0</v>
      </c>
    </row>
    <row r="1247" spans="1:34">
      <c r="A1247" s="372" t="s">
        <v>8476</v>
      </c>
      <c r="B1247" s="373" t="s">
        <v>8477</v>
      </c>
      <c r="C1247" s="372" t="s">
        <v>8478</v>
      </c>
      <c r="D1247" s="374">
        <v>1801110003391</v>
      </c>
      <c r="E1247" s="372" t="s">
        <v>8479</v>
      </c>
      <c r="F1247" s="375" t="s">
        <v>1682</v>
      </c>
      <c r="G1247" s="375" t="s">
        <v>1683</v>
      </c>
      <c r="H1247" s="375" t="s">
        <v>826</v>
      </c>
      <c r="I1247" s="375" t="s">
        <v>754</v>
      </c>
      <c r="J1247" s="375">
        <v>639451.57865000004</v>
      </c>
      <c r="K1247" s="375">
        <v>25296.992620000001</v>
      </c>
      <c r="L1247" s="375">
        <v>29403.41318</v>
      </c>
      <c r="M1247" s="375">
        <v>702890.55539999995</v>
      </c>
      <c r="N1247" s="372">
        <v>0.84299999999999997</v>
      </c>
      <c r="O1247" s="704">
        <v>70.241024547692305</v>
      </c>
      <c r="P1247" s="375" t="s">
        <v>622</v>
      </c>
      <c r="Q1247" s="372" t="s">
        <v>622</v>
      </c>
      <c r="R1247" s="696">
        <v>19751112</v>
      </c>
      <c r="S1247" s="372" t="s">
        <v>8480</v>
      </c>
      <c r="T1247" s="697">
        <v>0.23100000000000001</v>
      </c>
      <c r="U1247" s="372" t="s">
        <v>8481</v>
      </c>
      <c r="V1247" s="723">
        <v>5.49</v>
      </c>
      <c r="W1247" s="723">
        <v>0.28000000000000003</v>
      </c>
      <c r="X1247" s="723">
        <v>0.27</v>
      </c>
      <c r="Y1247" s="723">
        <v>9.33</v>
      </c>
      <c r="Z1247" s="382" t="s">
        <v>927</v>
      </c>
      <c r="AA1247" s="372">
        <v>3408.0735249999998</v>
      </c>
      <c r="AB1247" s="372">
        <v>5909.8399998000004</v>
      </c>
      <c r="AC1247" s="372">
        <v>6731.6618847999998</v>
      </c>
      <c r="AD1247" s="372">
        <v>6387.8918099000002</v>
      </c>
      <c r="AE1247" s="372">
        <v>0</v>
      </c>
      <c r="AF1247" s="372">
        <v>0</v>
      </c>
      <c r="AG1247" s="372">
        <v>0</v>
      </c>
      <c r="AH1247" s="372">
        <v>0</v>
      </c>
    </row>
    <row r="1248" spans="1:34">
      <c r="A1248" s="372" t="s">
        <v>8482</v>
      </c>
      <c r="B1248" s="373" t="s">
        <v>8483</v>
      </c>
      <c r="C1248" s="372" t="s">
        <v>8484</v>
      </c>
      <c r="D1248" s="374">
        <v>1101110383515</v>
      </c>
      <c r="E1248" s="372" t="s">
        <v>8485</v>
      </c>
      <c r="F1248" s="375" t="s">
        <v>1323</v>
      </c>
      <c r="G1248" s="375" t="s">
        <v>16106</v>
      </c>
      <c r="H1248" s="375" t="s">
        <v>861</v>
      </c>
      <c r="I1248" s="375" t="s">
        <v>862</v>
      </c>
      <c r="J1248" s="375">
        <v>201823.47899999999</v>
      </c>
      <c r="K1248" s="375">
        <v>15605.93562</v>
      </c>
      <c r="L1248" s="375">
        <v>16876.258180000001</v>
      </c>
      <c r="M1248" s="375">
        <v>124422.81216</v>
      </c>
      <c r="N1248" s="372">
        <v>0.70299999999999996</v>
      </c>
      <c r="O1248" s="704">
        <v>48.687975241075073</v>
      </c>
      <c r="P1248" s="375" t="s">
        <v>622</v>
      </c>
      <c r="Q1248" s="372" t="s">
        <v>622</v>
      </c>
      <c r="R1248" s="696">
        <v>20020222</v>
      </c>
      <c r="S1248" s="372" t="s">
        <v>8486</v>
      </c>
      <c r="T1248" s="697">
        <v>0.20900000000000002</v>
      </c>
      <c r="U1248" s="372" t="s">
        <v>8487</v>
      </c>
      <c r="V1248" s="723">
        <v>0</v>
      </c>
      <c r="W1248" s="723">
        <v>0</v>
      </c>
      <c r="X1248" s="723">
        <v>0</v>
      </c>
      <c r="Y1248" s="723">
        <v>0</v>
      </c>
      <c r="Z1248" s="382" t="s">
        <v>927</v>
      </c>
      <c r="AA1248" s="372">
        <v>1492.9334687999999</v>
      </c>
      <c r="AB1248" s="372">
        <v>1665.8640863000001</v>
      </c>
      <c r="AC1248" s="372">
        <v>1979.5734884999999</v>
      </c>
      <c r="AD1248" s="372">
        <v>2042.2261093</v>
      </c>
      <c r="AE1248" s="372">
        <v>0</v>
      </c>
      <c r="AF1248" s="372">
        <v>0</v>
      </c>
      <c r="AG1248" s="372">
        <v>0</v>
      </c>
      <c r="AH1248" s="372">
        <v>0</v>
      </c>
    </row>
    <row r="1249" spans="1:34">
      <c r="A1249" s="372" t="s">
        <v>8488</v>
      </c>
      <c r="B1249" s="373" t="s">
        <v>8489</v>
      </c>
      <c r="C1249" s="372" t="s">
        <v>8490</v>
      </c>
      <c r="D1249" s="374">
        <v>1846110000319</v>
      </c>
      <c r="E1249" s="372" t="s">
        <v>8491</v>
      </c>
      <c r="F1249" s="375" t="s">
        <v>5055</v>
      </c>
      <c r="G1249" s="375" t="s">
        <v>5055</v>
      </c>
      <c r="H1249" s="375" t="s">
        <v>1468</v>
      </c>
      <c r="I1249" s="375" t="s">
        <v>754</v>
      </c>
      <c r="J1249" s="375">
        <v>401317.20581999997</v>
      </c>
      <c r="K1249" s="375">
        <v>-10001.265890000001</v>
      </c>
      <c r="L1249" s="375">
        <v>-19932.479360000001</v>
      </c>
      <c r="M1249" s="375">
        <v>186335.11671</v>
      </c>
      <c r="N1249" s="372">
        <v>0.73599999999999999</v>
      </c>
      <c r="O1249" s="704">
        <v>72.441555362886618</v>
      </c>
      <c r="P1249" s="375" t="s">
        <v>622</v>
      </c>
      <c r="Q1249" s="372" t="s">
        <v>622</v>
      </c>
      <c r="R1249" s="696">
        <v>19951113</v>
      </c>
      <c r="S1249" s="372" t="s">
        <v>8492</v>
      </c>
      <c r="T1249" s="697" t="s">
        <v>771</v>
      </c>
      <c r="U1249" s="372" t="s">
        <v>8493</v>
      </c>
      <c r="V1249" s="723" t="s">
        <v>773</v>
      </c>
      <c r="W1249" s="723">
        <v>0.45</v>
      </c>
      <c r="X1249" s="723">
        <v>0.24</v>
      </c>
      <c r="Y1249" s="723" t="s">
        <v>773</v>
      </c>
      <c r="Z1249" s="382" t="s">
        <v>927</v>
      </c>
      <c r="AA1249" s="372">
        <v>2036.9476387</v>
      </c>
      <c r="AB1249" s="372">
        <v>2717.3813733000002</v>
      </c>
      <c r="AC1249" s="372">
        <v>3587.7406675000002</v>
      </c>
      <c r="AD1249" s="372">
        <v>4118.1011639999997</v>
      </c>
      <c r="AE1249" s="372">
        <v>0</v>
      </c>
      <c r="AF1249" s="372">
        <v>0</v>
      </c>
      <c r="AG1249" s="372">
        <v>0</v>
      </c>
      <c r="AH1249" s="372">
        <v>0</v>
      </c>
    </row>
    <row r="1250" spans="1:34">
      <c r="A1250" s="372" t="s">
        <v>8494</v>
      </c>
      <c r="B1250" s="373" t="s">
        <v>8495</v>
      </c>
      <c r="C1250" s="372" t="s">
        <v>8496</v>
      </c>
      <c r="D1250" s="374">
        <v>1101112062167</v>
      </c>
      <c r="E1250" s="372" t="s">
        <v>8497</v>
      </c>
      <c r="F1250" s="375" t="s">
        <v>1796</v>
      </c>
      <c r="G1250" s="375" t="s">
        <v>2797</v>
      </c>
      <c r="H1250" s="375" t="s">
        <v>861</v>
      </c>
      <c r="I1250" s="375" t="s">
        <v>862</v>
      </c>
      <c r="J1250" s="375">
        <v>600819.59436999995</v>
      </c>
      <c r="K1250" s="375">
        <v>39280.780830000003</v>
      </c>
      <c r="L1250" s="375">
        <v>29797.45233</v>
      </c>
      <c r="M1250" s="375">
        <v>265484.47006000002</v>
      </c>
      <c r="N1250" s="372">
        <v>0.95699999999999996</v>
      </c>
      <c r="O1250" s="704">
        <v>216.41249846036726</v>
      </c>
      <c r="P1250" s="375" t="s">
        <v>622</v>
      </c>
      <c r="Q1250" s="372" t="s">
        <v>622</v>
      </c>
      <c r="R1250" s="696">
        <v>20100618</v>
      </c>
      <c r="S1250" s="372" t="s">
        <v>8498</v>
      </c>
      <c r="T1250" s="697">
        <v>0.23100000000000001</v>
      </c>
      <c r="U1250" s="372" t="s">
        <v>8499</v>
      </c>
      <c r="V1250" s="723">
        <v>6.37</v>
      </c>
      <c r="W1250" s="723">
        <v>0.76</v>
      </c>
      <c r="X1250" s="723">
        <v>0.17</v>
      </c>
      <c r="Y1250" s="723">
        <v>10.37</v>
      </c>
      <c r="Z1250" s="382" t="s">
        <v>927</v>
      </c>
      <c r="AA1250" s="372">
        <v>2860.4264029999999</v>
      </c>
      <c r="AB1250" s="372">
        <v>3232.8706022000001</v>
      </c>
      <c r="AC1250" s="372">
        <v>4493.3224072000003</v>
      </c>
      <c r="AD1250" s="372">
        <v>5436.2760146999999</v>
      </c>
      <c r="AE1250" s="372">
        <v>6879</v>
      </c>
      <c r="AF1250" s="372">
        <v>8020</v>
      </c>
      <c r="AG1250" s="372">
        <v>0</v>
      </c>
      <c r="AH1250" s="372">
        <v>0</v>
      </c>
    </row>
    <row r="1251" spans="1:34">
      <c r="A1251" s="372" t="s">
        <v>8500</v>
      </c>
      <c r="B1251" s="373" t="s">
        <v>8501</v>
      </c>
      <c r="C1251" s="372" t="s">
        <v>8502</v>
      </c>
      <c r="D1251" s="374">
        <v>1101111731135</v>
      </c>
      <c r="E1251" s="372" t="s">
        <v>8503</v>
      </c>
      <c r="F1251" s="375" t="s">
        <v>1370</v>
      </c>
      <c r="G1251" s="375" t="s">
        <v>1370</v>
      </c>
      <c r="H1251" s="375" t="s">
        <v>895</v>
      </c>
      <c r="I1251" s="375" t="s">
        <v>862</v>
      </c>
      <c r="J1251" s="375">
        <v>0</v>
      </c>
      <c r="K1251" s="375">
        <v>0</v>
      </c>
      <c r="L1251" s="375">
        <v>0</v>
      </c>
      <c r="M1251" s="375">
        <v>101772.9157</v>
      </c>
      <c r="N1251" s="372">
        <v>0.64200000000000002</v>
      </c>
      <c r="O1251" s="704">
        <v>5.5035752346352034</v>
      </c>
      <c r="P1251" s="375" t="s">
        <v>622</v>
      </c>
      <c r="Q1251" s="375" t="s">
        <v>622</v>
      </c>
      <c r="R1251" s="696">
        <v>20190125</v>
      </c>
      <c r="S1251" s="375" t="s">
        <v>8504</v>
      </c>
      <c r="T1251" s="697" t="s">
        <v>771</v>
      </c>
      <c r="U1251" s="372" t="s">
        <v>8505</v>
      </c>
      <c r="V1251" s="723">
        <v>0</v>
      </c>
      <c r="W1251" s="723">
        <v>0.89</v>
      </c>
      <c r="X1251" s="723">
        <v>0</v>
      </c>
      <c r="Y1251" s="723">
        <v>0</v>
      </c>
      <c r="Z1251" s="382" t="s">
        <v>927</v>
      </c>
      <c r="AA1251" s="372">
        <v>728.30845859999999</v>
      </c>
      <c r="AB1251" s="372">
        <v>818.98870309999995</v>
      </c>
      <c r="AC1251" s="372">
        <v>878.66522469999995</v>
      </c>
      <c r="AD1251" s="372">
        <v>735.80456489999995</v>
      </c>
      <c r="AE1251" s="372">
        <v>0</v>
      </c>
      <c r="AF1251" s="372">
        <v>0</v>
      </c>
      <c r="AG1251" s="372">
        <v>0</v>
      </c>
      <c r="AH1251" s="372">
        <v>0</v>
      </c>
    </row>
    <row r="1252" spans="1:34">
      <c r="A1252" s="372" t="s">
        <v>8506</v>
      </c>
      <c r="B1252" s="373" t="s">
        <v>8507</v>
      </c>
      <c r="C1252" s="372" t="s">
        <v>8508</v>
      </c>
      <c r="D1252" s="374">
        <v>1101112373308</v>
      </c>
      <c r="E1252" s="372" t="s">
        <v>8509</v>
      </c>
      <c r="F1252" s="375" t="s">
        <v>1249</v>
      </c>
      <c r="G1252" s="375" t="s">
        <v>1249</v>
      </c>
      <c r="H1252" s="375" t="s">
        <v>784</v>
      </c>
      <c r="I1252" s="375" t="s">
        <v>754</v>
      </c>
      <c r="J1252" s="375">
        <v>175668.01014</v>
      </c>
      <c r="K1252" s="375">
        <v>5750.7399599999999</v>
      </c>
      <c r="L1252" s="375">
        <v>644.74928999999997</v>
      </c>
      <c r="M1252" s="375">
        <v>129873.96807</v>
      </c>
      <c r="N1252" s="372">
        <v>0.81399999999999995</v>
      </c>
      <c r="O1252" s="704">
        <v>98.906586306001827</v>
      </c>
      <c r="P1252" s="375" t="s">
        <v>622</v>
      </c>
      <c r="Q1252" s="372" t="s">
        <v>622</v>
      </c>
      <c r="R1252" s="696">
        <v>20011211</v>
      </c>
      <c r="S1252" s="372" t="s">
        <v>8510</v>
      </c>
      <c r="T1252" s="697">
        <v>0.20900000000000002</v>
      </c>
      <c r="U1252" s="372" t="s">
        <v>8511</v>
      </c>
      <c r="V1252" s="723">
        <v>0</v>
      </c>
      <c r="W1252" s="723">
        <v>0</v>
      </c>
      <c r="X1252" s="723">
        <v>0</v>
      </c>
      <c r="Y1252" s="723">
        <v>0</v>
      </c>
      <c r="Z1252" s="382" t="s">
        <v>927</v>
      </c>
      <c r="AA1252" s="372">
        <v>1245.9995941</v>
      </c>
      <c r="AB1252" s="372">
        <v>1422.384184</v>
      </c>
      <c r="AC1252" s="372">
        <v>1560.4232704000001</v>
      </c>
      <c r="AD1252" s="372">
        <v>1603.5277834999999</v>
      </c>
      <c r="AE1252" s="372">
        <v>1744</v>
      </c>
      <c r="AF1252" s="372">
        <v>0</v>
      </c>
      <c r="AG1252" s="372">
        <v>0</v>
      </c>
      <c r="AH1252" s="372">
        <v>0</v>
      </c>
    </row>
    <row r="1253" spans="1:34">
      <c r="A1253" s="372" t="s">
        <v>8512</v>
      </c>
      <c r="B1253" s="373" t="s">
        <v>8513</v>
      </c>
      <c r="C1253" s="372" t="s">
        <v>8514</v>
      </c>
      <c r="D1253" s="374">
        <v>1101112152067</v>
      </c>
      <c r="E1253" s="372" t="s">
        <v>8515</v>
      </c>
      <c r="F1253" s="375" t="s">
        <v>5514</v>
      </c>
      <c r="G1253" s="375" t="s">
        <v>5514</v>
      </c>
      <c r="H1253" s="375" t="s">
        <v>861</v>
      </c>
      <c r="I1253" s="375" t="s">
        <v>862</v>
      </c>
      <c r="J1253" s="375">
        <v>13944.633739999999</v>
      </c>
      <c r="K1253" s="375">
        <v>-2002.7468899999999</v>
      </c>
      <c r="L1253" s="375">
        <v>-2445.5989399999999</v>
      </c>
      <c r="M1253" s="375">
        <v>41680.616119999999</v>
      </c>
      <c r="N1253" s="372">
        <v>0.76700000000000002</v>
      </c>
      <c r="O1253" s="704">
        <v>7.4882483507428734</v>
      </c>
      <c r="P1253" s="375" t="s">
        <v>622</v>
      </c>
      <c r="Q1253" s="375" t="s">
        <v>622</v>
      </c>
      <c r="R1253" s="696">
        <v>20191024</v>
      </c>
      <c r="S1253" s="375" t="s">
        <v>8516</v>
      </c>
      <c r="T1253" s="697" t="s">
        <v>771</v>
      </c>
      <c r="U1253" s="372" t="s">
        <v>8517</v>
      </c>
      <c r="V1253" s="723" t="s">
        <v>773</v>
      </c>
      <c r="W1253" s="723">
        <v>4.4400000000000004</v>
      </c>
      <c r="X1253" s="723">
        <v>11.85</v>
      </c>
      <c r="Y1253" s="723" t="s">
        <v>773</v>
      </c>
      <c r="Z1253" s="382">
        <v>0.19214240235662983</v>
      </c>
      <c r="AA1253" s="372">
        <v>81.903629300000006</v>
      </c>
      <c r="AB1253" s="372">
        <v>88.711092399999998</v>
      </c>
      <c r="AC1253" s="372">
        <v>110.2381476</v>
      </c>
      <c r="AD1253" s="372">
        <v>146.547755</v>
      </c>
      <c r="AE1253" s="372">
        <v>140</v>
      </c>
      <c r="AF1253" s="372">
        <v>199</v>
      </c>
      <c r="AG1253" s="372">
        <v>296</v>
      </c>
      <c r="AH1253" s="372">
        <v>0</v>
      </c>
    </row>
    <row r="1254" spans="1:34">
      <c r="A1254" s="372" t="s">
        <v>8518</v>
      </c>
      <c r="B1254" s="373" t="s">
        <v>8519</v>
      </c>
      <c r="C1254" s="372" t="s">
        <v>8520</v>
      </c>
      <c r="D1254" s="374">
        <v>1101112165838</v>
      </c>
      <c r="E1254" s="372" t="s">
        <v>8521</v>
      </c>
      <c r="F1254" s="375" t="s">
        <v>1796</v>
      </c>
      <c r="G1254" s="375" t="s">
        <v>1797</v>
      </c>
      <c r="H1254" s="375" t="s">
        <v>861</v>
      </c>
      <c r="I1254" s="375" t="s">
        <v>862</v>
      </c>
      <c r="J1254" s="375">
        <v>0</v>
      </c>
      <c r="K1254" s="375">
        <v>0</v>
      </c>
      <c r="L1254" s="375">
        <v>0</v>
      </c>
      <c r="M1254" s="375">
        <v>0</v>
      </c>
      <c r="N1254" s="372">
        <v>0.86799999999999999</v>
      </c>
      <c r="O1254" s="704" t="s">
        <v>16301</v>
      </c>
      <c r="P1254" s="375" t="s">
        <v>622</v>
      </c>
      <c r="Q1254" s="372" t="s">
        <v>622</v>
      </c>
      <c r="R1254" s="696">
        <v>20190322</v>
      </c>
      <c r="S1254" s="372" t="s">
        <v>8369</v>
      </c>
      <c r="T1254" s="697" t="s">
        <v>771</v>
      </c>
      <c r="U1254" s="372" t="s">
        <v>8522</v>
      </c>
      <c r="V1254" s="723">
        <v>0</v>
      </c>
      <c r="W1254" s="723">
        <v>0</v>
      </c>
      <c r="X1254" s="723">
        <v>0</v>
      </c>
      <c r="Y1254" s="723">
        <v>0</v>
      </c>
      <c r="Z1254" s="382" t="s">
        <v>927</v>
      </c>
      <c r="AA1254" s="372">
        <v>769.03899720000004</v>
      </c>
      <c r="AB1254" s="372">
        <v>920.72127030000001</v>
      </c>
      <c r="AC1254" s="372">
        <v>731.87504439999998</v>
      </c>
      <c r="AD1254" s="372">
        <v>679.42814980000003</v>
      </c>
      <c r="AE1254" s="372">
        <v>0</v>
      </c>
      <c r="AF1254" s="372">
        <v>0</v>
      </c>
      <c r="AG1254" s="372">
        <v>0</v>
      </c>
      <c r="AH1254" s="372">
        <v>0</v>
      </c>
    </row>
    <row r="1255" spans="1:34">
      <c r="A1255" s="372" t="s">
        <v>8523</v>
      </c>
      <c r="B1255" s="373" t="s">
        <v>8524</v>
      </c>
      <c r="C1255" s="372" t="s">
        <v>8525</v>
      </c>
      <c r="D1255" s="374">
        <v>1301110007137</v>
      </c>
      <c r="E1255" s="372" t="s">
        <v>8526</v>
      </c>
      <c r="F1255" s="375" t="s">
        <v>2116</v>
      </c>
      <c r="G1255" s="375" t="s">
        <v>8339</v>
      </c>
      <c r="H1255" s="375" t="s">
        <v>812</v>
      </c>
      <c r="I1255" s="375" t="s">
        <v>754</v>
      </c>
      <c r="J1255" s="375">
        <v>1307071.40817</v>
      </c>
      <c r="K1255" s="375">
        <v>18708.03873</v>
      </c>
      <c r="L1255" s="375">
        <v>-3011.6249499999999</v>
      </c>
      <c r="M1255" s="375">
        <v>252678.26874999999</v>
      </c>
      <c r="N1255" s="372">
        <v>0.76300000000000001</v>
      </c>
      <c r="O1255" s="704">
        <v>453.26379925896259</v>
      </c>
      <c r="P1255" s="375" t="s">
        <v>622</v>
      </c>
      <c r="Q1255" s="375" t="s">
        <v>622</v>
      </c>
      <c r="R1255" s="696">
        <v>19891205</v>
      </c>
      <c r="S1255" s="375" t="s">
        <v>8527</v>
      </c>
      <c r="T1255" s="697" t="s">
        <v>771</v>
      </c>
      <c r="U1255" s="372" t="s">
        <v>8528</v>
      </c>
      <c r="V1255" s="723">
        <v>20.36</v>
      </c>
      <c r="W1255" s="723">
        <v>0.53</v>
      </c>
      <c r="X1255" s="723">
        <v>0.09</v>
      </c>
      <c r="Y1255" s="723">
        <v>135.22</v>
      </c>
      <c r="Z1255" s="382" t="s">
        <v>927</v>
      </c>
      <c r="AA1255" s="372">
        <v>9335.6048793000009</v>
      </c>
      <c r="AB1255" s="372">
        <v>12776.3571225</v>
      </c>
      <c r="AC1255" s="372">
        <v>14412.72496</v>
      </c>
      <c r="AD1255" s="372">
        <v>13230.459559299999</v>
      </c>
      <c r="AE1255" s="372">
        <v>0</v>
      </c>
      <c r="AF1255" s="372">
        <v>0</v>
      </c>
      <c r="AG1255" s="372">
        <v>0</v>
      </c>
      <c r="AH1255" s="372">
        <v>0</v>
      </c>
    </row>
    <row r="1256" spans="1:34">
      <c r="A1256" s="372" t="s">
        <v>8529</v>
      </c>
      <c r="B1256" s="373" t="s">
        <v>8530</v>
      </c>
      <c r="C1256" s="372" t="s">
        <v>8531</v>
      </c>
      <c r="D1256" s="374">
        <v>1101117914785</v>
      </c>
      <c r="E1256" s="372" t="s">
        <v>8532</v>
      </c>
      <c r="F1256" s="372" t="s">
        <v>1962</v>
      </c>
      <c r="G1256" s="375" t="s">
        <v>1962</v>
      </c>
      <c r="H1256" s="375" t="s">
        <v>861</v>
      </c>
      <c r="I1256" s="375" t="s">
        <v>862</v>
      </c>
      <c r="J1256" s="375">
        <v>53200.835870000003</v>
      </c>
      <c r="K1256" s="375">
        <v>1629.2702999999999</v>
      </c>
      <c r="L1256" s="375">
        <v>2021.7931599999999</v>
      </c>
      <c r="M1256" s="375">
        <v>24759.68607</v>
      </c>
      <c r="N1256" s="372">
        <v>0.63200000000000001</v>
      </c>
      <c r="O1256" s="704">
        <v>1.3110515073122255</v>
      </c>
      <c r="P1256" s="375" t="s">
        <v>622</v>
      </c>
      <c r="Q1256" s="372" t="s">
        <v>622</v>
      </c>
      <c r="R1256" s="696">
        <v>20211015</v>
      </c>
      <c r="S1256" s="372" t="s">
        <v>8533</v>
      </c>
      <c r="T1256" s="697">
        <v>0.20900000000000002</v>
      </c>
      <c r="U1256" s="372" t="s">
        <v>8534</v>
      </c>
      <c r="V1256" s="723">
        <v>0</v>
      </c>
      <c r="W1256" s="723">
        <v>0</v>
      </c>
      <c r="X1256" s="723">
        <v>0</v>
      </c>
      <c r="Y1256" s="723">
        <v>0</v>
      </c>
      <c r="Z1256" s="382" t="s">
        <v>927</v>
      </c>
      <c r="AA1256" s="372">
        <v>0</v>
      </c>
      <c r="AB1256" s="372">
        <v>272.9156921</v>
      </c>
      <c r="AC1256" s="372">
        <v>300.9272307</v>
      </c>
      <c r="AD1256" s="372">
        <v>273.47504220000002</v>
      </c>
      <c r="AE1256" s="372">
        <v>0</v>
      </c>
      <c r="AF1256" s="372">
        <v>0</v>
      </c>
      <c r="AG1256" s="372">
        <v>0</v>
      </c>
      <c r="AH1256" s="372">
        <v>0</v>
      </c>
    </row>
    <row r="1257" spans="1:34">
      <c r="A1257" s="372" t="s">
        <v>8535</v>
      </c>
      <c r="B1257" s="373" t="s">
        <v>8536</v>
      </c>
      <c r="C1257" s="372" t="s">
        <v>8537</v>
      </c>
      <c r="D1257" s="374">
        <v>1101110042484</v>
      </c>
      <c r="E1257" s="372" t="s">
        <v>8538</v>
      </c>
      <c r="F1257" s="375" t="s">
        <v>1262</v>
      </c>
      <c r="G1257" s="375" t="s">
        <v>1263</v>
      </c>
      <c r="H1257" s="375" t="s">
        <v>1264</v>
      </c>
      <c r="I1257" s="375" t="s">
        <v>754</v>
      </c>
      <c r="J1257" s="375">
        <v>0</v>
      </c>
      <c r="K1257" s="375">
        <v>0</v>
      </c>
      <c r="L1257" s="375">
        <v>0</v>
      </c>
      <c r="M1257" s="375">
        <v>0</v>
      </c>
      <c r="N1257" s="372">
        <v>0.66100000000000003</v>
      </c>
      <c r="O1257" s="704" t="s">
        <v>16301</v>
      </c>
      <c r="P1257" s="375" t="s">
        <v>622</v>
      </c>
      <c r="Q1257" s="375" t="s">
        <v>622</v>
      </c>
      <c r="R1257" s="696">
        <v>19870824</v>
      </c>
      <c r="S1257" s="375" t="s">
        <v>3206</v>
      </c>
      <c r="T1257" s="697" t="s">
        <v>771</v>
      </c>
      <c r="U1257" s="372" t="s">
        <v>8539</v>
      </c>
      <c r="V1257" s="723">
        <v>0</v>
      </c>
      <c r="W1257" s="723">
        <v>0</v>
      </c>
      <c r="X1257" s="723">
        <v>0</v>
      </c>
      <c r="Y1257" s="723">
        <v>0</v>
      </c>
      <c r="Z1257" s="382" t="s">
        <v>927</v>
      </c>
      <c r="AA1257" s="372">
        <v>148.1382883</v>
      </c>
      <c r="AB1257" s="372">
        <v>179.92044379999999</v>
      </c>
      <c r="AC1257" s="372">
        <v>90.463786600000006</v>
      </c>
      <c r="AD1257" s="372">
        <v>135.3326892</v>
      </c>
      <c r="AE1257" s="372">
        <v>0</v>
      </c>
      <c r="AF1257" s="372">
        <v>0</v>
      </c>
      <c r="AG1257" s="372">
        <v>0</v>
      </c>
      <c r="AH1257" s="372">
        <v>0</v>
      </c>
    </row>
    <row r="1258" spans="1:34">
      <c r="A1258" s="372" t="s">
        <v>8540</v>
      </c>
      <c r="B1258" s="373" t="s">
        <v>8541</v>
      </c>
      <c r="C1258" s="372" t="s">
        <v>8542</v>
      </c>
      <c r="D1258" s="374">
        <v>1101110545529</v>
      </c>
      <c r="E1258" s="372" t="s">
        <v>8543</v>
      </c>
      <c r="F1258" s="372" t="s">
        <v>1863</v>
      </c>
      <c r="G1258" s="375" t="s">
        <v>1864</v>
      </c>
      <c r="H1258" s="375" t="s">
        <v>861</v>
      </c>
      <c r="I1258" s="375" t="s">
        <v>862</v>
      </c>
      <c r="J1258" s="375">
        <v>1557696.11751</v>
      </c>
      <c r="K1258" s="375">
        <v>77720.054770000002</v>
      </c>
      <c r="L1258" s="375">
        <v>55709.423519999997</v>
      </c>
      <c r="M1258" s="375">
        <v>372258.56584</v>
      </c>
      <c r="N1258" s="372">
        <v>0.93400000000000005</v>
      </c>
      <c r="O1258" s="704">
        <v>516.714004424015</v>
      </c>
      <c r="P1258" s="375" t="s">
        <v>622</v>
      </c>
      <c r="Q1258" s="372" t="s">
        <v>622</v>
      </c>
      <c r="R1258" s="696">
        <v>20011102</v>
      </c>
      <c r="S1258" s="372" t="s">
        <v>8544</v>
      </c>
      <c r="T1258" s="697">
        <v>0.23100000000000001</v>
      </c>
      <c r="U1258" s="372" t="s">
        <v>8545</v>
      </c>
      <c r="V1258" s="723">
        <v>3.09</v>
      </c>
      <c r="W1258" s="723">
        <v>0.28000000000000003</v>
      </c>
      <c r="X1258" s="723">
        <v>7.0000000000000007E-2</v>
      </c>
      <c r="Y1258" s="723">
        <v>2.0299999999999998</v>
      </c>
      <c r="Z1258" s="382" t="s">
        <v>927</v>
      </c>
      <c r="AA1258" s="372">
        <v>9415.6820299999999</v>
      </c>
      <c r="AB1258" s="372">
        <v>10298.150414199999</v>
      </c>
      <c r="AC1258" s="372">
        <v>11995.129634999999</v>
      </c>
      <c r="AD1258" s="372">
        <v>14405.572650800001</v>
      </c>
      <c r="AE1258" s="372">
        <v>0</v>
      </c>
      <c r="AF1258" s="372">
        <v>0</v>
      </c>
      <c r="AG1258" s="372">
        <v>0</v>
      </c>
      <c r="AH1258" s="372">
        <v>0</v>
      </c>
    </row>
    <row r="1259" spans="1:34">
      <c r="A1259" s="372" t="s">
        <v>8546</v>
      </c>
      <c r="B1259" s="373" t="s">
        <v>8547</v>
      </c>
      <c r="C1259" s="372" t="s">
        <v>8548</v>
      </c>
      <c r="D1259" s="374">
        <v>1101110036396</v>
      </c>
      <c r="E1259" s="372" t="s">
        <v>8549</v>
      </c>
      <c r="F1259" s="375" t="s">
        <v>1323</v>
      </c>
      <c r="G1259" s="375" t="s">
        <v>16106</v>
      </c>
      <c r="H1259" s="375" t="s">
        <v>784</v>
      </c>
      <c r="I1259" s="375" t="s">
        <v>754</v>
      </c>
      <c r="J1259" s="375">
        <v>68032.552989999996</v>
      </c>
      <c r="K1259" s="375">
        <v>-54974.601049999997</v>
      </c>
      <c r="L1259" s="375">
        <v>-150046.39936000001</v>
      </c>
      <c r="M1259" s="375">
        <v>435617.1643</v>
      </c>
      <c r="N1259" s="372">
        <v>0.76500000000000001</v>
      </c>
      <c r="O1259" s="704">
        <v>66.785998541384956</v>
      </c>
      <c r="P1259" s="375" t="s">
        <v>622</v>
      </c>
      <c r="Q1259" s="372" t="s">
        <v>622</v>
      </c>
      <c r="R1259" s="696">
        <v>19841019</v>
      </c>
      <c r="S1259" s="372" t="s">
        <v>8550</v>
      </c>
      <c r="T1259" s="697" t="s">
        <v>771</v>
      </c>
      <c r="U1259" s="372" t="s">
        <v>15899</v>
      </c>
      <c r="V1259" s="723" t="s">
        <v>773</v>
      </c>
      <c r="W1259" s="723">
        <v>0.41</v>
      </c>
      <c r="X1259" s="723">
        <v>1.32</v>
      </c>
      <c r="Y1259" s="723" t="s">
        <v>773</v>
      </c>
      <c r="Z1259" s="382" t="s">
        <v>927</v>
      </c>
      <c r="AA1259" s="372">
        <v>533.19976199999996</v>
      </c>
      <c r="AB1259" s="372">
        <v>564.81701580000004</v>
      </c>
      <c r="AC1259" s="372">
        <v>651.90359330000001</v>
      </c>
      <c r="AD1259" s="372">
        <v>873.63627710000003</v>
      </c>
      <c r="AE1259" s="372">
        <v>0</v>
      </c>
      <c r="AF1259" s="372">
        <v>0</v>
      </c>
      <c r="AG1259" s="372">
        <v>0</v>
      </c>
      <c r="AH1259" s="372">
        <v>0</v>
      </c>
    </row>
    <row r="1260" spans="1:34">
      <c r="A1260" s="372" t="s">
        <v>8551</v>
      </c>
      <c r="B1260" s="373" t="s">
        <v>8552</v>
      </c>
      <c r="C1260" s="372" t="s">
        <v>8553</v>
      </c>
      <c r="D1260" s="374">
        <v>1243110024177</v>
      </c>
      <c r="E1260" s="372" t="s">
        <v>8554</v>
      </c>
      <c r="F1260" s="372" t="s">
        <v>2511</v>
      </c>
      <c r="G1260" s="375" t="s">
        <v>2511</v>
      </c>
      <c r="H1260" s="375" t="s">
        <v>861</v>
      </c>
      <c r="I1260" s="375" t="s">
        <v>862</v>
      </c>
      <c r="J1260" s="375">
        <v>58204.041969999998</v>
      </c>
      <c r="K1260" s="375">
        <v>-2466.0827199999999</v>
      </c>
      <c r="L1260" s="375">
        <v>-5038.2404500000002</v>
      </c>
      <c r="M1260" s="375">
        <v>61214.26683</v>
      </c>
      <c r="N1260" s="372">
        <v>0.71299999999999997</v>
      </c>
      <c r="O1260" s="704">
        <v>53.178367398509963</v>
      </c>
      <c r="P1260" s="375" t="s">
        <v>622</v>
      </c>
      <c r="Q1260" s="372" t="s">
        <v>622</v>
      </c>
      <c r="R1260" s="696">
        <v>20071001</v>
      </c>
      <c r="S1260" s="372" t="s">
        <v>8555</v>
      </c>
      <c r="T1260" s="697" t="s">
        <v>771</v>
      </c>
      <c r="U1260" s="372" t="s">
        <v>8556</v>
      </c>
      <c r="V1260" s="723" t="s">
        <v>773</v>
      </c>
      <c r="W1260" s="723">
        <v>1.1299999999999999</v>
      </c>
      <c r="X1260" s="723">
        <v>1.32</v>
      </c>
      <c r="Y1260" s="723" t="s">
        <v>773</v>
      </c>
      <c r="Z1260" s="382" t="s">
        <v>927</v>
      </c>
      <c r="AA1260" s="372">
        <v>1301.1421322000001</v>
      </c>
      <c r="AB1260" s="372">
        <v>723.89120839999998</v>
      </c>
      <c r="AC1260" s="372">
        <v>674.12484210000002</v>
      </c>
      <c r="AD1260" s="372">
        <v>661.56769299999996</v>
      </c>
      <c r="AE1260" s="372">
        <v>0</v>
      </c>
      <c r="AF1260" s="372">
        <v>0</v>
      </c>
      <c r="AG1260" s="372">
        <v>0</v>
      </c>
      <c r="AH1260" s="372">
        <v>0</v>
      </c>
    </row>
    <row r="1261" spans="1:34">
      <c r="A1261" s="372" t="s">
        <v>8557</v>
      </c>
      <c r="B1261" s="373" t="s">
        <v>8558</v>
      </c>
      <c r="C1261" s="372" t="s">
        <v>8559</v>
      </c>
      <c r="D1261" s="374">
        <v>2059110000169</v>
      </c>
      <c r="E1261" s="372" t="s">
        <v>8560</v>
      </c>
      <c r="F1261" s="375" t="s">
        <v>1863</v>
      </c>
      <c r="G1261" s="375" t="s">
        <v>1864</v>
      </c>
      <c r="H1261" s="375" t="s">
        <v>792</v>
      </c>
      <c r="I1261" s="375" t="s">
        <v>754</v>
      </c>
      <c r="J1261" s="375">
        <v>451528.57681</v>
      </c>
      <c r="K1261" s="375">
        <v>15277.59677</v>
      </c>
      <c r="L1261" s="375">
        <v>-18003.528160000002</v>
      </c>
      <c r="M1261" s="375">
        <v>318539.73583000002</v>
      </c>
      <c r="N1261" s="372">
        <v>0.51700000000000002</v>
      </c>
      <c r="O1261" s="704">
        <v>36.760969621116992</v>
      </c>
      <c r="P1261" s="375" t="s">
        <v>622</v>
      </c>
      <c r="Q1261" s="375" t="s">
        <v>622</v>
      </c>
      <c r="R1261" s="696">
        <v>20151111</v>
      </c>
      <c r="S1261" s="375" t="s">
        <v>8561</v>
      </c>
      <c r="T1261" s="697" t="s">
        <v>771</v>
      </c>
      <c r="U1261" s="372" t="s">
        <v>8562</v>
      </c>
      <c r="V1261" s="723">
        <v>4.62</v>
      </c>
      <c r="W1261" s="723">
        <v>0.38</v>
      </c>
      <c r="X1261" s="723">
        <v>0.28000000000000003</v>
      </c>
      <c r="Y1261" s="723" t="s">
        <v>773</v>
      </c>
      <c r="Z1261" s="382" t="s">
        <v>927</v>
      </c>
      <c r="AA1261" s="372">
        <v>2196.3255745000001</v>
      </c>
      <c r="AB1261" s="372">
        <v>2339.8556717000001</v>
      </c>
      <c r="AC1261" s="372">
        <v>2777.7035323</v>
      </c>
      <c r="AD1261" s="372">
        <v>3643.2045085999998</v>
      </c>
      <c r="AE1261" s="372">
        <v>0</v>
      </c>
      <c r="AF1261" s="372">
        <v>0</v>
      </c>
      <c r="AG1261" s="372">
        <v>0</v>
      </c>
      <c r="AH1261" s="372">
        <v>0</v>
      </c>
    </row>
    <row r="1262" spans="1:34">
      <c r="A1262" s="372" t="s">
        <v>8563</v>
      </c>
      <c r="B1262" s="373" t="s">
        <v>8564</v>
      </c>
      <c r="C1262" s="372" t="s">
        <v>8565</v>
      </c>
      <c r="D1262" s="374">
        <v>2001110021009</v>
      </c>
      <c r="E1262" s="372" t="s">
        <v>8566</v>
      </c>
      <c r="F1262" s="375" t="s">
        <v>8567</v>
      </c>
      <c r="G1262" s="375" t="s">
        <v>8568</v>
      </c>
      <c r="H1262" s="375" t="s">
        <v>1531</v>
      </c>
      <c r="I1262" s="375" t="s">
        <v>862</v>
      </c>
      <c r="J1262" s="375">
        <v>21049.10773</v>
      </c>
      <c r="K1262" s="375">
        <v>8179.0820700000004</v>
      </c>
      <c r="L1262" s="375">
        <v>15894.358</v>
      </c>
      <c r="M1262" s="375">
        <v>182762.1673</v>
      </c>
      <c r="N1262" s="372">
        <v>0.55000000000000004</v>
      </c>
      <c r="O1262" s="704">
        <v>0</v>
      </c>
      <c r="P1262" s="375" t="s">
        <v>622</v>
      </c>
      <c r="Q1262" s="375" t="s">
        <v>622</v>
      </c>
      <c r="R1262" s="696">
        <v>20181129</v>
      </c>
      <c r="S1262" s="375" t="s">
        <v>8569</v>
      </c>
      <c r="T1262" s="697">
        <v>0.20900000000000002</v>
      </c>
      <c r="U1262" s="372" t="s">
        <v>8570</v>
      </c>
      <c r="V1262" s="723">
        <v>0</v>
      </c>
      <c r="W1262" s="723">
        <v>0</v>
      </c>
      <c r="X1262" s="723">
        <v>0</v>
      </c>
      <c r="Y1262" s="723">
        <v>0</v>
      </c>
      <c r="Z1262" s="382" t="s">
        <v>927</v>
      </c>
      <c r="AA1262" s="372">
        <v>177.13931819999999</v>
      </c>
      <c r="AB1262" s="372">
        <v>258.93224079999999</v>
      </c>
      <c r="AC1262" s="372">
        <v>304.35802719999998</v>
      </c>
      <c r="AD1262" s="372">
        <v>246.70582730000001</v>
      </c>
      <c r="AE1262" s="372">
        <v>0</v>
      </c>
      <c r="AF1262" s="372">
        <v>0</v>
      </c>
      <c r="AG1262" s="372">
        <v>0</v>
      </c>
      <c r="AH1262" s="372">
        <v>0</v>
      </c>
    </row>
    <row r="1263" spans="1:34">
      <c r="A1263" s="372" t="s">
        <v>8571</v>
      </c>
      <c r="B1263" s="373" t="s">
        <v>8572</v>
      </c>
      <c r="C1263" s="372" t="s">
        <v>8573</v>
      </c>
      <c r="D1263" s="374">
        <v>1801110071794</v>
      </c>
      <c r="E1263" s="372" t="s">
        <v>8574</v>
      </c>
      <c r="F1263" s="375" t="s">
        <v>2089</v>
      </c>
      <c r="G1263" s="375" t="s">
        <v>2089</v>
      </c>
      <c r="H1263" s="375" t="s">
        <v>812</v>
      </c>
      <c r="I1263" s="375" t="s">
        <v>754</v>
      </c>
      <c r="J1263" s="375">
        <v>246057.05114</v>
      </c>
      <c r="K1263" s="375">
        <v>19267.681809999998</v>
      </c>
      <c r="L1263" s="375">
        <v>26248.131069999999</v>
      </c>
      <c r="M1263" s="375">
        <v>257104.35117000001</v>
      </c>
      <c r="N1263" s="372">
        <v>0.71</v>
      </c>
      <c r="O1263" s="704">
        <v>4.925421007862063</v>
      </c>
      <c r="P1263" s="375" t="s">
        <v>622</v>
      </c>
      <c r="Q1263" s="375" t="s">
        <v>622</v>
      </c>
      <c r="R1263" s="696">
        <v>19990818</v>
      </c>
      <c r="S1263" s="375" t="s">
        <v>8575</v>
      </c>
      <c r="T1263" s="697">
        <v>0.23100000000000001</v>
      </c>
      <c r="U1263" s="372" t="s">
        <v>8576</v>
      </c>
      <c r="V1263" s="723">
        <v>0</v>
      </c>
      <c r="W1263" s="723">
        <v>0</v>
      </c>
      <c r="X1263" s="723">
        <v>0</v>
      </c>
      <c r="Y1263" s="723">
        <v>0</v>
      </c>
      <c r="Z1263" s="382" t="s">
        <v>927</v>
      </c>
      <c r="AA1263" s="372">
        <v>1653.7639545</v>
      </c>
      <c r="AB1263" s="372">
        <v>2508.2905986999999</v>
      </c>
      <c r="AC1263" s="372">
        <v>2406.0420334999999</v>
      </c>
      <c r="AD1263" s="372">
        <v>2182.5866953</v>
      </c>
      <c r="AE1263" s="372">
        <v>0</v>
      </c>
      <c r="AF1263" s="372">
        <v>0</v>
      </c>
      <c r="AG1263" s="372">
        <v>0</v>
      </c>
      <c r="AH1263" s="372">
        <v>0</v>
      </c>
    </row>
    <row r="1264" spans="1:34">
      <c r="A1264" s="372" t="s">
        <v>8577</v>
      </c>
      <c r="B1264" s="373" t="s">
        <v>8578</v>
      </c>
      <c r="C1264" s="372" t="s">
        <v>8579</v>
      </c>
      <c r="D1264" s="374">
        <v>1101112307539</v>
      </c>
      <c r="E1264" s="372" t="s">
        <v>8580</v>
      </c>
      <c r="F1264" s="375" t="s">
        <v>2441</v>
      </c>
      <c r="G1264" s="375" t="s">
        <v>2441</v>
      </c>
      <c r="H1264" s="375" t="s">
        <v>1337</v>
      </c>
      <c r="I1264" s="375" t="s">
        <v>862</v>
      </c>
      <c r="J1264" s="375">
        <v>130515.51942</v>
      </c>
      <c r="K1264" s="375">
        <v>-4582.4973300000001</v>
      </c>
      <c r="L1264" s="375">
        <v>-4343.97577</v>
      </c>
      <c r="M1264" s="375">
        <v>36663.453909999997</v>
      </c>
      <c r="N1264" s="372">
        <v>0.76300000000000001</v>
      </c>
      <c r="O1264" s="704">
        <v>47.562813919665857</v>
      </c>
      <c r="P1264" s="375" t="s">
        <v>622</v>
      </c>
      <c r="Q1264" s="372" t="s">
        <v>622</v>
      </c>
      <c r="R1264" s="696">
        <v>20190130</v>
      </c>
      <c r="S1264" s="372" t="s">
        <v>8581</v>
      </c>
      <c r="T1264" s="697" t="s">
        <v>771</v>
      </c>
      <c r="U1264" s="372" t="s">
        <v>8582</v>
      </c>
      <c r="V1264" s="723" t="s">
        <v>773</v>
      </c>
      <c r="W1264" s="723">
        <v>2.25</v>
      </c>
      <c r="X1264" s="723">
        <v>0.63</v>
      </c>
      <c r="Y1264" s="723" t="s">
        <v>773</v>
      </c>
      <c r="Z1264" s="382" t="s">
        <v>927</v>
      </c>
      <c r="AA1264" s="372">
        <v>199.5949392</v>
      </c>
      <c r="AB1264" s="372">
        <v>29.2845561</v>
      </c>
      <c r="AC1264" s="372">
        <v>220.04644709999999</v>
      </c>
      <c r="AD1264" s="372">
        <v>986.12582459999999</v>
      </c>
      <c r="AE1264" s="372">
        <v>1300</v>
      </c>
      <c r="AF1264" s="372">
        <v>0</v>
      </c>
      <c r="AG1264" s="372">
        <v>0</v>
      </c>
      <c r="AH1264" s="372">
        <v>0</v>
      </c>
    </row>
    <row r="1265" spans="1:34">
      <c r="A1265" s="372" t="s">
        <v>8583</v>
      </c>
      <c r="B1265" s="373" t="s">
        <v>8584</v>
      </c>
      <c r="C1265" s="372" t="s">
        <v>8585</v>
      </c>
      <c r="D1265" s="374">
        <v>1243110000250</v>
      </c>
      <c r="E1265" s="372" t="s">
        <v>8586</v>
      </c>
      <c r="F1265" s="372" t="s">
        <v>1323</v>
      </c>
      <c r="G1265" s="375" t="s">
        <v>16106</v>
      </c>
      <c r="H1265" s="375" t="s">
        <v>784</v>
      </c>
      <c r="I1265" s="375" t="s">
        <v>754</v>
      </c>
      <c r="J1265" s="375">
        <v>178442.76704000001</v>
      </c>
      <c r="K1265" s="375">
        <v>953.18625999999995</v>
      </c>
      <c r="L1265" s="375">
        <v>841.17711999999995</v>
      </c>
      <c r="M1265" s="375">
        <v>82413.465649999998</v>
      </c>
      <c r="N1265" s="372">
        <v>0.34</v>
      </c>
      <c r="O1265" s="704">
        <v>42.737515453713812</v>
      </c>
      <c r="P1265" s="375" t="s">
        <v>622</v>
      </c>
      <c r="Q1265" s="375" t="s">
        <v>622</v>
      </c>
      <c r="R1265" s="696">
        <v>19780628</v>
      </c>
      <c r="S1265" s="375" t="s">
        <v>8587</v>
      </c>
      <c r="T1265" s="697">
        <v>0.20900000000000002</v>
      </c>
      <c r="U1265" s="372" t="s">
        <v>8588</v>
      </c>
      <c r="V1265" s="723">
        <v>0</v>
      </c>
      <c r="W1265" s="723">
        <v>0</v>
      </c>
      <c r="X1265" s="723">
        <v>0</v>
      </c>
      <c r="Y1265" s="723">
        <v>0</v>
      </c>
      <c r="Z1265" s="382" t="s">
        <v>927</v>
      </c>
      <c r="AA1265" s="372">
        <v>1329.6551161</v>
      </c>
      <c r="AB1265" s="372">
        <v>1398.0275308</v>
      </c>
      <c r="AC1265" s="372">
        <v>1626.9004603999999</v>
      </c>
      <c r="AD1265" s="372">
        <v>1807.6265899</v>
      </c>
      <c r="AE1265" s="372">
        <v>0</v>
      </c>
      <c r="AF1265" s="372">
        <v>0</v>
      </c>
      <c r="AG1265" s="372">
        <v>0</v>
      </c>
      <c r="AH1265" s="372">
        <v>0</v>
      </c>
    </row>
    <row r="1266" spans="1:34">
      <c r="A1266" s="372" t="s">
        <v>8589</v>
      </c>
      <c r="B1266" s="373" t="s">
        <v>8590</v>
      </c>
      <c r="C1266" s="372" t="s">
        <v>8591</v>
      </c>
      <c r="D1266" s="374">
        <v>1301110045012</v>
      </c>
      <c r="E1266" s="372" t="s">
        <v>8592</v>
      </c>
      <c r="F1266" s="375" t="s">
        <v>1962</v>
      </c>
      <c r="G1266" s="375" t="s">
        <v>1962</v>
      </c>
      <c r="H1266" s="375" t="s">
        <v>861</v>
      </c>
      <c r="I1266" s="375" t="s">
        <v>862</v>
      </c>
      <c r="J1266" s="375">
        <v>115702.98981</v>
      </c>
      <c r="K1266" s="375">
        <v>15767.20311</v>
      </c>
      <c r="L1266" s="375">
        <v>17611.2706</v>
      </c>
      <c r="M1266" s="375">
        <v>122654.28468</v>
      </c>
      <c r="N1266" s="372">
        <v>1.046</v>
      </c>
      <c r="O1266" s="704">
        <v>0.20085569062636621</v>
      </c>
      <c r="P1266" s="375" t="s">
        <v>622</v>
      </c>
      <c r="Q1266" s="375" t="s">
        <v>622</v>
      </c>
      <c r="R1266" s="696">
        <v>20031112</v>
      </c>
      <c r="S1266" s="375" t="s">
        <v>8593</v>
      </c>
      <c r="T1266" s="697">
        <v>0.20900000000000002</v>
      </c>
      <c r="U1266" s="372" t="s">
        <v>8594</v>
      </c>
      <c r="V1266" s="723">
        <v>14.56</v>
      </c>
      <c r="W1266" s="723">
        <v>2.19</v>
      </c>
      <c r="X1266" s="723">
        <v>2.35</v>
      </c>
      <c r="Y1266" s="723">
        <v>20.329999999999998</v>
      </c>
      <c r="Z1266" s="382">
        <v>0.36082338195475283</v>
      </c>
      <c r="AA1266" s="372">
        <v>1802.0980453</v>
      </c>
      <c r="AB1266" s="372">
        <v>1102.0015496999999</v>
      </c>
      <c r="AC1266" s="372">
        <v>1445.7619949</v>
      </c>
      <c r="AD1266" s="372">
        <v>1052.6891596</v>
      </c>
      <c r="AE1266" s="372">
        <v>1778.5</v>
      </c>
      <c r="AF1266" s="372">
        <v>2500</v>
      </c>
      <c r="AG1266" s="372">
        <v>3610</v>
      </c>
      <c r="AH1266" s="372">
        <v>0</v>
      </c>
    </row>
    <row r="1267" spans="1:34">
      <c r="A1267" s="372" t="s">
        <v>8595</v>
      </c>
      <c r="B1267" s="373" t="s">
        <v>8596</v>
      </c>
      <c r="C1267" s="372" t="s">
        <v>8597</v>
      </c>
      <c r="D1267" s="374">
        <v>1101111625271</v>
      </c>
      <c r="E1267" s="372" t="s">
        <v>8598</v>
      </c>
      <c r="F1267" s="375" t="s">
        <v>8599</v>
      </c>
      <c r="G1267" s="375" t="s">
        <v>8599</v>
      </c>
      <c r="H1267" s="375" t="s">
        <v>4847</v>
      </c>
      <c r="I1267" s="375" t="s">
        <v>862</v>
      </c>
      <c r="J1267" s="375">
        <v>18129.940210000001</v>
      </c>
      <c r="K1267" s="375">
        <v>-16833.67813</v>
      </c>
      <c r="L1267" s="375">
        <v>-25612.75229</v>
      </c>
      <c r="M1267" s="375">
        <v>25308.02073</v>
      </c>
      <c r="N1267" s="372">
        <v>0.11899999999999999</v>
      </c>
      <c r="O1267" s="704">
        <v>2.6911836866839636</v>
      </c>
      <c r="P1267" s="375" t="s">
        <v>16115</v>
      </c>
      <c r="Q1267" s="372" t="s">
        <v>16116</v>
      </c>
      <c r="R1267" s="696">
        <v>20021030</v>
      </c>
      <c r="S1267" s="372" t="s">
        <v>8600</v>
      </c>
      <c r="T1267" s="697" t="s">
        <v>771</v>
      </c>
      <c r="U1267" s="372" t="s">
        <v>8601</v>
      </c>
      <c r="V1267" s="723" t="s">
        <v>773</v>
      </c>
      <c r="W1267" s="723">
        <v>4.08</v>
      </c>
      <c r="X1267" s="723">
        <v>5.73</v>
      </c>
      <c r="Y1267" s="723" t="s">
        <v>773</v>
      </c>
      <c r="Z1267" s="382" t="s">
        <v>927</v>
      </c>
      <c r="AA1267" s="372">
        <v>457.68226499999997</v>
      </c>
      <c r="AB1267" s="372">
        <v>240.7056168</v>
      </c>
      <c r="AC1267" s="372">
        <v>373.6693267</v>
      </c>
      <c r="AD1267" s="372">
        <v>227.5960905</v>
      </c>
      <c r="AE1267" s="372">
        <v>0</v>
      </c>
      <c r="AF1267" s="372">
        <v>0</v>
      </c>
      <c r="AG1267" s="372">
        <v>0</v>
      </c>
      <c r="AH1267" s="372">
        <v>0</v>
      </c>
    </row>
    <row r="1268" spans="1:34">
      <c r="A1268" s="372" t="s">
        <v>8602</v>
      </c>
      <c r="B1268" s="373" t="s">
        <v>8603</v>
      </c>
      <c r="C1268" s="372" t="s">
        <v>8604</v>
      </c>
      <c r="D1268" s="374">
        <v>1101114291540</v>
      </c>
      <c r="E1268" s="372" t="s">
        <v>8605</v>
      </c>
      <c r="F1268" s="372" t="s">
        <v>1006</v>
      </c>
      <c r="G1268" s="375" t="s">
        <v>1215</v>
      </c>
      <c r="H1268" s="375" t="s">
        <v>861</v>
      </c>
      <c r="I1268" s="375" t="s">
        <v>862</v>
      </c>
      <c r="J1268" s="375">
        <v>119861.11564</v>
      </c>
      <c r="K1268" s="375">
        <v>-789.86473999999998</v>
      </c>
      <c r="L1268" s="375">
        <v>-866.58363999999995</v>
      </c>
      <c r="M1268" s="375">
        <v>228489.47883000001</v>
      </c>
      <c r="N1268" s="372">
        <v>1.006</v>
      </c>
      <c r="O1268" s="704">
        <v>181.77438289309492</v>
      </c>
      <c r="P1268" s="375" t="s">
        <v>622</v>
      </c>
      <c r="Q1268" s="375" t="s">
        <v>622</v>
      </c>
      <c r="R1268" s="696">
        <v>20101110</v>
      </c>
      <c r="S1268" s="375" t="s">
        <v>2505</v>
      </c>
      <c r="T1268" s="697" t="s">
        <v>771</v>
      </c>
      <c r="U1268" s="372" t="s">
        <v>15900</v>
      </c>
      <c r="V1268" s="723">
        <v>26.07</v>
      </c>
      <c r="W1268" s="723">
        <v>0.41</v>
      </c>
      <c r="X1268" s="723">
        <v>0.82</v>
      </c>
      <c r="Y1268" s="723">
        <v>98.2</v>
      </c>
      <c r="Z1268" s="382" t="s">
        <v>927</v>
      </c>
      <c r="AA1268" s="372">
        <v>1062.0395268</v>
      </c>
      <c r="AB1268" s="372">
        <v>1057.3419712</v>
      </c>
      <c r="AC1268" s="372">
        <v>1340.4512546999999</v>
      </c>
      <c r="AD1268" s="372">
        <v>1216.7851977</v>
      </c>
      <c r="AE1268" s="372">
        <v>0</v>
      </c>
      <c r="AF1268" s="372">
        <v>0</v>
      </c>
      <c r="AG1268" s="372">
        <v>0</v>
      </c>
      <c r="AH1268" s="372">
        <v>0</v>
      </c>
    </row>
    <row r="1269" spans="1:34">
      <c r="A1269" s="372" t="s">
        <v>8606</v>
      </c>
      <c r="B1269" s="373" t="s">
        <v>8607</v>
      </c>
      <c r="C1269" s="372" t="s">
        <v>8608</v>
      </c>
      <c r="D1269" s="374">
        <v>1246110236750</v>
      </c>
      <c r="E1269" s="372" t="s">
        <v>8609</v>
      </c>
      <c r="F1269" s="375" t="s">
        <v>1185</v>
      </c>
      <c r="G1269" s="375" t="s">
        <v>1186</v>
      </c>
      <c r="H1269" s="375" t="s">
        <v>861</v>
      </c>
      <c r="I1269" s="375" t="s">
        <v>862</v>
      </c>
      <c r="J1269" s="375">
        <v>70179.892959999997</v>
      </c>
      <c r="K1269" s="375">
        <v>7684.8563000000004</v>
      </c>
      <c r="L1269" s="375">
        <v>6923.1198899999999</v>
      </c>
      <c r="M1269" s="375">
        <v>46466.043839999998</v>
      </c>
      <c r="N1269" s="372">
        <v>1.272</v>
      </c>
      <c r="O1269" s="704">
        <v>29.230779362143366</v>
      </c>
      <c r="P1269" s="375" t="s">
        <v>622</v>
      </c>
      <c r="Q1269" s="375" t="s">
        <v>622</v>
      </c>
      <c r="R1269" s="696">
        <v>20150925</v>
      </c>
      <c r="S1269" s="375" t="s">
        <v>8610</v>
      </c>
      <c r="T1269" s="697">
        <v>0.20900000000000002</v>
      </c>
      <c r="U1269" s="372" t="s">
        <v>8611</v>
      </c>
      <c r="V1269" s="723">
        <v>8.8699999999999992</v>
      </c>
      <c r="W1269" s="723">
        <v>1.54</v>
      </c>
      <c r="X1269" s="723">
        <v>1.02</v>
      </c>
      <c r="Y1269" s="723">
        <v>10.49</v>
      </c>
      <c r="Z1269" s="382" t="s">
        <v>927</v>
      </c>
      <c r="AA1269" s="372">
        <v>419.41654620000003</v>
      </c>
      <c r="AB1269" s="372">
        <v>597.27438919999997</v>
      </c>
      <c r="AC1269" s="372">
        <v>596.02938070000005</v>
      </c>
      <c r="AD1269" s="372">
        <v>564.53761120000001</v>
      </c>
      <c r="AE1269" s="372">
        <v>804.2</v>
      </c>
      <c r="AF1269" s="372">
        <v>0</v>
      </c>
      <c r="AG1269" s="372">
        <v>0</v>
      </c>
      <c r="AH1269" s="372">
        <v>0</v>
      </c>
    </row>
    <row r="1270" spans="1:34">
      <c r="A1270" s="372" t="s">
        <v>8612</v>
      </c>
      <c r="B1270" s="373" t="s">
        <v>8613</v>
      </c>
      <c r="C1270" s="372" t="s">
        <v>8614</v>
      </c>
      <c r="D1270" s="374">
        <v>1101117648186</v>
      </c>
      <c r="E1270" s="372" t="s">
        <v>8615</v>
      </c>
      <c r="F1270" s="375" t="s">
        <v>2184</v>
      </c>
      <c r="G1270" s="375" t="s">
        <v>2185</v>
      </c>
      <c r="H1270" s="375" t="s">
        <v>861</v>
      </c>
      <c r="I1270" s="375" t="s">
        <v>862</v>
      </c>
      <c r="J1270" s="375">
        <v>28123.540260000002</v>
      </c>
      <c r="K1270" s="375">
        <v>5816.2658700000002</v>
      </c>
      <c r="L1270" s="375">
        <v>5762.7259999999997</v>
      </c>
      <c r="M1270" s="375">
        <v>35958.77547</v>
      </c>
      <c r="N1270" s="372">
        <v>0.80500000000000005</v>
      </c>
      <c r="O1270" s="704">
        <v>3.6778116251033763</v>
      </c>
      <c r="P1270" s="375" t="s">
        <v>622</v>
      </c>
      <c r="Q1270" s="375" t="s">
        <v>622</v>
      </c>
      <c r="R1270" s="696">
        <v>20210121</v>
      </c>
      <c r="S1270" s="375" t="s">
        <v>8616</v>
      </c>
      <c r="T1270" s="697">
        <v>0.20900000000000002</v>
      </c>
      <c r="U1270" s="372" t="s">
        <v>8617</v>
      </c>
      <c r="V1270" s="723">
        <v>17.07</v>
      </c>
      <c r="W1270" s="723">
        <v>3.38</v>
      </c>
      <c r="X1270" s="723">
        <v>4.32</v>
      </c>
      <c r="Y1270" s="723">
        <v>22.79</v>
      </c>
      <c r="Z1270" s="382">
        <v>0.21176833960941277</v>
      </c>
      <c r="AA1270" s="372">
        <v>156.9073946</v>
      </c>
      <c r="AB1270" s="372">
        <v>146.93555720000001</v>
      </c>
      <c r="AC1270" s="372">
        <v>188.29443319999999</v>
      </c>
      <c r="AD1270" s="372">
        <v>193.86431569999999</v>
      </c>
      <c r="AE1270" s="372">
        <v>285</v>
      </c>
      <c r="AF1270" s="372">
        <v>353</v>
      </c>
      <c r="AG1270" s="372">
        <v>418</v>
      </c>
      <c r="AH1270" s="372">
        <v>0</v>
      </c>
    </row>
    <row r="1271" spans="1:34">
      <c r="A1271" s="372" t="s">
        <v>8618</v>
      </c>
      <c r="B1271" s="373" t="s">
        <v>8619</v>
      </c>
      <c r="C1271" s="372" t="s">
        <v>8620</v>
      </c>
      <c r="D1271" s="374">
        <v>1101111064429</v>
      </c>
      <c r="E1271" s="372" t="s">
        <v>8621</v>
      </c>
      <c r="F1271" s="375" t="s">
        <v>2625</v>
      </c>
      <c r="G1271" s="375" t="s">
        <v>2626</v>
      </c>
      <c r="H1271" s="375" t="s">
        <v>1337</v>
      </c>
      <c r="I1271" s="375" t="s">
        <v>862</v>
      </c>
      <c r="J1271" s="375">
        <v>128220.84818</v>
      </c>
      <c r="K1271" s="375">
        <v>34527.588900000002</v>
      </c>
      <c r="L1271" s="375">
        <v>58998.229979999996</v>
      </c>
      <c r="M1271" s="375">
        <v>263106.84720999998</v>
      </c>
      <c r="N1271" s="372">
        <v>0.96</v>
      </c>
      <c r="O1271" s="704">
        <v>3.3589148609202946</v>
      </c>
      <c r="P1271" s="375" t="s">
        <v>622</v>
      </c>
      <c r="Q1271" s="372" t="s">
        <v>622</v>
      </c>
      <c r="R1271" s="696">
        <v>19990811</v>
      </c>
      <c r="S1271" s="372" t="s">
        <v>8622</v>
      </c>
      <c r="T1271" s="697">
        <v>0.23100000000000001</v>
      </c>
      <c r="U1271" s="372" t="s">
        <v>8623</v>
      </c>
      <c r="V1271" s="723">
        <v>5</v>
      </c>
      <c r="W1271" s="723">
        <v>0.55000000000000004</v>
      </c>
      <c r="X1271" s="723">
        <v>0.85</v>
      </c>
      <c r="Y1271" s="723">
        <v>2.93</v>
      </c>
      <c r="Z1271" s="382" t="s">
        <v>927</v>
      </c>
      <c r="AA1271" s="372">
        <v>820.39359100000001</v>
      </c>
      <c r="AB1271" s="372">
        <v>1001.9940892</v>
      </c>
      <c r="AC1271" s="372">
        <v>938.16087040000002</v>
      </c>
      <c r="AD1271" s="372">
        <v>1233.8277648000001</v>
      </c>
      <c r="AE1271" s="372">
        <v>0</v>
      </c>
      <c r="AF1271" s="372">
        <v>0</v>
      </c>
      <c r="AG1271" s="372">
        <v>0</v>
      </c>
      <c r="AH1271" s="372">
        <v>0</v>
      </c>
    </row>
    <row r="1272" spans="1:34">
      <c r="A1272" s="372" t="s">
        <v>8624</v>
      </c>
      <c r="B1272" s="373" t="s">
        <v>8625</v>
      </c>
      <c r="C1272" s="372" t="s">
        <v>8626</v>
      </c>
      <c r="D1272" s="374">
        <v>1101110005002</v>
      </c>
      <c r="E1272" s="372" t="s">
        <v>8627</v>
      </c>
      <c r="F1272" s="372" t="s">
        <v>1879</v>
      </c>
      <c r="G1272" s="375" t="s">
        <v>1879</v>
      </c>
      <c r="H1272" s="375" t="s">
        <v>1386</v>
      </c>
      <c r="I1272" s="375" t="s">
        <v>754</v>
      </c>
      <c r="J1272" s="375">
        <v>1795686.8783799999</v>
      </c>
      <c r="K1272" s="375">
        <v>-61223.852529999996</v>
      </c>
      <c r="L1272" s="375">
        <v>-74420.423089999997</v>
      </c>
      <c r="M1272" s="375">
        <v>484421.90581999999</v>
      </c>
      <c r="N1272" s="372">
        <v>0.79400000000000004</v>
      </c>
      <c r="O1272" s="704">
        <v>493.31113938201605</v>
      </c>
      <c r="P1272" s="375" t="s">
        <v>622</v>
      </c>
      <c r="Q1272" s="372" t="s">
        <v>622</v>
      </c>
      <c r="R1272" s="696">
        <v>19781030</v>
      </c>
      <c r="S1272" s="372" t="s">
        <v>8628</v>
      </c>
      <c r="T1272" s="697" t="s">
        <v>771</v>
      </c>
      <c r="U1272" s="372" t="s">
        <v>8629</v>
      </c>
      <c r="V1272" s="723" t="s">
        <v>773</v>
      </c>
      <c r="W1272" s="723">
        <v>0.21</v>
      </c>
      <c r="X1272" s="723">
        <v>0.06</v>
      </c>
      <c r="Y1272" s="723" t="s">
        <v>773</v>
      </c>
      <c r="Z1272" s="382">
        <v>4.329801992643656E-3</v>
      </c>
      <c r="AA1272" s="372">
        <v>11722.0810451</v>
      </c>
      <c r="AB1272" s="372">
        <v>11448.728236000001</v>
      </c>
      <c r="AC1272" s="372">
        <v>14612.0894733</v>
      </c>
      <c r="AD1272" s="372">
        <v>18999.795262700001</v>
      </c>
      <c r="AE1272" s="372">
        <v>17355</v>
      </c>
      <c r="AF1272" s="372">
        <v>17811</v>
      </c>
      <c r="AG1272" s="372">
        <v>19331</v>
      </c>
      <c r="AH1272" s="372">
        <v>19930</v>
      </c>
    </row>
    <row r="1273" spans="1:34">
      <c r="A1273" s="372" t="s">
        <v>8630</v>
      </c>
      <c r="B1273" s="373" t="s">
        <v>8631</v>
      </c>
      <c r="C1273" s="372" t="s">
        <v>8632</v>
      </c>
      <c r="D1273" s="374">
        <v>1344110000719</v>
      </c>
      <c r="E1273" s="372" t="s">
        <v>8633</v>
      </c>
      <c r="F1273" s="375" t="s">
        <v>1249</v>
      </c>
      <c r="G1273" s="375" t="s">
        <v>1249</v>
      </c>
      <c r="H1273" s="375" t="s">
        <v>861</v>
      </c>
      <c r="I1273" s="375" t="s">
        <v>862</v>
      </c>
      <c r="J1273" s="375">
        <v>122450.63011</v>
      </c>
      <c r="K1273" s="375">
        <v>1840.1050299999999</v>
      </c>
      <c r="L1273" s="375">
        <v>-1438.87141</v>
      </c>
      <c r="M1273" s="375">
        <v>189696.54527999999</v>
      </c>
      <c r="N1273" s="372">
        <v>0.45500000000000002</v>
      </c>
      <c r="O1273" s="704">
        <v>3.2170141238857779</v>
      </c>
      <c r="P1273" s="375" t="s">
        <v>622</v>
      </c>
      <c r="Q1273" s="375" t="s">
        <v>622</v>
      </c>
      <c r="R1273" s="696">
        <v>20020416</v>
      </c>
      <c r="S1273" s="375" t="s">
        <v>8634</v>
      </c>
      <c r="T1273" s="697" t="s">
        <v>771</v>
      </c>
      <c r="U1273" s="372" t="s">
        <v>8635</v>
      </c>
      <c r="V1273" s="723">
        <v>0</v>
      </c>
      <c r="W1273" s="723">
        <v>0</v>
      </c>
      <c r="X1273" s="723">
        <v>0</v>
      </c>
      <c r="Y1273" s="723">
        <v>0</v>
      </c>
      <c r="Z1273" s="382" t="s">
        <v>927</v>
      </c>
      <c r="AA1273" s="372">
        <v>1236.1303089999999</v>
      </c>
      <c r="AB1273" s="372">
        <v>1069.8951399</v>
      </c>
      <c r="AC1273" s="372">
        <v>1320.5274892</v>
      </c>
      <c r="AD1273" s="372">
        <v>1225.4121991</v>
      </c>
      <c r="AE1273" s="372">
        <v>0</v>
      </c>
      <c r="AF1273" s="372">
        <v>0</v>
      </c>
      <c r="AG1273" s="372">
        <v>0</v>
      </c>
      <c r="AH1273" s="372">
        <v>0</v>
      </c>
    </row>
    <row r="1274" spans="1:34">
      <c r="A1274" s="372" t="s">
        <v>8636</v>
      </c>
      <c r="B1274" s="373" t="s">
        <v>8637</v>
      </c>
      <c r="C1274" s="372" t="s">
        <v>8638</v>
      </c>
      <c r="D1274" s="374">
        <v>1101111673288</v>
      </c>
      <c r="E1274" s="372" t="s">
        <v>8639</v>
      </c>
      <c r="F1274" s="372" t="s">
        <v>3366</v>
      </c>
      <c r="G1274" s="375" t="s">
        <v>8640</v>
      </c>
      <c r="H1274" s="375" t="s">
        <v>3099</v>
      </c>
      <c r="I1274" s="375" t="s">
        <v>862</v>
      </c>
      <c r="J1274" s="375">
        <v>658709.78656000004</v>
      </c>
      <c r="K1274" s="375">
        <v>10744.45335</v>
      </c>
      <c r="L1274" s="375">
        <v>2157.7855800000002</v>
      </c>
      <c r="M1274" s="375">
        <v>187133.49651999999</v>
      </c>
      <c r="N1274" s="372">
        <v>0.71599999999999997</v>
      </c>
      <c r="O1274" s="704">
        <v>43.454698610281589</v>
      </c>
      <c r="P1274" s="375" t="s">
        <v>622</v>
      </c>
      <c r="Q1274" s="375" t="s">
        <v>622</v>
      </c>
      <c r="R1274" s="696">
        <v>20080507</v>
      </c>
      <c r="S1274" s="375" t="s">
        <v>8641</v>
      </c>
      <c r="T1274" s="697">
        <v>0.20900000000000002</v>
      </c>
      <c r="U1274" s="372" t="s">
        <v>8642</v>
      </c>
      <c r="V1274" s="723">
        <v>6.45</v>
      </c>
      <c r="W1274" s="723">
        <v>0.67</v>
      </c>
      <c r="X1274" s="723">
        <v>0.19</v>
      </c>
      <c r="Y1274" s="723">
        <v>126.52</v>
      </c>
      <c r="Z1274" s="382" t="s">
        <v>927</v>
      </c>
      <c r="AA1274" s="372">
        <v>6127.5239975000004</v>
      </c>
      <c r="AB1274" s="372">
        <v>6536.9599650999999</v>
      </c>
      <c r="AC1274" s="372">
        <v>6637.7131649000003</v>
      </c>
      <c r="AD1274" s="372">
        <v>6578.4398938000004</v>
      </c>
      <c r="AE1274" s="372">
        <v>0</v>
      </c>
      <c r="AF1274" s="372">
        <v>0</v>
      </c>
      <c r="AG1274" s="372">
        <v>0</v>
      </c>
      <c r="AH1274" s="372">
        <v>0</v>
      </c>
    </row>
    <row r="1275" spans="1:34">
      <c r="A1275" s="372" t="s">
        <v>8643</v>
      </c>
      <c r="B1275" s="373" t="s">
        <v>8644</v>
      </c>
      <c r="C1275" s="372" t="s">
        <v>8645</v>
      </c>
      <c r="D1275" s="374">
        <v>1101110149446</v>
      </c>
      <c r="E1275" s="372" t="s">
        <v>8645</v>
      </c>
      <c r="F1275" s="375" t="s">
        <v>1459</v>
      </c>
      <c r="G1275" s="375" t="s">
        <v>5643</v>
      </c>
      <c r="H1275" s="375" t="s">
        <v>909</v>
      </c>
      <c r="I1275" s="375" t="s">
        <v>754</v>
      </c>
      <c r="J1275" s="375">
        <v>857781.93290000001</v>
      </c>
      <c r="K1275" s="375">
        <v>36370.00922</v>
      </c>
      <c r="L1275" s="375">
        <v>34597.072229999998</v>
      </c>
      <c r="M1275" s="375">
        <v>304776.86689</v>
      </c>
      <c r="N1275" s="372">
        <v>0.21199999999999999</v>
      </c>
      <c r="O1275" s="704">
        <v>249.86250849738184</v>
      </c>
      <c r="P1275" s="375" t="s">
        <v>622</v>
      </c>
      <c r="Q1275" s="372" t="s">
        <v>622</v>
      </c>
      <c r="R1275" s="696">
        <v>19780929</v>
      </c>
      <c r="S1275" s="372" t="s">
        <v>8646</v>
      </c>
      <c r="T1275" s="697">
        <v>0.23100000000000001</v>
      </c>
      <c r="U1275" s="372" t="s">
        <v>8647</v>
      </c>
      <c r="V1275" s="723">
        <v>6.07</v>
      </c>
      <c r="W1275" s="723">
        <v>0.56000000000000005</v>
      </c>
      <c r="X1275" s="723">
        <v>0.19</v>
      </c>
      <c r="Y1275" s="723">
        <v>5.95</v>
      </c>
      <c r="Z1275" s="382" t="s">
        <v>927</v>
      </c>
      <c r="AA1275" s="372">
        <v>4887.3377959999998</v>
      </c>
      <c r="AB1275" s="372">
        <v>6947.3789943000002</v>
      </c>
      <c r="AC1275" s="372">
        <v>9204.0866872999995</v>
      </c>
      <c r="AD1275" s="372">
        <v>8231.2542967999998</v>
      </c>
      <c r="AE1275" s="372">
        <v>0</v>
      </c>
      <c r="AF1275" s="372">
        <v>0</v>
      </c>
      <c r="AG1275" s="372">
        <v>0</v>
      </c>
      <c r="AH1275" s="372">
        <v>0</v>
      </c>
    </row>
    <row r="1276" spans="1:34">
      <c r="A1276" s="372" t="s">
        <v>8648</v>
      </c>
      <c r="B1276" s="373" t="s">
        <v>8649</v>
      </c>
      <c r="C1276" s="372" t="s">
        <v>8650</v>
      </c>
      <c r="D1276" s="374">
        <v>1101112863789</v>
      </c>
      <c r="E1276" s="372" t="s">
        <v>8651</v>
      </c>
      <c r="F1276" s="375" t="s">
        <v>2054</v>
      </c>
      <c r="G1276" s="375" t="s">
        <v>4697</v>
      </c>
      <c r="H1276" s="375" t="s">
        <v>861</v>
      </c>
      <c r="I1276" s="375" t="s">
        <v>862</v>
      </c>
      <c r="J1276" s="375">
        <v>112464.99475</v>
      </c>
      <c r="K1276" s="375">
        <v>7960.2847300000003</v>
      </c>
      <c r="L1276" s="375">
        <v>5881.9537200000004</v>
      </c>
      <c r="M1276" s="375">
        <v>83185.982929999998</v>
      </c>
      <c r="N1276" s="372">
        <v>0.45800000000000002</v>
      </c>
      <c r="O1276" s="704">
        <v>21.635915032781334</v>
      </c>
      <c r="P1276" s="375" t="s">
        <v>622</v>
      </c>
      <c r="Q1276" s="372" t="s">
        <v>622</v>
      </c>
      <c r="R1276" s="696">
        <v>20181122</v>
      </c>
      <c r="S1276" s="372" t="s">
        <v>8652</v>
      </c>
      <c r="T1276" s="697">
        <v>0.20900000000000002</v>
      </c>
      <c r="U1276" s="375" t="s">
        <v>8653</v>
      </c>
      <c r="V1276" s="723">
        <v>9.09</v>
      </c>
      <c r="W1276" s="723">
        <v>1.01</v>
      </c>
      <c r="X1276" s="723">
        <v>0.78</v>
      </c>
      <c r="Y1276" s="723">
        <v>13.85</v>
      </c>
      <c r="Z1276" s="382" t="s">
        <v>927</v>
      </c>
      <c r="AA1276" s="372">
        <v>1066.0370763999999</v>
      </c>
      <c r="AB1276" s="372">
        <v>857.50357010000005</v>
      </c>
      <c r="AC1276" s="372">
        <v>1101.6501834000001</v>
      </c>
      <c r="AD1276" s="372">
        <v>1129.1672957000001</v>
      </c>
      <c r="AE1276" s="372">
        <v>0</v>
      </c>
      <c r="AF1276" s="372">
        <v>0</v>
      </c>
      <c r="AG1276" s="372">
        <v>0</v>
      </c>
      <c r="AH1276" s="372">
        <v>0</v>
      </c>
    </row>
    <row r="1277" spans="1:34">
      <c r="A1277" s="372" t="s">
        <v>8654</v>
      </c>
      <c r="B1277" s="373" t="s">
        <v>8655</v>
      </c>
      <c r="C1277" s="372" t="s">
        <v>8656</v>
      </c>
      <c r="D1277" s="374">
        <v>1101110324858</v>
      </c>
      <c r="E1277" s="372" t="s">
        <v>8657</v>
      </c>
      <c r="F1277" s="375" t="s">
        <v>1055</v>
      </c>
      <c r="G1277" s="375" t="s">
        <v>16104</v>
      </c>
      <c r="H1277" s="375" t="s">
        <v>861</v>
      </c>
      <c r="I1277" s="375" t="s">
        <v>862</v>
      </c>
      <c r="J1277" s="375">
        <v>61842.926119999996</v>
      </c>
      <c r="K1277" s="375">
        <v>12478.9874</v>
      </c>
      <c r="L1277" s="375">
        <v>14735.29795</v>
      </c>
      <c r="M1277" s="375">
        <v>144023.03883</v>
      </c>
      <c r="N1277" s="372">
        <v>0.66400000000000003</v>
      </c>
      <c r="O1277" s="704">
        <v>0.81353156816500927</v>
      </c>
      <c r="P1277" s="375" t="s">
        <v>622</v>
      </c>
      <c r="Q1277" s="375" t="s">
        <v>622</v>
      </c>
      <c r="R1277" s="696">
        <v>20080930</v>
      </c>
      <c r="S1277" s="372" t="s">
        <v>8658</v>
      </c>
      <c r="T1277" s="697">
        <v>0.20900000000000002</v>
      </c>
      <c r="U1277" s="372" t="s">
        <v>8659</v>
      </c>
      <c r="V1277" s="723">
        <v>7.59</v>
      </c>
      <c r="W1277" s="723">
        <v>0.83</v>
      </c>
      <c r="X1277" s="723">
        <v>1.92</v>
      </c>
      <c r="Y1277" s="723">
        <v>9.9700000000000006</v>
      </c>
      <c r="Z1277" s="382" t="s">
        <v>927</v>
      </c>
      <c r="AA1277" s="372">
        <v>637.29164839999999</v>
      </c>
      <c r="AB1277" s="372">
        <v>625.79463499999997</v>
      </c>
      <c r="AC1277" s="372">
        <v>601.16115360000003</v>
      </c>
      <c r="AD1277" s="372">
        <v>682.46934039999996</v>
      </c>
      <c r="AE1277" s="372">
        <v>0</v>
      </c>
      <c r="AF1277" s="372">
        <v>0</v>
      </c>
      <c r="AG1277" s="372">
        <v>0</v>
      </c>
      <c r="AH1277" s="372">
        <v>0</v>
      </c>
    </row>
    <row r="1278" spans="1:34">
      <c r="A1278" s="372" t="s">
        <v>8660</v>
      </c>
      <c r="B1278" s="373" t="s">
        <v>8661</v>
      </c>
      <c r="C1278" s="372" t="s">
        <v>8662</v>
      </c>
      <c r="D1278" s="374">
        <v>1201110000034</v>
      </c>
      <c r="E1278" s="372" t="s">
        <v>8663</v>
      </c>
      <c r="F1278" s="372" t="s">
        <v>8664</v>
      </c>
      <c r="G1278" s="375" t="s">
        <v>8665</v>
      </c>
      <c r="H1278" s="375" t="s">
        <v>8018</v>
      </c>
      <c r="I1278" s="375" t="s">
        <v>862</v>
      </c>
      <c r="J1278" s="375">
        <v>188303.49557999999</v>
      </c>
      <c r="K1278" s="375">
        <v>38806.256999999998</v>
      </c>
      <c r="L1278" s="375">
        <v>34509.710910000002</v>
      </c>
      <c r="M1278" s="375">
        <v>390258.14169000002</v>
      </c>
      <c r="N1278" s="372">
        <v>0.86099999999999999</v>
      </c>
      <c r="O1278" s="704">
        <v>217.42277729907724</v>
      </c>
      <c r="P1278" s="375" t="s">
        <v>622</v>
      </c>
      <c r="Q1278" s="375" t="s">
        <v>622</v>
      </c>
      <c r="R1278" s="696">
        <v>19991218</v>
      </c>
      <c r="S1278" s="375" t="s">
        <v>8666</v>
      </c>
      <c r="T1278" s="697">
        <v>0.23100000000000001</v>
      </c>
      <c r="U1278" s="375" t="s">
        <v>8667</v>
      </c>
      <c r="V1278" s="723">
        <v>3.32</v>
      </c>
      <c r="W1278" s="723">
        <v>0.27</v>
      </c>
      <c r="X1278" s="723">
        <v>0.56000000000000005</v>
      </c>
      <c r="Y1278" s="723">
        <v>3.52</v>
      </c>
      <c r="Z1278" s="382" t="s">
        <v>927</v>
      </c>
      <c r="AA1278" s="372">
        <v>1517.2944534000001</v>
      </c>
      <c r="AB1278" s="372">
        <v>1627.3921709000001</v>
      </c>
      <c r="AC1278" s="372">
        <v>1721.4143630000001</v>
      </c>
      <c r="AD1278" s="372">
        <v>1853.0055483000001</v>
      </c>
      <c r="AE1278" s="372">
        <v>0</v>
      </c>
      <c r="AF1278" s="372">
        <v>0</v>
      </c>
      <c r="AG1278" s="372">
        <v>0</v>
      </c>
      <c r="AH1278" s="372">
        <v>0</v>
      </c>
    </row>
    <row r="1279" spans="1:34">
      <c r="A1279" s="372" t="s">
        <v>8668</v>
      </c>
      <c r="B1279" s="373" t="s">
        <v>8669</v>
      </c>
      <c r="C1279" s="372" t="s">
        <v>8670</v>
      </c>
      <c r="D1279" s="374">
        <v>1717110086312</v>
      </c>
      <c r="E1279" s="372" t="s">
        <v>8671</v>
      </c>
      <c r="F1279" s="375" t="s">
        <v>8672</v>
      </c>
      <c r="G1279" s="375" t="s">
        <v>8673</v>
      </c>
      <c r="H1279" s="375" t="s">
        <v>1043</v>
      </c>
      <c r="I1279" s="375" t="s">
        <v>754</v>
      </c>
      <c r="J1279" s="375">
        <v>54266.834130000003</v>
      </c>
      <c r="K1279" s="375">
        <v>9572.0297699999992</v>
      </c>
      <c r="L1279" s="375">
        <v>15363.51605</v>
      </c>
      <c r="M1279" s="375">
        <v>152112.98383000001</v>
      </c>
      <c r="N1279" s="372">
        <v>0.75900000000000001</v>
      </c>
      <c r="O1279" s="704">
        <v>0.38387423420873401</v>
      </c>
      <c r="P1279" s="375" t="s">
        <v>622</v>
      </c>
      <c r="Q1279" s="372" t="s">
        <v>622</v>
      </c>
      <c r="R1279" s="696">
        <v>20100219</v>
      </c>
      <c r="S1279" s="372" t="s">
        <v>8674</v>
      </c>
      <c r="T1279" s="697">
        <v>0.20900000000000002</v>
      </c>
      <c r="U1279" s="372" t="s">
        <v>8675</v>
      </c>
      <c r="V1279" s="723">
        <v>0</v>
      </c>
      <c r="W1279" s="723">
        <v>0</v>
      </c>
      <c r="X1279" s="723">
        <v>0</v>
      </c>
      <c r="Y1279" s="723">
        <v>0</v>
      </c>
      <c r="Z1279" s="382" t="s">
        <v>927</v>
      </c>
      <c r="AA1279" s="372">
        <v>595.1734179</v>
      </c>
      <c r="AB1279" s="372">
        <v>681.5587481</v>
      </c>
      <c r="AC1279" s="372">
        <v>669.76160489999995</v>
      </c>
      <c r="AD1279" s="372">
        <v>666.14293259999999</v>
      </c>
      <c r="AE1279" s="372">
        <v>0</v>
      </c>
      <c r="AF1279" s="372">
        <v>0</v>
      </c>
      <c r="AG1279" s="372">
        <v>0</v>
      </c>
      <c r="AH1279" s="372">
        <v>0</v>
      </c>
    </row>
    <row r="1280" spans="1:34">
      <c r="A1280" s="372" t="s">
        <v>8676</v>
      </c>
      <c r="B1280" s="373" t="s">
        <v>8677</v>
      </c>
      <c r="C1280" s="372" t="s">
        <v>8678</v>
      </c>
      <c r="D1280" s="374">
        <v>1101110253908</v>
      </c>
      <c r="E1280" s="372" t="s">
        <v>8679</v>
      </c>
      <c r="F1280" s="375" t="s">
        <v>5600</v>
      </c>
      <c r="G1280" s="375" t="s">
        <v>5600</v>
      </c>
      <c r="H1280" s="375" t="s">
        <v>817</v>
      </c>
      <c r="I1280" s="375" t="s">
        <v>754</v>
      </c>
      <c r="J1280" s="375">
        <v>0</v>
      </c>
      <c r="K1280" s="375">
        <v>0</v>
      </c>
      <c r="L1280" s="375">
        <v>0</v>
      </c>
      <c r="M1280" s="375">
        <v>27053.650539999999</v>
      </c>
      <c r="N1280" s="372">
        <v>0.72099999999999997</v>
      </c>
      <c r="O1280" s="704">
        <v>2.0039750979555433</v>
      </c>
      <c r="P1280" s="375" t="s">
        <v>622</v>
      </c>
      <c r="Q1280" s="372" t="s">
        <v>622</v>
      </c>
      <c r="R1280" s="696">
        <v>19891220</v>
      </c>
      <c r="S1280" s="372" t="s">
        <v>8680</v>
      </c>
      <c r="T1280" s="697" t="s">
        <v>771</v>
      </c>
      <c r="U1280" s="372" t="s">
        <v>8681</v>
      </c>
      <c r="V1280" s="723">
        <v>0</v>
      </c>
      <c r="W1280" s="723">
        <v>2.2400000000000002</v>
      </c>
      <c r="X1280" s="723">
        <v>0</v>
      </c>
      <c r="Y1280" s="723">
        <v>0</v>
      </c>
      <c r="Z1280" s="382" t="s">
        <v>927</v>
      </c>
      <c r="AA1280" s="372">
        <v>215.0847277</v>
      </c>
      <c r="AB1280" s="372">
        <v>215.74441949999999</v>
      </c>
      <c r="AC1280" s="372">
        <v>125.4389212</v>
      </c>
      <c r="AD1280" s="372">
        <v>68.834612699999994</v>
      </c>
      <c r="AE1280" s="372">
        <v>0</v>
      </c>
      <c r="AF1280" s="372">
        <v>0</v>
      </c>
      <c r="AG1280" s="372">
        <v>0</v>
      </c>
      <c r="AH1280" s="372">
        <v>0</v>
      </c>
    </row>
    <row r="1281" spans="1:34">
      <c r="A1281" s="372" t="s">
        <v>8682</v>
      </c>
      <c r="B1281" s="373" t="s">
        <v>8683</v>
      </c>
      <c r="C1281" s="372" t="s">
        <v>8684</v>
      </c>
      <c r="D1281" s="374">
        <v>1101115906974</v>
      </c>
      <c r="E1281" s="372" t="s">
        <v>8685</v>
      </c>
      <c r="F1281" s="375" t="s">
        <v>2054</v>
      </c>
      <c r="G1281" s="375" t="s">
        <v>2055</v>
      </c>
      <c r="H1281" s="375" t="s">
        <v>861</v>
      </c>
      <c r="I1281" s="375" t="s">
        <v>862</v>
      </c>
      <c r="J1281" s="375">
        <v>2268.87716</v>
      </c>
      <c r="K1281" s="375">
        <v>-20404.56236</v>
      </c>
      <c r="L1281" s="375">
        <v>-20186.02333</v>
      </c>
      <c r="M1281" s="375">
        <v>27330.504939999999</v>
      </c>
      <c r="N1281" s="372">
        <v>0.89300000000000002</v>
      </c>
      <c r="O1281" s="704">
        <v>6.1072075522890854</v>
      </c>
      <c r="P1281" s="375" t="s">
        <v>622</v>
      </c>
      <c r="Q1281" s="372" t="s">
        <v>622</v>
      </c>
      <c r="R1281" s="696">
        <v>20220303</v>
      </c>
      <c r="S1281" s="372" t="s">
        <v>8686</v>
      </c>
      <c r="T1281" s="697" t="s">
        <v>771</v>
      </c>
      <c r="U1281" s="372" t="s">
        <v>8687</v>
      </c>
      <c r="V1281" s="723" t="s">
        <v>773</v>
      </c>
      <c r="W1281" s="723">
        <v>2.72</v>
      </c>
      <c r="X1281" s="723">
        <v>32.729999999999997</v>
      </c>
      <c r="Y1281" s="723" t="s">
        <v>773</v>
      </c>
      <c r="Z1281" s="382" t="s">
        <v>927</v>
      </c>
      <c r="AA1281" s="372">
        <v>2.9526382</v>
      </c>
      <c r="AB1281" s="372">
        <v>14.7530883</v>
      </c>
      <c r="AC1281" s="372">
        <v>5.4187875999999999</v>
      </c>
      <c r="AD1281" s="372">
        <v>27.3384125</v>
      </c>
      <c r="AE1281" s="372">
        <v>0</v>
      </c>
      <c r="AF1281" s="372">
        <v>0</v>
      </c>
      <c r="AG1281" s="372">
        <v>0</v>
      </c>
      <c r="AH1281" s="372">
        <v>0</v>
      </c>
    </row>
    <row r="1282" spans="1:34">
      <c r="A1282" s="372" t="s">
        <v>8688</v>
      </c>
      <c r="B1282" s="373" t="s">
        <v>8689</v>
      </c>
      <c r="C1282" s="372" t="s">
        <v>8690</v>
      </c>
      <c r="D1282" s="374">
        <v>1101115642726</v>
      </c>
      <c r="E1282" s="372" t="s">
        <v>8691</v>
      </c>
      <c r="F1282" s="375" t="s">
        <v>3121</v>
      </c>
      <c r="G1282" s="375" t="s">
        <v>3121</v>
      </c>
      <c r="H1282" s="375" t="s">
        <v>861</v>
      </c>
      <c r="I1282" s="375" t="s">
        <v>862</v>
      </c>
      <c r="J1282" s="375">
        <v>20988.932769999999</v>
      </c>
      <c r="K1282" s="375">
        <v>2581.6991899999998</v>
      </c>
      <c r="L1282" s="375">
        <v>-6560.7495200000003</v>
      </c>
      <c r="M1282" s="375">
        <v>35063.390579999999</v>
      </c>
      <c r="N1282" s="372" t="s">
        <v>1026</v>
      </c>
      <c r="O1282" s="704">
        <v>1.6394359422953162</v>
      </c>
      <c r="P1282" s="375" t="s">
        <v>16115</v>
      </c>
      <c r="Q1282" s="375" t="s">
        <v>16116</v>
      </c>
      <c r="R1282" s="696">
        <v>20150428</v>
      </c>
      <c r="S1282" s="375" t="s">
        <v>8692</v>
      </c>
      <c r="T1282" s="697" t="s">
        <v>771</v>
      </c>
      <c r="U1282" s="372" t="s">
        <v>8693</v>
      </c>
      <c r="V1282" s="723">
        <v>0</v>
      </c>
      <c r="W1282" s="723">
        <v>0</v>
      </c>
      <c r="X1282" s="723">
        <v>0</v>
      </c>
      <c r="Y1282" s="723">
        <v>0</v>
      </c>
      <c r="Z1282" s="382" t="s">
        <v>927</v>
      </c>
      <c r="AA1282" s="372">
        <v>184.07726539999999</v>
      </c>
      <c r="AB1282" s="372">
        <v>84.472495800000004</v>
      </c>
      <c r="AC1282" s="372">
        <v>156.56058279999999</v>
      </c>
      <c r="AD1282" s="372">
        <v>162.5400118</v>
      </c>
      <c r="AE1282" s="372">
        <v>0</v>
      </c>
      <c r="AF1282" s="372">
        <v>0</v>
      </c>
      <c r="AG1282" s="372">
        <v>0</v>
      </c>
      <c r="AH1282" s="372">
        <v>0</v>
      </c>
    </row>
    <row r="1283" spans="1:34">
      <c r="A1283" s="372" t="s">
        <v>8694</v>
      </c>
      <c r="B1283" s="373" t="s">
        <v>8695</v>
      </c>
      <c r="C1283" s="372" t="s">
        <v>8696</v>
      </c>
      <c r="D1283" s="374">
        <v>1351110081475</v>
      </c>
      <c r="E1283" s="372" t="s">
        <v>8697</v>
      </c>
      <c r="F1283" s="375" t="s">
        <v>1743</v>
      </c>
      <c r="G1283" s="375" t="s">
        <v>1743</v>
      </c>
      <c r="H1283" s="375" t="s">
        <v>3099</v>
      </c>
      <c r="I1283" s="375" t="s">
        <v>862</v>
      </c>
      <c r="J1283" s="375">
        <v>33603.578829999999</v>
      </c>
      <c r="K1283" s="375">
        <v>1084.1861200000001</v>
      </c>
      <c r="L1283" s="375">
        <v>-4132.5169299999998</v>
      </c>
      <c r="M1283" s="375">
        <v>16743.127990000001</v>
      </c>
      <c r="N1283" s="372" t="s">
        <v>1026</v>
      </c>
      <c r="O1283" s="704">
        <v>6.2488378513318192</v>
      </c>
      <c r="P1283" s="375" t="s">
        <v>16115</v>
      </c>
      <c r="Q1283" s="372" t="s">
        <v>16116</v>
      </c>
      <c r="R1283" s="696">
        <v>20150630</v>
      </c>
      <c r="S1283" s="372" t="s">
        <v>16007</v>
      </c>
      <c r="T1283" s="697" t="s">
        <v>771</v>
      </c>
      <c r="U1283" s="372" t="s">
        <v>8698</v>
      </c>
      <c r="V1283" s="723">
        <v>72.27</v>
      </c>
      <c r="W1283" s="723">
        <v>7.4</v>
      </c>
      <c r="X1283" s="723">
        <v>3.69</v>
      </c>
      <c r="Y1283" s="723" t="s">
        <v>773</v>
      </c>
      <c r="Z1283" s="382" t="s">
        <v>927</v>
      </c>
      <c r="AA1283" s="372">
        <v>350.6121273</v>
      </c>
      <c r="AB1283" s="372">
        <v>175.27364259999999</v>
      </c>
      <c r="AC1283" s="372">
        <v>131.22276429999999</v>
      </c>
      <c r="AD1283" s="372">
        <v>288.12419139999997</v>
      </c>
      <c r="AE1283" s="372">
        <v>0</v>
      </c>
      <c r="AF1283" s="372">
        <v>0</v>
      </c>
      <c r="AG1283" s="372">
        <v>0</v>
      </c>
      <c r="AH1283" s="372">
        <v>0</v>
      </c>
    </row>
    <row r="1284" spans="1:34">
      <c r="A1284" s="372" t="s">
        <v>8699</v>
      </c>
      <c r="B1284" s="373" t="s">
        <v>8700</v>
      </c>
      <c r="C1284" s="372" t="s">
        <v>8701</v>
      </c>
      <c r="D1284" s="374">
        <v>1101111838212</v>
      </c>
      <c r="E1284" s="372" t="s">
        <v>8702</v>
      </c>
      <c r="F1284" s="375" t="s">
        <v>1006</v>
      </c>
      <c r="G1284" s="375" t="s">
        <v>1215</v>
      </c>
      <c r="H1284" s="375" t="s">
        <v>861</v>
      </c>
      <c r="I1284" s="375" t="s">
        <v>862</v>
      </c>
      <c r="J1284" s="375">
        <v>82878.237340000007</v>
      </c>
      <c r="K1284" s="375">
        <v>18103.123950000001</v>
      </c>
      <c r="L1284" s="375">
        <v>25877.224620000001</v>
      </c>
      <c r="M1284" s="375">
        <v>118646.85030000001</v>
      </c>
      <c r="N1284" s="372">
        <v>0.80400000000000005</v>
      </c>
      <c r="O1284" s="704">
        <v>0.79593525307005608</v>
      </c>
      <c r="P1284" s="375" t="s">
        <v>622</v>
      </c>
      <c r="Q1284" s="375" t="s">
        <v>622</v>
      </c>
      <c r="R1284" s="696">
        <v>20081219</v>
      </c>
      <c r="S1284" s="375" t="s">
        <v>8703</v>
      </c>
      <c r="T1284" s="697">
        <v>0.23100000000000001</v>
      </c>
      <c r="U1284" s="372" t="s">
        <v>8704</v>
      </c>
      <c r="V1284" s="723">
        <v>6.12</v>
      </c>
      <c r="W1284" s="723">
        <v>1.01</v>
      </c>
      <c r="X1284" s="723">
        <v>1.52</v>
      </c>
      <c r="Y1284" s="723">
        <v>6.9</v>
      </c>
      <c r="Z1284" s="382" t="s">
        <v>927</v>
      </c>
      <c r="AA1284" s="372">
        <v>423.93115280000001</v>
      </c>
      <c r="AB1284" s="372">
        <v>557.05082549999997</v>
      </c>
      <c r="AC1284" s="372">
        <v>736.54249900000002</v>
      </c>
      <c r="AD1284" s="372">
        <v>816.33381469999995</v>
      </c>
      <c r="AE1284" s="372">
        <v>0</v>
      </c>
      <c r="AF1284" s="372">
        <v>0</v>
      </c>
      <c r="AG1284" s="372">
        <v>0</v>
      </c>
      <c r="AH1284" s="372">
        <v>0</v>
      </c>
    </row>
    <row r="1285" spans="1:34">
      <c r="A1285" s="372" t="s">
        <v>8705</v>
      </c>
      <c r="B1285" s="373" t="s">
        <v>8706</v>
      </c>
      <c r="C1285" s="372" t="s">
        <v>16083</v>
      </c>
      <c r="D1285" s="374">
        <v>1243110035801</v>
      </c>
      <c r="E1285" s="372" t="s">
        <v>8707</v>
      </c>
      <c r="F1285" s="375" t="s">
        <v>2414</v>
      </c>
      <c r="G1285" s="375" t="s">
        <v>2414</v>
      </c>
      <c r="H1285" s="375" t="s">
        <v>861</v>
      </c>
      <c r="I1285" s="375" t="s">
        <v>4413</v>
      </c>
      <c r="J1285" s="375">
        <v>0</v>
      </c>
      <c r="K1285" s="375">
        <v>0</v>
      </c>
      <c r="L1285" s="375">
        <v>0</v>
      </c>
      <c r="M1285" s="375">
        <v>0</v>
      </c>
      <c r="N1285" s="372" t="s">
        <v>1026</v>
      </c>
      <c r="O1285" s="704" t="s">
        <v>16301</v>
      </c>
      <c r="P1285" s="375" t="s">
        <v>622</v>
      </c>
      <c r="Q1285" s="372" t="s">
        <v>622</v>
      </c>
      <c r="R1285" s="696">
        <v>20170116</v>
      </c>
      <c r="S1285" s="372" t="e">
        <v>#N/A</v>
      </c>
      <c r="T1285" s="697" t="s">
        <v>771</v>
      </c>
      <c r="U1285" s="372" t="s">
        <v>8708</v>
      </c>
      <c r="V1285" s="723">
        <v>0</v>
      </c>
      <c r="W1285" s="723">
        <v>0</v>
      </c>
      <c r="X1285" s="723">
        <v>0</v>
      </c>
      <c r="Y1285" s="723">
        <v>0</v>
      </c>
      <c r="Z1285" s="382" t="s">
        <v>927</v>
      </c>
      <c r="AA1285" s="372">
        <v>1965.2331767999999</v>
      </c>
      <c r="AB1285" s="372">
        <v>420.95270729999999</v>
      </c>
      <c r="AC1285" s="372">
        <v>129.48837739999999</v>
      </c>
      <c r="AD1285" s="372">
        <v>33.520155799999998</v>
      </c>
      <c r="AE1285" s="372">
        <v>0</v>
      </c>
      <c r="AF1285" s="372">
        <v>0</v>
      </c>
      <c r="AG1285" s="372">
        <v>0</v>
      </c>
      <c r="AH1285" s="372">
        <v>0</v>
      </c>
    </row>
    <row r="1286" spans="1:34">
      <c r="A1286" s="372" t="s">
        <v>8709</v>
      </c>
      <c r="B1286" s="373" t="s">
        <v>8710</v>
      </c>
      <c r="C1286" s="372" t="s">
        <v>8711</v>
      </c>
      <c r="D1286" s="374">
        <v>1801110331502</v>
      </c>
      <c r="E1286" s="372" t="s">
        <v>8712</v>
      </c>
      <c r="F1286" s="375" t="s">
        <v>7044</v>
      </c>
      <c r="G1286" s="375" t="s">
        <v>8267</v>
      </c>
      <c r="H1286" s="375" t="s">
        <v>861</v>
      </c>
      <c r="I1286" s="375" t="s">
        <v>862</v>
      </c>
      <c r="J1286" s="375">
        <v>136447.78731000001</v>
      </c>
      <c r="K1286" s="375">
        <v>5166.3975899999996</v>
      </c>
      <c r="L1286" s="375">
        <v>717.07061999999996</v>
      </c>
      <c r="M1286" s="375">
        <v>118753.67131999999</v>
      </c>
      <c r="N1286" s="372">
        <v>0.53900000000000003</v>
      </c>
      <c r="O1286" s="704">
        <v>150.30847605825622</v>
      </c>
      <c r="P1286" s="375" t="s">
        <v>622</v>
      </c>
      <c r="Q1286" s="375" t="s">
        <v>622</v>
      </c>
      <c r="R1286" s="696">
        <v>20071102</v>
      </c>
      <c r="S1286" s="375" t="s">
        <v>8713</v>
      </c>
      <c r="T1286" s="697">
        <v>0.20900000000000002</v>
      </c>
      <c r="U1286" s="372" t="s">
        <v>8714</v>
      </c>
      <c r="V1286" s="723">
        <v>16.670000000000002</v>
      </c>
      <c r="W1286" s="723">
        <v>0.76</v>
      </c>
      <c r="X1286" s="723">
        <v>0.66</v>
      </c>
      <c r="Y1286" s="723">
        <v>68.41</v>
      </c>
      <c r="Z1286" s="382">
        <v>3.2008551923911721E-2</v>
      </c>
      <c r="AA1286" s="372">
        <v>896.20822090000001</v>
      </c>
      <c r="AB1286" s="372">
        <v>1079.4886527000001</v>
      </c>
      <c r="AC1286" s="372">
        <v>1420.8968242999999</v>
      </c>
      <c r="AD1286" s="372">
        <v>1496.0587814</v>
      </c>
      <c r="AE1286" s="372">
        <v>1307</v>
      </c>
      <c r="AF1286" s="372">
        <v>1529</v>
      </c>
      <c r="AG1286" s="372">
        <v>1697</v>
      </c>
      <c r="AH1286" s="372">
        <v>0</v>
      </c>
    </row>
    <row r="1287" spans="1:34">
      <c r="A1287" s="372" t="s">
        <v>8715</v>
      </c>
      <c r="B1287" s="373" t="s">
        <v>8716</v>
      </c>
      <c r="C1287" s="372" t="s">
        <v>8717</v>
      </c>
      <c r="D1287" s="374">
        <v>1101110504195</v>
      </c>
      <c r="E1287" s="372" t="s">
        <v>8718</v>
      </c>
      <c r="F1287" s="375" t="s">
        <v>8719</v>
      </c>
      <c r="G1287" s="375" t="s">
        <v>8719</v>
      </c>
      <c r="H1287" s="375" t="s">
        <v>812</v>
      </c>
      <c r="I1287" s="375" t="s">
        <v>754</v>
      </c>
      <c r="J1287" s="375">
        <v>323062.75842999999</v>
      </c>
      <c r="K1287" s="375">
        <v>18212.013630000001</v>
      </c>
      <c r="L1287" s="375">
        <v>28193.534589999999</v>
      </c>
      <c r="M1287" s="375">
        <v>413695.08448000002</v>
      </c>
      <c r="N1287" s="372">
        <v>0.84799999999999998</v>
      </c>
      <c r="O1287" s="704">
        <v>58.140963304530104</v>
      </c>
      <c r="P1287" s="375" t="s">
        <v>622</v>
      </c>
      <c r="Q1287" s="372" t="s">
        <v>622</v>
      </c>
      <c r="R1287" s="696">
        <v>19970422</v>
      </c>
      <c r="S1287" s="372" t="s">
        <v>8720</v>
      </c>
      <c r="T1287" s="697">
        <v>0.23100000000000001</v>
      </c>
      <c r="U1287" s="372" t="s">
        <v>8721</v>
      </c>
      <c r="V1287" s="723">
        <v>5.05</v>
      </c>
      <c r="W1287" s="723">
        <v>0.26</v>
      </c>
      <c r="X1287" s="723">
        <v>0.28999999999999998</v>
      </c>
      <c r="Y1287" s="723">
        <v>5.0599999999999996</v>
      </c>
      <c r="Z1287" s="382" t="s">
        <v>927</v>
      </c>
      <c r="AA1287" s="372">
        <v>2394.5449524999999</v>
      </c>
      <c r="AB1287" s="372">
        <v>2709.8229328000002</v>
      </c>
      <c r="AC1287" s="372">
        <v>3334.456639</v>
      </c>
      <c r="AD1287" s="372">
        <v>3551.4290117</v>
      </c>
      <c r="AE1287" s="372">
        <v>0</v>
      </c>
      <c r="AF1287" s="372">
        <v>0</v>
      </c>
      <c r="AG1287" s="372">
        <v>0</v>
      </c>
      <c r="AH1287" s="372">
        <v>0</v>
      </c>
    </row>
    <row r="1288" spans="1:34">
      <c r="A1288" s="372" t="s">
        <v>8722</v>
      </c>
      <c r="B1288" s="373" t="s">
        <v>8723</v>
      </c>
      <c r="C1288" s="372" t="s">
        <v>8724</v>
      </c>
      <c r="D1288" s="374">
        <v>1101110026420</v>
      </c>
      <c r="E1288" s="372" t="s">
        <v>8725</v>
      </c>
      <c r="F1288" s="372" t="s">
        <v>1323</v>
      </c>
      <c r="G1288" s="375" t="s">
        <v>16106</v>
      </c>
      <c r="H1288" s="375" t="s">
        <v>861</v>
      </c>
      <c r="I1288" s="375" t="s">
        <v>862</v>
      </c>
      <c r="J1288" s="375">
        <v>264635.74125000002</v>
      </c>
      <c r="K1288" s="375">
        <v>6124.25162</v>
      </c>
      <c r="L1288" s="375">
        <v>20460.413809999998</v>
      </c>
      <c r="M1288" s="375">
        <v>165551.81451</v>
      </c>
      <c r="N1288" s="372">
        <v>0.50600000000000001</v>
      </c>
      <c r="O1288" s="704">
        <v>95.663818600306683</v>
      </c>
      <c r="P1288" s="375" t="s">
        <v>622</v>
      </c>
      <c r="Q1288" s="372" t="s">
        <v>622</v>
      </c>
      <c r="R1288" s="696">
        <v>20000613</v>
      </c>
      <c r="S1288" s="372" t="s">
        <v>8726</v>
      </c>
      <c r="T1288" s="697">
        <v>0.23100000000000001</v>
      </c>
      <c r="U1288" s="372" t="s">
        <v>8727</v>
      </c>
      <c r="V1288" s="723">
        <v>10.64</v>
      </c>
      <c r="W1288" s="723">
        <v>0.54</v>
      </c>
      <c r="X1288" s="723">
        <v>0.35</v>
      </c>
      <c r="Y1288" s="723">
        <v>6.52</v>
      </c>
      <c r="Z1288" s="382" t="s">
        <v>927</v>
      </c>
      <c r="AA1288" s="372">
        <v>1433.6421786000001</v>
      </c>
      <c r="AB1288" s="372">
        <v>1635.3383025999999</v>
      </c>
      <c r="AC1288" s="372">
        <v>2053.8853629</v>
      </c>
      <c r="AD1288" s="372">
        <v>2336.7550076000002</v>
      </c>
      <c r="AE1288" s="372">
        <v>0</v>
      </c>
      <c r="AF1288" s="372">
        <v>0</v>
      </c>
      <c r="AG1288" s="372">
        <v>0</v>
      </c>
      <c r="AH1288" s="372">
        <v>0</v>
      </c>
    </row>
    <row r="1289" spans="1:34">
      <c r="A1289" s="372" t="s">
        <v>8728</v>
      </c>
      <c r="B1289" s="373" t="s">
        <v>8729</v>
      </c>
      <c r="C1289" s="372" t="s">
        <v>8730</v>
      </c>
      <c r="D1289" s="374">
        <v>1101111515191</v>
      </c>
      <c r="E1289" s="372" t="s">
        <v>8731</v>
      </c>
      <c r="F1289" s="375" t="s">
        <v>2426</v>
      </c>
      <c r="G1289" s="375" t="s">
        <v>2427</v>
      </c>
      <c r="H1289" s="375" t="s">
        <v>861</v>
      </c>
      <c r="I1289" s="375" t="s">
        <v>862</v>
      </c>
      <c r="J1289" s="375">
        <v>116837.41190000001</v>
      </c>
      <c r="K1289" s="375">
        <v>5228.0748999999996</v>
      </c>
      <c r="L1289" s="375">
        <v>8235.4793399999999</v>
      </c>
      <c r="M1289" s="375">
        <v>149486.46377</v>
      </c>
      <c r="N1289" s="372">
        <v>0.97499999999999998</v>
      </c>
      <c r="O1289" s="704">
        <v>0.37695237878897286</v>
      </c>
      <c r="P1289" s="375" t="s">
        <v>622</v>
      </c>
      <c r="Q1289" s="372" t="s">
        <v>622</v>
      </c>
      <c r="R1289" s="696">
        <v>20050121</v>
      </c>
      <c r="S1289" s="372" t="s">
        <v>8732</v>
      </c>
      <c r="T1289" s="697">
        <v>0.20900000000000002</v>
      </c>
      <c r="U1289" s="372" t="s">
        <v>8733</v>
      </c>
      <c r="V1289" s="723">
        <v>7.71</v>
      </c>
      <c r="W1289" s="723">
        <v>0.43</v>
      </c>
      <c r="X1289" s="723">
        <v>0.55000000000000004</v>
      </c>
      <c r="Y1289" s="723">
        <v>10.84</v>
      </c>
      <c r="Z1289" s="382" t="s">
        <v>927</v>
      </c>
      <c r="AA1289" s="372">
        <v>1018.543153</v>
      </c>
      <c r="AB1289" s="372">
        <v>1140.3874773</v>
      </c>
      <c r="AC1289" s="372">
        <v>1244.4167666000001</v>
      </c>
      <c r="AD1289" s="372">
        <v>1291.5657037000001</v>
      </c>
      <c r="AE1289" s="372">
        <v>2100</v>
      </c>
      <c r="AF1289" s="372">
        <v>0</v>
      </c>
      <c r="AG1289" s="372">
        <v>0</v>
      </c>
      <c r="AH1289" s="372">
        <v>0</v>
      </c>
    </row>
    <row r="1290" spans="1:34">
      <c r="A1290" s="372" t="s">
        <v>8734</v>
      </c>
      <c r="B1290" s="373" t="s">
        <v>8735</v>
      </c>
      <c r="C1290" s="372" t="s">
        <v>16008</v>
      </c>
      <c r="D1290" s="374">
        <v>1101114809963</v>
      </c>
      <c r="E1290" s="372" t="s">
        <v>16009</v>
      </c>
      <c r="F1290" s="375" t="s">
        <v>1962</v>
      </c>
      <c r="G1290" s="375" t="s">
        <v>1962</v>
      </c>
      <c r="H1290" s="375" t="s">
        <v>861</v>
      </c>
      <c r="I1290" s="375" t="s">
        <v>862</v>
      </c>
      <c r="J1290" s="375">
        <v>194688.58304999999</v>
      </c>
      <c r="K1290" s="375">
        <v>5121.9238699999996</v>
      </c>
      <c r="L1290" s="375">
        <v>5795.9881699999996</v>
      </c>
      <c r="M1290" s="375">
        <v>111140.86049000001</v>
      </c>
      <c r="N1290" s="372">
        <v>0.873</v>
      </c>
      <c r="O1290" s="704">
        <v>39.842155395284557</v>
      </c>
      <c r="P1290" s="375" t="s">
        <v>622</v>
      </c>
      <c r="Q1290" s="375" t="s">
        <v>622</v>
      </c>
      <c r="R1290" s="696">
        <v>20161201</v>
      </c>
      <c r="S1290" s="375" t="s">
        <v>8736</v>
      </c>
      <c r="T1290" s="697">
        <v>0.20900000000000002</v>
      </c>
      <c r="U1290" s="375" t="s">
        <v>8737</v>
      </c>
      <c r="V1290" s="723">
        <v>5.77</v>
      </c>
      <c r="W1290" s="723">
        <v>0.59</v>
      </c>
      <c r="X1290" s="723">
        <v>0.34</v>
      </c>
      <c r="Y1290" s="723">
        <v>13.1</v>
      </c>
      <c r="Z1290" s="382" t="s">
        <v>927</v>
      </c>
      <c r="AA1290" s="372">
        <v>916.34634389999997</v>
      </c>
      <c r="AB1290" s="372">
        <v>939.40248859999997</v>
      </c>
      <c r="AC1290" s="372">
        <v>1649.6926719000001</v>
      </c>
      <c r="AD1290" s="372">
        <v>1403.3675662999999</v>
      </c>
      <c r="AE1290" s="372">
        <v>2270</v>
      </c>
      <c r="AF1290" s="372">
        <v>0</v>
      </c>
      <c r="AG1290" s="372">
        <v>0</v>
      </c>
      <c r="AH1290" s="372">
        <v>0</v>
      </c>
    </row>
    <row r="1291" spans="1:34">
      <c r="A1291" s="372" t="s">
        <v>8738</v>
      </c>
      <c r="B1291" s="373" t="s">
        <v>8739</v>
      </c>
      <c r="C1291" s="372" t="s">
        <v>8740</v>
      </c>
      <c r="D1291" s="374">
        <v>1411110025962</v>
      </c>
      <c r="E1291" s="372" t="s">
        <v>8741</v>
      </c>
      <c r="F1291" s="375" t="s">
        <v>3121</v>
      </c>
      <c r="G1291" s="375" t="s">
        <v>3121</v>
      </c>
      <c r="H1291" s="375" t="s">
        <v>861</v>
      </c>
      <c r="I1291" s="375" t="s">
        <v>862</v>
      </c>
      <c r="J1291" s="375">
        <v>33113.329879999998</v>
      </c>
      <c r="K1291" s="375">
        <v>2259.40497</v>
      </c>
      <c r="L1291" s="375">
        <v>508.39334000000002</v>
      </c>
      <c r="M1291" s="375">
        <v>40410.069499999998</v>
      </c>
      <c r="N1291" s="372">
        <v>0.21</v>
      </c>
      <c r="O1291" s="704">
        <v>18.482131618588632</v>
      </c>
      <c r="P1291" s="375" t="s">
        <v>622</v>
      </c>
      <c r="Q1291" s="372" t="s">
        <v>622</v>
      </c>
      <c r="R1291" s="696">
        <v>20201029</v>
      </c>
      <c r="S1291" s="375" t="s">
        <v>8742</v>
      </c>
      <c r="T1291" s="697">
        <v>0.20900000000000002</v>
      </c>
      <c r="U1291" s="372" t="s">
        <v>8743</v>
      </c>
      <c r="V1291" s="723">
        <v>22.53</v>
      </c>
      <c r="W1291" s="723">
        <v>2.02</v>
      </c>
      <c r="X1291" s="723">
        <v>2.5499999999999998</v>
      </c>
      <c r="Y1291" s="723">
        <v>65.53</v>
      </c>
      <c r="Z1291" s="382" t="s">
        <v>927</v>
      </c>
      <c r="AA1291" s="372">
        <v>201.25977589999999</v>
      </c>
      <c r="AB1291" s="372">
        <v>275.89913369999999</v>
      </c>
      <c r="AC1291" s="372">
        <v>384.90343309999997</v>
      </c>
      <c r="AD1291" s="372">
        <v>339.52242189999998</v>
      </c>
      <c r="AE1291" s="372">
        <v>596</v>
      </c>
      <c r="AF1291" s="372">
        <v>0</v>
      </c>
      <c r="AG1291" s="372">
        <v>0</v>
      </c>
      <c r="AH1291" s="372">
        <v>0</v>
      </c>
    </row>
    <row r="1292" spans="1:34">
      <c r="A1292" s="372" t="s">
        <v>8744</v>
      </c>
      <c r="B1292" s="373" t="s">
        <v>8745</v>
      </c>
      <c r="C1292" s="372" t="s">
        <v>8746</v>
      </c>
      <c r="D1292" s="374">
        <v>1101110017867</v>
      </c>
      <c r="E1292" s="372" t="s">
        <v>8747</v>
      </c>
      <c r="F1292" s="375" t="s">
        <v>893</v>
      </c>
      <c r="G1292" s="375" t="s">
        <v>894</v>
      </c>
      <c r="H1292" s="375" t="s">
        <v>855</v>
      </c>
      <c r="I1292" s="375" t="s">
        <v>754</v>
      </c>
      <c r="J1292" s="375">
        <v>623311.81799999997</v>
      </c>
      <c r="K1292" s="375">
        <v>5273.402</v>
      </c>
      <c r="L1292" s="375">
        <v>5386.8540000000003</v>
      </c>
      <c r="M1292" s="375">
        <v>680007.69499999995</v>
      </c>
      <c r="N1292" s="372">
        <v>0.64900000000000002</v>
      </c>
      <c r="O1292" s="704">
        <v>87.925373017473845</v>
      </c>
      <c r="P1292" s="375" t="s">
        <v>622</v>
      </c>
      <c r="Q1292" s="375" t="s">
        <v>622</v>
      </c>
      <c r="R1292" s="696">
        <v>19720517</v>
      </c>
      <c r="S1292" s="375" t="s">
        <v>3263</v>
      </c>
      <c r="T1292" s="697">
        <v>0.20900000000000002</v>
      </c>
      <c r="U1292" s="372" t="s">
        <v>8748</v>
      </c>
      <c r="V1292" s="723">
        <v>10.01</v>
      </c>
      <c r="W1292" s="723">
        <v>0.17</v>
      </c>
      <c r="X1292" s="723">
        <v>0.16</v>
      </c>
      <c r="Y1292" s="723">
        <v>23.58</v>
      </c>
      <c r="Z1292" s="382">
        <v>0.27850919905608129</v>
      </c>
      <c r="AA1292" s="372">
        <v>3594.81882</v>
      </c>
      <c r="AB1292" s="372">
        <v>4136.4413699999996</v>
      </c>
      <c r="AC1292" s="372">
        <v>4672.1108000000004</v>
      </c>
      <c r="AD1292" s="372">
        <v>4431.3522499999999</v>
      </c>
      <c r="AE1292" s="372">
        <v>6295</v>
      </c>
      <c r="AF1292" s="372">
        <v>11510</v>
      </c>
      <c r="AG1292" s="372">
        <v>11840</v>
      </c>
      <c r="AH1292" s="372">
        <v>0</v>
      </c>
    </row>
    <row r="1293" spans="1:34">
      <c r="A1293" s="372" t="s">
        <v>8749</v>
      </c>
      <c r="B1293" s="373" t="s">
        <v>8750</v>
      </c>
      <c r="C1293" s="372" t="s">
        <v>16084</v>
      </c>
      <c r="D1293" s="374">
        <v>1601110207244</v>
      </c>
      <c r="E1293" s="372" t="s">
        <v>16085</v>
      </c>
      <c r="F1293" s="375" t="s">
        <v>1276</v>
      </c>
      <c r="G1293" s="375" t="s">
        <v>1452</v>
      </c>
      <c r="H1293" s="375" t="s">
        <v>861</v>
      </c>
      <c r="I1293" s="375" t="s">
        <v>862</v>
      </c>
      <c r="J1293" s="375">
        <v>36442.452770000004</v>
      </c>
      <c r="K1293" s="375">
        <v>-6700.9444899999999</v>
      </c>
      <c r="L1293" s="375">
        <v>-24033.45969</v>
      </c>
      <c r="M1293" s="375">
        <v>70565.33584</v>
      </c>
      <c r="N1293" s="372">
        <v>0.84299999999999997</v>
      </c>
      <c r="O1293" s="704">
        <v>14.941070354044687</v>
      </c>
      <c r="P1293" s="375" t="s">
        <v>622</v>
      </c>
      <c r="Q1293" s="372" t="s">
        <v>622</v>
      </c>
      <c r="R1293" s="696">
        <v>20140711</v>
      </c>
      <c r="S1293" s="372" t="s">
        <v>8751</v>
      </c>
      <c r="T1293" s="697" t="s">
        <v>771</v>
      </c>
      <c r="U1293" s="372" t="s">
        <v>8752</v>
      </c>
      <c r="V1293" s="723" t="s">
        <v>773</v>
      </c>
      <c r="W1293" s="723">
        <v>1.97</v>
      </c>
      <c r="X1293" s="723">
        <v>3.58</v>
      </c>
      <c r="Y1293" s="723" t="s">
        <v>773</v>
      </c>
      <c r="Z1293" s="382" t="s">
        <v>927</v>
      </c>
      <c r="AA1293" s="372">
        <v>376.66650199999998</v>
      </c>
      <c r="AB1293" s="372">
        <v>396.40750370000001</v>
      </c>
      <c r="AC1293" s="372">
        <v>360.0132906</v>
      </c>
      <c r="AD1293" s="372">
        <v>370.402019</v>
      </c>
      <c r="AE1293" s="372">
        <v>0</v>
      </c>
      <c r="AF1293" s="372">
        <v>0</v>
      </c>
      <c r="AG1293" s="372">
        <v>0</v>
      </c>
      <c r="AH1293" s="372">
        <v>0</v>
      </c>
    </row>
    <row r="1294" spans="1:34">
      <c r="A1294" s="372" t="s">
        <v>8753</v>
      </c>
      <c r="B1294" s="373" t="s">
        <v>8754</v>
      </c>
      <c r="C1294" s="372" t="s">
        <v>8755</v>
      </c>
      <c r="D1294" s="374">
        <v>1101110510415</v>
      </c>
      <c r="E1294" s="372" t="s">
        <v>8756</v>
      </c>
      <c r="F1294" s="375" t="s">
        <v>1303</v>
      </c>
      <c r="G1294" s="375" t="s">
        <v>1303</v>
      </c>
      <c r="H1294" s="375" t="s">
        <v>861</v>
      </c>
      <c r="I1294" s="375" t="s">
        <v>862</v>
      </c>
      <c r="J1294" s="375">
        <v>91241.624790000002</v>
      </c>
      <c r="K1294" s="375">
        <v>8434.4883699999991</v>
      </c>
      <c r="L1294" s="375">
        <v>12493.82107</v>
      </c>
      <c r="M1294" s="375">
        <v>171822.58872999999</v>
      </c>
      <c r="N1294" s="372">
        <v>0.6</v>
      </c>
      <c r="O1294" s="704">
        <v>9.1455903494247934</v>
      </c>
      <c r="P1294" s="375" t="s">
        <v>622</v>
      </c>
      <c r="Q1294" s="375" t="s">
        <v>622</v>
      </c>
      <c r="R1294" s="696">
        <v>20101220</v>
      </c>
      <c r="S1294" s="375" t="s">
        <v>8757</v>
      </c>
      <c r="T1294" s="697">
        <v>0.20900000000000002</v>
      </c>
      <c r="U1294" s="372" t="s">
        <v>8758</v>
      </c>
      <c r="V1294" s="723">
        <v>0</v>
      </c>
      <c r="W1294" s="723">
        <v>0</v>
      </c>
      <c r="X1294" s="723">
        <v>0</v>
      </c>
      <c r="Y1294" s="723">
        <v>0</v>
      </c>
      <c r="Z1294" s="382" t="s">
        <v>927</v>
      </c>
      <c r="AA1294" s="372">
        <v>801.91667649999999</v>
      </c>
      <c r="AB1294" s="372">
        <v>889.28805829999999</v>
      </c>
      <c r="AC1294" s="372">
        <v>966.07882670000004</v>
      </c>
      <c r="AD1294" s="372">
        <v>932.8265093</v>
      </c>
      <c r="AE1294" s="372">
        <v>0</v>
      </c>
      <c r="AF1294" s="372">
        <v>0</v>
      </c>
      <c r="AG1294" s="372">
        <v>0</v>
      </c>
      <c r="AH1294" s="372">
        <v>0</v>
      </c>
    </row>
    <row r="1295" spans="1:34">
      <c r="A1295" s="372" t="s">
        <v>8759</v>
      </c>
      <c r="B1295" s="373" t="s">
        <v>8760</v>
      </c>
      <c r="C1295" s="372" t="s">
        <v>16124</v>
      </c>
      <c r="D1295" s="374">
        <v>1101111931230</v>
      </c>
      <c r="E1295" s="372" t="s">
        <v>16086</v>
      </c>
      <c r="F1295" s="375" t="s">
        <v>3451</v>
      </c>
      <c r="G1295" s="375" t="s">
        <v>3451</v>
      </c>
      <c r="H1295" s="375" t="s">
        <v>3099</v>
      </c>
      <c r="I1295" s="375" t="s">
        <v>862</v>
      </c>
      <c r="J1295" s="375">
        <v>69645.09822</v>
      </c>
      <c r="K1295" s="375">
        <v>-23932.83021</v>
      </c>
      <c r="L1295" s="375">
        <v>-20915.273789999999</v>
      </c>
      <c r="M1295" s="375">
        <v>219773.79646000001</v>
      </c>
      <c r="N1295" s="372">
        <v>1.0760000000000001</v>
      </c>
      <c r="O1295" s="704">
        <v>14.924379583744329</v>
      </c>
      <c r="P1295" s="375" t="s">
        <v>622</v>
      </c>
      <c r="Q1295" s="375" t="s">
        <v>622</v>
      </c>
      <c r="R1295" s="696">
        <v>20020820</v>
      </c>
      <c r="S1295" s="375" t="s">
        <v>8761</v>
      </c>
      <c r="T1295" s="697" t="s">
        <v>771</v>
      </c>
      <c r="U1295" s="372" t="s">
        <v>8762</v>
      </c>
      <c r="V1295" s="723" t="s">
        <v>773</v>
      </c>
      <c r="W1295" s="723">
        <v>0.81</v>
      </c>
      <c r="X1295" s="723">
        <v>2.33</v>
      </c>
      <c r="Y1295" s="723" t="s">
        <v>773</v>
      </c>
      <c r="Z1295" s="382" t="s">
        <v>927</v>
      </c>
      <c r="AA1295" s="372">
        <v>934.06731400000001</v>
      </c>
      <c r="AB1295" s="372">
        <v>1095.7928317000001</v>
      </c>
      <c r="AC1295" s="372">
        <v>955.36623099999997</v>
      </c>
      <c r="AD1295" s="372">
        <v>714.63724850000006</v>
      </c>
      <c r="AE1295" s="372">
        <v>0</v>
      </c>
      <c r="AF1295" s="372">
        <v>0</v>
      </c>
      <c r="AG1295" s="372">
        <v>0</v>
      </c>
      <c r="AH1295" s="372">
        <v>0</v>
      </c>
    </row>
    <row r="1296" spans="1:34">
      <c r="A1296" s="372" t="s">
        <v>8763</v>
      </c>
      <c r="B1296" s="373" t="s">
        <v>8764</v>
      </c>
      <c r="C1296" s="372" t="s">
        <v>8765</v>
      </c>
      <c r="D1296" s="374">
        <v>1101111168502</v>
      </c>
      <c r="E1296" s="372" t="s">
        <v>8766</v>
      </c>
      <c r="F1296" s="375" t="s">
        <v>2054</v>
      </c>
      <c r="G1296" s="375" t="s">
        <v>2055</v>
      </c>
      <c r="H1296" s="375" t="s">
        <v>861</v>
      </c>
      <c r="I1296" s="375" t="s">
        <v>862</v>
      </c>
      <c r="J1296" s="375">
        <v>60444.243990000003</v>
      </c>
      <c r="K1296" s="375">
        <v>2251.6698700000002</v>
      </c>
      <c r="L1296" s="375">
        <v>3402.3346900000001</v>
      </c>
      <c r="M1296" s="375">
        <v>124995.15614000001</v>
      </c>
      <c r="N1296" s="372">
        <v>0.81699999999999995</v>
      </c>
      <c r="O1296" s="704">
        <v>0.3270501495746016</v>
      </c>
      <c r="P1296" s="375" t="s">
        <v>622</v>
      </c>
      <c r="Q1296" s="375" t="s">
        <v>622</v>
      </c>
      <c r="R1296" s="696">
        <v>20130701</v>
      </c>
      <c r="S1296" s="375" t="s">
        <v>8767</v>
      </c>
      <c r="T1296" s="697">
        <v>0.20900000000000002</v>
      </c>
      <c r="U1296" s="372" t="s">
        <v>8768</v>
      </c>
      <c r="V1296" s="723">
        <v>23.36</v>
      </c>
      <c r="W1296" s="723">
        <v>0.76</v>
      </c>
      <c r="X1296" s="723">
        <v>1.51</v>
      </c>
      <c r="Y1296" s="723">
        <v>32.4</v>
      </c>
      <c r="Z1296" s="382" t="s">
        <v>927</v>
      </c>
      <c r="AA1296" s="372">
        <v>675.19209000000001</v>
      </c>
      <c r="AB1296" s="372">
        <v>568.02196309999999</v>
      </c>
      <c r="AC1296" s="372">
        <v>683.46731750000004</v>
      </c>
      <c r="AD1296" s="372">
        <v>784.21203009999999</v>
      </c>
      <c r="AE1296" s="372">
        <v>0</v>
      </c>
      <c r="AF1296" s="372">
        <v>0</v>
      </c>
      <c r="AG1296" s="372">
        <v>0</v>
      </c>
      <c r="AH1296" s="372">
        <v>0</v>
      </c>
    </row>
    <row r="1297" spans="1:34">
      <c r="A1297" s="372" t="s">
        <v>8769</v>
      </c>
      <c r="B1297" s="373" t="s">
        <v>8770</v>
      </c>
      <c r="C1297" s="372" t="s">
        <v>8771</v>
      </c>
      <c r="D1297" s="374">
        <v>1101110008882</v>
      </c>
      <c r="E1297" s="372" t="s">
        <v>8772</v>
      </c>
      <c r="F1297" s="375" t="s">
        <v>6260</v>
      </c>
      <c r="G1297" s="375" t="s">
        <v>6260</v>
      </c>
      <c r="H1297" s="375" t="s">
        <v>3957</v>
      </c>
      <c r="I1297" s="375" t="s">
        <v>754</v>
      </c>
      <c r="J1297" s="375">
        <v>302006.69441</v>
      </c>
      <c r="K1297" s="375">
        <v>6694.1737700000003</v>
      </c>
      <c r="L1297" s="375">
        <v>10025.55242</v>
      </c>
      <c r="M1297" s="375">
        <v>297193.85823000001</v>
      </c>
      <c r="N1297" s="372">
        <v>0.64700000000000002</v>
      </c>
      <c r="O1297" s="704">
        <v>0.80861231408750045</v>
      </c>
      <c r="P1297" s="375" t="s">
        <v>622</v>
      </c>
      <c r="Q1297" s="372" t="s">
        <v>622</v>
      </c>
      <c r="R1297" s="696">
        <v>19740628</v>
      </c>
      <c r="S1297" s="372" t="s">
        <v>8773</v>
      </c>
      <c r="T1297" s="697">
        <v>0.20900000000000002</v>
      </c>
      <c r="U1297" s="372" t="s">
        <v>8774</v>
      </c>
      <c r="V1297" s="723">
        <v>7.79</v>
      </c>
      <c r="W1297" s="723">
        <v>0.33</v>
      </c>
      <c r="X1297" s="723">
        <v>0.34</v>
      </c>
      <c r="Y1297" s="723">
        <v>11.02</v>
      </c>
      <c r="Z1297" s="382" t="s">
        <v>927</v>
      </c>
      <c r="AA1297" s="372">
        <v>2648.126655</v>
      </c>
      <c r="AB1297" s="372">
        <v>3192.240988</v>
      </c>
      <c r="AC1297" s="372">
        <v>3414.2023647000001</v>
      </c>
      <c r="AD1297" s="372">
        <v>3123.0437707999999</v>
      </c>
      <c r="AE1297" s="372">
        <v>0</v>
      </c>
      <c r="AF1297" s="372">
        <v>0</v>
      </c>
      <c r="AG1297" s="372">
        <v>0</v>
      </c>
      <c r="AH1297" s="372">
        <v>0</v>
      </c>
    </row>
    <row r="1298" spans="1:34">
      <c r="A1298" s="372" t="s">
        <v>8775</v>
      </c>
      <c r="B1298" s="373" t="s">
        <v>8776</v>
      </c>
      <c r="C1298" s="372" t="s">
        <v>8777</v>
      </c>
      <c r="D1298" s="374">
        <v>1101110026834</v>
      </c>
      <c r="E1298" s="372" t="s">
        <v>8778</v>
      </c>
      <c r="F1298" s="372" t="s">
        <v>1262</v>
      </c>
      <c r="G1298" s="375" t="s">
        <v>1263</v>
      </c>
      <c r="H1298" s="375" t="s">
        <v>1264</v>
      </c>
      <c r="I1298" s="375" t="s">
        <v>754</v>
      </c>
      <c r="J1298" s="375">
        <v>0</v>
      </c>
      <c r="K1298" s="375">
        <v>0</v>
      </c>
      <c r="L1298" s="375">
        <v>0</v>
      </c>
      <c r="M1298" s="375">
        <v>0</v>
      </c>
      <c r="N1298" s="372">
        <v>0.74099999999999999</v>
      </c>
      <c r="O1298" s="704" t="s">
        <v>16301</v>
      </c>
      <c r="P1298" s="375" t="s">
        <v>622</v>
      </c>
      <c r="Q1298" s="372" t="s">
        <v>622</v>
      </c>
      <c r="R1298" s="696">
        <v>19880304</v>
      </c>
      <c r="S1298" s="372" t="s">
        <v>3206</v>
      </c>
      <c r="T1298" s="697" t="s">
        <v>771</v>
      </c>
      <c r="U1298" s="372" t="s">
        <v>8779</v>
      </c>
      <c r="V1298" s="723">
        <v>0</v>
      </c>
      <c r="W1298" s="723">
        <v>0</v>
      </c>
      <c r="X1298" s="723">
        <v>0</v>
      </c>
      <c r="Y1298" s="723">
        <v>0</v>
      </c>
      <c r="Z1298" s="382" t="s">
        <v>927</v>
      </c>
      <c r="AA1298" s="372">
        <v>1907.4281573999999</v>
      </c>
      <c r="AB1298" s="372">
        <v>2937.0773773999999</v>
      </c>
      <c r="AC1298" s="372">
        <v>1587.4735175999999</v>
      </c>
      <c r="AD1298" s="372">
        <v>1537.4455347999999</v>
      </c>
      <c r="AE1298" s="372">
        <v>0</v>
      </c>
      <c r="AF1298" s="372">
        <v>0</v>
      </c>
      <c r="AG1298" s="372">
        <v>0</v>
      </c>
      <c r="AH1298" s="372">
        <v>0</v>
      </c>
    </row>
    <row r="1299" spans="1:34">
      <c r="A1299" s="372" t="s">
        <v>8780</v>
      </c>
      <c r="B1299" s="373" t="s">
        <v>8781</v>
      </c>
      <c r="C1299" s="372" t="s">
        <v>8782</v>
      </c>
      <c r="D1299" s="374">
        <v>1201110097940</v>
      </c>
      <c r="E1299" s="372" t="s">
        <v>8783</v>
      </c>
      <c r="F1299" s="375" t="s">
        <v>2511</v>
      </c>
      <c r="G1299" s="375" t="s">
        <v>2511</v>
      </c>
      <c r="H1299" s="375" t="s">
        <v>861</v>
      </c>
      <c r="I1299" s="375" t="s">
        <v>862</v>
      </c>
      <c r="J1299" s="375">
        <v>134239.26868000001</v>
      </c>
      <c r="K1299" s="375">
        <v>19573.239430000001</v>
      </c>
      <c r="L1299" s="375">
        <v>8720.0508300000001</v>
      </c>
      <c r="M1299" s="375">
        <v>235630.33299</v>
      </c>
      <c r="N1299" s="372">
        <v>0.58299999999999996</v>
      </c>
      <c r="O1299" s="704">
        <v>16.747799653737559</v>
      </c>
      <c r="P1299" s="375" t="s">
        <v>622</v>
      </c>
      <c r="Q1299" s="372" t="s">
        <v>622</v>
      </c>
      <c r="R1299" s="696">
        <v>20010803</v>
      </c>
      <c r="S1299" s="375" t="s">
        <v>8784</v>
      </c>
      <c r="T1299" s="697">
        <v>0.20900000000000002</v>
      </c>
      <c r="U1299" s="375" t="s">
        <v>8785</v>
      </c>
      <c r="V1299" s="723">
        <v>7.23</v>
      </c>
      <c r="W1299" s="723">
        <v>0.73</v>
      </c>
      <c r="X1299" s="723">
        <v>1.29</v>
      </c>
      <c r="Y1299" s="723">
        <v>21.85</v>
      </c>
      <c r="Z1299" s="382" t="s">
        <v>927</v>
      </c>
      <c r="AA1299" s="372">
        <v>796.13129360000005</v>
      </c>
      <c r="AB1299" s="372">
        <v>921.23812220000002</v>
      </c>
      <c r="AC1299" s="372">
        <v>1171.0787468999999</v>
      </c>
      <c r="AD1299" s="372">
        <v>1049.4271793</v>
      </c>
      <c r="AE1299" s="372">
        <v>0</v>
      </c>
      <c r="AF1299" s="372">
        <v>0</v>
      </c>
      <c r="AG1299" s="372">
        <v>0</v>
      </c>
      <c r="AH1299" s="372">
        <v>0</v>
      </c>
    </row>
    <row r="1300" spans="1:34">
      <c r="A1300" s="372" t="s">
        <v>8786</v>
      </c>
      <c r="B1300" s="373" t="s">
        <v>8787</v>
      </c>
      <c r="C1300" s="372" t="s">
        <v>8788</v>
      </c>
      <c r="D1300" s="374">
        <v>1801110038447</v>
      </c>
      <c r="E1300" s="372" t="s">
        <v>8789</v>
      </c>
      <c r="F1300" s="372" t="s">
        <v>2414</v>
      </c>
      <c r="G1300" s="375" t="s">
        <v>2414</v>
      </c>
      <c r="H1300" s="375" t="s">
        <v>861</v>
      </c>
      <c r="I1300" s="375" t="s">
        <v>862</v>
      </c>
      <c r="J1300" s="375">
        <v>194393.51042000001</v>
      </c>
      <c r="K1300" s="375">
        <v>23193.199509999999</v>
      </c>
      <c r="L1300" s="375">
        <v>20503.070800000001</v>
      </c>
      <c r="M1300" s="375">
        <v>103361.41477</v>
      </c>
      <c r="N1300" s="372">
        <v>0.71799999999999997</v>
      </c>
      <c r="O1300" s="704">
        <v>31.340042395574258</v>
      </c>
      <c r="P1300" s="375" t="s">
        <v>622</v>
      </c>
      <c r="Q1300" s="372" t="s">
        <v>622</v>
      </c>
      <c r="R1300" s="696">
        <v>20011221</v>
      </c>
      <c r="S1300" s="372" t="s">
        <v>8790</v>
      </c>
      <c r="T1300" s="697">
        <v>0.23100000000000001</v>
      </c>
      <c r="U1300" s="372" t="s">
        <v>8791</v>
      </c>
      <c r="V1300" s="723">
        <v>7.15</v>
      </c>
      <c r="W1300" s="723">
        <v>1.69</v>
      </c>
      <c r="X1300" s="723">
        <v>0.91</v>
      </c>
      <c r="Y1300" s="723">
        <v>9.6</v>
      </c>
      <c r="Z1300" s="382">
        <v>0.11843703554343921</v>
      </c>
      <c r="AA1300" s="372">
        <v>1677.3962200999999</v>
      </c>
      <c r="AB1300" s="372">
        <v>1159.2294356</v>
      </c>
      <c r="AC1300" s="372">
        <v>1315.6801828</v>
      </c>
      <c r="AD1300" s="372">
        <v>1575.3271746999999</v>
      </c>
      <c r="AE1300" s="372">
        <v>2072</v>
      </c>
      <c r="AF1300" s="372">
        <v>2252</v>
      </c>
      <c r="AG1300" s="372">
        <v>2465</v>
      </c>
      <c r="AH1300" s="372">
        <v>0</v>
      </c>
    </row>
    <row r="1301" spans="1:34">
      <c r="A1301" s="372" t="s">
        <v>8792</v>
      </c>
      <c r="B1301" s="373" t="s">
        <v>8793</v>
      </c>
      <c r="C1301" s="372" t="s">
        <v>8794</v>
      </c>
      <c r="D1301" s="374">
        <v>1717110071503</v>
      </c>
      <c r="E1301" s="372" t="s">
        <v>8795</v>
      </c>
      <c r="F1301" s="375" t="s">
        <v>1276</v>
      </c>
      <c r="G1301" s="375" t="s">
        <v>1452</v>
      </c>
      <c r="H1301" s="375" t="s">
        <v>861</v>
      </c>
      <c r="I1301" s="375" t="s">
        <v>862</v>
      </c>
      <c r="J1301" s="375">
        <v>123629.64062999999</v>
      </c>
      <c r="K1301" s="375">
        <v>15098.302729999999</v>
      </c>
      <c r="L1301" s="375">
        <v>2143.8312999999998</v>
      </c>
      <c r="M1301" s="375">
        <v>90639.291530000002</v>
      </c>
      <c r="N1301" s="372">
        <v>0.99299999999999999</v>
      </c>
      <c r="O1301" s="704">
        <v>38.992486219446818</v>
      </c>
      <c r="P1301" s="375" t="s">
        <v>622</v>
      </c>
      <c r="Q1301" s="375" t="s">
        <v>622</v>
      </c>
      <c r="R1301" s="696">
        <v>20200731</v>
      </c>
      <c r="S1301" s="375" t="s">
        <v>8796</v>
      </c>
      <c r="T1301" s="697">
        <v>0.20900000000000002</v>
      </c>
      <c r="U1301" s="372" t="s">
        <v>8797</v>
      </c>
      <c r="V1301" s="723">
        <v>6.73</v>
      </c>
      <c r="W1301" s="723">
        <v>1.2</v>
      </c>
      <c r="X1301" s="723">
        <v>0.92</v>
      </c>
      <c r="Y1301" s="723">
        <v>16.739999999999998</v>
      </c>
      <c r="Z1301" s="382" t="s">
        <v>927</v>
      </c>
      <c r="AA1301" s="372">
        <v>373.54123249999998</v>
      </c>
      <c r="AB1301" s="372">
        <v>600.0209787</v>
      </c>
      <c r="AC1301" s="372">
        <v>513.88503160000005</v>
      </c>
      <c r="AD1301" s="372">
        <v>681.49317450000001</v>
      </c>
      <c r="AE1301" s="372">
        <v>0</v>
      </c>
      <c r="AF1301" s="372">
        <v>0</v>
      </c>
      <c r="AG1301" s="372">
        <v>0</v>
      </c>
      <c r="AH1301" s="372">
        <v>0</v>
      </c>
    </row>
    <row r="1302" spans="1:34">
      <c r="A1302" s="372" t="s">
        <v>8798</v>
      </c>
      <c r="B1302" s="373" t="s">
        <v>8799</v>
      </c>
      <c r="C1302" s="372" t="s">
        <v>8800</v>
      </c>
      <c r="D1302" s="374">
        <v>1301110006296</v>
      </c>
      <c r="E1302" s="372" t="s">
        <v>8801</v>
      </c>
      <c r="F1302" s="375" t="s">
        <v>2007</v>
      </c>
      <c r="G1302" s="375" t="s">
        <v>2007</v>
      </c>
      <c r="H1302" s="375" t="s">
        <v>792</v>
      </c>
      <c r="I1302" s="375" t="s">
        <v>754</v>
      </c>
      <c r="J1302" s="375">
        <v>645761.70495000004</v>
      </c>
      <c r="K1302" s="375">
        <v>29892.164529999998</v>
      </c>
      <c r="L1302" s="375">
        <v>19534.06898</v>
      </c>
      <c r="M1302" s="375">
        <v>236314.05392000001</v>
      </c>
      <c r="N1302" s="372">
        <v>0.94299999999999995</v>
      </c>
      <c r="O1302" s="704">
        <v>297.29690809203413</v>
      </c>
      <c r="P1302" s="375" t="s">
        <v>622</v>
      </c>
      <c r="Q1302" s="372" t="s">
        <v>622</v>
      </c>
      <c r="R1302" s="696">
        <v>19970623</v>
      </c>
      <c r="S1302" s="372" t="s">
        <v>8802</v>
      </c>
      <c r="T1302" s="697">
        <v>0.20900000000000002</v>
      </c>
      <c r="U1302" s="372" t="s">
        <v>8803</v>
      </c>
      <c r="V1302" s="723">
        <v>5.31</v>
      </c>
      <c r="W1302" s="723">
        <v>0.43</v>
      </c>
      <c r="X1302" s="723">
        <v>0.15</v>
      </c>
      <c r="Y1302" s="723">
        <v>7.48</v>
      </c>
      <c r="Z1302" s="382" t="s">
        <v>927</v>
      </c>
      <c r="AA1302" s="372">
        <v>4586.5412139</v>
      </c>
      <c r="AB1302" s="372">
        <v>4848.5560901999997</v>
      </c>
      <c r="AC1302" s="372">
        <v>5700.2085033000003</v>
      </c>
      <c r="AD1302" s="372">
        <v>6340.1825109000001</v>
      </c>
      <c r="AE1302" s="372">
        <v>0</v>
      </c>
      <c r="AF1302" s="372">
        <v>0</v>
      </c>
      <c r="AG1302" s="372">
        <v>0</v>
      </c>
      <c r="AH1302" s="372">
        <v>0</v>
      </c>
    </row>
    <row r="1303" spans="1:34">
      <c r="A1303" s="372" t="s">
        <v>8804</v>
      </c>
      <c r="B1303" s="373" t="s">
        <v>8805</v>
      </c>
      <c r="C1303" s="372" t="s">
        <v>8806</v>
      </c>
      <c r="D1303" s="374">
        <v>1648110065785</v>
      </c>
      <c r="E1303" s="372" t="s">
        <v>8807</v>
      </c>
      <c r="F1303" s="375" t="s">
        <v>2426</v>
      </c>
      <c r="G1303" s="375" t="s">
        <v>6074</v>
      </c>
      <c r="H1303" s="375" t="s">
        <v>861</v>
      </c>
      <c r="I1303" s="375" t="s">
        <v>862</v>
      </c>
      <c r="J1303" s="375">
        <v>0</v>
      </c>
      <c r="K1303" s="375">
        <v>0</v>
      </c>
      <c r="L1303" s="375">
        <v>0</v>
      </c>
      <c r="M1303" s="375">
        <v>96920.945600000006</v>
      </c>
      <c r="N1303" s="372">
        <v>1.254</v>
      </c>
      <c r="O1303" s="704">
        <v>22.656523651107491</v>
      </c>
      <c r="P1303" s="375" t="s">
        <v>622</v>
      </c>
      <c r="Q1303" s="375" t="s">
        <v>622</v>
      </c>
      <c r="R1303" s="696">
        <v>20211021</v>
      </c>
      <c r="S1303" s="375" t="s">
        <v>8808</v>
      </c>
      <c r="T1303" s="697" t="s">
        <v>771</v>
      </c>
      <c r="U1303" s="372" t="s">
        <v>8809</v>
      </c>
      <c r="V1303" s="723">
        <v>0</v>
      </c>
      <c r="W1303" s="723">
        <v>1.27</v>
      </c>
      <c r="X1303" s="723">
        <v>0</v>
      </c>
      <c r="Y1303" s="723">
        <v>0</v>
      </c>
      <c r="Z1303" s="382" t="s">
        <v>927</v>
      </c>
      <c r="AA1303" s="372">
        <v>171.89214860000001</v>
      </c>
      <c r="AB1303" s="372">
        <v>195.4353223</v>
      </c>
      <c r="AC1303" s="372">
        <v>396.47018070000001</v>
      </c>
      <c r="AD1303" s="372">
        <v>366.2201134</v>
      </c>
      <c r="AE1303" s="372">
        <v>0</v>
      </c>
      <c r="AF1303" s="372">
        <v>0</v>
      </c>
      <c r="AG1303" s="372">
        <v>0</v>
      </c>
      <c r="AH1303" s="372">
        <v>0</v>
      </c>
    </row>
    <row r="1304" spans="1:34">
      <c r="A1304" s="372" t="s">
        <v>8810</v>
      </c>
      <c r="B1304" s="373" t="s">
        <v>8811</v>
      </c>
      <c r="C1304" s="372" t="s">
        <v>8812</v>
      </c>
      <c r="D1304" s="374">
        <v>1801110021509</v>
      </c>
      <c r="E1304" s="372" t="s">
        <v>8813</v>
      </c>
      <c r="F1304" s="375" t="s">
        <v>8814</v>
      </c>
      <c r="G1304" s="375" t="s">
        <v>8815</v>
      </c>
      <c r="H1304" s="375" t="s">
        <v>861</v>
      </c>
      <c r="I1304" s="375" t="s">
        <v>862</v>
      </c>
      <c r="J1304" s="375">
        <v>375663.08958999999</v>
      </c>
      <c r="K1304" s="375">
        <v>19533.29824</v>
      </c>
      <c r="L1304" s="375">
        <v>21060.749830000001</v>
      </c>
      <c r="M1304" s="375">
        <v>162172.32634</v>
      </c>
      <c r="N1304" s="372">
        <v>1.266</v>
      </c>
      <c r="O1304" s="704">
        <v>86.958605717555756</v>
      </c>
      <c r="P1304" s="375" t="s">
        <v>622</v>
      </c>
      <c r="Q1304" s="372" t="s">
        <v>622</v>
      </c>
      <c r="R1304" s="696">
        <v>20011221</v>
      </c>
      <c r="S1304" s="372" t="s">
        <v>8816</v>
      </c>
      <c r="T1304" s="697">
        <v>0.23100000000000001</v>
      </c>
      <c r="U1304" s="372" t="s">
        <v>8817</v>
      </c>
      <c r="V1304" s="723">
        <v>4.5</v>
      </c>
      <c r="W1304" s="723">
        <v>0.68</v>
      </c>
      <c r="X1304" s="723">
        <v>0.31</v>
      </c>
      <c r="Y1304" s="723">
        <v>8.75</v>
      </c>
      <c r="Z1304" s="382" t="s">
        <v>927</v>
      </c>
      <c r="AA1304" s="372">
        <v>2617.6784677999999</v>
      </c>
      <c r="AB1304" s="372">
        <v>2887.5524925</v>
      </c>
      <c r="AC1304" s="372">
        <v>3496.3909149999999</v>
      </c>
      <c r="AD1304" s="372">
        <v>3687.2202992000002</v>
      </c>
      <c r="AE1304" s="372">
        <v>0</v>
      </c>
      <c r="AF1304" s="372">
        <v>0</v>
      </c>
      <c r="AG1304" s="372">
        <v>0</v>
      </c>
      <c r="AH1304" s="372">
        <v>0</v>
      </c>
    </row>
    <row r="1305" spans="1:34">
      <c r="A1305" s="372" t="s">
        <v>8818</v>
      </c>
      <c r="B1305" s="373" t="s">
        <v>8819</v>
      </c>
      <c r="C1305" s="372" t="s">
        <v>8820</v>
      </c>
      <c r="D1305" s="374">
        <v>1348110072786</v>
      </c>
      <c r="E1305" s="372" t="s">
        <v>8821</v>
      </c>
      <c r="F1305" s="375" t="s">
        <v>1185</v>
      </c>
      <c r="G1305" s="375" t="s">
        <v>1186</v>
      </c>
      <c r="H1305" s="375" t="s">
        <v>861</v>
      </c>
      <c r="I1305" s="375" t="s">
        <v>862</v>
      </c>
      <c r="J1305" s="375">
        <v>138837.54962999999</v>
      </c>
      <c r="K1305" s="375">
        <v>4528.4600799999998</v>
      </c>
      <c r="L1305" s="375">
        <v>4705.0545300000003</v>
      </c>
      <c r="M1305" s="375">
        <v>116314.06191999999</v>
      </c>
      <c r="N1305" s="372">
        <v>0.80900000000000005</v>
      </c>
      <c r="O1305" s="704">
        <v>19.935053681469292</v>
      </c>
      <c r="P1305" s="375" t="s">
        <v>622</v>
      </c>
      <c r="Q1305" s="372" t="s">
        <v>622</v>
      </c>
      <c r="R1305" s="696">
        <v>20180125</v>
      </c>
      <c r="S1305" s="372" t="s">
        <v>8822</v>
      </c>
      <c r="T1305" s="697">
        <v>0.20900000000000002</v>
      </c>
      <c r="U1305" s="372" t="s">
        <v>8823</v>
      </c>
      <c r="V1305" s="723">
        <v>20.260000000000002</v>
      </c>
      <c r="W1305" s="723">
        <v>1.0900000000000001</v>
      </c>
      <c r="X1305" s="723">
        <v>0.93</v>
      </c>
      <c r="Y1305" s="723">
        <v>29.2</v>
      </c>
      <c r="Z1305" s="382" t="s">
        <v>927</v>
      </c>
      <c r="AA1305" s="372">
        <v>1191.8310806</v>
      </c>
      <c r="AB1305" s="372">
        <v>1014.0267103</v>
      </c>
      <c r="AC1305" s="372">
        <v>1927.8070029</v>
      </c>
      <c r="AD1305" s="372">
        <v>1667.2552145</v>
      </c>
      <c r="AE1305" s="372">
        <v>0</v>
      </c>
      <c r="AF1305" s="372">
        <v>0</v>
      </c>
      <c r="AG1305" s="372">
        <v>0</v>
      </c>
      <c r="AH1305" s="372">
        <v>0</v>
      </c>
    </row>
    <row r="1306" spans="1:34">
      <c r="A1306" s="372" t="s">
        <v>8824</v>
      </c>
      <c r="B1306" s="373" t="s">
        <v>8825</v>
      </c>
      <c r="C1306" s="372" t="s">
        <v>8826</v>
      </c>
      <c r="D1306" s="374">
        <v>1345110000600</v>
      </c>
      <c r="E1306" s="372" t="s">
        <v>8827</v>
      </c>
      <c r="F1306" s="375" t="s">
        <v>8672</v>
      </c>
      <c r="G1306" s="375" t="s">
        <v>8828</v>
      </c>
      <c r="H1306" s="375" t="s">
        <v>861</v>
      </c>
      <c r="I1306" s="375" t="s">
        <v>862</v>
      </c>
      <c r="J1306" s="375">
        <v>88120.385829999999</v>
      </c>
      <c r="K1306" s="375">
        <v>3908.4517599999999</v>
      </c>
      <c r="L1306" s="375">
        <v>2848.3123599999999</v>
      </c>
      <c r="M1306" s="375">
        <v>146352.44919000001</v>
      </c>
      <c r="N1306" s="372">
        <v>0.83199999999999996</v>
      </c>
      <c r="O1306" s="704">
        <v>24.245853068971069</v>
      </c>
      <c r="P1306" s="375" t="s">
        <v>622</v>
      </c>
      <c r="Q1306" s="372" t="s">
        <v>622</v>
      </c>
      <c r="R1306" s="696">
        <v>19971110</v>
      </c>
      <c r="S1306" s="375" t="s">
        <v>8829</v>
      </c>
      <c r="T1306" s="697">
        <v>0.20900000000000002</v>
      </c>
      <c r="U1306" s="372" t="s">
        <v>8830</v>
      </c>
      <c r="V1306" s="723">
        <v>17.579999999999998</v>
      </c>
      <c r="W1306" s="723">
        <v>0.61</v>
      </c>
      <c r="X1306" s="723">
        <v>1.07</v>
      </c>
      <c r="Y1306" s="723">
        <v>22.23</v>
      </c>
      <c r="Z1306" s="382" t="s">
        <v>927</v>
      </c>
      <c r="AA1306" s="372">
        <v>351.22831810000002</v>
      </c>
      <c r="AB1306" s="372">
        <v>276.42410749999999</v>
      </c>
      <c r="AC1306" s="372">
        <v>284.5075478</v>
      </c>
      <c r="AD1306" s="372">
        <v>769.95441500000004</v>
      </c>
      <c r="AE1306" s="372">
        <v>0</v>
      </c>
      <c r="AF1306" s="372">
        <v>0</v>
      </c>
      <c r="AG1306" s="372">
        <v>0</v>
      </c>
      <c r="AH1306" s="372">
        <v>0</v>
      </c>
    </row>
    <row r="1307" spans="1:34">
      <c r="A1307" s="372" t="s">
        <v>8831</v>
      </c>
      <c r="B1307" s="373" t="s">
        <v>8832</v>
      </c>
      <c r="C1307" s="372" t="s">
        <v>8833</v>
      </c>
      <c r="D1307" s="374">
        <v>1101111673585</v>
      </c>
      <c r="E1307" s="372" t="s">
        <v>8834</v>
      </c>
      <c r="F1307" s="375" t="s">
        <v>1796</v>
      </c>
      <c r="G1307" s="375" t="s">
        <v>2797</v>
      </c>
      <c r="H1307" s="375" t="s">
        <v>861</v>
      </c>
      <c r="I1307" s="375" t="s">
        <v>862</v>
      </c>
      <c r="J1307" s="375">
        <v>463156.02792999998</v>
      </c>
      <c r="K1307" s="375">
        <v>-2018.7121</v>
      </c>
      <c r="L1307" s="375">
        <v>-4298.9299199999996</v>
      </c>
      <c r="M1307" s="375">
        <v>149410.77421999999</v>
      </c>
      <c r="N1307" s="372">
        <v>0.81100000000000005</v>
      </c>
      <c r="O1307" s="704">
        <v>71.936317601878812</v>
      </c>
      <c r="P1307" s="375" t="s">
        <v>622</v>
      </c>
      <c r="Q1307" s="375" t="s">
        <v>622</v>
      </c>
      <c r="R1307" s="696">
        <v>20011030</v>
      </c>
      <c r="S1307" s="375" t="s">
        <v>8835</v>
      </c>
      <c r="T1307" s="697" t="s">
        <v>771</v>
      </c>
      <c r="U1307" s="375" t="s">
        <v>8836</v>
      </c>
      <c r="V1307" s="723" t="s">
        <v>773</v>
      </c>
      <c r="W1307" s="723">
        <v>0.47</v>
      </c>
      <c r="X1307" s="723">
        <v>0.16</v>
      </c>
      <c r="Y1307" s="723" t="s">
        <v>773</v>
      </c>
      <c r="Z1307" s="382" t="s">
        <v>927</v>
      </c>
      <c r="AA1307" s="372">
        <v>309.20645259999998</v>
      </c>
      <c r="AB1307" s="372">
        <v>262.33452039999997</v>
      </c>
      <c r="AC1307" s="372">
        <v>287.06102049999998</v>
      </c>
      <c r="AD1307" s="372">
        <v>4101.4458486000003</v>
      </c>
      <c r="AE1307" s="372">
        <v>0</v>
      </c>
      <c r="AF1307" s="372">
        <v>0</v>
      </c>
      <c r="AG1307" s="372">
        <v>0</v>
      </c>
      <c r="AH1307" s="372">
        <v>0</v>
      </c>
    </row>
    <row r="1308" spans="1:34">
      <c r="A1308" s="372" t="s">
        <v>8837</v>
      </c>
      <c r="B1308" s="373" t="s">
        <v>8838</v>
      </c>
      <c r="C1308" s="372" t="s">
        <v>8839</v>
      </c>
      <c r="D1308" s="374">
        <v>1101110320955</v>
      </c>
      <c r="E1308" s="372" t="s">
        <v>8840</v>
      </c>
      <c r="F1308" s="375" t="s">
        <v>1276</v>
      </c>
      <c r="G1308" s="375" t="s">
        <v>1276</v>
      </c>
      <c r="H1308" s="375" t="s">
        <v>861</v>
      </c>
      <c r="I1308" s="375" t="s">
        <v>862</v>
      </c>
      <c r="J1308" s="375">
        <v>421867.95753000001</v>
      </c>
      <c r="K1308" s="375">
        <v>20422.25678</v>
      </c>
      <c r="L1308" s="375">
        <v>24617.963749999999</v>
      </c>
      <c r="M1308" s="375">
        <v>184937.20988000001</v>
      </c>
      <c r="N1308" s="372">
        <v>0.57499999999999996</v>
      </c>
      <c r="O1308" s="704">
        <v>17.818176059632265</v>
      </c>
      <c r="P1308" s="375" t="s">
        <v>622</v>
      </c>
      <c r="Q1308" s="372" t="s">
        <v>622</v>
      </c>
      <c r="R1308" s="696">
        <v>20010731</v>
      </c>
      <c r="S1308" s="372" t="s">
        <v>8841</v>
      </c>
      <c r="T1308" s="697">
        <v>0.23100000000000001</v>
      </c>
      <c r="U1308" s="372" t="s">
        <v>8842</v>
      </c>
      <c r="V1308" s="723">
        <v>3.74</v>
      </c>
      <c r="W1308" s="723">
        <v>0.61</v>
      </c>
      <c r="X1308" s="723">
        <v>0.27</v>
      </c>
      <c r="Y1308" s="723">
        <v>4.4000000000000004</v>
      </c>
      <c r="Z1308" s="382" t="s">
        <v>927</v>
      </c>
      <c r="AA1308" s="372">
        <v>2987.8523509000001</v>
      </c>
      <c r="AB1308" s="372">
        <v>2665.8941184999999</v>
      </c>
      <c r="AC1308" s="372">
        <v>3329.3115991</v>
      </c>
      <c r="AD1308" s="372">
        <v>3321.4548617999999</v>
      </c>
      <c r="AE1308" s="372">
        <v>4846</v>
      </c>
      <c r="AF1308" s="372">
        <v>0</v>
      </c>
      <c r="AG1308" s="372">
        <v>0</v>
      </c>
      <c r="AH1308" s="372">
        <v>0</v>
      </c>
    </row>
    <row r="1309" spans="1:34">
      <c r="A1309" s="372" t="s">
        <v>8843</v>
      </c>
      <c r="B1309" s="373" t="s">
        <v>8844</v>
      </c>
      <c r="C1309" s="372" t="s">
        <v>8845</v>
      </c>
      <c r="D1309" s="374">
        <v>1101113433440</v>
      </c>
      <c r="E1309" s="372" t="s">
        <v>8846</v>
      </c>
      <c r="F1309" s="372" t="s">
        <v>853</v>
      </c>
      <c r="G1309" s="375" t="s">
        <v>4419</v>
      </c>
      <c r="H1309" s="375" t="s">
        <v>895</v>
      </c>
      <c r="I1309" s="375" t="s">
        <v>862</v>
      </c>
      <c r="J1309" s="375">
        <v>0</v>
      </c>
      <c r="K1309" s="375">
        <v>0</v>
      </c>
      <c r="L1309" s="375">
        <v>0</v>
      </c>
      <c r="M1309" s="375">
        <v>0</v>
      </c>
      <c r="N1309" s="372">
        <v>0.90800000000000003</v>
      </c>
      <c r="O1309" s="704" t="s">
        <v>16301</v>
      </c>
      <c r="P1309" s="375" t="s">
        <v>622</v>
      </c>
      <c r="Q1309" s="372" t="s">
        <v>622</v>
      </c>
      <c r="R1309" s="696">
        <v>20180706</v>
      </c>
      <c r="S1309" s="372" t="s">
        <v>8847</v>
      </c>
      <c r="T1309" s="697" t="s">
        <v>771</v>
      </c>
      <c r="U1309" s="375" t="s">
        <v>8848</v>
      </c>
      <c r="V1309" s="723">
        <v>0</v>
      </c>
      <c r="W1309" s="723">
        <v>0</v>
      </c>
      <c r="X1309" s="723">
        <v>0</v>
      </c>
      <c r="Y1309" s="723">
        <v>0</v>
      </c>
      <c r="Z1309" s="382" t="s">
        <v>927</v>
      </c>
      <c r="AA1309" s="372">
        <v>298.94038119999999</v>
      </c>
      <c r="AB1309" s="372">
        <v>314.95668030000002</v>
      </c>
      <c r="AC1309" s="372">
        <v>253.60233500000001</v>
      </c>
      <c r="AD1309" s="372">
        <v>297.49069070000002</v>
      </c>
      <c r="AE1309" s="372">
        <v>0</v>
      </c>
      <c r="AF1309" s="372">
        <v>0</v>
      </c>
      <c r="AG1309" s="372">
        <v>0</v>
      </c>
      <c r="AH1309" s="372">
        <v>0</v>
      </c>
    </row>
    <row r="1310" spans="1:34">
      <c r="A1310" s="372" t="s">
        <v>8849</v>
      </c>
      <c r="B1310" s="373" t="s">
        <v>8850</v>
      </c>
      <c r="C1310" s="372" t="s">
        <v>8851</v>
      </c>
      <c r="D1310" s="374">
        <v>1244110019308</v>
      </c>
      <c r="E1310" s="372" t="s">
        <v>8852</v>
      </c>
      <c r="F1310" s="375" t="s">
        <v>1276</v>
      </c>
      <c r="G1310" s="375" t="s">
        <v>1452</v>
      </c>
      <c r="H1310" s="375" t="s">
        <v>861</v>
      </c>
      <c r="I1310" s="375" t="s">
        <v>862</v>
      </c>
      <c r="J1310" s="375">
        <v>218559.33712000001</v>
      </c>
      <c r="K1310" s="375">
        <v>-23939.66185</v>
      </c>
      <c r="L1310" s="375">
        <v>-27792.739010000001</v>
      </c>
      <c r="M1310" s="375">
        <v>155554.69852000001</v>
      </c>
      <c r="N1310" s="372">
        <v>0.61499999999999999</v>
      </c>
      <c r="O1310" s="704">
        <v>211.41933569285362</v>
      </c>
      <c r="P1310" s="375" t="s">
        <v>622</v>
      </c>
      <c r="Q1310" s="375" t="s">
        <v>622</v>
      </c>
      <c r="R1310" s="696">
        <v>20030730</v>
      </c>
      <c r="S1310" s="375" t="s">
        <v>8853</v>
      </c>
      <c r="T1310" s="697" t="s">
        <v>771</v>
      </c>
      <c r="U1310" s="375" t="s">
        <v>8854</v>
      </c>
      <c r="V1310" s="723" t="s">
        <v>773</v>
      </c>
      <c r="W1310" s="723">
        <v>0.34</v>
      </c>
      <c r="X1310" s="723">
        <v>0.24</v>
      </c>
      <c r="Y1310" s="723" t="s">
        <v>773</v>
      </c>
      <c r="Z1310" s="382">
        <v>0.16574121762579819</v>
      </c>
      <c r="AA1310" s="372">
        <v>2238.9269208000001</v>
      </c>
      <c r="AB1310" s="372">
        <v>1985.7733493999999</v>
      </c>
      <c r="AC1310" s="372">
        <v>2157.1438721</v>
      </c>
      <c r="AD1310" s="372">
        <v>1868.1445873</v>
      </c>
      <c r="AE1310" s="372">
        <v>2296</v>
      </c>
      <c r="AF1310" s="372">
        <v>2844</v>
      </c>
      <c r="AG1310" s="372">
        <v>3450</v>
      </c>
      <c r="AH1310" s="372">
        <v>0</v>
      </c>
    </row>
    <row r="1311" spans="1:34">
      <c r="A1311" s="372" t="s">
        <v>8855</v>
      </c>
      <c r="B1311" s="373" t="s">
        <v>8856</v>
      </c>
      <c r="C1311" s="372" t="s">
        <v>8857</v>
      </c>
      <c r="D1311" s="374">
        <v>1201110095499</v>
      </c>
      <c r="E1311" s="372" t="s">
        <v>8858</v>
      </c>
      <c r="F1311" s="372" t="s">
        <v>3721</v>
      </c>
      <c r="G1311" s="375" t="s">
        <v>3721</v>
      </c>
      <c r="H1311" s="375" t="s">
        <v>826</v>
      </c>
      <c r="I1311" s="375" t="s">
        <v>754</v>
      </c>
      <c r="J1311" s="375">
        <v>140390.75588000001</v>
      </c>
      <c r="K1311" s="375">
        <v>1344.0376000000001</v>
      </c>
      <c r="L1311" s="375">
        <v>978.82939999999996</v>
      </c>
      <c r="M1311" s="375">
        <v>153392.99277000001</v>
      </c>
      <c r="N1311" s="372">
        <v>1.2789999999999999</v>
      </c>
      <c r="O1311" s="704">
        <v>19.360941952475702</v>
      </c>
      <c r="P1311" s="375" t="s">
        <v>622</v>
      </c>
      <c r="Q1311" s="372" t="s">
        <v>622</v>
      </c>
      <c r="R1311" s="696">
        <v>20171031</v>
      </c>
      <c r="S1311" s="375" t="s">
        <v>8859</v>
      </c>
      <c r="T1311" s="697">
        <v>0.20900000000000002</v>
      </c>
      <c r="U1311" s="372" t="s">
        <v>8860</v>
      </c>
      <c r="V1311" s="723">
        <v>11.47</v>
      </c>
      <c r="W1311" s="723">
        <v>0.56999999999999995</v>
      </c>
      <c r="X1311" s="723">
        <v>0.63</v>
      </c>
      <c r="Y1311" s="723">
        <v>29.07</v>
      </c>
      <c r="Z1311" s="382" t="s">
        <v>927</v>
      </c>
      <c r="AA1311" s="372">
        <v>1187.7257454999999</v>
      </c>
      <c r="AB1311" s="372">
        <v>1549.2298034</v>
      </c>
      <c r="AC1311" s="372">
        <v>1822.6102008</v>
      </c>
      <c r="AD1311" s="372">
        <v>1458.4012398</v>
      </c>
      <c r="AE1311" s="372">
        <v>2445</v>
      </c>
      <c r="AF1311" s="372">
        <v>0</v>
      </c>
      <c r="AG1311" s="372">
        <v>0</v>
      </c>
      <c r="AH1311" s="372">
        <v>0</v>
      </c>
    </row>
    <row r="1312" spans="1:34">
      <c r="A1312" s="372" t="s">
        <v>8861</v>
      </c>
      <c r="B1312" s="373" t="s">
        <v>8862</v>
      </c>
      <c r="C1312" s="372" t="s">
        <v>8863</v>
      </c>
      <c r="D1312" s="374">
        <v>1345110257251</v>
      </c>
      <c r="E1312" s="372" t="s">
        <v>8864</v>
      </c>
      <c r="F1312" s="375" t="s">
        <v>880</v>
      </c>
      <c r="G1312" s="375" t="s">
        <v>880</v>
      </c>
      <c r="H1312" s="375" t="s">
        <v>861</v>
      </c>
      <c r="I1312" s="375" t="s">
        <v>862</v>
      </c>
      <c r="J1312" s="375">
        <v>508251.10425999999</v>
      </c>
      <c r="K1312" s="375">
        <v>19459.463820000001</v>
      </c>
      <c r="L1312" s="375">
        <v>19417.832740000002</v>
      </c>
      <c r="M1312" s="375">
        <v>108063.76256</v>
      </c>
      <c r="N1312" s="372">
        <v>0.92100000000000004</v>
      </c>
      <c r="O1312" s="704">
        <v>99.54967810504597</v>
      </c>
      <c r="P1312" s="375" t="s">
        <v>622</v>
      </c>
      <c r="Q1312" s="375" t="s">
        <v>622</v>
      </c>
      <c r="R1312" s="696">
        <v>20150506</v>
      </c>
      <c r="S1312" s="375" t="s">
        <v>8865</v>
      </c>
      <c r="T1312" s="697">
        <v>0.20900000000000002</v>
      </c>
      <c r="U1312" s="372" t="s">
        <v>8866</v>
      </c>
      <c r="V1312" s="723">
        <v>6.5</v>
      </c>
      <c r="W1312" s="723">
        <v>1.07</v>
      </c>
      <c r="X1312" s="723">
        <v>0.22</v>
      </c>
      <c r="Y1312" s="723">
        <v>6.92</v>
      </c>
      <c r="Z1312" s="382">
        <v>7.2295224930445601E-2</v>
      </c>
      <c r="AA1312" s="372">
        <v>2890.3393673</v>
      </c>
      <c r="AB1312" s="372">
        <v>2842.4905815000002</v>
      </c>
      <c r="AC1312" s="372">
        <v>3646.0194511999998</v>
      </c>
      <c r="AD1312" s="372">
        <v>4621.5081382999997</v>
      </c>
      <c r="AE1312" s="372">
        <v>4935</v>
      </c>
      <c r="AF1312" s="372">
        <v>5496</v>
      </c>
      <c r="AG1312" s="372">
        <v>6110</v>
      </c>
      <c r="AH1312" s="372">
        <v>0</v>
      </c>
    </row>
    <row r="1313" spans="1:34">
      <c r="A1313" s="372" t="s">
        <v>8867</v>
      </c>
      <c r="B1313" s="373" t="s">
        <v>8868</v>
      </c>
      <c r="C1313" s="372" t="s">
        <v>8869</v>
      </c>
      <c r="D1313" s="374">
        <v>1301110007533</v>
      </c>
      <c r="E1313" s="372" t="s">
        <v>8870</v>
      </c>
      <c r="F1313" s="372" t="s">
        <v>1863</v>
      </c>
      <c r="G1313" s="375" t="s">
        <v>1864</v>
      </c>
      <c r="H1313" s="375" t="s">
        <v>861</v>
      </c>
      <c r="I1313" s="375" t="s">
        <v>862</v>
      </c>
      <c r="J1313" s="375">
        <v>848458.85279000003</v>
      </c>
      <c r="K1313" s="375">
        <v>39855.604610000002</v>
      </c>
      <c r="L1313" s="375">
        <v>57202.498310000003</v>
      </c>
      <c r="M1313" s="375">
        <v>469108.91080000001</v>
      </c>
      <c r="N1313" s="372">
        <v>0.74</v>
      </c>
      <c r="O1313" s="704">
        <v>8.7245233338428125</v>
      </c>
      <c r="P1313" s="375" t="s">
        <v>622</v>
      </c>
      <c r="Q1313" s="372" t="s">
        <v>622</v>
      </c>
      <c r="R1313" s="696">
        <v>19930614</v>
      </c>
      <c r="S1313" s="372" t="s">
        <v>8871</v>
      </c>
      <c r="T1313" s="697">
        <v>0.23100000000000001</v>
      </c>
      <c r="U1313" s="372" t="s">
        <v>8872</v>
      </c>
      <c r="V1313" s="723">
        <v>2</v>
      </c>
      <c r="W1313" s="723">
        <v>0.25</v>
      </c>
      <c r="X1313" s="723">
        <v>0.14000000000000001</v>
      </c>
      <c r="Y1313" s="723">
        <v>2.89</v>
      </c>
      <c r="Z1313" s="382" t="s">
        <v>927</v>
      </c>
      <c r="AA1313" s="372">
        <v>6426.3991690000003</v>
      </c>
      <c r="AB1313" s="372">
        <v>7626.3641882000002</v>
      </c>
      <c r="AC1313" s="372">
        <v>7370.4061334999997</v>
      </c>
      <c r="AD1313" s="372">
        <v>7786.4259414999997</v>
      </c>
      <c r="AE1313" s="372">
        <v>0</v>
      </c>
      <c r="AF1313" s="372">
        <v>0</v>
      </c>
      <c r="AG1313" s="372">
        <v>0</v>
      </c>
      <c r="AH1313" s="372">
        <v>0</v>
      </c>
    </row>
    <row r="1314" spans="1:34">
      <c r="A1314" s="372" t="s">
        <v>8873</v>
      </c>
      <c r="B1314" s="373" t="s">
        <v>8874</v>
      </c>
      <c r="C1314" s="372" t="s">
        <v>8875</v>
      </c>
      <c r="D1314" s="374">
        <v>1101110343957</v>
      </c>
      <c r="E1314" s="372" t="s">
        <v>8876</v>
      </c>
      <c r="F1314" s="375" t="s">
        <v>880</v>
      </c>
      <c r="G1314" s="375" t="s">
        <v>880</v>
      </c>
      <c r="H1314" s="375" t="s">
        <v>792</v>
      </c>
      <c r="I1314" s="375" t="s">
        <v>754</v>
      </c>
      <c r="J1314" s="375">
        <v>779697.02135000005</v>
      </c>
      <c r="K1314" s="375">
        <v>45145.300869999999</v>
      </c>
      <c r="L1314" s="375">
        <v>34312.422740000002</v>
      </c>
      <c r="M1314" s="375">
        <v>234481.15205</v>
      </c>
      <c r="N1314" s="372">
        <v>1.135</v>
      </c>
      <c r="O1314" s="704">
        <v>76.627551345711652</v>
      </c>
      <c r="P1314" s="375" t="s">
        <v>622</v>
      </c>
      <c r="Q1314" s="375" t="s">
        <v>622</v>
      </c>
      <c r="R1314" s="696">
        <v>20160729</v>
      </c>
      <c r="S1314" s="375" t="s">
        <v>8877</v>
      </c>
      <c r="T1314" s="697">
        <v>0.23100000000000001</v>
      </c>
      <c r="U1314" s="372" t="s">
        <v>8878</v>
      </c>
      <c r="V1314" s="723">
        <v>2.21</v>
      </c>
      <c r="W1314" s="723">
        <v>0.48</v>
      </c>
      <c r="X1314" s="723">
        <v>0.14000000000000001</v>
      </c>
      <c r="Y1314" s="723">
        <v>6.61</v>
      </c>
      <c r="Z1314" s="382" t="s">
        <v>927</v>
      </c>
      <c r="AA1314" s="372">
        <v>4658.3555446999999</v>
      </c>
      <c r="AB1314" s="372">
        <v>4956.326462</v>
      </c>
      <c r="AC1314" s="372">
        <v>5659.9603804999997</v>
      </c>
      <c r="AD1314" s="372">
        <v>7531.3564265000005</v>
      </c>
      <c r="AE1314" s="372">
        <v>0</v>
      </c>
      <c r="AF1314" s="372">
        <v>0</v>
      </c>
      <c r="AG1314" s="372">
        <v>0</v>
      </c>
      <c r="AH1314" s="372">
        <v>0</v>
      </c>
    </row>
    <row r="1315" spans="1:34">
      <c r="A1315" s="372" t="s">
        <v>8879</v>
      </c>
      <c r="B1315" s="373" t="s">
        <v>8880</v>
      </c>
      <c r="C1315" s="372" t="s">
        <v>8881</v>
      </c>
      <c r="D1315" s="374">
        <v>1201110081951</v>
      </c>
      <c r="E1315" s="372" t="s">
        <v>8882</v>
      </c>
      <c r="F1315" s="375" t="s">
        <v>1275</v>
      </c>
      <c r="G1315" s="375" t="s">
        <v>1275</v>
      </c>
      <c r="H1315" s="375" t="s">
        <v>861</v>
      </c>
      <c r="I1315" s="375" t="s">
        <v>862</v>
      </c>
      <c r="J1315" s="375">
        <v>399802.34229</v>
      </c>
      <c r="K1315" s="375">
        <v>-504.49678</v>
      </c>
      <c r="L1315" s="375">
        <v>-21185.282149999999</v>
      </c>
      <c r="M1315" s="375">
        <v>78930.901629999993</v>
      </c>
      <c r="N1315" s="372">
        <v>1.0109999999999999</v>
      </c>
      <c r="O1315" s="704">
        <v>119.94758015766523</v>
      </c>
      <c r="P1315" s="375" t="s">
        <v>622</v>
      </c>
      <c r="Q1315" s="375" t="s">
        <v>622</v>
      </c>
      <c r="R1315" s="696">
        <v>20010515</v>
      </c>
      <c r="S1315" s="375" t="s">
        <v>8883</v>
      </c>
      <c r="T1315" s="697" t="s">
        <v>771</v>
      </c>
      <c r="U1315" s="372" t="s">
        <v>8884</v>
      </c>
      <c r="V1315" s="723">
        <v>9.31</v>
      </c>
      <c r="W1315" s="723">
        <v>1.07</v>
      </c>
      <c r="X1315" s="723">
        <v>0.21</v>
      </c>
      <c r="Y1315" s="723" t="s">
        <v>773</v>
      </c>
      <c r="Z1315" s="382" t="s">
        <v>927</v>
      </c>
      <c r="AA1315" s="372">
        <v>8668.9523035000002</v>
      </c>
      <c r="AB1315" s="372">
        <v>5262.1574504</v>
      </c>
      <c r="AC1315" s="372">
        <v>7216.7670030999998</v>
      </c>
      <c r="AD1315" s="372">
        <v>5005.8646507000003</v>
      </c>
      <c r="AE1315" s="372">
        <v>0</v>
      </c>
      <c r="AF1315" s="372">
        <v>0</v>
      </c>
      <c r="AG1315" s="372">
        <v>0</v>
      </c>
      <c r="AH1315" s="372">
        <v>0</v>
      </c>
    </row>
    <row r="1316" spans="1:34">
      <c r="A1316" s="372" t="s">
        <v>8885</v>
      </c>
      <c r="B1316" s="373" t="s">
        <v>8886</v>
      </c>
      <c r="C1316" s="372" t="s">
        <v>8887</v>
      </c>
      <c r="D1316" s="374">
        <v>1601110065824</v>
      </c>
      <c r="E1316" s="372" t="s">
        <v>8888</v>
      </c>
      <c r="F1316" s="372" t="s">
        <v>3937</v>
      </c>
      <c r="G1316" s="375" t="s">
        <v>3937</v>
      </c>
      <c r="H1316" s="375" t="s">
        <v>1337</v>
      </c>
      <c r="I1316" s="375" t="s">
        <v>862</v>
      </c>
      <c r="J1316" s="375">
        <v>776213.83397000004</v>
      </c>
      <c r="K1316" s="375">
        <v>52495.635300000002</v>
      </c>
      <c r="L1316" s="375">
        <v>57131.062669999999</v>
      </c>
      <c r="M1316" s="375">
        <v>844397.84259000001</v>
      </c>
      <c r="N1316" s="372">
        <v>0.42699999999999999</v>
      </c>
      <c r="O1316" s="704">
        <v>245.47408415911102</v>
      </c>
      <c r="P1316" s="375" t="s">
        <v>622</v>
      </c>
      <c r="Q1316" s="372" t="s">
        <v>622</v>
      </c>
      <c r="R1316" s="696">
        <v>20010925</v>
      </c>
      <c r="S1316" s="372" t="s">
        <v>1975</v>
      </c>
      <c r="T1316" s="697">
        <v>0.23100000000000001</v>
      </c>
      <c r="U1316" s="372" t="s">
        <v>8889</v>
      </c>
      <c r="V1316" s="723">
        <v>8.15</v>
      </c>
      <c r="W1316" s="723">
        <v>0.28999999999999998</v>
      </c>
      <c r="X1316" s="723">
        <v>0.12</v>
      </c>
      <c r="Y1316" s="723">
        <v>4.68</v>
      </c>
      <c r="Z1316" s="382" t="s">
        <v>927</v>
      </c>
      <c r="AA1316" s="372">
        <v>4321.7600984000001</v>
      </c>
      <c r="AB1316" s="372">
        <v>5443.8677582</v>
      </c>
      <c r="AC1316" s="372">
        <v>8740.5127057999998</v>
      </c>
      <c r="AD1316" s="372">
        <v>7485.5597715000004</v>
      </c>
      <c r="AE1316" s="372">
        <v>0</v>
      </c>
      <c r="AF1316" s="372">
        <v>0</v>
      </c>
      <c r="AG1316" s="372">
        <v>0</v>
      </c>
      <c r="AH1316" s="372">
        <v>0</v>
      </c>
    </row>
    <row r="1317" spans="1:34">
      <c r="A1317" s="372" t="s">
        <v>8890</v>
      </c>
      <c r="B1317" s="373" t="s">
        <v>8891</v>
      </c>
      <c r="C1317" s="372" t="s">
        <v>16010</v>
      </c>
      <c r="D1317" s="374">
        <v>1101111591034</v>
      </c>
      <c r="E1317" s="372" t="s">
        <v>16011</v>
      </c>
      <c r="F1317" s="375" t="s">
        <v>8892</v>
      </c>
      <c r="G1317" s="375" t="s">
        <v>8892</v>
      </c>
      <c r="H1317" s="375" t="s">
        <v>861</v>
      </c>
      <c r="I1317" s="375" t="s">
        <v>862</v>
      </c>
      <c r="J1317" s="375">
        <v>123740.86596</v>
      </c>
      <c r="K1317" s="375">
        <v>-1311.1577600000001</v>
      </c>
      <c r="L1317" s="375">
        <v>105699.12893000001</v>
      </c>
      <c r="M1317" s="375">
        <v>200884.01569999999</v>
      </c>
      <c r="N1317" s="372">
        <v>0.94499999999999995</v>
      </c>
      <c r="O1317" s="704">
        <v>83.819862716379674</v>
      </c>
      <c r="P1317" s="375" t="s">
        <v>622</v>
      </c>
      <c r="Q1317" s="375" t="s">
        <v>622</v>
      </c>
      <c r="R1317" s="696">
        <v>20110131</v>
      </c>
      <c r="S1317" s="375" t="s">
        <v>8893</v>
      </c>
      <c r="T1317" s="697">
        <v>0.23100000000000001</v>
      </c>
      <c r="U1317" s="372" t="s">
        <v>8894</v>
      </c>
      <c r="V1317" s="723">
        <v>0</v>
      </c>
      <c r="W1317" s="723">
        <v>0</v>
      </c>
      <c r="X1317" s="723">
        <v>0</v>
      </c>
      <c r="Y1317" s="723">
        <v>0</v>
      </c>
      <c r="Z1317" s="382" t="s">
        <v>927</v>
      </c>
      <c r="AA1317" s="372">
        <v>1918.6047331</v>
      </c>
      <c r="AB1317" s="372">
        <v>1312.5848741</v>
      </c>
      <c r="AC1317" s="372">
        <v>1971.0416766000001</v>
      </c>
      <c r="AD1317" s="372">
        <v>1667.0628342</v>
      </c>
      <c r="AE1317" s="372">
        <v>0</v>
      </c>
      <c r="AF1317" s="372">
        <v>0</v>
      </c>
      <c r="AG1317" s="372">
        <v>0</v>
      </c>
      <c r="AH1317" s="372">
        <v>0</v>
      </c>
    </row>
    <row r="1318" spans="1:34">
      <c r="A1318" s="372" t="s">
        <v>8895</v>
      </c>
      <c r="B1318" s="373" t="s">
        <v>8896</v>
      </c>
      <c r="C1318" s="372" t="s">
        <v>8897</v>
      </c>
      <c r="D1318" s="374">
        <v>1746110005478</v>
      </c>
      <c r="E1318" s="372" t="s">
        <v>8898</v>
      </c>
      <c r="F1318" s="375" t="s">
        <v>2747</v>
      </c>
      <c r="G1318" s="375" t="s">
        <v>2748</v>
      </c>
      <c r="H1318" s="375" t="s">
        <v>812</v>
      </c>
      <c r="I1318" s="375" t="s">
        <v>754</v>
      </c>
      <c r="J1318" s="375">
        <v>996932.56262999994</v>
      </c>
      <c r="K1318" s="375">
        <v>11955.289870000001</v>
      </c>
      <c r="L1318" s="375">
        <v>865.92016000000001</v>
      </c>
      <c r="M1318" s="375">
        <v>338708.75670999999</v>
      </c>
      <c r="N1318" s="372">
        <v>0.89900000000000002</v>
      </c>
      <c r="O1318" s="704">
        <v>190.06231321404292</v>
      </c>
      <c r="P1318" s="375" t="s">
        <v>622</v>
      </c>
      <c r="Q1318" s="375" t="s">
        <v>622</v>
      </c>
      <c r="R1318" s="696">
        <v>20110601</v>
      </c>
      <c r="S1318" s="375" t="s">
        <v>8899</v>
      </c>
      <c r="T1318" s="697">
        <v>0.20900000000000002</v>
      </c>
      <c r="U1318" s="372" t="s">
        <v>8900</v>
      </c>
      <c r="V1318" s="723">
        <v>10.37</v>
      </c>
      <c r="W1318" s="723">
        <v>0.36</v>
      </c>
      <c r="X1318" s="723">
        <v>0.12</v>
      </c>
      <c r="Y1318" s="723" t="s">
        <v>773</v>
      </c>
      <c r="Z1318" s="382" t="s">
        <v>927</v>
      </c>
      <c r="AA1318" s="372">
        <v>6550.1740613000002</v>
      </c>
      <c r="AB1318" s="372">
        <v>8957.9755396</v>
      </c>
      <c r="AC1318" s="372">
        <v>10743.550517899999</v>
      </c>
      <c r="AD1318" s="372">
        <v>10292.958961099999</v>
      </c>
      <c r="AE1318" s="372">
        <v>0</v>
      </c>
      <c r="AF1318" s="372">
        <v>0</v>
      </c>
      <c r="AG1318" s="372">
        <v>0</v>
      </c>
      <c r="AH1318" s="372">
        <v>0</v>
      </c>
    </row>
    <row r="1319" spans="1:34">
      <c r="A1319" s="372" t="s">
        <v>8901</v>
      </c>
      <c r="B1319" s="373" t="s">
        <v>8902</v>
      </c>
      <c r="C1319" s="372" t="s">
        <v>8903</v>
      </c>
      <c r="D1319" s="374">
        <v>1101113922550</v>
      </c>
      <c r="E1319" s="372" t="s">
        <v>8904</v>
      </c>
      <c r="F1319" s="375" t="s">
        <v>5600</v>
      </c>
      <c r="G1319" s="375" t="s">
        <v>5600</v>
      </c>
      <c r="H1319" s="375" t="s">
        <v>1531</v>
      </c>
      <c r="I1319" s="375" t="s">
        <v>862</v>
      </c>
      <c r="J1319" s="375">
        <v>127007.00002000001</v>
      </c>
      <c r="K1319" s="375">
        <v>-14250.606889999999</v>
      </c>
      <c r="L1319" s="375">
        <v>-22221.12011</v>
      </c>
      <c r="M1319" s="375">
        <v>131738.15534</v>
      </c>
      <c r="N1319" s="372">
        <v>0.90800000000000003</v>
      </c>
      <c r="O1319" s="704">
        <v>163.11334787433901</v>
      </c>
      <c r="P1319" s="375" t="s">
        <v>622</v>
      </c>
      <c r="Q1319" s="375" t="s">
        <v>622</v>
      </c>
      <c r="R1319" s="696">
        <v>20141223</v>
      </c>
      <c r="S1319" s="375" t="s">
        <v>8905</v>
      </c>
      <c r="T1319" s="697" t="s">
        <v>771</v>
      </c>
      <c r="U1319" s="372" t="s">
        <v>8906</v>
      </c>
      <c r="V1319" s="723" t="s">
        <v>773</v>
      </c>
      <c r="W1319" s="723">
        <v>0.68</v>
      </c>
      <c r="X1319" s="723">
        <v>0.52</v>
      </c>
      <c r="Y1319" s="723" t="s">
        <v>773</v>
      </c>
      <c r="Z1319" s="382" t="s">
        <v>927</v>
      </c>
      <c r="AA1319" s="372">
        <v>1207.0344608</v>
      </c>
      <c r="AB1319" s="372">
        <v>1415.2755675999999</v>
      </c>
      <c r="AC1319" s="372">
        <v>1556.1711014</v>
      </c>
      <c r="AD1319" s="372">
        <v>1291.4773717999999</v>
      </c>
      <c r="AE1319" s="372">
        <v>1428</v>
      </c>
      <c r="AF1319" s="372">
        <v>1600</v>
      </c>
      <c r="AG1319" s="372">
        <v>0</v>
      </c>
      <c r="AH1319" s="372">
        <v>0</v>
      </c>
    </row>
    <row r="1320" spans="1:34">
      <c r="A1320" s="372" t="s">
        <v>8907</v>
      </c>
      <c r="B1320" s="373" t="s">
        <v>8908</v>
      </c>
      <c r="C1320" s="372" t="s">
        <v>8909</v>
      </c>
      <c r="D1320" s="374">
        <v>1101110003428</v>
      </c>
      <c r="E1320" s="372" t="s">
        <v>8910</v>
      </c>
      <c r="F1320" s="375" t="s">
        <v>2040</v>
      </c>
      <c r="G1320" s="375" t="s">
        <v>7156</v>
      </c>
      <c r="H1320" s="375" t="s">
        <v>3099</v>
      </c>
      <c r="I1320" s="375" t="s">
        <v>862</v>
      </c>
      <c r="J1320" s="375">
        <v>51164.559520000003</v>
      </c>
      <c r="K1320" s="375">
        <v>-1536.4347299999999</v>
      </c>
      <c r="L1320" s="375">
        <v>-938.22613999999999</v>
      </c>
      <c r="M1320" s="375">
        <v>54704.765800000001</v>
      </c>
      <c r="N1320" s="372">
        <v>0.372</v>
      </c>
      <c r="O1320" s="704">
        <v>1.1810658903751001</v>
      </c>
      <c r="P1320" s="375" t="s">
        <v>622</v>
      </c>
      <c r="Q1320" s="372" t="s">
        <v>622</v>
      </c>
      <c r="R1320" s="696">
        <v>19930317</v>
      </c>
      <c r="S1320" s="372" t="s">
        <v>8911</v>
      </c>
      <c r="T1320" s="697" t="s">
        <v>771</v>
      </c>
      <c r="U1320" s="372" t="s">
        <v>8912</v>
      </c>
      <c r="V1320" s="723" t="s">
        <v>773</v>
      </c>
      <c r="W1320" s="723">
        <v>2.02</v>
      </c>
      <c r="X1320" s="723">
        <v>2.5299999999999998</v>
      </c>
      <c r="Y1320" s="723" t="s">
        <v>773</v>
      </c>
      <c r="Z1320" s="382" t="s">
        <v>927</v>
      </c>
      <c r="AA1320" s="372">
        <v>535.64699259999998</v>
      </c>
      <c r="AB1320" s="372">
        <v>607.12577710000005</v>
      </c>
      <c r="AC1320" s="372">
        <v>716.20870960000002</v>
      </c>
      <c r="AD1320" s="372">
        <v>554.738654</v>
      </c>
      <c r="AE1320" s="372">
        <v>0</v>
      </c>
      <c r="AF1320" s="372">
        <v>0</v>
      </c>
      <c r="AG1320" s="372">
        <v>0</v>
      </c>
      <c r="AH1320" s="372">
        <v>0</v>
      </c>
    </row>
    <row r="1321" spans="1:34">
      <c r="A1321" s="372" t="s">
        <v>8913</v>
      </c>
      <c r="B1321" s="373" t="s">
        <v>8914</v>
      </c>
      <c r="C1321" s="372" t="s">
        <v>8915</v>
      </c>
      <c r="D1321" s="374">
        <v>1201110799950</v>
      </c>
      <c r="E1321" s="372" t="s">
        <v>8916</v>
      </c>
      <c r="F1321" s="375" t="s">
        <v>1177</v>
      </c>
      <c r="G1321" s="375" t="s">
        <v>8917</v>
      </c>
      <c r="H1321" s="375" t="s">
        <v>861</v>
      </c>
      <c r="I1321" s="375" t="s">
        <v>862</v>
      </c>
      <c r="J1321" s="375">
        <v>56261.996850000003</v>
      </c>
      <c r="K1321" s="375">
        <v>-6033.9951799999999</v>
      </c>
      <c r="L1321" s="375">
        <v>-6892.5858600000001</v>
      </c>
      <c r="M1321" s="375">
        <v>54484.72363</v>
      </c>
      <c r="N1321" s="372">
        <v>1.167</v>
      </c>
      <c r="O1321" s="704">
        <v>37.962439686508006</v>
      </c>
      <c r="P1321" s="375" t="s">
        <v>622</v>
      </c>
      <c r="Q1321" s="375" t="s">
        <v>622</v>
      </c>
      <c r="R1321" s="696">
        <v>20200918</v>
      </c>
      <c r="S1321" s="375" t="s">
        <v>8918</v>
      </c>
      <c r="T1321" s="697" t="s">
        <v>771</v>
      </c>
      <c r="U1321" s="375" t="s">
        <v>8919</v>
      </c>
      <c r="V1321" s="723">
        <v>36.909999999999997</v>
      </c>
      <c r="W1321" s="723">
        <v>1.07</v>
      </c>
      <c r="X1321" s="723">
        <v>1.05</v>
      </c>
      <c r="Y1321" s="723" t="s">
        <v>773</v>
      </c>
      <c r="Z1321" s="382" t="s">
        <v>927</v>
      </c>
      <c r="AA1321" s="372">
        <v>405.10330759999999</v>
      </c>
      <c r="AB1321" s="372">
        <v>671.13800409999999</v>
      </c>
      <c r="AC1321" s="372">
        <v>838.06870219999996</v>
      </c>
      <c r="AD1321" s="372">
        <v>852.56116999999995</v>
      </c>
      <c r="AE1321" s="372">
        <v>1070</v>
      </c>
      <c r="AF1321" s="372">
        <v>0</v>
      </c>
      <c r="AG1321" s="372">
        <v>0</v>
      </c>
      <c r="AH1321" s="372">
        <v>0</v>
      </c>
    </row>
    <row r="1322" spans="1:34">
      <c r="A1322" s="372" t="s">
        <v>8920</v>
      </c>
      <c r="B1322" s="373" t="s">
        <v>8921</v>
      </c>
      <c r="C1322" s="372" t="s">
        <v>8922</v>
      </c>
      <c r="D1322" s="374">
        <v>1101117474424</v>
      </c>
      <c r="E1322" s="372" t="s">
        <v>8923</v>
      </c>
      <c r="F1322" s="375" t="s">
        <v>5301</v>
      </c>
      <c r="G1322" s="375" t="s">
        <v>5301</v>
      </c>
      <c r="H1322" s="375" t="s">
        <v>861</v>
      </c>
      <c r="I1322" s="375" t="s">
        <v>862</v>
      </c>
      <c r="J1322" s="375">
        <v>309288.24680000002</v>
      </c>
      <c r="K1322" s="375">
        <v>28572.595420000001</v>
      </c>
      <c r="L1322" s="375">
        <v>26528.573939999998</v>
      </c>
      <c r="M1322" s="375">
        <v>71811.402149999994</v>
      </c>
      <c r="N1322" s="372">
        <v>0.67800000000000005</v>
      </c>
      <c r="O1322" s="704">
        <v>171.9227347060644</v>
      </c>
      <c r="P1322" s="375" t="s">
        <v>622</v>
      </c>
      <c r="Q1322" s="372" t="s">
        <v>622</v>
      </c>
      <c r="R1322" s="696">
        <v>20200605</v>
      </c>
      <c r="S1322" s="372" t="s">
        <v>8924</v>
      </c>
      <c r="T1322" s="697">
        <v>0.23100000000000001</v>
      </c>
      <c r="U1322" s="372" t="s">
        <v>6661</v>
      </c>
      <c r="V1322" s="723">
        <v>6.95</v>
      </c>
      <c r="W1322" s="723">
        <v>1.85</v>
      </c>
      <c r="X1322" s="723">
        <v>0.42</v>
      </c>
      <c r="Y1322" s="723">
        <v>6.52</v>
      </c>
      <c r="Z1322" s="382" t="s">
        <v>927</v>
      </c>
      <c r="AA1322" s="372">
        <v>881.2327401</v>
      </c>
      <c r="AB1322" s="372">
        <v>1294.5780500000001</v>
      </c>
      <c r="AC1322" s="372">
        <v>1555.5710042999999</v>
      </c>
      <c r="AD1322" s="372">
        <v>1653.8509088999999</v>
      </c>
      <c r="AE1322" s="372">
        <v>4172</v>
      </c>
      <c r="AF1322" s="372">
        <v>0</v>
      </c>
      <c r="AG1322" s="372">
        <v>0</v>
      </c>
      <c r="AH1322" s="372">
        <v>0</v>
      </c>
    </row>
    <row r="1323" spans="1:34">
      <c r="A1323" s="372" t="s">
        <v>8925</v>
      </c>
      <c r="B1323" s="373" t="s">
        <v>8926</v>
      </c>
      <c r="C1323" s="372" t="s">
        <v>8927</v>
      </c>
      <c r="D1323" s="374">
        <v>1311110478436</v>
      </c>
      <c r="E1323" s="372" t="s">
        <v>8928</v>
      </c>
      <c r="F1323" s="375" t="s">
        <v>1275</v>
      </c>
      <c r="G1323" s="375" t="s">
        <v>1275</v>
      </c>
      <c r="H1323" s="375" t="s">
        <v>861</v>
      </c>
      <c r="I1323" s="375" t="s">
        <v>862</v>
      </c>
      <c r="J1323" s="375">
        <v>12530.6615</v>
      </c>
      <c r="K1323" s="375">
        <v>-4616.6225700000005</v>
      </c>
      <c r="L1323" s="375">
        <v>-8761.6692999999996</v>
      </c>
      <c r="M1323" s="375">
        <v>54124.703589999997</v>
      </c>
      <c r="N1323" s="372">
        <v>1.288</v>
      </c>
      <c r="O1323" s="704">
        <v>23.734058868388704</v>
      </c>
      <c r="P1323" s="375" t="s">
        <v>622</v>
      </c>
      <c r="Q1323" s="372" t="s">
        <v>622</v>
      </c>
      <c r="R1323" s="696">
        <v>20190801</v>
      </c>
      <c r="S1323" s="375" t="s">
        <v>8929</v>
      </c>
      <c r="T1323" s="697" t="s">
        <v>771</v>
      </c>
      <c r="U1323" s="375" t="s">
        <v>15901</v>
      </c>
      <c r="V1323" s="723" t="s">
        <v>773</v>
      </c>
      <c r="W1323" s="723">
        <v>1.29</v>
      </c>
      <c r="X1323" s="723">
        <v>5.36</v>
      </c>
      <c r="Y1323" s="723" t="s">
        <v>773</v>
      </c>
      <c r="Z1323" s="382" t="s">
        <v>927</v>
      </c>
      <c r="AA1323" s="372">
        <v>83.815425200000007</v>
      </c>
      <c r="AB1323" s="372">
        <v>145.18263630000001</v>
      </c>
      <c r="AC1323" s="372">
        <v>150.77690229999999</v>
      </c>
      <c r="AD1323" s="372">
        <v>119.08780230000001</v>
      </c>
      <c r="AE1323" s="372">
        <v>0</v>
      </c>
      <c r="AF1323" s="372">
        <v>0</v>
      </c>
      <c r="AG1323" s="372">
        <v>0</v>
      </c>
      <c r="AH1323" s="372">
        <v>0</v>
      </c>
    </row>
    <row r="1324" spans="1:34">
      <c r="A1324" s="372" t="s">
        <v>8930</v>
      </c>
      <c r="B1324" s="373" t="s">
        <v>8931</v>
      </c>
      <c r="C1324" s="372" t="s">
        <v>8932</v>
      </c>
      <c r="D1324" s="374">
        <v>1101111785710</v>
      </c>
      <c r="E1324" s="372" t="s">
        <v>8933</v>
      </c>
      <c r="F1324" s="375" t="s">
        <v>2511</v>
      </c>
      <c r="G1324" s="375" t="s">
        <v>2511</v>
      </c>
      <c r="H1324" s="375" t="s">
        <v>861</v>
      </c>
      <c r="I1324" s="375" t="s">
        <v>862</v>
      </c>
      <c r="J1324" s="375">
        <v>0</v>
      </c>
      <c r="K1324" s="375">
        <v>0</v>
      </c>
      <c r="L1324" s="375">
        <v>0</v>
      </c>
      <c r="M1324" s="375">
        <v>85836.027950000003</v>
      </c>
      <c r="N1324" s="372" t="s">
        <v>1026</v>
      </c>
      <c r="O1324" s="704">
        <v>23.797553283850274</v>
      </c>
      <c r="P1324" s="375" t="s">
        <v>622</v>
      </c>
      <c r="Q1324" s="375" t="s">
        <v>622</v>
      </c>
      <c r="R1324" s="696">
        <v>20231120</v>
      </c>
      <c r="S1324" s="372" t="s">
        <v>8934</v>
      </c>
      <c r="T1324" s="697" t="s">
        <v>771</v>
      </c>
      <c r="U1324" s="372" t="s">
        <v>8935</v>
      </c>
      <c r="V1324" s="723">
        <v>0</v>
      </c>
      <c r="W1324" s="723">
        <v>1.1299999999999999</v>
      </c>
      <c r="X1324" s="723">
        <v>0</v>
      </c>
      <c r="Y1324" s="723">
        <v>0</v>
      </c>
      <c r="Z1324" s="382" t="s">
        <v>927</v>
      </c>
      <c r="AA1324" s="372">
        <v>399.99220380000003</v>
      </c>
      <c r="AB1324" s="372">
        <v>479.83837110000002</v>
      </c>
      <c r="AC1324" s="372">
        <v>510.30670720000001</v>
      </c>
      <c r="AD1324" s="372">
        <v>551.61763210000004</v>
      </c>
      <c r="AE1324" s="372">
        <v>0</v>
      </c>
      <c r="AF1324" s="372">
        <v>0</v>
      </c>
      <c r="AG1324" s="372">
        <v>0</v>
      </c>
      <c r="AH1324" s="372">
        <v>0</v>
      </c>
    </row>
    <row r="1325" spans="1:34">
      <c r="A1325" s="372" t="s">
        <v>8936</v>
      </c>
      <c r="B1325" s="373" t="s">
        <v>8937</v>
      </c>
      <c r="C1325" s="372" t="s">
        <v>8938</v>
      </c>
      <c r="D1325" s="374">
        <v>1101112929276</v>
      </c>
      <c r="E1325" s="372" t="s">
        <v>8939</v>
      </c>
      <c r="F1325" s="375" t="s">
        <v>5600</v>
      </c>
      <c r="G1325" s="375" t="s">
        <v>5600</v>
      </c>
      <c r="H1325" s="375" t="s">
        <v>1531</v>
      </c>
      <c r="I1325" s="375" t="s">
        <v>862</v>
      </c>
      <c r="J1325" s="375">
        <v>29257.990010000001</v>
      </c>
      <c r="K1325" s="375">
        <v>2246.2145700000001</v>
      </c>
      <c r="L1325" s="375">
        <v>-187.36530999999999</v>
      </c>
      <c r="M1325" s="375">
        <v>61255.033479999998</v>
      </c>
      <c r="N1325" s="372">
        <v>0.70099999999999996</v>
      </c>
      <c r="O1325" s="704">
        <v>13.077847020366928</v>
      </c>
      <c r="P1325" s="375" t="s">
        <v>622</v>
      </c>
      <c r="Q1325" s="372" t="s">
        <v>622</v>
      </c>
      <c r="R1325" s="696">
        <v>20190719</v>
      </c>
      <c r="S1325" s="372" t="s">
        <v>8940</v>
      </c>
      <c r="T1325" s="697" t="s">
        <v>771</v>
      </c>
      <c r="U1325" s="372" t="s">
        <v>8941</v>
      </c>
      <c r="V1325" s="723">
        <v>23.75</v>
      </c>
      <c r="W1325" s="723">
        <v>1.02</v>
      </c>
      <c r="X1325" s="723">
        <v>2.41</v>
      </c>
      <c r="Y1325" s="723">
        <v>117.78</v>
      </c>
      <c r="Z1325" s="382" t="s">
        <v>927</v>
      </c>
      <c r="AA1325" s="372">
        <v>220.9588838</v>
      </c>
      <c r="AB1325" s="372">
        <v>588.60400079999999</v>
      </c>
      <c r="AC1325" s="372">
        <v>716.80277460000002</v>
      </c>
      <c r="AD1325" s="372">
        <v>568.75968179999995</v>
      </c>
      <c r="AE1325" s="372">
        <v>163</v>
      </c>
      <c r="AF1325" s="372">
        <v>600</v>
      </c>
      <c r="AG1325" s="372">
        <v>0</v>
      </c>
      <c r="AH1325" s="372">
        <v>0</v>
      </c>
    </row>
    <row r="1326" spans="1:34">
      <c r="A1326" s="372" t="s">
        <v>8942</v>
      </c>
      <c r="B1326" s="373" t="s">
        <v>8943</v>
      </c>
      <c r="C1326" s="372" t="s">
        <v>8944</v>
      </c>
      <c r="D1326" s="374">
        <v>1201110216699</v>
      </c>
      <c r="E1326" s="372" t="s">
        <v>8945</v>
      </c>
      <c r="F1326" s="375" t="s">
        <v>1290</v>
      </c>
      <c r="G1326" s="375" t="s">
        <v>1290</v>
      </c>
      <c r="H1326" s="375" t="s">
        <v>861</v>
      </c>
      <c r="I1326" s="375" t="s">
        <v>862</v>
      </c>
      <c r="J1326" s="375">
        <v>44472.871079999997</v>
      </c>
      <c r="K1326" s="375">
        <v>3936.2730099999999</v>
      </c>
      <c r="L1326" s="375">
        <v>4014.7015200000001</v>
      </c>
      <c r="M1326" s="375">
        <v>34776.011939999997</v>
      </c>
      <c r="N1326" s="372">
        <v>0.88700000000000001</v>
      </c>
      <c r="O1326" s="704">
        <v>16.728747234796632</v>
      </c>
      <c r="P1326" s="375" t="s">
        <v>622</v>
      </c>
      <c r="Q1326" s="372" t="s">
        <v>622</v>
      </c>
      <c r="R1326" s="696">
        <v>20151215</v>
      </c>
      <c r="S1326" s="372" t="s">
        <v>8946</v>
      </c>
      <c r="T1326" s="697">
        <v>0.20900000000000002</v>
      </c>
      <c r="U1326" s="372" t="s">
        <v>8947</v>
      </c>
      <c r="V1326" s="723">
        <v>0</v>
      </c>
      <c r="W1326" s="723">
        <v>0</v>
      </c>
      <c r="X1326" s="723">
        <v>0</v>
      </c>
      <c r="Y1326" s="723">
        <v>0</v>
      </c>
      <c r="Z1326" s="382" t="s">
        <v>927</v>
      </c>
      <c r="AA1326" s="372">
        <v>183.99628060000001</v>
      </c>
      <c r="AB1326" s="372">
        <v>368.58184799999998</v>
      </c>
      <c r="AC1326" s="372">
        <v>594.31713079999997</v>
      </c>
      <c r="AD1326" s="372">
        <v>345.4409589</v>
      </c>
      <c r="AE1326" s="372">
        <v>0</v>
      </c>
      <c r="AF1326" s="372">
        <v>0</v>
      </c>
      <c r="AG1326" s="372">
        <v>0</v>
      </c>
      <c r="AH1326" s="372">
        <v>0</v>
      </c>
    </row>
    <row r="1327" spans="1:34">
      <c r="A1327" s="372" t="s">
        <v>8948</v>
      </c>
      <c r="B1327" s="373" t="s">
        <v>8949</v>
      </c>
      <c r="C1327" s="372" t="s">
        <v>8950</v>
      </c>
      <c r="D1327" s="374">
        <v>1601110312126</v>
      </c>
      <c r="E1327" s="372" t="s">
        <v>8951</v>
      </c>
      <c r="F1327" s="372" t="s">
        <v>1055</v>
      </c>
      <c r="G1327" s="375" t="s">
        <v>16104</v>
      </c>
      <c r="H1327" s="375" t="s">
        <v>861</v>
      </c>
      <c r="I1327" s="375" t="s">
        <v>862</v>
      </c>
      <c r="J1327" s="375">
        <v>9707.2148099999995</v>
      </c>
      <c r="K1327" s="375">
        <v>-18192.650130000002</v>
      </c>
      <c r="L1327" s="375">
        <v>-17346.169529999999</v>
      </c>
      <c r="M1327" s="375">
        <v>106037.73946</v>
      </c>
      <c r="N1327" s="372">
        <v>0.61599999999999999</v>
      </c>
      <c r="O1327" s="704">
        <v>5.4140426808082776</v>
      </c>
      <c r="P1327" s="375" t="s">
        <v>622</v>
      </c>
      <c r="Q1327" s="375" t="s">
        <v>622</v>
      </c>
      <c r="R1327" s="696">
        <v>20161111</v>
      </c>
      <c r="S1327" s="375" t="s">
        <v>8952</v>
      </c>
      <c r="T1327" s="697" t="s">
        <v>771</v>
      </c>
      <c r="U1327" s="372" t="s">
        <v>8953</v>
      </c>
      <c r="V1327" s="723" t="s">
        <v>773</v>
      </c>
      <c r="W1327" s="723">
        <v>0.85</v>
      </c>
      <c r="X1327" s="723">
        <v>10.32</v>
      </c>
      <c r="Y1327" s="723" t="s">
        <v>773</v>
      </c>
      <c r="Z1327" s="382" t="s">
        <v>927</v>
      </c>
      <c r="AA1327" s="372">
        <v>413.518483</v>
      </c>
      <c r="AB1327" s="372">
        <v>772.01041450000002</v>
      </c>
      <c r="AC1327" s="372">
        <v>1013.9925583</v>
      </c>
      <c r="AD1327" s="372">
        <v>71.323055400000001</v>
      </c>
      <c r="AE1327" s="372">
        <v>0</v>
      </c>
      <c r="AF1327" s="372">
        <v>0</v>
      </c>
      <c r="AG1327" s="372">
        <v>0</v>
      </c>
      <c r="AH1327" s="372">
        <v>0</v>
      </c>
    </row>
    <row r="1328" spans="1:34">
      <c r="A1328" s="372" t="s">
        <v>8954</v>
      </c>
      <c r="B1328" s="373" t="s">
        <v>8955</v>
      </c>
      <c r="C1328" s="372" t="s">
        <v>8956</v>
      </c>
      <c r="D1328" s="374">
        <v>1101115518084</v>
      </c>
      <c r="E1328" s="372" t="s">
        <v>8957</v>
      </c>
      <c r="F1328" s="375" t="s">
        <v>8599</v>
      </c>
      <c r="G1328" s="375" t="s">
        <v>8599</v>
      </c>
      <c r="H1328" s="375" t="s">
        <v>4847</v>
      </c>
      <c r="I1328" s="375" t="s">
        <v>862</v>
      </c>
      <c r="J1328" s="375">
        <v>23892.640790000001</v>
      </c>
      <c r="K1328" s="375">
        <v>-6215.0478400000002</v>
      </c>
      <c r="L1328" s="375">
        <v>-17806.404600000002</v>
      </c>
      <c r="M1328" s="375">
        <v>83001.846049999993</v>
      </c>
      <c r="N1328" s="372">
        <v>0.755</v>
      </c>
      <c r="O1328" s="704">
        <v>6.1449856549503394</v>
      </c>
      <c r="P1328" s="375" t="s">
        <v>622</v>
      </c>
      <c r="Q1328" s="372" t="s">
        <v>622</v>
      </c>
      <c r="R1328" s="696">
        <v>20141210</v>
      </c>
      <c r="S1328" s="372" t="s">
        <v>8958</v>
      </c>
      <c r="T1328" s="697" t="s">
        <v>771</v>
      </c>
      <c r="U1328" s="372" t="s">
        <v>15902</v>
      </c>
      <c r="V1328" s="723" t="s">
        <v>773</v>
      </c>
      <c r="W1328" s="723">
        <v>1.27</v>
      </c>
      <c r="X1328" s="723">
        <v>4.42</v>
      </c>
      <c r="Y1328" s="723" t="s">
        <v>773</v>
      </c>
      <c r="Z1328" s="382" t="s">
        <v>927</v>
      </c>
      <c r="AA1328" s="372">
        <v>94.033558400000004</v>
      </c>
      <c r="AB1328" s="372">
        <v>210.8018874</v>
      </c>
      <c r="AC1328" s="372">
        <v>217.9686652</v>
      </c>
      <c r="AD1328" s="372">
        <v>99.168446000000003</v>
      </c>
      <c r="AE1328" s="372">
        <v>0</v>
      </c>
      <c r="AF1328" s="372">
        <v>0</v>
      </c>
      <c r="AG1328" s="372">
        <v>0</v>
      </c>
      <c r="AH1328" s="372">
        <v>0</v>
      </c>
    </row>
    <row r="1329" spans="1:34">
      <c r="A1329" s="372" t="s">
        <v>8959</v>
      </c>
      <c r="B1329" s="373" t="s">
        <v>8960</v>
      </c>
      <c r="C1329" s="372" t="s">
        <v>8961</v>
      </c>
      <c r="D1329" s="374">
        <v>1701110002171</v>
      </c>
      <c r="E1329" s="372" t="s">
        <v>8962</v>
      </c>
      <c r="F1329" s="372" t="s">
        <v>811</v>
      </c>
      <c r="G1329" s="375" t="s">
        <v>5381</v>
      </c>
      <c r="H1329" s="375" t="s">
        <v>812</v>
      </c>
      <c r="I1329" s="375" t="s">
        <v>754</v>
      </c>
      <c r="J1329" s="375">
        <v>424331.43231</v>
      </c>
      <c r="K1329" s="375">
        <v>3474.9902299999999</v>
      </c>
      <c r="L1329" s="375">
        <v>5768.0726000000004</v>
      </c>
      <c r="M1329" s="375">
        <v>419474.67382999999</v>
      </c>
      <c r="N1329" s="372">
        <v>0.76</v>
      </c>
      <c r="O1329" s="704">
        <v>17.525767509336944</v>
      </c>
      <c r="P1329" s="375" t="s">
        <v>622</v>
      </c>
      <c r="Q1329" s="372" t="s">
        <v>622</v>
      </c>
      <c r="R1329" s="696">
        <v>20050630</v>
      </c>
      <c r="S1329" s="372" t="s">
        <v>8963</v>
      </c>
      <c r="T1329" s="697">
        <v>0.20900000000000002</v>
      </c>
      <c r="U1329" s="372" t="s">
        <v>8964</v>
      </c>
      <c r="V1329" s="723">
        <v>7.78</v>
      </c>
      <c r="W1329" s="723">
        <v>0.24</v>
      </c>
      <c r="X1329" s="723">
        <v>0.24</v>
      </c>
      <c r="Y1329" s="723">
        <v>28.32</v>
      </c>
      <c r="Z1329" s="382" t="s">
        <v>927</v>
      </c>
      <c r="AA1329" s="372">
        <v>3332.8330725000001</v>
      </c>
      <c r="AB1329" s="372">
        <v>4644.1915781999996</v>
      </c>
      <c r="AC1329" s="372">
        <v>4980.5051499000001</v>
      </c>
      <c r="AD1329" s="372">
        <v>4411.6126115999996</v>
      </c>
      <c r="AE1329" s="372">
        <v>0</v>
      </c>
      <c r="AF1329" s="372">
        <v>0</v>
      </c>
      <c r="AG1329" s="372">
        <v>0</v>
      </c>
      <c r="AH1329" s="372">
        <v>0</v>
      </c>
    </row>
    <row r="1330" spans="1:34">
      <c r="A1330" s="372" t="s">
        <v>8965</v>
      </c>
      <c r="B1330" s="373" t="s">
        <v>8966</v>
      </c>
      <c r="C1330" s="372" t="s">
        <v>8967</v>
      </c>
      <c r="D1330" s="374">
        <v>1158110006449</v>
      </c>
      <c r="E1330" s="372" t="s">
        <v>8968</v>
      </c>
      <c r="F1330" s="375" t="s">
        <v>4871</v>
      </c>
      <c r="G1330" s="375" t="s">
        <v>4871</v>
      </c>
      <c r="H1330" s="375" t="s">
        <v>861</v>
      </c>
      <c r="I1330" s="375" t="s">
        <v>862</v>
      </c>
      <c r="J1330" s="375">
        <v>477730.80566999997</v>
      </c>
      <c r="K1330" s="375">
        <v>15327.113369999999</v>
      </c>
      <c r="L1330" s="375">
        <v>14374.35894</v>
      </c>
      <c r="M1330" s="375">
        <v>130854.16289000001</v>
      </c>
      <c r="N1330" s="372">
        <v>0.998</v>
      </c>
      <c r="O1330" s="704">
        <v>96.94767726232125</v>
      </c>
      <c r="P1330" s="375" t="s">
        <v>622</v>
      </c>
      <c r="Q1330" s="375" t="s">
        <v>622</v>
      </c>
      <c r="R1330" s="696">
        <v>20010807</v>
      </c>
      <c r="S1330" s="375" t="s">
        <v>8969</v>
      </c>
      <c r="T1330" s="697">
        <v>0.20900000000000002</v>
      </c>
      <c r="U1330" s="372" t="s">
        <v>8970</v>
      </c>
      <c r="V1330" s="723">
        <v>3.55</v>
      </c>
      <c r="W1330" s="723">
        <v>0.64</v>
      </c>
      <c r="X1330" s="723">
        <v>0.18</v>
      </c>
      <c r="Y1330" s="723">
        <v>7.39</v>
      </c>
      <c r="Z1330" s="382">
        <v>1.6998721060881072E-2</v>
      </c>
      <c r="AA1330" s="372">
        <v>3703.0730944000002</v>
      </c>
      <c r="AB1330" s="372">
        <v>4426.7214790999997</v>
      </c>
      <c r="AC1330" s="372">
        <v>4796.1617349999997</v>
      </c>
      <c r="AD1330" s="372">
        <v>5023.6113734999999</v>
      </c>
      <c r="AE1330" s="372">
        <v>4635</v>
      </c>
      <c r="AF1330" s="372">
        <v>4903.5</v>
      </c>
      <c r="AG1330" s="372">
        <v>5374</v>
      </c>
      <c r="AH1330" s="372">
        <v>0</v>
      </c>
    </row>
    <row r="1331" spans="1:34">
      <c r="A1331" s="372" t="s">
        <v>8971</v>
      </c>
      <c r="B1331" s="373" t="s">
        <v>8972</v>
      </c>
      <c r="C1331" s="372" t="s">
        <v>8973</v>
      </c>
      <c r="D1331" s="374">
        <v>1746110014924</v>
      </c>
      <c r="E1331" s="372" t="s">
        <v>8974</v>
      </c>
      <c r="F1331" s="375" t="s">
        <v>1863</v>
      </c>
      <c r="G1331" s="375" t="s">
        <v>1864</v>
      </c>
      <c r="H1331" s="375" t="s">
        <v>792</v>
      </c>
      <c r="I1331" s="375" t="s">
        <v>754</v>
      </c>
      <c r="J1331" s="375">
        <v>353404.93631999998</v>
      </c>
      <c r="K1331" s="375">
        <v>13452.99826</v>
      </c>
      <c r="L1331" s="375">
        <v>18189.197680000001</v>
      </c>
      <c r="M1331" s="375">
        <v>249378.375</v>
      </c>
      <c r="N1331" s="372">
        <v>0.69799999999999995</v>
      </c>
      <c r="O1331" s="704">
        <v>0</v>
      </c>
      <c r="P1331" s="375" t="s">
        <v>622</v>
      </c>
      <c r="Q1331" s="375" t="s">
        <v>622</v>
      </c>
      <c r="R1331" s="696">
        <v>20110722</v>
      </c>
      <c r="S1331" s="375" t="s">
        <v>8975</v>
      </c>
      <c r="T1331" s="697">
        <v>0.20900000000000002</v>
      </c>
      <c r="U1331" s="372" t="s">
        <v>8976</v>
      </c>
      <c r="V1331" s="723">
        <v>0</v>
      </c>
      <c r="W1331" s="723">
        <v>0</v>
      </c>
      <c r="X1331" s="723">
        <v>0</v>
      </c>
      <c r="Y1331" s="723">
        <v>0</v>
      </c>
      <c r="Z1331" s="382" t="s">
        <v>927</v>
      </c>
      <c r="AA1331" s="372">
        <v>2459.8927887</v>
      </c>
      <c r="AB1331" s="372">
        <v>2999.5254441000002</v>
      </c>
      <c r="AC1331" s="372">
        <v>3641.1108565</v>
      </c>
      <c r="AD1331" s="372">
        <v>3590.5816992</v>
      </c>
      <c r="AE1331" s="372">
        <v>0</v>
      </c>
      <c r="AF1331" s="372">
        <v>0</v>
      </c>
      <c r="AG1331" s="372">
        <v>0</v>
      </c>
      <c r="AH1331" s="372">
        <v>0</v>
      </c>
    </row>
    <row r="1332" spans="1:34">
      <c r="A1332" s="372" t="s">
        <v>8977</v>
      </c>
      <c r="B1332" s="373" t="s">
        <v>8978</v>
      </c>
      <c r="C1332" s="372" t="s">
        <v>8979</v>
      </c>
      <c r="D1332" s="374">
        <v>2301110274751</v>
      </c>
      <c r="E1332" s="372" t="s">
        <v>8980</v>
      </c>
      <c r="F1332" s="375" t="s">
        <v>1591</v>
      </c>
      <c r="G1332" s="375" t="s">
        <v>1591</v>
      </c>
      <c r="H1332" s="375" t="s">
        <v>946</v>
      </c>
      <c r="I1332" s="375" t="s">
        <v>754</v>
      </c>
      <c r="J1332" s="375">
        <v>1808959.2715400001</v>
      </c>
      <c r="K1332" s="375">
        <v>27005.637940000001</v>
      </c>
      <c r="L1332" s="375">
        <v>36166.740169999997</v>
      </c>
      <c r="M1332" s="375">
        <v>439500.49592000002</v>
      </c>
      <c r="N1332" s="372">
        <v>0.64800000000000002</v>
      </c>
      <c r="O1332" s="704">
        <v>15.139976623840637</v>
      </c>
      <c r="P1332" s="375" t="s">
        <v>622</v>
      </c>
      <c r="Q1332" s="372" t="s">
        <v>622</v>
      </c>
      <c r="R1332" s="696">
        <v>20170512</v>
      </c>
      <c r="S1332" s="372" t="s">
        <v>8981</v>
      </c>
      <c r="T1332" s="697">
        <v>0.23100000000000001</v>
      </c>
      <c r="U1332" s="375" t="s">
        <v>8982</v>
      </c>
      <c r="V1332" s="723">
        <v>2.0699999999999998</v>
      </c>
      <c r="W1332" s="723">
        <v>0.25</v>
      </c>
      <c r="X1332" s="723">
        <v>0.06</v>
      </c>
      <c r="Y1332" s="723">
        <v>3.97</v>
      </c>
      <c r="Z1332" s="382" t="s">
        <v>927</v>
      </c>
      <c r="AA1332" s="372">
        <v>10868.3062754</v>
      </c>
      <c r="AB1332" s="372">
        <v>14571.543283000001</v>
      </c>
      <c r="AC1332" s="372">
        <v>23049.450096500001</v>
      </c>
      <c r="AD1332" s="372">
        <v>17994.5379785</v>
      </c>
      <c r="AE1332" s="372">
        <v>0</v>
      </c>
      <c r="AF1332" s="372">
        <v>0</v>
      </c>
      <c r="AG1332" s="372">
        <v>0</v>
      </c>
      <c r="AH1332" s="372">
        <v>0</v>
      </c>
    </row>
    <row r="1333" spans="1:34">
      <c r="A1333" s="372" t="s">
        <v>8983</v>
      </c>
      <c r="B1333" s="373" t="s">
        <v>8984</v>
      </c>
      <c r="C1333" s="372" t="s">
        <v>8985</v>
      </c>
      <c r="D1333" s="374">
        <v>1101110070815</v>
      </c>
      <c r="E1333" s="372" t="s">
        <v>8986</v>
      </c>
      <c r="F1333" s="372" t="s">
        <v>769</v>
      </c>
      <c r="G1333" s="375" t="s">
        <v>769</v>
      </c>
      <c r="H1333" s="375" t="s">
        <v>861</v>
      </c>
      <c r="I1333" s="375" t="s">
        <v>862</v>
      </c>
      <c r="J1333" s="375">
        <v>124890.53044</v>
      </c>
      <c r="K1333" s="375">
        <v>-23754.48488</v>
      </c>
      <c r="L1333" s="375">
        <v>-23365.444309999999</v>
      </c>
      <c r="M1333" s="375">
        <v>102260.98366</v>
      </c>
      <c r="N1333" s="372">
        <v>1.444</v>
      </c>
      <c r="O1333" s="704">
        <v>11.551301094876786</v>
      </c>
      <c r="P1333" s="375" t="s">
        <v>622</v>
      </c>
      <c r="Q1333" s="372" t="s">
        <v>622</v>
      </c>
      <c r="R1333" s="696">
        <v>20101126</v>
      </c>
      <c r="S1333" s="372" t="s">
        <v>8987</v>
      </c>
      <c r="T1333" s="697" t="s">
        <v>771</v>
      </c>
      <c r="U1333" s="372" t="s">
        <v>8988</v>
      </c>
      <c r="V1333" s="723" t="s">
        <v>773</v>
      </c>
      <c r="W1333" s="723">
        <v>0.89</v>
      </c>
      <c r="X1333" s="723">
        <v>0.73</v>
      </c>
      <c r="Y1333" s="723" t="s">
        <v>773</v>
      </c>
      <c r="Z1333" s="382" t="s">
        <v>927</v>
      </c>
      <c r="AA1333" s="372">
        <v>2015.4456061999999</v>
      </c>
      <c r="AB1333" s="372">
        <v>2698.8076593999999</v>
      </c>
      <c r="AC1333" s="372">
        <v>2876.0004558000001</v>
      </c>
      <c r="AD1333" s="372">
        <v>1854.845802</v>
      </c>
      <c r="AE1333" s="372">
        <v>0</v>
      </c>
      <c r="AF1333" s="372">
        <v>0</v>
      </c>
      <c r="AG1333" s="372">
        <v>0</v>
      </c>
      <c r="AH1333" s="372">
        <v>0</v>
      </c>
    </row>
    <row r="1334" spans="1:34">
      <c r="A1334" s="372" t="s">
        <v>8989</v>
      </c>
      <c r="B1334" s="373" t="s">
        <v>8990</v>
      </c>
      <c r="C1334" s="372" t="s">
        <v>8991</v>
      </c>
      <c r="D1334" s="374">
        <v>1115110004162</v>
      </c>
      <c r="E1334" s="372" t="s">
        <v>8992</v>
      </c>
      <c r="F1334" s="375" t="s">
        <v>1276</v>
      </c>
      <c r="G1334" s="375" t="s">
        <v>1452</v>
      </c>
      <c r="H1334" s="375" t="s">
        <v>753</v>
      </c>
      <c r="I1334" s="375" t="s">
        <v>754</v>
      </c>
      <c r="J1334" s="375">
        <v>156191.87478000001</v>
      </c>
      <c r="K1334" s="375">
        <v>-7697.3283199999996</v>
      </c>
      <c r="L1334" s="375">
        <v>-13451.043739999999</v>
      </c>
      <c r="M1334" s="375">
        <v>499277.28042999998</v>
      </c>
      <c r="N1334" s="372">
        <v>0.67200000000000004</v>
      </c>
      <c r="O1334" s="704">
        <v>111.3028614450204</v>
      </c>
      <c r="P1334" s="375" t="s">
        <v>16115</v>
      </c>
      <c r="Q1334" s="372" t="s">
        <v>16116</v>
      </c>
      <c r="R1334" s="696">
        <v>19970930</v>
      </c>
      <c r="S1334" s="372" t="s">
        <v>8993</v>
      </c>
      <c r="T1334" s="697" t="s">
        <v>771</v>
      </c>
      <c r="U1334" s="372" t="s">
        <v>8994</v>
      </c>
      <c r="V1334" s="723">
        <v>54.01</v>
      </c>
      <c r="W1334" s="723">
        <v>0.25</v>
      </c>
      <c r="X1334" s="723">
        <v>0.81</v>
      </c>
      <c r="Y1334" s="723" t="s">
        <v>773</v>
      </c>
      <c r="Z1334" s="382" t="s">
        <v>927</v>
      </c>
      <c r="AA1334" s="372">
        <v>1188.1550073000001</v>
      </c>
      <c r="AB1334" s="372">
        <v>1201.9217791999999</v>
      </c>
      <c r="AC1334" s="372">
        <v>1638.3097313000001</v>
      </c>
      <c r="AD1334" s="372">
        <v>1402.3966455</v>
      </c>
      <c r="AE1334" s="372">
        <v>0</v>
      </c>
      <c r="AF1334" s="372">
        <v>0</v>
      </c>
      <c r="AG1334" s="372">
        <v>0</v>
      </c>
      <c r="AH1334" s="372">
        <v>0</v>
      </c>
    </row>
    <row r="1335" spans="1:34">
      <c r="A1335" s="372" t="s">
        <v>8995</v>
      </c>
      <c r="B1335" s="373" t="s">
        <v>8996</v>
      </c>
      <c r="C1335" s="372" t="s">
        <v>8997</v>
      </c>
      <c r="D1335" s="374">
        <v>1101110124521</v>
      </c>
      <c r="E1335" s="372" t="s">
        <v>8998</v>
      </c>
      <c r="F1335" s="375" t="s">
        <v>8999</v>
      </c>
      <c r="G1335" s="375" t="s">
        <v>8999</v>
      </c>
      <c r="H1335" s="375" t="s">
        <v>909</v>
      </c>
      <c r="I1335" s="375" t="s">
        <v>754</v>
      </c>
      <c r="J1335" s="375">
        <v>843068.83134999999</v>
      </c>
      <c r="K1335" s="375">
        <v>40986.977579999999</v>
      </c>
      <c r="L1335" s="375">
        <v>25504.648669999999</v>
      </c>
      <c r="M1335" s="375">
        <v>166324.28031999999</v>
      </c>
      <c r="N1335" s="372">
        <v>0.47699999999999998</v>
      </c>
      <c r="O1335" s="704">
        <v>267.20950378617323</v>
      </c>
      <c r="P1335" s="375" t="s">
        <v>622</v>
      </c>
      <c r="Q1335" s="375" t="s">
        <v>622</v>
      </c>
      <c r="R1335" s="696">
        <v>19880810</v>
      </c>
      <c r="S1335" s="375" t="s">
        <v>9000</v>
      </c>
      <c r="T1335" s="697">
        <v>0.23100000000000001</v>
      </c>
      <c r="U1335" s="375" t="s">
        <v>9001</v>
      </c>
      <c r="V1335" s="723">
        <v>4.8899999999999997</v>
      </c>
      <c r="W1335" s="723">
        <v>0.82</v>
      </c>
      <c r="X1335" s="723">
        <v>0.16</v>
      </c>
      <c r="Y1335" s="723">
        <v>5.89</v>
      </c>
      <c r="Z1335" s="382" t="s">
        <v>927</v>
      </c>
      <c r="AA1335" s="372">
        <v>5920.5448514999998</v>
      </c>
      <c r="AB1335" s="372">
        <v>5959.4733415000001</v>
      </c>
      <c r="AC1335" s="372">
        <v>7585.3328184000002</v>
      </c>
      <c r="AD1335" s="372">
        <v>7677.9464012999997</v>
      </c>
      <c r="AE1335" s="372">
        <v>0</v>
      </c>
      <c r="AF1335" s="372">
        <v>0</v>
      </c>
      <c r="AG1335" s="372">
        <v>0</v>
      </c>
      <c r="AH1335" s="372">
        <v>0</v>
      </c>
    </row>
    <row r="1336" spans="1:34">
      <c r="A1336" s="372" t="s">
        <v>9002</v>
      </c>
      <c r="B1336" s="373" t="s">
        <v>9003</v>
      </c>
      <c r="C1336" s="372" t="s">
        <v>9004</v>
      </c>
      <c r="D1336" s="374">
        <v>1845110001252</v>
      </c>
      <c r="E1336" s="372" t="s">
        <v>9005</v>
      </c>
      <c r="F1336" s="375" t="s">
        <v>1863</v>
      </c>
      <c r="G1336" s="375" t="s">
        <v>16113</v>
      </c>
      <c r="H1336" s="375" t="s">
        <v>792</v>
      </c>
      <c r="I1336" s="375" t="s">
        <v>754</v>
      </c>
      <c r="J1336" s="375">
        <v>1629120.23652</v>
      </c>
      <c r="K1336" s="375">
        <v>87839.528900000005</v>
      </c>
      <c r="L1336" s="375">
        <v>67850.668260000006</v>
      </c>
      <c r="M1336" s="375">
        <v>314920.84220000001</v>
      </c>
      <c r="N1336" s="372">
        <v>0.76400000000000001</v>
      </c>
      <c r="O1336" s="704">
        <v>697.89977808950323</v>
      </c>
      <c r="P1336" s="375" t="s">
        <v>622</v>
      </c>
      <c r="Q1336" s="372" t="s">
        <v>622</v>
      </c>
      <c r="R1336" s="696">
        <v>19910222</v>
      </c>
      <c r="S1336" s="372" t="s">
        <v>9006</v>
      </c>
      <c r="T1336" s="697">
        <v>0.23100000000000001</v>
      </c>
      <c r="U1336" s="372" t="s">
        <v>15903</v>
      </c>
      <c r="V1336" s="723">
        <v>5.18</v>
      </c>
      <c r="W1336" s="723">
        <v>0.51</v>
      </c>
      <c r="X1336" s="723">
        <v>0.06</v>
      </c>
      <c r="Y1336" s="723">
        <v>5.19</v>
      </c>
      <c r="Z1336" s="382" t="s">
        <v>927</v>
      </c>
      <c r="AA1336" s="372">
        <v>13133.2739962</v>
      </c>
      <c r="AB1336" s="372">
        <v>13998.210136399999</v>
      </c>
      <c r="AC1336" s="372">
        <v>15853.759177800001</v>
      </c>
      <c r="AD1336" s="372">
        <v>16340.515141100001</v>
      </c>
      <c r="AE1336" s="372">
        <v>0</v>
      </c>
      <c r="AF1336" s="372">
        <v>0</v>
      </c>
      <c r="AG1336" s="372">
        <v>0</v>
      </c>
      <c r="AH1336" s="372">
        <v>0</v>
      </c>
    </row>
    <row r="1337" spans="1:34">
      <c r="A1337" s="372" t="s">
        <v>9008</v>
      </c>
      <c r="B1337" s="373" t="s">
        <v>9009</v>
      </c>
      <c r="C1337" s="372" t="s">
        <v>9010</v>
      </c>
      <c r="D1337" s="374">
        <v>1311110409481</v>
      </c>
      <c r="E1337" s="372" t="s">
        <v>9011</v>
      </c>
      <c r="F1337" s="375" t="s">
        <v>3672</v>
      </c>
      <c r="G1337" s="375" t="s">
        <v>3672</v>
      </c>
      <c r="H1337" s="375" t="s">
        <v>1337</v>
      </c>
      <c r="I1337" s="375" t="s">
        <v>862</v>
      </c>
      <c r="J1337" s="375">
        <v>1155.2066600000001</v>
      </c>
      <c r="K1337" s="375">
        <v>-16065.995440000001</v>
      </c>
      <c r="L1337" s="375">
        <v>-8958.3510999999999</v>
      </c>
      <c r="M1337" s="375">
        <v>39418.962679999997</v>
      </c>
      <c r="N1337" s="372">
        <v>1.4970000000000001</v>
      </c>
      <c r="O1337" s="704">
        <v>10.36983852008815</v>
      </c>
      <c r="P1337" s="375" t="s">
        <v>622</v>
      </c>
      <c r="Q1337" s="375" t="s">
        <v>622</v>
      </c>
      <c r="R1337" s="696">
        <v>20221122</v>
      </c>
      <c r="S1337" s="375" t="s">
        <v>9012</v>
      </c>
      <c r="T1337" s="697" t="s">
        <v>771</v>
      </c>
      <c r="U1337" s="372" t="s">
        <v>9013</v>
      </c>
      <c r="V1337" s="723">
        <v>0</v>
      </c>
      <c r="W1337" s="723">
        <v>0</v>
      </c>
      <c r="X1337" s="723">
        <v>0</v>
      </c>
      <c r="Y1337" s="723">
        <v>0</v>
      </c>
      <c r="Z1337" s="382" t="s">
        <v>927</v>
      </c>
      <c r="AA1337" s="372">
        <v>5.3173700000000004</v>
      </c>
      <c r="AB1337" s="372">
        <v>18.617553900000001</v>
      </c>
      <c r="AC1337" s="372">
        <v>37.236829999999998</v>
      </c>
      <c r="AD1337" s="372">
        <v>6.5815168000000002</v>
      </c>
      <c r="AE1337" s="372">
        <v>0</v>
      </c>
      <c r="AF1337" s="372">
        <v>0</v>
      </c>
      <c r="AG1337" s="372">
        <v>0</v>
      </c>
      <c r="AH1337" s="372">
        <v>0</v>
      </c>
    </row>
    <row r="1338" spans="1:34">
      <c r="A1338" s="372" t="s">
        <v>9014</v>
      </c>
      <c r="B1338" s="373" t="s">
        <v>9015</v>
      </c>
      <c r="C1338" s="372" t="s">
        <v>9016</v>
      </c>
      <c r="D1338" s="374">
        <v>1101116558469</v>
      </c>
      <c r="E1338" s="372" t="s">
        <v>9017</v>
      </c>
      <c r="F1338" s="375" t="s">
        <v>3672</v>
      </c>
      <c r="G1338" s="375" t="s">
        <v>3672</v>
      </c>
      <c r="H1338" s="375" t="s">
        <v>1337</v>
      </c>
      <c r="I1338" s="375" t="s">
        <v>862</v>
      </c>
      <c r="J1338" s="375">
        <v>620.08765000000005</v>
      </c>
      <c r="K1338" s="375">
        <v>-11911.439710000001</v>
      </c>
      <c r="L1338" s="375">
        <v>-10964.432220000001</v>
      </c>
      <c r="M1338" s="375">
        <v>10072.250260000001</v>
      </c>
      <c r="N1338" s="372">
        <v>1.018</v>
      </c>
      <c r="O1338" s="704">
        <v>2.7165503601453542</v>
      </c>
      <c r="P1338" s="375" t="s">
        <v>622</v>
      </c>
      <c r="Q1338" s="372" t="s">
        <v>622</v>
      </c>
      <c r="R1338" s="696">
        <v>20180608</v>
      </c>
      <c r="S1338" s="372" t="s">
        <v>9018</v>
      </c>
      <c r="T1338" s="697" t="s">
        <v>771</v>
      </c>
      <c r="U1338" s="372" t="s">
        <v>9019</v>
      </c>
      <c r="V1338" s="723" t="s">
        <v>773</v>
      </c>
      <c r="W1338" s="723">
        <v>21.55</v>
      </c>
      <c r="X1338" s="723">
        <v>208.18</v>
      </c>
      <c r="Y1338" s="723" t="s">
        <v>773</v>
      </c>
      <c r="Z1338" s="382" t="s">
        <v>927</v>
      </c>
      <c r="AA1338" s="372">
        <v>0</v>
      </c>
      <c r="AB1338" s="372">
        <v>16.624255000000002</v>
      </c>
      <c r="AC1338" s="372">
        <v>1.3002444</v>
      </c>
      <c r="AD1338" s="372">
        <v>2.6731197999999998</v>
      </c>
      <c r="AE1338" s="372">
        <v>17</v>
      </c>
      <c r="AF1338" s="372">
        <v>0</v>
      </c>
      <c r="AG1338" s="372">
        <v>0</v>
      </c>
      <c r="AH1338" s="372">
        <v>0</v>
      </c>
    </row>
    <row r="1339" spans="1:34">
      <c r="A1339" s="372" t="s">
        <v>9020</v>
      </c>
      <c r="B1339" s="373" t="s">
        <v>9021</v>
      </c>
      <c r="C1339" s="372" t="s">
        <v>9022</v>
      </c>
      <c r="D1339" s="374">
        <v>1348110110148</v>
      </c>
      <c r="E1339" s="372" t="s">
        <v>9023</v>
      </c>
      <c r="F1339" s="375" t="s">
        <v>1962</v>
      </c>
      <c r="G1339" s="375" t="s">
        <v>1962</v>
      </c>
      <c r="H1339" s="375" t="s">
        <v>861</v>
      </c>
      <c r="I1339" s="375" t="s">
        <v>862</v>
      </c>
      <c r="J1339" s="375">
        <v>83192.516019999995</v>
      </c>
      <c r="K1339" s="375">
        <v>4486.0655500000003</v>
      </c>
      <c r="L1339" s="375">
        <v>5722.0055599999996</v>
      </c>
      <c r="M1339" s="375">
        <v>64364.156219999997</v>
      </c>
      <c r="N1339" s="372" t="s">
        <v>1026</v>
      </c>
      <c r="O1339" s="704">
        <v>17.301070442867381</v>
      </c>
      <c r="P1339" s="375" t="s">
        <v>622</v>
      </c>
      <c r="Q1339" s="372" t="s">
        <v>622</v>
      </c>
      <c r="R1339" s="696">
        <v>20230523</v>
      </c>
      <c r="S1339" s="375" t="s">
        <v>9024</v>
      </c>
      <c r="T1339" s="697">
        <v>0.20900000000000002</v>
      </c>
      <c r="U1339" s="375" t="s">
        <v>9025</v>
      </c>
      <c r="V1339" s="723">
        <v>12.74</v>
      </c>
      <c r="W1339" s="723">
        <v>1.06</v>
      </c>
      <c r="X1339" s="723">
        <v>0.85</v>
      </c>
      <c r="Y1339" s="723">
        <v>11.16</v>
      </c>
      <c r="Z1339" s="382" t="s">
        <v>927</v>
      </c>
      <c r="AA1339" s="372">
        <v>382.8773539</v>
      </c>
      <c r="AB1339" s="372">
        <v>564.19913369999995</v>
      </c>
      <c r="AC1339" s="372">
        <v>1018.5548811</v>
      </c>
      <c r="AD1339" s="372">
        <v>961.46067570000002</v>
      </c>
      <c r="AE1339" s="372">
        <v>1048</v>
      </c>
      <c r="AF1339" s="372">
        <v>0</v>
      </c>
      <c r="AG1339" s="372">
        <v>0</v>
      </c>
      <c r="AH1339" s="372">
        <v>0</v>
      </c>
    </row>
    <row r="1340" spans="1:34">
      <c r="A1340" s="372" t="s">
        <v>9026</v>
      </c>
      <c r="B1340" s="373" t="s">
        <v>9027</v>
      </c>
      <c r="C1340" s="372" t="s">
        <v>9028</v>
      </c>
      <c r="D1340" s="374">
        <v>1101117067972</v>
      </c>
      <c r="E1340" s="372" t="s">
        <v>9029</v>
      </c>
      <c r="F1340" s="375" t="s">
        <v>1962</v>
      </c>
      <c r="G1340" s="375" t="s">
        <v>1962</v>
      </c>
      <c r="H1340" s="375" t="s">
        <v>861</v>
      </c>
      <c r="I1340" s="375" t="s">
        <v>862</v>
      </c>
      <c r="J1340" s="375">
        <v>53249.495170000002</v>
      </c>
      <c r="K1340" s="375">
        <v>3551.7020900000002</v>
      </c>
      <c r="L1340" s="375">
        <v>2805.6703200000002</v>
      </c>
      <c r="M1340" s="375">
        <v>37310.175450000002</v>
      </c>
      <c r="N1340" s="372">
        <v>1.369</v>
      </c>
      <c r="O1340" s="704">
        <v>1.0056250163326919</v>
      </c>
      <c r="P1340" s="375" t="s">
        <v>622</v>
      </c>
      <c r="Q1340" s="372" t="s">
        <v>622</v>
      </c>
      <c r="R1340" s="696">
        <v>20190624</v>
      </c>
      <c r="S1340" s="372" t="s">
        <v>16279</v>
      </c>
      <c r="T1340" s="697">
        <v>0.20900000000000002</v>
      </c>
      <c r="U1340" s="375" t="s">
        <v>9031</v>
      </c>
      <c r="V1340" s="723">
        <v>141.44</v>
      </c>
      <c r="W1340" s="723">
        <v>18.75</v>
      </c>
      <c r="X1340" s="723">
        <v>13.06</v>
      </c>
      <c r="Y1340" s="723">
        <v>372.88</v>
      </c>
      <c r="Z1340" s="382" t="s">
        <v>927</v>
      </c>
      <c r="AA1340" s="372">
        <v>314.3450259</v>
      </c>
      <c r="AB1340" s="372">
        <v>439.40060310000001</v>
      </c>
      <c r="AC1340" s="372">
        <v>612.47953340000004</v>
      </c>
      <c r="AD1340" s="372">
        <v>333.38955320000002</v>
      </c>
      <c r="AE1340" s="372">
        <v>0</v>
      </c>
      <c r="AF1340" s="372">
        <v>0</v>
      </c>
      <c r="AG1340" s="372">
        <v>0</v>
      </c>
      <c r="AH1340" s="372">
        <v>0</v>
      </c>
    </row>
    <row r="1341" spans="1:34">
      <c r="A1341" s="372" t="s">
        <v>9032</v>
      </c>
      <c r="B1341" s="373" t="s">
        <v>9033</v>
      </c>
      <c r="C1341" s="372" t="s">
        <v>9034</v>
      </c>
      <c r="D1341" s="374">
        <v>1801110000339</v>
      </c>
      <c r="E1341" s="372" t="s">
        <v>9035</v>
      </c>
      <c r="F1341" s="375" t="s">
        <v>5880</v>
      </c>
      <c r="G1341" s="375" t="s">
        <v>5880</v>
      </c>
      <c r="H1341" s="375" t="s">
        <v>826</v>
      </c>
      <c r="I1341" s="375" t="s">
        <v>754</v>
      </c>
      <c r="J1341" s="375">
        <v>769216.94007999997</v>
      </c>
      <c r="K1341" s="375">
        <v>24921.759259999999</v>
      </c>
      <c r="L1341" s="375">
        <v>15067.516729999999</v>
      </c>
      <c r="M1341" s="375">
        <v>507846.69562000001</v>
      </c>
      <c r="N1341" s="372">
        <v>0.82199999999999995</v>
      </c>
      <c r="O1341" s="704">
        <v>315.41524222933754</v>
      </c>
      <c r="P1341" s="375" t="s">
        <v>622</v>
      </c>
      <c r="Q1341" s="372" t="s">
        <v>622</v>
      </c>
      <c r="R1341" s="696">
        <v>19760521</v>
      </c>
      <c r="S1341" s="372" t="s">
        <v>9036</v>
      </c>
      <c r="T1341" s="697">
        <v>0.20900000000000002</v>
      </c>
      <c r="U1341" s="372" t="s">
        <v>9037</v>
      </c>
      <c r="V1341" s="723">
        <v>6.56</v>
      </c>
      <c r="W1341" s="723">
        <v>0.24</v>
      </c>
      <c r="X1341" s="723">
        <v>0.12</v>
      </c>
      <c r="Y1341" s="723" t="s">
        <v>773</v>
      </c>
      <c r="Z1341" s="382" t="s">
        <v>927</v>
      </c>
      <c r="AA1341" s="372">
        <v>4966.3832909000002</v>
      </c>
      <c r="AB1341" s="372">
        <v>5513.3719997999997</v>
      </c>
      <c r="AC1341" s="372">
        <v>6618.1401647000002</v>
      </c>
      <c r="AD1341" s="372">
        <v>7377.7776782999999</v>
      </c>
      <c r="AE1341" s="372">
        <v>0</v>
      </c>
      <c r="AF1341" s="372">
        <v>0</v>
      </c>
      <c r="AG1341" s="372">
        <v>0</v>
      </c>
      <c r="AH1341" s="372">
        <v>0</v>
      </c>
    </row>
    <row r="1342" spans="1:34">
      <c r="A1342" s="372" t="s">
        <v>9038</v>
      </c>
      <c r="B1342" s="373" t="s">
        <v>9039</v>
      </c>
      <c r="C1342" s="372" t="s">
        <v>9040</v>
      </c>
      <c r="D1342" s="374">
        <v>1101113926875</v>
      </c>
      <c r="E1342" s="372" t="s">
        <v>9041</v>
      </c>
      <c r="F1342" s="375" t="s">
        <v>1116</v>
      </c>
      <c r="G1342" s="375" t="s">
        <v>1336</v>
      </c>
      <c r="H1342" s="375" t="s">
        <v>1337</v>
      </c>
      <c r="I1342" s="375" t="s">
        <v>862</v>
      </c>
      <c r="J1342" s="375">
        <v>8752.2270800000006</v>
      </c>
      <c r="K1342" s="375">
        <v>-24132.463520000001</v>
      </c>
      <c r="L1342" s="375">
        <v>-22854.22208</v>
      </c>
      <c r="M1342" s="375">
        <v>53418.918550000002</v>
      </c>
      <c r="N1342" s="372">
        <v>1.3080000000000001</v>
      </c>
      <c r="O1342" s="704">
        <v>0.6297087832367142</v>
      </c>
      <c r="P1342" s="375" t="s">
        <v>622</v>
      </c>
      <c r="Q1342" s="375" t="s">
        <v>622</v>
      </c>
      <c r="R1342" s="696">
        <v>20160229</v>
      </c>
      <c r="S1342" s="375" t="s">
        <v>9042</v>
      </c>
      <c r="T1342" s="697" t="s">
        <v>771</v>
      </c>
      <c r="U1342" s="372" t="s">
        <v>9043</v>
      </c>
      <c r="V1342" s="723" t="s">
        <v>773</v>
      </c>
      <c r="W1342" s="723">
        <v>3.01</v>
      </c>
      <c r="X1342" s="723">
        <v>14.74</v>
      </c>
      <c r="Y1342" s="723" t="s">
        <v>773</v>
      </c>
      <c r="Z1342" s="382" t="s">
        <v>927</v>
      </c>
      <c r="AA1342" s="372">
        <v>0</v>
      </c>
      <c r="AB1342" s="372">
        <v>48.859143000000003</v>
      </c>
      <c r="AC1342" s="372">
        <v>84.685528199999993</v>
      </c>
      <c r="AD1342" s="372">
        <v>90.318070700000007</v>
      </c>
      <c r="AE1342" s="372">
        <v>100</v>
      </c>
      <c r="AF1342" s="372">
        <v>110</v>
      </c>
      <c r="AG1342" s="372">
        <v>0</v>
      </c>
      <c r="AH1342" s="372">
        <v>0</v>
      </c>
    </row>
    <row r="1343" spans="1:34">
      <c r="A1343" s="372" t="s">
        <v>9044</v>
      </c>
      <c r="B1343" s="373" t="s">
        <v>9045</v>
      </c>
      <c r="C1343" s="372" t="s">
        <v>9046</v>
      </c>
      <c r="D1343" s="374">
        <v>1101113176925</v>
      </c>
      <c r="E1343" s="372" t="s">
        <v>9047</v>
      </c>
      <c r="F1343" s="375" t="s">
        <v>2426</v>
      </c>
      <c r="G1343" s="375" t="s">
        <v>6074</v>
      </c>
      <c r="H1343" s="375" t="s">
        <v>861</v>
      </c>
      <c r="I1343" s="375" t="s">
        <v>862</v>
      </c>
      <c r="J1343" s="375">
        <v>68049.059080000006</v>
      </c>
      <c r="K1343" s="375">
        <v>2236.8550300000002</v>
      </c>
      <c r="L1343" s="375">
        <v>2930.5740300000002</v>
      </c>
      <c r="M1343" s="375">
        <v>65067.039299999997</v>
      </c>
      <c r="N1343" s="372">
        <v>0.92500000000000004</v>
      </c>
      <c r="O1343" s="704">
        <v>23.706892062799945</v>
      </c>
      <c r="P1343" s="375" t="s">
        <v>622</v>
      </c>
      <c r="Q1343" s="372" t="s">
        <v>622</v>
      </c>
      <c r="R1343" s="696">
        <v>20221007</v>
      </c>
      <c r="S1343" s="372" t="s">
        <v>9048</v>
      </c>
      <c r="T1343" s="697">
        <v>0.20900000000000002</v>
      </c>
      <c r="U1343" s="375" t="s">
        <v>9049</v>
      </c>
      <c r="V1343" s="723">
        <v>10.16</v>
      </c>
      <c r="W1343" s="723">
        <v>1.02</v>
      </c>
      <c r="X1343" s="723">
        <v>0.97</v>
      </c>
      <c r="Y1343" s="723">
        <v>25.01</v>
      </c>
      <c r="Z1343" s="382" t="s">
        <v>927</v>
      </c>
      <c r="AA1343" s="372">
        <v>556.09315800000002</v>
      </c>
      <c r="AB1343" s="372">
        <v>611.06297549999999</v>
      </c>
      <c r="AC1343" s="372">
        <v>699.7581265</v>
      </c>
      <c r="AD1343" s="372">
        <v>649.14985939999997</v>
      </c>
      <c r="AE1343" s="372">
        <v>0</v>
      </c>
      <c r="AF1343" s="372">
        <v>0</v>
      </c>
      <c r="AG1343" s="372">
        <v>0</v>
      </c>
      <c r="AH1343" s="372">
        <v>0</v>
      </c>
    </row>
    <row r="1344" spans="1:34">
      <c r="A1344" s="372" t="s">
        <v>9050</v>
      </c>
      <c r="B1344" s="373" t="s">
        <v>9051</v>
      </c>
      <c r="C1344" s="372" t="s">
        <v>9052</v>
      </c>
      <c r="D1344" s="374">
        <v>1911110000758</v>
      </c>
      <c r="E1344" s="372" t="s">
        <v>9053</v>
      </c>
      <c r="F1344" s="375" t="s">
        <v>1962</v>
      </c>
      <c r="G1344" s="375" t="s">
        <v>1962</v>
      </c>
      <c r="H1344" s="375" t="s">
        <v>861</v>
      </c>
      <c r="I1344" s="375" t="s">
        <v>862</v>
      </c>
      <c r="J1344" s="375">
        <v>260977.87927999999</v>
      </c>
      <c r="K1344" s="375">
        <v>5403.6067499999999</v>
      </c>
      <c r="L1344" s="375">
        <v>366.95643999999999</v>
      </c>
      <c r="M1344" s="375">
        <v>84003.665689999994</v>
      </c>
      <c r="N1344" s="372">
        <v>1.2170000000000001</v>
      </c>
      <c r="O1344" s="704">
        <v>127.30679105350158</v>
      </c>
      <c r="P1344" s="375" t="s">
        <v>622</v>
      </c>
      <c r="Q1344" s="372" t="s">
        <v>622</v>
      </c>
      <c r="R1344" s="696">
        <v>19910510</v>
      </c>
      <c r="S1344" s="372" t="s">
        <v>9054</v>
      </c>
      <c r="T1344" s="697">
        <v>0.20900000000000002</v>
      </c>
      <c r="U1344" s="372" t="s">
        <v>9055</v>
      </c>
      <c r="V1344" s="723">
        <v>0</v>
      </c>
      <c r="W1344" s="723">
        <v>0</v>
      </c>
      <c r="X1344" s="723">
        <v>0</v>
      </c>
      <c r="Y1344" s="723">
        <v>0</v>
      </c>
      <c r="Z1344" s="382" t="s">
        <v>927</v>
      </c>
      <c r="AA1344" s="372">
        <v>1564.0090359999999</v>
      </c>
      <c r="AB1344" s="372">
        <v>2029.1164206999999</v>
      </c>
      <c r="AC1344" s="372">
        <v>2420.9757178</v>
      </c>
      <c r="AD1344" s="372">
        <v>2812.3751105000001</v>
      </c>
      <c r="AE1344" s="372">
        <v>0</v>
      </c>
      <c r="AF1344" s="372">
        <v>0</v>
      </c>
      <c r="AG1344" s="372">
        <v>0</v>
      </c>
      <c r="AH1344" s="372">
        <v>0</v>
      </c>
    </row>
    <row r="1345" spans="1:34">
      <c r="A1345" s="372" t="s">
        <v>9056</v>
      </c>
      <c r="B1345" s="373" t="s">
        <v>9057</v>
      </c>
      <c r="C1345" s="372" t="s">
        <v>9058</v>
      </c>
      <c r="D1345" s="374">
        <v>1101111806409</v>
      </c>
      <c r="E1345" s="372" t="s">
        <v>9059</v>
      </c>
      <c r="F1345" s="375" t="s">
        <v>2103</v>
      </c>
      <c r="G1345" s="375" t="s">
        <v>2103</v>
      </c>
      <c r="H1345" s="375" t="s">
        <v>895</v>
      </c>
      <c r="I1345" s="375" t="s">
        <v>862</v>
      </c>
      <c r="J1345" s="375">
        <v>13263.79774</v>
      </c>
      <c r="K1345" s="375">
        <v>4684.6049300000004</v>
      </c>
      <c r="L1345" s="375">
        <v>5420.5471399999997</v>
      </c>
      <c r="M1345" s="375">
        <v>85824.728959999993</v>
      </c>
      <c r="N1345" s="372" t="s">
        <v>1026</v>
      </c>
      <c r="O1345" s="704">
        <v>0</v>
      </c>
      <c r="P1345" s="375" t="s">
        <v>622</v>
      </c>
      <c r="Q1345" s="375" t="s">
        <v>622</v>
      </c>
      <c r="R1345" s="696">
        <v>20240125</v>
      </c>
      <c r="S1345" s="375" t="s">
        <v>9060</v>
      </c>
      <c r="T1345" s="697">
        <v>0.20900000000000002</v>
      </c>
      <c r="U1345" s="372" t="s">
        <v>9061</v>
      </c>
      <c r="V1345" s="723">
        <v>0</v>
      </c>
      <c r="W1345" s="723">
        <v>0</v>
      </c>
      <c r="X1345" s="723">
        <v>0</v>
      </c>
      <c r="Y1345" s="723">
        <v>0</v>
      </c>
      <c r="Z1345" s="382" t="s">
        <v>927</v>
      </c>
      <c r="AA1345" s="372">
        <v>107.5116783</v>
      </c>
      <c r="AB1345" s="372">
        <v>114.2766386</v>
      </c>
      <c r="AC1345" s="372">
        <v>159.28853530000001</v>
      </c>
      <c r="AD1345" s="372">
        <v>205.16634619999999</v>
      </c>
      <c r="AE1345" s="372">
        <v>0</v>
      </c>
      <c r="AF1345" s="372">
        <v>0</v>
      </c>
      <c r="AG1345" s="372">
        <v>0</v>
      </c>
      <c r="AH1345" s="372">
        <v>0</v>
      </c>
    </row>
    <row r="1346" spans="1:34">
      <c r="A1346" s="372" t="s">
        <v>9062</v>
      </c>
      <c r="B1346" s="373" t="s">
        <v>9063</v>
      </c>
      <c r="C1346" s="372" t="s">
        <v>9064</v>
      </c>
      <c r="D1346" s="374">
        <v>1101110597166</v>
      </c>
      <c r="E1346" s="372" t="s">
        <v>9065</v>
      </c>
      <c r="F1346" s="375" t="s">
        <v>1096</v>
      </c>
      <c r="G1346" s="375" t="s">
        <v>1097</v>
      </c>
      <c r="H1346" s="375" t="s">
        <v>861</v>
      </c>
      <c r="I1346" s="375" t="s">
        <v>862</v>
      </c>
      <c r="J1346" s="375">
        <v>82313.985769999999</v>
      </c>
      <c r="K1346" s="375">
        <v>865.86194</v>
      </c>
      <c r="L1346" s="375">
        <v>882.87089000000003</v>
      </c>
      <c r="M1346" s="375">
        <v>86912.477629999994</v>
      </c>
      <c r="N1346" s="372">
        <v>0.39500000000000002</v>
      </c>
      <c r="O1346" s="704">
        <v>11.046400862899187</v>
      </c>
      <c r="P1346" s="375" t="s">
        <v>622</v>
      </c>
      <c r="Q1346" s="375" t="s">
        <v>622</v>
      </c>
      <c r="R1346" s="696">
        <v>19991208</v>
      </c>
      <c r="S1346" s="375" t="s">
        <v>2069</v>
      </c>
      <c r="T1346" s="697">
        <v>0.20900000000000002</v>
      </c>
      <c r="U1346" s="375" t="s">
        <v>9066</v>
      </c>
      <c r="V1346" s="723">
        <v>25.16</v>
      </c>
      <c r="W1346" s="723">
        <v>1.04</v>
      </c>
      <c r="X1346" s="723">
        <v>1.33</v>
      </c>
      <c r="Y1346" s="723">
        <v>172.39</v>
      </c>
      <c r="Z1346" s="382" t="s">
        <v>927</v>
      </c>
      <c r="AA1346" s="372">
        <v>866.5843701</v>
      </c>
      <c r="AB1346" s="372">
        <v>870.5001499</v>
      </c>
      <c r="AC1346" s="372">
        <v>803.93939399999999</v>
      </c>
      <c r="AD1346" s="372">
        <v>860.4946142</v>
      </c>
      <c r="AE1346" s="372">
        <v>0</v>
      </c>
      <c r="AF1346" s="372">
        <v>0</v>
      </c>
      <c r="AG1346" s="372">
        <v>0</v>
      </c>
      <c r="AH1346" s="372">
        <v>0</v>
      </c>
    </row>
    <row r="1347" spans="1:34">
      <c r="A1347" s="372" t="s">
        <v>9067</v>
      </c>
      <c r="B1347" s="373" t="s">
        <v>9068</v>
      </c>
      <c r="C1347" s="372" t="s">
        <v>9069</v>
      </c>
      <c r="D1347" s="374">
        <v>1101113624007</v>
      </c>
      <c r="E1347" s="372" t="s">
        <v>9070</v>
      </c>
      <c r="F1347" s="375" t="s">
        <v>9071</v>
      </c>
      <c r="G1347" s="375" t="s">
        <v>9071</v>
      </c>
      <c r="H1347" s="375" t="s">
        <v>1337</v>
      </c>
      <c r="I1347" s="375" t="s">
        <v>862</v>
      </c>
      <c r="J1347" s="375">
        <v>84264.198499999999</v>
      </c>
      <c r="K1347" s="375">
        <v>3256.8141900000001</v>
      </c>
      <c r="L1347" s="375">
        <v>5616.7545099999998</v>
      </c>
      <c r="M1347" s="375">
        <v>80537.807549999998</v>
      </c>
      <c r="N1347" s="372">
        <v>0.76</v>
      </c>
      <c r="O1347" s="704">
        <v>1.6685903640626147</v>
      </c>
      <c r="P1347" s="375" t="s">
        <v>622</v>
      </c>
      <c r="Q1347" s="375" t="s">
        <v>622</v>
      </c>
      <c r="R1347" s="696">
        <v>20070430</v>
      </c>
      <c r="S1347" s="375" t="s">
        <v>9072</v>
      </c>
      <c r="T1347" s="697">
        <v>0.20900000000000002</v>
      </c>
      <c r="U1347" s="372" t="s">
        <v>9073</v>
      </c>
      <c r="V1347" s="723">
        <v>0</v>
      </c>
      <c r="W1347" s="723">
        <v>0</v>
      </c>
      <c r="X1347" s="723">
        <v>0</v>
      </c>
      <c r="Y1347" s="723">
        <v>0</v>
      </c>
      <c r="Z1347" s="382" t="s">
        <v>927</v>
      </c>
      <c r="AA1347" s="372">
        <v>126.4342152</v>
      </c>
      <c r="AB1347" s="372">
        <v>48.590737799999999</v>
      </c>
      <c r="AC1347" s="372">
        <v>136.36811560000001</v>
      </c>
      <c r="AD1347" s="372">
        <v>686.64951959999996</v>
      </c>
      <c r="AE1347" s="372">
        <v>0</v>
      </c>
      <c r="AF1347" s="372">
        <v>0</v>
      </c>
      <c r="AG1347" s="372">
        <v>0</v>
      </c>
      <c r="AH1347" s="372">
        <v>0</v>
      </c>
    </row>
    <row r="1348" spans="1:34">
      <c r="A1348" s="372" t="s">
        <v>9074</v>
      </c>
      <c r="B1348" s="373" t="s">
        <v>9075</v>
      </c>
      <c r="C1348" s="372" t="s">
        <v>9076</v>
      </c>
      <c r="D1348" s="374">
        <v>1101116852431</v>
      </c>
      <c r="E1348" s="372" t="s">
        <v>9077</v>
      </c>
      <c r="F1348" s="375" t="s">
        <v>1962</v>
      </c>
      <c r="G1348" s="375" t="s">
        <v>1962</v>
      </c>
      <c r="H1348" s="375" t="s">
        <v>861</v>
      </c>
      <c r="I1348" s="375" t="s">
        <v>862</v>
      </c>
      <c r="J1348" s="375">
        <v>120299.99961</v>
      </c>
      <c r="K1348" s="375">
        <v>6172.3969699999998</v>
      </c>
      <c r="L1348" s="375">
        <v>2365.6075999999998</v>
      </c>
      <c r="M1348" s="375">
        <v>61288.515890000002</v>
      </c>
      <c r="N1348" s="372">
        <v>0.85199999999999998</v>
      </c>
      <c r="O1348" s="704">
        <v>58.612876096278029</v>
      </c>
      <c r="P1348" s="375" t="s">
        <v>622</v>
      </c>
      <c r="Q1348" s="372" t="s">
        <v>622</v>
      </c>
      <c r="R1348" s="696">
        <v>20181031</v>
      </c>
      <c r="S1348" s="372" t="s">
        <v>9018</v>
      </c>
      <c r="T1348" s="697">
        <v>0.20900000000000002</v>
      </c>
      <c r="U1348" s="375" t="s">
        <v>9078</v>
      </c>
      <c r="V1348" s="723">
        <v>16.440000000000001</v>
      </c>
      <c r="W1348" s="723">
        <v>1.86</v>
      </c>
      <c r="X1348" s="723">
        <v>0.76</v>
      </c>
      <c r="Y1348" s="723" t="s">
        <v>773</v>
      </c>
      <c r="Z1348" s="382" t="s">
        <v>927</v>
      </c>
      <c r="AA1348" s="372">
        <v>391.23668270000002</v>
      </c>
      <c r="AB1348" s="372">
        <v>498.80481250000003</v>
      </c>
      <c r="AC1348" s="372">
        <v>528.90474670000003</v>
      </c>
      <c r="AD1348" s="372">
        <v>867.5456312</v>
      </c>
      <c r="AE1348" s="372">
        <v>0</v>
      </c>
      <c r="AF1348" s="372">
        <v>0</v>
      </c>
      <c r="AG1348" s="372">
        <v>0</v>
      </c>
      <c r="AH1348" s="372">
        <v>0</v>
      </c>
    </row>
    <row r="1349" spans="1:34">
      <c r="A1349" s="372" t="s">
        <v>9079</v>
      </c>
      <c r="B1349" s="373" t="s">
        <v>9080</v>
      </c>
      <c r="C1349" s="372" t="s">
        <v>9081</v>
      </c>
      <c r="D1349" s="374">
        <v>1812110001102</v>
      </c>
      <c r="E1349" s="372" t="s">
        <v>9082</v>
      </c>
      <c r="F1349" s="375" t="s">
        <v>1863</v>
      </c>
      <c r="G1349" s="375" t="s">
        <v>1864</v>
      </c>
      <c r="H1349" s="375" t="s">
        <v>861</v>
      </c>
      <c r="I1349" s="375" t="s">
        <v>862</v>
      </c>
      <c r="J1349" s="375">
        <v>324724.85862999997</v>
      </c>
      <c r="K1349" s="375">
        <v>14665.853139999999</v>
      </c>
      <c r="L1349" s="375">
        <v>14601.094349999999</v>
      </c>
      <c r="M1349" s="375">
        <v>149532.45246999999</v>
      </c>
      <c r="N1349" s="372">
        <v>0.93400000000000005</v>
      </c>
      <c r="O1349" s="704">
        <v>6.6912384102763358</v>
      </c>
      <c r="P1349" s="375" t="s">
        <v>622</v>
      </c>
      <c r="Q1349" s="375" t="s">
        <v>622</v>
      </c>
      <c r="R1349" s="696">
        <v>20131204</v>
      </c>
      <c r="S1349" s="375" t="s">
        <v>9083</v>
      </c>
      <c r="T1349" s="697">
        <v>0.20900000000000002</v>
      </c>
      <c r="U1349" s="372" t="s">
        <v>9084</v>
      </c>
      <c r="V1349" s="723">
        <v>4.9800000000000004</v>
      </c>
      <c r="W1349" s="723">
        <v>0.59</v>
      </c>
      <c r="X1349" s="723">
        <v>0.28000000000000003</v>
      </c>
      <c r="Y1349" s="723">
        <v>8.27</v>
      </c>
      <c r="Z1349" s="382" t="s">
        <v>927</v>
      </c>
      <c r="AA1349" s="372">
        <v>2098.4074010999998</v>
      </c>
      <c r="AB1349" s="372">
        <v>2493.2215145999999</v>
      </c>
      <c r="AC1349" s="372">
        <v>2784.9550352000001</v>
      </c>
      <c r="AD1349" s="372">
        <v>3075.3984519999999</v>
      </c>
      <c r="AE1349" s="372">
        <v>3394</v>
      </c>
      <c r="AF1349" s="372">
        <v>0</v>
      </c>
      <c r="AG1349" s="372">
        <v>0</v>
      </c>
      <c r="AH1349" s="372">
        <v>0</v>
      </c>
    </row>
    <row r="1350" spans="1:34">
      <c r="A1350" s="372" t="s">
        <v>9085</v>
      </c>
      <c r="B1350" s="373" t="s">
        <v>9086</v>
      </c>
      <c r="C1350" s="372" t="s">
        <v>9087</v>
      </c>
      <c r="D1350" s="374">
        <v>1101111424243</v>
      </c>
      <c r="E1350" s="372" t="s">
        <v>9088</v>
      </c>
      <c r="F1350" s="372" t="s">
        <v>1323</v>
      </c>
      <c r="G1350" s="375" t="s">
        <v>16106</v>
      </c>
      <c r="H1350" s="375" t="s">
        <v>861</v>
      </c>
      <c r="I1350" s="375" t="s">
        <v>862</v>
      </c>
      <c r="J1350" s="375">
        <v>8059.2457899999999</v>
      </c>
      <c r="K1350" s="375">
        <v>-1817.5915199999999</v>
      </c>
      <c r="L1350" s="375">
        <v>-2115.0876800000001</v>
      </c>
      <c r="M1350" s="375">
        <v>25519.673579999999</v>
      </c>
      <c r="N1350" s="372">
        <v>0.65900000000000003</v>
      </c>
      <c r="O1350" s="704">
        <v>36.725695805051934</v>
      </c>
      <c r="P1350" s="375" t="s">
        <v>622</v>
      </c>
      <c r="Q1350" s="372" t="s">
        <v>622</v>
      </c>
      <c r="R1350" s="696">
        <v>20160122</v>
      </c>
      <c r="S1350" s="372" t="s">
        <v>9089</v>
      </c>
      <c r="T1350" s="697" t="s">
        <v>771</v>
      </c>
      <c r="U1350" s="375" t="s">
        <v>9090</v>
      </c>
      <c r="V1350" s="723">
        <v>0</v>
      </c>
      <c r="W1350" s="723">
        <v>0</v>
      </c>
      <c r="X1350" s="723">
        <v>0</v>
      </c>
      <c r="Y1350" s="723">
        <v>0</v>
      </c>
      <c r="Z1350" s="382" t="s">
        <v>927</v>
      </c>
      <c r="AA1350" s="372">
        <v>54.585285900000002</v>
      </c>
      <c r="AB1350" s="372">
        <v>99.649939399999994</v>
      </c>
      <c r="AC1350" s="372">
        <v>74.203941400000005</v>
      </c>
      <c r="AD1350" s="372">
        <v>122.9188359</v>
      </c>
      <c r="AE1350" s="372">
        <v>0</v>
      </c>
      <c r="AF1350" s="372">
        <v>0</v>
      </c>
      <c r="AG1350" s="372">
        <v>0</v>
      </c>
      <c r="AH1350" s="372">
        <v>0</v>
      </c>
    </row>
    <row r="1351" spans="1:34">
      <c r="A1351" s="372" t="s">
        <v>9091</v>
      </c>
      <c r="B1351" s="373" t="s">
        <v>9092</v>
      </c>
      <c r="C1351" s="372" t="s">
        <v>9093</v>
      </c>
      <c r="D1351" s="374">
        <v>2013110001155</v>
      </c>
      <c r="E1351" s="372" t="s">
        <v>9094</v>
      </c>
      <c r="F1351" s="372" t="s">
        <v>9095</v>
      </c>
      <c r="G1351" s="375" t="s">
        <v>9096</v>
      </c>
      <c r="H1351" s="375" t="s">
        <v>861</v>
      </c>
      <c r="I1351" s="375" t="s">
        <v>862</v>
      </c>
      <c r="J1351" s="375">
        <v>69348.104430000007</v>
      </c>
      <c r="K1351" s="375">
        <v>939.09097999999994</v>
      </c>
      <c r="L1351" s="375">
        <v>2126.3168099999998</v>
      </c>
      <c r="M1351" s="375">
        <v>236347.80301</v>
      </c>
      <c r="N1351" s="372">
        <v>0.86499999999999999</v>
      </c>
      <c r="O1351" s="704">
        <v>0</v>
      </c>
      <c r="P1351" s="375" t="s">
        <v>622</v>
      </c>
      <c r="Q1351" s="372" t="s">
        <v>622</v>
      </c>
      <c r="R1351" s="696">
        <v>20000822</v>
      </c>
      <c r="S1351" s="372" t="s">
        <v>9097</v>
      </c>
      <c r="T1351" s="697">
        <v>0.20900000000000002</v>
      </c>
      <c r="U1351" s="372" t="s">
        <v>9098</v>
      </c>
      <c r="V1351" s="723">
        <v>25.5</v>
      </c>
      <c r="W1351" s="723">
        <v>0.37</v>
      </c>
      <c r="X1351" s="723">
        <v>1.29</v>
      </c>
      <c r="Y1351" s="723">
        <v>32.42</v>
      </c>
      <c r="Z1351" s="382" t="s">
        <v>927</v>
      </c>
      <c r="AA1351" s="372">
        <v>529.47425410000005</v>
      </c>
      <c r="AB1351" s="372">
        <v>652.21439840000005</v>
      </c>
      <c r="AC1351" s="372">
        <v>746.19184829999995</v>
      </c>
      <c r="AD1351" s="372">
        <v>704.83966910000004</v>
      </c>
      <c r="AE1351" s="372">
        <v>922</v>
      </c>
      <c r="AF1351" s="372">
        <v>0</v>
      </c>
      <c r="AG1351" s="372">
        <v>0</v>
      </c>
      <c r="AH1351" s="372">
        <v>0</v>
      </c>
    </row>
    <row r="1352" spans="1:34">
      <c r="A1352" s="372" t="s">
        <v>9099</v>
      </c>
      <c r="B1352" s="373" t="s">
        <v>9100</v>
      </c>
      <c r="C1352" s="372" t="s">
        <v>9101</v>
      </c>
      <c r="D1352" s="374">
        <v>1101110779152</v>
      </c>
      <c r="E1352" s="372" t="s">
        <v>9102</v>
      </c>
      <c r="F1352" s="375" t="s">
        <v>6610</v>
      </c>
      <c r="G1352" s="375" t="s">
        <v>6610</v>
      </c>
      <c r="H1352" s="375" t="s">
        <v>861</v>
      </c>
      <c r="I1352" s="375" t="s">
        <v>862</v>
      </c>
      <c r="J1352" s="375">
        <v>6649.6997199999996</v>
      </c>
      <c r="K1352" s="375">
        <v>-2650.04603</v>
      </c>
      <c r="L1352" s="375">
        <v>160767.45334000001</v>
      </c>
      <c r="M1352" s="375">
        <v>259237.07289000001</v>
      </c>
      <c r="N1352" s="372">
        <v>0.90400000000000003</v>
      </c>
      <c r="O1352" s="704">
        <v>9.5553474950758197</v>
      </c>
      <c r="P1352" s="375" t="s">
        <v>622</v>
      </c>
      <c r="Q1352" s="375" t="s">
        <v>622</v>
      </c>
      <c r="R1352" s="696">
        <v>19960820</v>
      </c>
      <c r="S1352" s="375" t="s">
        <v>9103</v>
      </c>
      <c r="T1352" s="697">
        <v>0.23100000000000001</v>
      </c>
      <c r="U1352" s="372" t="s">
        <v>9104</v>
      </c>
      <c r="V1352" s="723" t="s">
        <v>773</v>
      </c>
      <c r="W1352" s="723">
        <v>0.78</v>
      </c>
      <c r="X1352" s="723">
        <v>26.89</v>
      </c>
      <c r="Y1352" s="723">
        <v>1.3</v>
      </c>
      <c r="Z1352" s="382" t="s">
        <v>927</v>
      </c>
      <c r="AA1352" s="372">
        <v>251.7582295</v>
      </c>
      <c r="AB1352" s="372">
        <v>189.19929730000001</v>
      </c>
      <c r="AC1352" s="372">
        <v>782.21398790000001</v>
      </c>
      <c r="AD1352" s="372">
        <v>242.4006</v>
      </c>
      <c r="AE1352" s="372">
        <v>0</v>
      </c>
      <c r="AF1352" s="372">
        <v>0</v>
      </c>
      <c r="AG1352" s="372">
        <v>0</v>
      </c>
      <c r="AH1352" s="372">
        <v>0</v>
      </c>
    </row>
    <row r="1353" spans="1:34">
      <c r="A1353" s="372" t="s">
        <v>9105</v>
      </c>
      <c r="B1353" s="373" t="s">
        <v>9106</v>
      </c>
      <c r="C1353" s="372" t="s">
        <v>9107</v>
      </c>
      <c r="D1353" s="374">
        <v>1101114461002</v>
      </c>
      <c r="E1353" s="372" t="s">
        <v>9108</v>
      </c>
      <c r="F1353" s="375" t="s">
        <v>16101</v>
      </c>
      <c r="G1353" s="375" t="s">
        <v>16101</v>
      </c>
      <c r="H1353" s="375" t="s">
        <v>861</v>
      </c>
      <c r="I1353" s="375" t="s">
        <v>862</v>
      </c>
      <c r="J1353" s="375">
        <v>12772.297850000001</v>
      </c>
      <c r="K1353" s="375">
        <v>-19291.4447</v>
      </c>
      <c r="L1353" s="375">
        <v>-10447.552470000001</v>
      </c>
      <c r="M1353" s="375">
        <v>47458.779269999999</v>
      </c>
      <c r="N1353" s="372">
        <v>0.996</v>
      </c>
      <c r="O1353" s="704">
        <v>6.3585653834218672</v>
      </c>
      <c r="P1353" s="375" t="s">
        <v>622</v>
      </c>
      <c r="Q1353" s="372" t="s">
        <v>622</v>
      </c>
      <c r="R1353" s="696">
        <v>20151221</v>
      </c>
      <c r="S1353" s="375" t="s">
        <v>8064</v>
      </c>
      <c r="T1353" s="697" t="s">
        <v>771</v>
      </c>
      <c r="U1353" s="372" t="s">
        <v>9109</v>
      </c>
      <c r="V1353" s="723" t="s">
        <v>773</v>
      </c>
      <c r="W1353" s="723">
        <v>2.02</v>
      </c>
      <c r="X1353" s="723">
        <v>7.3</v>
      </c>
      <c r="Y1353" s="723" t="s">
        <v>773</v>
      </c>
      <c r="Z1353" s="382" t="s">
        <v>927</v>
      </c>
      <c r="AA1353" s="372">
        <v>91.378982899999997</v>
      </c>
      <c r="AB1353" s="372">
        <v>124.0466476</v>
      </c>
      <c r="AC1353" s="372">
        <v>163.0057267</v>
      </c>
      <c r="AD1353" s="372">
        <v>127.04101180000001</v>
      </c>
      <c r="AE1353" s="372">
        <v>0</v>
      </c>
      <c r="AF1353" s="372">
        <v>0</v>
      </c>
      <c r="AG1353" s="372">
        <v>0</v>
      </c>
      <c r="AH1353" s="372">
        <v>0</v>
      </c>
    </row>
    <row r="1354" spans="1:34">
      <c r="A1354" s="372" t="s">
        <v>9110</v>
      </c>
      <c r="B1354" s="373" t="s">
        <v>9111</v>
      </c>
      <c r="C1354" s="372" t="s">
        <v>9112</v>
      </c>
      <c r="D1354" s="374">
        <v>1341110000096</v>
      </c>
      <c r="E1354" s="372" t="s">
        <v>9113</v>
      </c>
      <c r="F1354" s="375" t="s">
        <v>2864</v>
      </c>
      <c r="G1354" s="375" t="s">
        <v>5983</v>
      </c>
      <c r="H1354" s="375" t="s">
        <v>826</v>
      </c>
      <c r="I1354" s="375" t="s">
        <v>754</v>
      </c>
      <c r="J1354" s="375">
        <v>121198.11596</v>
      </c>
      <c r="K1354" s="375">
        <v>7690.36391</v>
      </c>
      <c r="L1354" s="375">
        <v>7532.3965200000002</v>
      </c>
      <c r="M1354" s="375">
        <v>90338.497189999995</v>
      </c>
      <c r="N1354" s="372">
        <v>0.79200000000000004</v>
      </c>
      <c r="O1354" s="704">
        <v>29.223543778138211</v>
      </c>
      <c r="P1354" s="375" t="s">
        <v>622</v>
      </c>
      <c r="Q1354" s="372" t="s">
        <v>622</v>
      </c>
      <c r="R1354" s="696">
        <v>19870925</v>
      </c>
      <c r="S1354" s="372" t="s">
        <v>9114</v>
      </c>
      <c r="T1354" s="697">
        <v>0.20900000000000002</v>
      </c>
      <c r="U1354" s="372" t="s">
        <v>9115</v>
      </c>
      <c r="V1354" s="723">
        <v>11.22</v>
      </c>
      <c r="W1354" s="723">
        <v>1.21</v>
      </c>
      <c r="X1354" s="723">
        <v>0.97</v>
      </c>
      <c r="Y1354" s="723">
        <v>20.260000000000002</v>
      </c>
      <c r="Z1354" s="382" t="s">
        <v>927</v>
      </c>
      <c r="AA1354" s="372">
        <v>1176.8229165</v>
      </c>
      <c r="AB1354" s="372">
        <v>1151.7686354</v>
      </c>
      <c r="AC1354" s="372">
        <v>1332.9777933</v>
      </c>
      <c r="AD1354" s="372">
        <v>1079.3270072</v>
      </c>
      <c r="AE1354" s="372">
        <v>0</v>
      </c>
      <c r="AF1354" s="372">
        <v>0</v>
      </c>
      <c r="AG1354" s="372">
        <v>0</v>
      </c>
      <c r="AH1354" s="372">
        <v>0</v>
      </c>
    </row>
    <row r="1355" spans="1:34">
      <c r="A1355" s="372" t="s">
        <v>9116</v>
      </c>
      <c r="B1355" s="373" t="s">
        <v>9117</v>
      </c>
      <c r="C1355" s="372" t="s">
        <v>9118</v>
      </c>
      <c r="D1355" s="374">
        <v>1101110063779</v>
      </c>
      <c r="E1355" s="372" t="s">
        <v>9119</v>
      </c>
      <c r="F1355" s="372" t="s">
        <v>7212</v>
      </c>
      <c r="G1355" s="375" t="s">
        <v>8273</v>
      </c>
      <c r="H1355" s="375" t="s">
        <v>3957</v>
      </c>
      <c r="I1355" s="375" t="s">
        <v>754</v>
      </c>
      <c r="J1355" s="375">
        <v>530905.45128000004</v>
      </c>
      <c r="K1355" s="375">
        <v>-2059.9603000000002</v>
      </c>
      <c r="L1355" s="375">
        <v>-26771.251550000001</v>
      </c>
      <c r="M1355" s="375">
        <v>191813.27778</v>
      </c>
      <c r="N1355" s="372">
        <v>0.64800000000000002</v>
      </c>
      <c r="O1355" s="704">
        <v>431.72429544997721</v>
      </c>
      <c r="P1355" s="375" t="s">
        <v>622</v>
      </c>
      <c r="Q1355" s="375" t="s">
        <v>622</v>
      </c>
      <c r="R1355" s="696">
        <v>19750625</v>
      </c>
      <c r="S1355" s="375" t="s">
        <v>9120</v>
      </c>
      <c r="T1355" s="697" t="s">
        <v>771</v>
      </c>
      <c r="U1355" s="372" t="s">
        <v>9121</v>
      </c>
      <c r="V1355" s="723">
        <v>13.06</v>
      </c>
      <c r="W1355" s="723">
        <v>0.45</v>
      </c>
      <c r="X1355" s="723">
        <v>0.16</v>
      </c>
      <c r="Y1355" s="723" t="s">
        <v>773</v>
      </c>
      <c r="Z1355" s="382" t="s">
        <v>927</v>
      </c>
      <c r="AA1355" s="372">
        <v>5915.6624070999997</v>
      </c>
      <c r="AB1355" s="372">
        <v>5787.4392503999998</v>
      </c>
      <c r="AC1355" s="372">
        <v>6064.5374346999997</v>
      </c>
      <c r="AD1355" s="372">
        <v>5148.5412837000003</v>
      </c>
      <c r="AE1355" s="372">
        <v>0</v>
      </c>
      <c r="AF1355" s="372">
        <v>0</v>
      </c>
      <c r="AG1355" s="372">
        <v>0</v>
      </c>
      <c r="AH1355" s="372">
        <v>0</v>
      </c>
    </row>
    <row r="1356" spans="1:34">
      <c r="A1356" s="372" t="s">
        <v>9122</v>
      </c>
      <c r="B1356" s="373" t="s">
        <v>9123</v>
      </c>
      <c r="C1356" s="372" t="s">
        <v>9124</v>
      </c>
      <c r="D1356" s="374">
        <v>1801110078534</v>
      </c>
      <c r="E1356" s="372" t="s">
        <v>9125</v>
      </c>
      <c r="F1356" s="375" t="s">
        <v>1290</v>
      </c>
      <c r="G1356" s="375" t="s">
        <v>1290</v>
      </c>
      <c r="H1356" s="375" t="s">
        <v>861</v>
      </c>
      <c r="I1356" s="375" t="s">
        <v>862</v>
      </c>
      <c r="J1356" s="375">
        <v>68069.484689999997</v>
      </c>
      <c r="K1356" s="375">
        <v>-2885.28991</v>
      </c>
      <c r="L1356" s="375">
        <v>-2192.7455500000001</v>
      </c>
      <c r="M1356" s="375">
        <v>67378.404779999997</v>
      </c>
      <c r="N1356" s="372">
        <v>1.27</v>
      </c>
      <c r="O1356" s="704">
        <v>28.844272317434399</v>
      </c>
      <c r="P1356" s="375" t="s">
        <v>622</v>
      </c>
      <c r="Q1356" s="375" t="s">
        <v>622</v>
      </c>
      <c r="R1356" s="696">
        <v>20190814</v>
      </c>
      <c r="S1356" s="375" t="s">
        <v>9126</v>
      </c>
      <c r="T1356" s="697" t="s">
        <v>771</v>
      </c>
      <c r="U1356" s="372" t="s">
        <v>9127</v>
      </c>
      <c r="V1356" s="723" t="s">
        <v>773</v>
      </c>
      <c r="W1356" s="723">
        <v>1.08</v>
      </c>
      <c r="X1356" s="723">
        <v>0.91</v>
      </c>
      <c r="Y1356" s="723" t="s">
        <v>773</v>
      </c>
      <c r="Z1356" s="382" t="s">
        <v>927</v>
      </c>
      <c r="AA1356" s="372">
        <v>310.86077940000001</v>
      </c>
      <c r="AB1356" s="372">
        <v>359.04071540000001</v>
      </c>
      <c r="AC1356" s="372">
        <v>531.2340772</v>
      </c>
      <c r="AD1356" s="372">
        <v>604.78372060000004</v>
      </c>
      <c r="AE1356" s="372">
        <v>0</v>
      </c>
      <c r="AF1356" s="372">
        <v>0</v>
      </c>
      <c r="AG1356" s="372">
        <v>0</v>
      </c>
      <c r="AH1356" s="372">
        <v>0</v>
      </c>
    </row>
    <row r="1357" spans="1:34">
      <c r="A1357" s="372" t="s">
        <v>9128</v>
      </c>
      <c r="B1357" s="373" t="s">
        <v>9129</v>
      </c>
      <c r="C1357" s="372" t="s">
        <v>9130</v>
      </c>
      <c r="D1357" s="374">
        <v>1101114290039</v>
      </c>
      <c r="E1357" s="372" t="s">
        <v>9131</v>
      </c>
      <c r="F1357" s="372" t="s">
        <v>1863</v>
      </c>
      <c r="G1357" s="375" t="s">
        <v>1864</v>
      </c>
      <c r="H1357" s="375" t="s">
        <v>861</v>
      </c>
      <c r="I1357" s="375" t="s">
        <v>862</v>
      </c>
      <c r="J1357" s="375">
        <v>742135.66038999998</v>
      </c>
      <c r="K1357" s="375">
        <v>38728.15612</v>
      </c>
      <c r="L1357" s="375">
        <v>44948.463649999998</v>
      </c>
      <c r="M1357" s="375">
        <v>204217.58095</v>
      </c>
      <c r="N1357" s="372">
        <v>1.1140000000000001</v>
      </c>
      <c r="O1357" s="704">
        <v>71.914209531077702</v>
      </c>
      <c r="P1357" s="375" t="s">
        <v>622</v>
      </c>
      <c r="Q1357" s="375" t="s">
        <v>622</v>
      </c>
      <c r="R1357" s="696">
        <v>20100827</v>
      </c>
      <c r="S1357" s="375" t="s">
        <v>9132</v>
      </c>
      <c r="T1357" s="697">
        <v>0.23100000000000001</v>
      </c>
      <c r="U1357" s="372" t="s">
        <v>9133</v>
      </c>
      <c r="V1357" s="723">
        <v>3.69</v>
      </c>
      <c r="W1357" s="723">
        <v>0.86</v>
      </c>
      <c r="X1357" s="723">
        <v>0.23</v>
      </c>
      <c r="Y1357" s="723">
        <v>5.05</v>
      </c>
      <c r="Z1357" s="382">
        <v>5.705116266727539E-2</v>
      </c>
      <c r="AA1357" s="372">
        <v>4096.8115243000002</v>
      </c>
      <c r="AB1357" s="372">
        <v>4656.5645437000003</v>
      </c>
      <c r="AC1357" s="372">
        <v>5610.4363676000003</v>
      </c>
      <c r="AD1357" s="372">
        <v>6795.4250513999996</v>
      </c>
      <c r="AE1357" s="372">
        <v>7396.67</v>
      </c>
      <c r="AF1357" s="372">
        <v>7950.5</v>
      </c>
      <c r="AG1357" s="372">
        <v>8484</v>
      </c>
      <c r="AH1357" s="372">
        <v>0</v>
      </c>
    </row>
    <row r="1358" spans="1:34">
      <c r="A1358" s="372" t="s">
        <v>9134</v>
      </c>
      <c r="B1358" s="373" t="s">
        <v>9135</v>
      </c>
      <c r="C1358" s="372" t="s">
        <v>9136</v>
      </c>
      <c r="D1358" s="374">
        <v>1201110014027</v>
      </c>
      <c r="E1358" s="372" t="s">
        <v>9137</v>
      </c>
      <c r="F1358" s="372" t="s">
        <v>1591</v>
      </c>
      <c r="G1358" s="375" t="s">
        <v>1591</v>
      </c>
      <c r="H1358" s="375" t="s">
        <v>946</v>
      </c>
      <c r="I1358" s="375" t="s">
        <v>754</v>
      </c>
      <c r="J1358" s="375">
        <v>924115.04480000003</v>
      </c>
      <c r="K1358" s="375">
        <v>21879.133010000001</v>
      </c>
      <c r="L1358" s="375">
        <v>27330.910070000002</v>
      </c>
      <c r="M1358" s="375">
        <v>217371.19633999999</v>
      </c>
      <c r="N1358" s="372">
        <v>0.43099999999999999</v>
      </c>
      <c r="O1358" s="704">
        <v>16.674063794220785</v>
      </c>
      <c r="P1358" s="375" t="s">
        <v>622</v>
      </c>
      <c r="Q1358" s="372" t="s">
        <v>622</v>
      </c>
      <c r="R1358" s="696">
        <v>20061107</v>
      </c>
      <c r="S1358" s="372" t="s">
        <v>9138</v>
      </c>
      <c r="T1358" s="697">
        <v>0.23100000000000001</v>
      </c>
      <c r="U1358" s="372" t="s">
        <v>9139</v>
      </c>
      <c r="V1358" s="723">
        <v>0</v>
      </c>
      <c r="W1358" s="723">
        <v>0</v>
      </c>
      <c r="X1358" s="723">
        <v>0</v>
      </c>
      <c r="Y1358" s="723">
        <v>0</v>
      </c>
      <c r="Z1358" s="382" t="s">
        <v>927</v>
      </c>
      <c r="AA1358" s="372">
        <v>5044.9171004999998</v>
      </c>
      <c r="AB1358" s="372">
        <v>5042.0628065000001</v>
      </c>
      <c r="AC1358" s="372">
        <v>7284.8944770999997</v>
      </c>
      <c r="AD1358" s="372">
        <v>7813.3705246999998</v>
      </c>
      <c r="AE1358" s="372">
        <v>0</v>
      </c>
      <c r="AF1358" s="372">
        <v>0</v>
      </c>
      <c r="AG1358" s="372">
        <v>0</v>
      </c>
      <c r="AH1358" s="372">
        <v>0</v>
      </c>
    </row>
    <row r="1359" spans="1:34">
      <c r="A1359" s="372" t="s">
        <v>9140</v>
      </c>
      <c r="B1359" s="373" t="s">
        <v>9141</v>
      </c>
      <c r="C1359" s="372" t="s">
        <v>9142</v>
      </c>
      <c r="D1359" s="374">
        <v>1101112739998</v>
      </c>
      <c r="E1359" s="372" t="s">
        <v>9143</v>
      </c>
      <c r="F1359" s="375" t="s">
        <v>5769</v>
      </c>
      <c r="G1359" s="375" t="s">
        <v>5769</v>
      </c>
      <c r="H1359" s="375" t="s">
        <v>1337</v>
      </c>
      <c r="I1359" s="375" t="s">
        <v>862</v>
      </c>
      <c r="J1359" s="375">
        <v>14350.841109999999</v>
      </c>
      <c r="K1359" s="375">
        <v>-2831.0550499999999</v>
      </c>
      <c r="L1359" s="375">
        <v>-1604.8874900000001</v>
      </c>
      <c r="M1359" s="375">
        <v>35019.054369999998</v>
      </c>
      <c r="N1359" s="372">
        <v>0.89200000000000002</v>
      </c>
      <c r="O1359" s="704">
        <v>1.2416749857261908</v>
      </c>
      <c r="P1359" s="375" t="s">
        <v>622</v>
      </c>
      <c r="Q1359" s="375" t="s">
        <v>622</v>
      </c>
      <c r="R1359" s="696">
        <v>20210713</v>
      </c>
      <c r="S1359" s="375" t="s">
        <v>9144</v>
      </c>
      <c r="T1359" s="697" t="s">
        <v>771</v>
      </c>
      <c r="U1359" s="375" t="s">
        <v>9145</v>
      </c>
      <c r="V1359" s="723" t="s">
        <v>773</v>
      </c>
      <c r="W1359" s="723">
        <v>2.37</v>
      </c>
      <c r="X1359" s="723">
        <v>5.67</v>
      </c>
      <c r="Y1359" s="723" t="s">
        <v>773</v>
      </c>
      <c r="Z1359" s="382" t="s">
        <v>927</v>
      </c>
      <c r="AA1359" s="372">
        <v>120.6890365</v>
      </c>
      <c r="AB1359" s="372">
        <v>76.585414999999998</v>
      </c>
      <c r="AC1359" s="372">
        <v>110.04454440000001</v>
      </c>
      <c r="AD1359" s="372">
        <v>150.73316969999999</v>
      </c>
      <c r="AE1359" s="372">
        <v>203</v>
      </c>
      <c r="AF1359" s="372">
        <v>239</v>
      </c>
      <c r="AG1359" s="372">
        <v>0</v>
      </c>
      <c r="AH1359" s="372">
        <v>0</v>
      </c>
    </row>
    <row r="1360" spans="1:34">
      <c r="A1360" s="372" t="s">
        <v>9146</v>
      </c>
      <c r="B1360" s="373" t="s">
        <v>9147</v>
      </c>
      <c r="C1360" s="372" t="s">
        <v>9148</v>
      </c>
      <c r="D1360" s="374">
        <v>1101110564066</v>
      </c>
      <c r="E1360" s="372" t="s">
        <v>9149</v>
      </c>
      <c r="F1360" s="375" t="s">
        <v>8599</v>
      </c>
      <c r="G1360" s="375" t="s">
        <v>8599</v>
      </c>
      <c r="H1360" s="375" t="s">
        <v>4847</v>
      </c>
      <c r="I1360" s="375" t="s">
        <v>862</v>
      </c>
      <c r="J1360" s="375">
        <v>426462.71273000003</v>
      </c>
      <c r="K1360" s="375">
        <v>47043.393790000002</v>
      </c>
      <c r="L1360" s="375">
        <v>49171.242250000003</v>
      </c>
      <c r="M1360" s="375">
        <v>243939.93582000001</v>
      </c>
      <c r="N1360" s="372">
        <v>0.88400000000000001</v>
      </c>
      <c r="O1360" s="704">
        <v>0.89944885831858534</v>
      </c>
      <c r="P1360" s="375" t="s">
        <v>622</v>
      </c>
      <c r="Q1360" s="375" t="s">
        <v>622</v>
      </c>
      <c r="R1360" s="696">
        <v>20020903</v>
      </c>
      <c r="S1360" s="375" t="s">
        <v>9150</v>
      </c>
      <c r="T1360" s="697">
        <v>0.23100000000000001</v>
      </c>
      <c r="U1360" s="372" t="s">
        <v>9151</v>
      </c>
      <c r="V1360" s="723">
        <v>2.66</v>
      </c>
      <c r="W1360" s="723">
        <v>0.49</v>
      </c>
      <c r="X1360" s="723">
        <v>0.3</v>
      </c>
      <c r="Y1360" s="723">
        <v>3.76</v>
      </c>
      <c r="Z1360" s="382" t="s">
        <v>927</v>
      </c>
      <c r="AA1360" s="372">
        <v>2881.3898921</v>
      </c>
      <c r="AB1360" s="372">
        <v>3230.284322</v>
      </c>
      <c r="AC1360" s="372">
        <v>3783.8784396000001</v>
      </c>
      <c r="AD1360" s="372">
        <v>4012.6815468999998</v>
      </c>
      <c r="AE1360" s="372">
        <v>0</v>
      </c>
      <c r="AF1360" s="372">
        <v>0</v>
      </c>
      <c r="AG1360" s="372">
        <v>0</v>
      </c>
      <c r="AH1360" s="372">
        <v>0</v>
      </c>
    </row>
    <row r="1361" spans="1:34">
      <c r="A1361" s="372" t="s">
        <v>9152</v>
      </c>
      <c r="B1361" s="373" t="s">
        <v>9153</v>
      </c>
      <c r="C1361" s="372" t="s">
        <v>9154</v>
      </c>
      <c r="D1361" s="374">
        <v>1101111359630</v>
      </c>
      <c r="E1361" s="372" t="s">
        <v>9155</v>
      </c>
      <c r="F1361" s="375" t="s">
        <v>4266</v>
      </c>
      <c r="G1361" s="375" t="s">
        <v>4267</v>
      </c>
      <c r="H1361" s="375" t="s">
        <v>1337</v>
      </c>
      <c r="I1361" s="375" t="s">
        <v>862</v>
      </c>
      <c r="J1361" s="375">
        <v>83368.793879999997</v>
      </c>
      <c r="K1361" s="375">
        <v>3567.8642100000002</v>
      </c>
      <c r="L1361" s="375">
        <v>3601.8715200000001</v>
      </c>
      <c r="M1361" s="375">
        <v>74444.251409999997</v>
      </c>
      <c r="N1361" s="372">
        <v>0.85599999999999998</v>
      </c>
      <c r="O1361" s="704">
        <v>46.242625305179196</v>
      </c>
      <c r="P1361" s="375" t="s">
        <v>622</v>
      </c>
      <c r="Q1361" s="372" t="s">
        <v>622</v>
      </c>
      <c r="R1361" s="696">
        <v>20020531</v>
      </c>
      <c r="S1361" s="372" t="s">
        <v>9156</v>
      </c>
      <c r="T1361" s="697">
        <v>0.20900000000000002</v>
      </c>
      <c r="U1361" s="372" t="s">
        <v>9157</v>
      </c>
      <c r="V1361" s="723">
        <v>5.83</v>
      </c>
      <c r="W1361" s="723">
        <v>0.88</v>
      </c>
      <c r="X1361" s="723">
        <v>0.89</v>
      </c>
      <c r="Y1361" s="723">
        <v>24.91</v>
      </c>
      <c r="Z1361" s="382" t="s">
        <v>927</v>
      </c>
      <c r="AA1361" s="372">
        <v>889.6041712</v>
      </c>
      <c r="AB1361" s="372">
        <v>784.95698549999997</v>
      </c>
      <c r="AC1361" s="372">
        <v>642.83541119999995</v>
      </c>
      <c r="AD1361" s="372">
        <v>725.69201269999996</v>
      </c>
      <c r="AE1361" s="372">
        <v>0</v>
      </c>
      <c r="AF1361" s="372">
        <v>0</v>
      </c>
      <c r="AG1361" s="372">
        <v>0</v>
      </c>
      <c r="AH1361" s="372">
        <v>0</v>
      </c>
    </row>
    <row r="1362" spans="1:34">
      <c r="A1362" s="372" t="s">
        <v>9158</v>
      </c>
      <c r="B1362" s="373" t="s">
        <v>9159</v>
      </c>
      <c r="C1362" s="372" t="s">
        <v>9160</v>
      </c>
      <c r="D1362" s="374">
        <v>1501110000856</v>
      </c>
      <c r="E1362" s="372" t="s">
        <v>9161</v>
      </c>
      <c r="F1362" s="375" t="s">
        <v>1276</v>
      </c>
      <c r="G1362" s="375" t="s">
        <v>1718</v>
      </c>
      <c r="H1362" s="375" t="s">
        <v>753</v>
      </c>
      <c r="I1362" s="375" t="s">
        <v>754</v>
      </c>
      <c r="J1362" s="375">
        <v>223374.30979999999</v>
      </c>
      <c r="K1362" s="375">
        <v>23384.73834</v>
      </c>
      <c r="L1362" s="375">
        <v>23701.854380000001</v>
      </c>
      <c r="M1362" s="375">
        <v>110771.63356</v>
      </c>
      <c r="N1362" s="372">
        <v>1.427</v>
      </c>
      <c r="O1362" s="704">
        <v>0.1860401040351212</v>
      </c>
      <c r="P1362" s="375" t="s">
        <v>622</v>
      </c>
      <c r="Q1362" s="375" t="s">
        <v>622</v>
      </c>
      <c r="R1362" s="696">
        <v>19861124</v>
      </c>
      <c r="S1362" s="375" t="s">
        <v>9162</v>
      </c>
      <c r="T1362" s="697">
        <v>0.23100000000000001</v>
      </c>
      <c r="U1362" s="372" t="s">
        <v>9163</v>
      </c>
      <c r="V1362" s="723">
        <v>12.62</v>
      </c>
      <c r="W1362" s="723">
        <v>3.69</v>
      </c>
      <c r="X1362" s="723">
        <v>1.46</v>
      </c>
      <c r="Y1362" s="723">
        <v>18.32</v>
      </c>
      <c r="Z1362" s="382">
        <v>0.13586711588795897</v>
      </c>
      <c r="AA1362" s="372">
        <v>1993.0290924000001</v>
      </c>
      <c r="AB1362" s="372">
        <v>2470.9849512000001</v>
      </c>
      <c r="AC1362" s="372">
        <v>2391.1273390000001</v>
      </c>
      <c r="AD1362" s="372">
        <v>2024.5093853000001</v>
      </c>
      <c r="AE1362" s="372">
        <v>2413.67</v>
      </c>
      <c r="AF1362" s="372">
        <v>2871.33</v>
      </c>
      <c r="AG1362" s="372">
        <v>3370</v>
      </c>
      <c r="AH1362" s="372">
        <v>0</v>
      </c>
    </row>
    <row r="1363" spans="1:34">
      <c r="A1363" s="372" t="s">
        <v>9164</v>
      </c>
      <c r="B1363" s="373" t="s">
        <v>9165</v>
      </c>
      <c r="C1363" s="372" t="s">
        <v>9166</v>
      </c>
      <c r="D1363" s="374">
        <v>1101110954374</v>
      </c>
      <c r="E1363" s="372" t="s">
        <v>9167</v>
      </c>
      <c r="F1363" s="375" t="s">
        <v>9168</v>
      </c>
      <c r="G1363" s="375" t="s">
        <v>9168</v>
      </c>
      <c r="H1363" s="375" t="s">
        <v>861</v>
      </c>
      <c r="I1363" s="375" t="s">
        <v>862</v>
      </c>
      <c r="J1363" s="375">
        <v>84454.282470000006</v>
      </c>
      <c r="K1363" s="375">
        <v>3520.5080200000002</v>
      </c>
      <c r="L1363" s="375">
        <v>13899.593440000001</v>
      </c>
      <c r="M1363" s="375">
        <v>101127.17646</v>
      </c>
      <c r="N1363" s="372">
        <v>0.44500000000000001</v>
      </c>
      <c r="O1363" s="704">
        <v>23.878295577837712</v>
      </c>
      <c r="P1363" s="375" t="s">
        <v>622</v>
      </c>
      <c r="Q1363" s="375" t="s">
        <v>622</v>
      </c>
      <c r="R1363" s="696">
        <v>20010522</v>
      </c>
      <c r="S1363" s="375" t="s">
        <v>9169</v>
      </c>
      <c r="T1363" s="697">
        <v>0.20900000000000002</v>
      </c>
      <c r="U1363" s="372" t="s">
        <v>9170</v>
      </c>
      <c r="V1363" s="723">
        <v>29.23</v>
      </c>
      <c r="W1363" s="723">
        <v>1.1200000000000001</v>
      </c>
      <c r="X1363" s="723">
        <v>1.45</v>
      </c>
      <c r="Y1363" s="723">
        <v>8.4499999999999993</v>
      </c>
      <c r="Z1363" s="382" t="s">
        <v>927</v>
      </c>
      <c r="AA1363" s="372">
        <v>981.58276169999999</v>
      </c>
      <c r="AB1363" s="372">
        <v>703.37745210000003</v>
      </c>
      <c r="AC1363" s="372">
        <v>943.31778480000003</v>
      </c>
      <c r="AD1363" s="372">
        <v>719.34894010000005</v>
      </c>
      <c r="AE1363" s="372">
        <v>0</v>
      </c>
      <c r="AF1363" s="372">
        <v>0</v>
      </c>
      <c r="AG1363" s="372">
        <v>0</v>
      </c>
      <c r="AH1363" s="372">
        <v>0</v>
      </c>
    </row>
    <row r="1364" spans="1:34">
      <c r="A1364" s="372" t="s">
        <v>9171</v>
      </c>
      <c r="B1364" s="373" t="s">
        <v>9172</v>
      </c>
      <c r="C1364" s="372" t="s">
        <v>9173</v>
      </c>
      <c r="D1364" s="374">
        <v>1101110057012</v>
      </c>
      <c r="E1364" s="372" t="s">
        <v>9174</v>
      </c>
      <c r="F1364" s="375" t="s">
        <v>1303</v>
      </c>
      <c r="G1364" s="375" t="s">
        <v>1303</v>
      </c>
      <c r="H1364" s="375" t="s">
        <v>826</v>
      </c>
      <c r="I1364" s="375" t="s">
        <v>754</v>
      </c>
      <c r="J1364" s="375">
        <v>184332.58175000001</v>
      </c>
      <c r="K1364" s="375">
        <v>9484.8393199999991</v>
      </c>
      <c r="L1364" s="375">
        <v>7655.2478199999996</v>
      </c>
      <c r="M1364" s="375">
        <v>53829.303269999997</v>
      </c>
      <c r="N1364" s="372">
        <v>0.30199999999999999</v>
      </c>
      <c r="O1364" s="704">
        <v>33.363680184971997</v>
      </c>
      <c r="P1364" s="375" t="s">
        <v>622</v>
      </c>
      <c r="Q1364" s="372" t="s">
        <v>622</v>
      </c>
      <c r="R1364" s="696">
        <v>19961224</v>
      </c>
      <c r="S1364" s="372" t="s">
        <v>9175</v>
      </c>
      <c r="T1364" s="697">
        <v>0.20900000000000002</v>
      </c>
      <c r="U1364" s="372" t="s">
        <v>9176</v>
      </c>
      <c r="V1364" s="723">
        <v>0</v>
      </c>
      <c r="W1364" s="723">
        <v>0</v>
      </c>
      <c r="X1364" s="723">
        <v>0</v>
      </c>
      <c r="Y1364" s="723">
        <v>0</v>
      </c>
      <c r="Z1364" s="382" t="s">
        <v>927</v>
      </c>
      <c r="AA1364" s="372">
        <v>1249.2832805999999</v>
      </c>
      <c r="AB1364" s="372">
        <v>1602.9597329999999</v>
      </c>
      <c r="AC1364" s="372">
        <v>1934.0069748999999</v>
      </c>
      <c r="AD1364" s="372">
        <v>1667.2176145999999</v>
      </c>
      <c r="AE1364" s="372">
        <v>0</v>
      </c>
      <c r="AF1364" s="372">
        <v>0</v>
      </c>
      <c r="AG1364" s="372">
        <v>0</v>
      </c>
      <c r="AH1364" s="372">
        <v>0</v>
      </c>
    </row>
    <row r="1365" spans="1:34">
      <c r="A1365" s="372" t="s">
        <v>9177</v>
      </c>
      <c r="B1365" s="373" t="s">
        <v>9178</v>
      </c>
      <c r="C1365" s="372" t="s">
        <v>9179</v>
      </c>
      <c r="D1365" s="374">
        <v>1101111293531</v>
      </c>
      <c r="E1365" s="372" t="s">
        <v>9180</v>
      </c>
      <c r="F1365" s="372" t="s">
        <v>853</v>
      </c>
      <c r="G1365" s="375" t="s">
        <v>9181</v>
      </c>
      <c r="H1365" s="375" t="s">
        <v>895</v>
      </c>
      <c r="I1365" s="375" t="s">
        <v>862</v>
      </c>
      <c r="J1365" s="375">
        <v>22993.630819999998</v>
      </c>
      <c r="K1365" s="375">
        <v>5214.54097</v>
      </c>
      <c r="L1365" s="375">
        <v>5524.0797700000003</v>
      </c>
      <c r="M1365" s="375">
        <v>112469.77686</v>
      </c>
      <c r="N1365" s="372" t="s">
        <v>1026</v>
      </c>
      <c r="O1365" s="704">
        <v>0</v>
      </c>
      <c r="P1365" s="375" t="s">
        <v>622</v>
      </c>
      <c r="Q1365" s="372" t="s">
        <v>622</v>
      </c>
      <c r="R1365" s="696">
        <v>20230329</v>
      </c>
      <c r="S1365" s="372" t="s">
        <v>9182</v>
      </c>
      <c r="T1365" s="697">
        <v>0.20900000000000002</v>
      </c>
      <c r="U1365" s="372" t="s">
        <v>15904</v>
      </c>
      <c r="V1365" s="723">
        <v>0</v>
      </c>
      <c r="W1365" s="723">
        <v>0.84</v>
      </c>
      <c r="X1365" s="723">
        <v>4.1399999999999997</v>
      </c>
      <c r="Y1365" s="723">
        <v>21.57</v>
      </c>
      <c r="Z1365" s="382" t="s">
        <v>927</v>
      </c>
      <c r="AA1365" s="372">
        <v>279.70324720000002</v>
      </c>
      <c r="AB1365" s="372">
        <v>493.73274780000003</v>
      </c>
      <c r="AC1365" s="372">
        <v>185.2535738</v>
      </c>
      <c r="AD1365" s="372">
        <v>275.82188609999997</v>
      </c>
      <c r="AE1365" s="372">
        <v>0</v>
      </c>
      <c r="AF1365" s="372">
        <v>0</v>
      </c>
      <c r="AG1365" s="372">
        <v>0</v>
      </c>
      <c r="AH1365" s="372">
        <v>0</v>
      </c>
    </row>
    <row r="1366" spans="1:34">
      <c r="A1366" s="372" t="s">
        <v>9183</v>
      </c>
      <c r="B1366" s="373" t="s">
        <v>9184</v>
      </c>
      <c r="C1366" s="372" t="s">
        <v>9185</v>
      </c>
      <c r="D1366" s="374">
        <v>1244110020587</v>
      </c>
      <c r="E1366" s="372" t="s">
        <v>9186</v>
      </c>
      <c r="F1366" s="375" t="s">
        <v>16101</v>
      </c>
      <c r="G1366" s="375" t="s">
        <v>16101</v>
      </c>
      <c r="H1366" s="375" t="s">
        <v>861</v>
      </c>
      <c r="I1366" s="375" t="s">
        <v>862</v>
      </c>
      <c r="J1366" s="375">
        <v>52599.81798</v>
      </c>
      <c r="K1366" s="375">
        <v>8052.9143899999999</v>
      </c>
      <c r="L1366" s="375">
        <v>11397.53786</v>
      </c>
      <c r="M1366" s="375">
        <v>117208.83252</v>
      </c>
      <c r="N1366" s="372">
        <v>0.72399999999999998</v>
      </c>
      <c r="O1366" s="704">
        <v>1.2573285387025235</v>
      </c>
      <c r="P1366" s="375" t="s">
        <v>622</v>
      </c>
      <c r="Q1366" s="375" t="s">
        <v>622</v>
      </c>
      <c r="R1366" s="696">
        <v>20021211</v>
      </c>
      <c r="S1366" s="375" t="s">
        <v>9187</v>
      </c>
      <c r="T1366" s="697">
        <v>0.20900000000000002</v>
      </c>
      <c r="U1366" s="372" t="s">
        <v>9188</v>
      </c>
      <c r="V1366" s="723">
        <v>10.85</v>
      </c>
      <c r="W1366" s="723">
        <v>0.92</v>
      </c>
      <c r="X1366" s="723">
        <v>2.4700000000000002</v>
      </c>
      <c r="Y1366" s="723">
        <v>11.84</v>
      </c>
      <c r="Z1366" s="382" t="s">
        <v>927</v>
      </c>
      <c r="AA1366" s="372">
        <v>455.82255759999998</v>
      </c>
      <c r="AB1366" s="372">
        <v>468.73312420000002</v>
      </c>
      <c r="AC1366" s="372">
        <v>505.25748850000002</v>
      </c>
      <c r="AD1366" s="372">
        <v>537.87388520000002</v>
      </c>
      <c r="AE1366" s="372">
        <v>0</v>
      </c>
      <c r="AF1366" s="372">
        <v>0</v>
      </c>
      <c r="AG1366" s="372">
        <v>0</v>
      </c>
      <c r="AH1366" s="372">
        <v>0</v>
      </c>
    </row>
    <row r="1367" spans="1:34">
      <c r="A1367" s="372" t="s">
        <v>9189</v>
      </c>
      <c r="B1367" s="373" t="s">
        <v>9190</v>
      </c>
      <c r="C1367" s="372" t="s">
        <v>15905</v>
      </c>
      <c r="D1367" s="374">
        <v>1101111660368</v>
      </c>
      <c r="E1367" s="372" t="s">
        <v>9191</v>
      </c>
      <c r="F1367" s="375" t="s">
        <v>10063</v>
      </c>
      <c r="G1367" s="375" t="s">
        <v>10063</v>
      </c>
      <c r="H1367" s="375" t="s">
        <v>861</v>
      </c>
      <c r="I1367" s="375" t="s">
        <v>862</v>
      </c>
      <c r="J1367" s="375">
        <v>167482.60535</v>
      </c>
      <c r="K1367" s="375">
        <v>887.22555999999997</v>
      </c>
      <c r="L1367" s="375">
        <v>-5159.6119500000004</v>
      </c>
      <c r="M1367" s="375">
        <v>56024.039369999999</v>
      </c>
      <c r="N1367" s="372" t="s">
        <v>1026</v>
      </c>
      <c r="O1367" s="704">
        <v>41.374792994588375</v>
      </c>
      <c r="P1367" s="375" t="s">
        <v>622</v>
      </c>
      <c r="Q1367" s="372" t="s">
        <v>622</v>
      </c>
      <c r="R1367" s="696">
        <v>20231221</v>
      </c>
      <c r="S1367" s="372" t="s">
        <v>9192</v>
      </c>
      <c r="T1367" s="697" t="s">
        <v>771</v>
      </c>
      <c r="U1367" s="372" t="s">
        <v>9193</v>
      </c>
      <c r="V1367" s="723">
        <v>14.73</v>
      </c>
      <c r="W1367" s="723">
        <v>1.18</v>
      </c>
      <c r="X1367" s="723">
        <v>0.39</v>
      </c>
      <c r="Y1367" s="723" t="s">
        <v>773</v>
      </c>
      <c r="Z1367" s="382" t="s">
        <v>927</v>
      </c>
      <c r="AA1367" s="372">
        <v>1326.8054979000001</v>
      </c>
      <c r="AB1367" s="372">
        <v>1746.8103495</v>
      </c>
      <c r="AC1367" s="372">
        <v>1855.7594237999999</v>
      </c>
      <c r="AD1367" s="372">
        <v>1522.9047295</v>
      </c>
      <c r="AE1367" s="372">
        <v>0</v>
      </c>
      <c r="AF1367" s="372">
        <v>0</v>
      </c>
      <c r="AG1367" s="372">
        <v>0</v>
      </c>
      <c r="AH1367" s="372">
        <v>0</v>
      </c>
    </row>
    <row r="1368" spans="1:34">
      <c r="A1368" s="372" t="s">
        <v>9194</v>
      </c>
      <c r="B1368" s="373" t="s">
        <v>9195</v>
      </c>
      <c r="C1368" s="372" t="s">
        <v>9196</v>
      </c>
      <c r="D1368" s="374">
        <v>1801110327981</v>
      </c>
      <c r="E1368" s="372" t="s">
        <v>9197</v>
      </c>
      <c r="F1368" s="372" t="s">
        <v>9198</v>
      </c>
      <c r="G1368" s="375" t="s">
        <v>9199</v>
      </c>
      <c r="H1368" s="375" t="s">
        <v>861</v>
      </c>
      <c r="I1368" s="375" t="s">
        <v>862</v>
      </c>
      <c r="J1368" s="375">
        <v>104815.19551000001</v>
      </c>
      <c r="K1368" s="375">
        <v>11199.51542</v>
      </c>
      <c r="L1368" s="375">
        <v>13013.940759999999</v>
      </c>
      <c r="M1368" s="375">
        <v>133935.68278999999</v>
      </c>
      <c r="N1368" s="372">
        <v>0.92400000000000004</v>
      </c>
      <c r="O1368" s="704">
        <v>64.596019860713099</v>
      </c>
      <c r="P1368" s="375" t="s">
        <v>622</v>
      </c>
      <c r="Q1368" s="372" t="s">
        <v>622</v>
      </c>
      <c r="R1368" s="696">
        <v>20160920</v>
      </c>
      <c r="S1368" s="372" t="s">
        <v>9200</v>
      </c>
      <c r="T1368" s="697">
        <v>0.20900000000000002</v>
      </c>
      <c r="U1368" s="372" t="s">
        <v>9201</v>
      </c>
      <c r="V1368" s="723">
        <v>8.58</v>
      </c>
      <c r="W1368" s="723">
        <v>0.74</v>
      </c>
      <c r="X1368" s="723">
        <v>0.95</v>
      </c>
      <c r="Y1368" s="723">
        <v>9.25</v>
      </c>
      <c r="Z1368" s="382" t="s">
        <v>927</v>
      </c>
      <c r="AA1368" s="372">
        <v>754.26976309999998</v>
      </c>
      <c r="AB1368" s="372">
        <v>798.62819030000003</v>
      </c>
      <c r="AC1368" s="372">
        <v>823.72227499999997</v>
      </c>
      <c r="AD1368" s="372">
        <v>1018.9397585</v>
      </c>
      <c r="AE1368" s="372">
        <v>1080</v>
      </c>
      <c r="AF1368" s="372">
        <v>0</v>
      </c>
      <c r="AG1368" s="372">
        <v>0</v>
      </c>
      <c r="AH1368" s="372">
        <v>0</v>
      </c>
    </row>
    <row r="1369" spans="1:34">
      <c r="A1369" s="372" t="s">
        <v>9202</v>
      </c>
      <c r="B1369" s="373" t="s">
        <v>9203</v>
      </c>
      <c r="C1369" s="372" t="s">
        <v>9204</v>
      </c>
      <c r="D1369" s="374">
        <v>1943110003995</v>
      </c>
      <c r="E1369" s="372" t="s">
        <v>9205</v>
      </c>
      <c r="F1369" s="372" t="s">
        <v>2007</v>
      </c>
      <c r="G1369" s="375" t="s">
        <v>2007</v>
      </c>
      <c r="H1369" s="375" t="s">
        <v>861</v>
      </c>
      <c r="I1369" s="375" t="s">
        <v>862</v>
      </c>
      <c r="J1369" s="375">
        <v>352610.52717999998</v>
      </c>
      <c r="K1369" s="375">
        <v>7739.5627500000001</v>
      </c>
      <c r="L1369" s="375">
        <v>5418.7272999999996</v>
      </c>
      <c r="M1369" s="375">
        <v>84309.505529999995</v>
      </c>
      <c r="N1369" s="372">
        <v>0.85699999999999998</v>
      </c>
      <c r="O1369" s="704">
        <v>94.359877040372353</v>
      </c>
      <c r="P1369" s="375" t="s">
        <v>622</v>
      </c>
      <c r="Q1369" s="375" t="s">
        <v>622</v>
      </c>
      <c r="R1369" s="696">
        <v>20030210</v>
      </c>
      <c r="S1369" s="372" t="s">
        <v>9206</v>
      </c>
      <c r="T1369" s="697">
        <v>0.20900000000000002</v>
      </c>
      <c r="U1369" s="372" t="s">
        <v>9207</v>
      </c>
      <c r="V1369" s="723">
        <v>7.98</v>
      </c>
      <c r="W1369" s="723">
        <v>1.37</v>
      </c>
      <c r="X1369" s="723">
        <v>0.33</v>
      </c>
      <c r="Y1369" s="723">
        <v>14.16</v>
      </c>
      <c r="Z1369" s="382" t="s">
        <v>927</v>
      </c>
      <c r="AA1369" s="372">
        <v>2286.7998281999999</v>
      </c>
      <c r="AB1369" s="372">
        <v>3103.8689217000001</v>
      </c>
      <c r="AC1369" s="372">
        <v>3253.4061501000001</v>
      </c>
      <c r="AD1369" s="372">
        <v>3479.9561276999998</v>
      </c>
      <c r="AE1369" s="372">
        <v>3758</v>
      </c>
      <c r="AF1369" s="372">
        <v>4713</v>
      </c>
      <c r="AG1369" s="372">
        <v>0</v>
      </c>
      <c r="AH1369" s="372">
        <v>0</v>
      </c>
    </row>
    <row r="1370" spans="1:34">
      <c r="A1370" s="372" t="s">
        <v>9208</v>
      </c>
      <c r="B1370" s="373" t="s">
        <v>9209</v>
      </c>
      <c r="C1370" s="372" t="s">
        <v>9210</v>
      </c>
      <c r="D1370" s="374">
        <v>1345110051645</v>
      </c>
      <c r="E1370" s="372" t="s">
        <v>9211</v>
      </c>
      <c r="F1370" s="375" t="s">
        <v>2426</v>
      </c>
      <c r="G1370" s="375" t="s">
        <v>6074</v>
      </c>
      <c r="H1370" s="375" t="s">
        <v>861</v>
      </c>
      <c r="I1370" s="375" t="s">
        <v>862</v>
      </c>
      <c r="J1370" s="375">
        <v>290046.39554</v>
      </c>
      <c r="K1370" s="375">
        <v>3292.3014800000001</v>
      </c>
      <c r="L1370" s="375">
        <v>1350.8578600000001</v>
      </c>
      <c r="M1370" s="375">
        <v>87277.702879999997</v>
      </c>
      <c r="N1370" s="372">
        <v>1.113</v>
      </c>
      <c r="O1370" s="704">
        <v>161.67493384615383</v>
      </c>
      <c r="P1370" s="375" t="s">
        <v>622</v>
      </c>
      <c r="Q1370" s="375" t="s">
        <v>622</v>
      </c>
      <c r="R1370" s="696">
        <v>20090417</v>
      </c>
      <c r="S1370" s="375" t="s">
        <v>9212</v>
      </c>
      <c r="T1370" s="697">
        <v>0.20900000000000002</v>
      </c>
      <c r="U1370" s="372" t="s">
        <v>9213</v>
      </c>
      <c r="V1370" s="723">
        <v>12.67</v>
      </c>
      <c r="W1370" s="723">
        <v>0.77</v>
      </c>
      <c r="X1370" s="723">
        <v>0.23</v>
      </c>
      <c r="Y1370" s="723">
        <v>62.26</v>
      </c>
      <c r="Z1370" s="382" t="s">
        <v>927</v>
      </c>
      <c r="AA1370" s="372">
        <v>2401.1470030999999</v>
      </c>
      <c r="AB1370" s="372">
        <v>2599.4374609000001</v>
      </c>
      <c r="AC1370" s="372">
        <v>2495.2303439000002</v>
      </c>
      <c r="AD1370" s="372">
        <v>2685.0373933000001</v>
      </c>
      <c r="AE1370" s="372">
        <v>0</v>
      </c>
      <c r="AF1370" s="372">
        <v>0</v>
      </c>
      <c r="AG1370" s="372">
        <v>0</v>
      </c>
      <c r="AH1370" s="372">
        <v>0</v>
      </c>
    </row>
    <row r="1371" spans="1:34">
      <c r="A1371" s="372" t="s">
        <v>9214</v>
      </c>
      <c r="B1371" s="373" t="s">
        <v>9215</v>
      </c>
      <c r="C1371" s="372" t="s">
        <v>9216</v>
      </c>
      <c r="D1371" s="374">
        <v>1101110012776</v>
      </c>
      <c r="E1371" s="372" t="s">
        <v>9217</v>
      </c>
      <c r="F1371" s="375" t="s">
        <v>1323</v>
      </c>
      <c r="G1371" s="375" t="s">
        <v>16106</v>
      </c>
      <c r="H1371" s="375" t="s">
        <v>784</v>
      </c>
      <c r="I1371" s="375" t="s">
        <v>754</v>
      </c>
      <c r="J1371" s="375">
        <v>649809.55911999999</v>
      </c>
      <c r="K1371" s="375">
        <v>-15806.98101</v>
      </c>
      <c r="L1371" s="375">
        <v>-39594.44483</v>
      </c>
      <c r="M1371" s="375">
        <v>153616.91665</v>
      </c>
      <c r="N1371" s="372">
        <v>0.97</v>
      </c>
      <c r="O1371" s="704">
        <v>397.3863284814837</v>
      </c>
      <c r="P1371" s="375" t="s">
        <v>622</v>
      </c>
      <c r="Q1371" s="372" t="s">
        <v>622</v>
      </c>
      <c r="R1371" s="696">
        <v>19750628</v>
      </c>
      <c r="S1371" s="372" t="s">
        <v>9218</v>
      </c>
      <c r="T1371" s="697" t="s">
        <v>771</v>
      </c>
      <c r="U1371" s="372" t="s">
        <v>9219</v>
      </c>
      <c r="V1371" s="723">
        <v>21.95</v>
      </c>
      <c r="W1371" s="723">
        <v>1.56</v>
      </c>
      <c r="X1371" s="723">
        <v>0.14000000000000001</v>
      </c>
      <c r="Y1371" s="723" t="s">
        <v>773</v>
      </c>
      <c r="Z1371" s="382" t="s">
        <v>927</v>
      </c>
      <c r="AA1371" s="372">
        <v>5964.6891349999996</v>
      </c>
      <c r="AB1371" s="372">
        <v>5923.7454592000004</v>
      </c>
      <c r="AC1371" s="372">
        <v>6755.3971732999998</v>
      </c>
      <c r="AD1371" s="372">
        <v>6384.4751766999998</v>
      </c>
      <c r="AE1371" s="372">
        <v>0</v>
      </c>
      <c r="AF1371" s="372">
        <v>0</v>
      </c>
      <c r="AG1371" s="372">
        <v>0</v>
      </c>
      <c r="AH1371" s="372">
        <v>0</v>
      </c>
    </row>
    <row r="1372" spans="1:34">
      <c r="A1372" s="372" t="s">
        <v>9220</v>
      </c>
      <c r="B1372" s="373" t="s">
        <v>9221</v>
      </c>
      <c r="C1372" s="372" t="s">
        <v>9222</v>
      </c>
      <c r="D1372" s="374">
        <v>1511110053458</v>
      </c>
      <c r="E1372" s="372" t="s">
        <v>9223</v>
      </c>
      <c r="F1372" s="372" t="s">
        <v>1576</v>
      </c>
      <c r="G1372" s="375" t="s">
        <v>1576</v>
      </c>
      <c r="H1372" s="375" t="s">
        <v>861</v>
      </c>
      <c r="I1372" s="375" t="s">
        <v>862</v>
      </c>
      <c r="J1372" s="375">
        <v>112993.52142</v>
      </c>
      <c r="K1372" s="375">
        <v>9456.3556100000005</v>
      </c>
      <c r="L1372" s="375">
        <v>9504.6042899999993</v>
      </c>
      <c r="M1372" s="375">
        <v>49389.602879999999</v>
      </c>
      <c r="N1372" s="372" t="s">
        <v>1026</v>
      </c>
      <c r="O1372" s="704">
        <v>11.272964625073156</v>
      </c>
      <c r="P1372" s="375" t="s">
        <v>622</v>
      </c>
      <c r="Q1372" s="375" t="s">
        <v>622</v>
      </c>
      <c r="R1372" s="696">
        <v>20231113</v>
      </c>
      <c r="S1372" s="375" t="s">
        <v>9224</v>
      </c>
      <c r="T1372" s="697">
        <v>0.20900000000000002</v>
      </c>
      <c r="U1372" s="372" t="s">
        <v>9225</v>
      </c>
      <c r="V1372" s="723">
        <v>0</v>
      </c>
      <c r="W1372" s="723">
        <v>0</v>
      </c>
      <c r="X1372" s="723">
        <v>0</v>
      </c>
      <c r="Y1372" s="723">
        <v>0</v>
      </c>
      <c r="Z1372" s="382" t="s">
        <v>927</v>
      </c>
      <c r="AA1372" s="372">
        <v>493.68684280000002</v>
      </c>
      <c r="AB1372" s="372">
        <v>673.32006569999999</v>
      </c>
      <c r="AC1372" s="372">
        <v>1000.5083879</v>
      </c>
      <c r="AD1372" s="372">
        <v>1197.5658309999999</v>
      </c>
      <c r="AE1372" s="372">
        <v>0</v>
      </c>
      <c r="AF1372" s="372">
        <v>0</v>
      </c>
      <c r="AG1372" s="372">
        <v>0</v>
      </c>
      <c r="AH1372" s="372">
        <v>0</v>
      </c>
    </row>
    <row r="1373" spans="1:34">
      <c r="A1373" s="372" t="s">
        <v>9226</v>
      </c>
      <c r="B1373" s="373" t="s">
        <v>9227</v>
      </c>
      <c r="C1373" s="372" t="s">
        <v>9228</v>
      </c>
      <c r="D1373" s="374">
        <v>1201110388092</v>
      </c>
      <c r="E1373" s="372" t="s">
        <v>9229</v>
      </c>
      <c r="F1373" s="375" t="s">
        <v>16101</v>
      </c>
      <c r="G1373" s="375" t="s">
        <v>16101</v>
      </c>
      <c r="H1373" s="375" t="s">
        <v>861</v>
      </c>
      <c r="I1373" s="375" t="s">
        <v>862</v>
      </c>
      <c r="J1373" s="375">
        <v>16066.523359999999</v>
      </c>
      <c r="K1373" s="375">
        <v>4808.2224200000001</v>
      </c>
      <c r="L1373" s="375">
        <v>6276.9988000000003</v>
      </c>
      <c r="M1373" s="375">
        <v>61378.620289999999</v>
      </c>
      <c r="N1373" s="372">
        <v>0.79900000000000004</v>
      </c>
      <c r="O1373" s="704">
        <v>0.94911471318445251</v>
      </c>
      <c r="P1373" s="375" t="s">
        <v>622</v>
      </c>
      <c r="Q1373" s="372" t="s">
        <v>622</v>
      </c>
      <c r="R1373" s="696">
        <v>20220221</v>
      </c>
      <c r="S1373" s="372" t="s">
        <v>9230</v>
      </c>
      <c r="T1373" s="697">
        <v>0.20900000000000002</v>
      </c>
      <c r="U1373" s="372" t="s">
        <v>9231</v>
      </c>
      <c r="V1373" s="723">
        <v>0</v>
      </c>
      <c r="W1373" s="723">
        <v>0</v>
      </c>
      <c r="X1373" s="723">
        <v>0</v>
      </c>
      <c r="Y1373" s="723">
        <v>0</v>
      </c>
      <c r="Z1373" s="382" t="s">
        <v>927</v>
      </c>
      <c r="AA1373" s="372">
        <v>86.397426499999995</v>
      </c>
      <c r="AB1373" s="372">
        <v>119.7217429</v>
      </c>
      <c r="AC1373" s="372">
        <v>158.55322570000001</v>
      </c>
      <c r="AD1373" s="372">
        <v>155.9209013</v>
      </c>
      <c r="AE1373" s="372">
        <v>0</v>
      </c>
      <c r="AF1373" s="372">
        <v>0</v>
      </c>
      <c r="AG1373" s="372">
        <v>0</v>
      </c>
      <c r="AH1373" s="372">
        <v>0</v>
      </c>
    </row>
    <row r="1374" spans="1:34">
      <c r="A1374" s="372" t="s">
        <v>9232</v>
      </c>
      <c r="B1374" s="373" t="s">
        <v>9233</v>
      </c>
      <c r="C1374" s="372" t="s">
        <v>9234</v>
      </c>
      <c r="D1374" s="374">
        <v>1101113069534</v>
      </c>
      <c r="E1374" s="372" t="s">
        <v>9235</v>
      </c>
      <c r="F1374" s="375" t="s">
        <v>1323</v>
      </c>
      <c r="G1374" s="375" t="s">
        <v>16106</v>
      </c>
      <c r="H1374" s="375" t="s">
        <v>861</v>
      </c>
      <c r="I1374" s="375" t="s">
        <v>862</v>
      </c>
      <c r="J1374" s="375">
        <v>105738.71674</v>
      </c>
      <c r="K1374" s="375">
        <v>8324.7457699999995</v>
      </c>
      <c r="L1374" s="375">
        <v>7442.3217100000002</v>
      </c>
      <c r="M1374" s="375">
        <v>92592.281520000004</v>
      </c>
      <c r="N1374" s="372">
        <v>0.52800000000000002</v>
      </c>
      <c r="O1374" s="704">
        <v>21.746777614288582</v>
      </c>
      <c r="P1374" s="375" t="s">
        <v>622</v>
      </c>
      <c r="Q1374" s="372" t="s">
        <v>622</v>
      </c>
      <c r="R1374" s="696">
        <v>20200703</v>
      </c>
      <c r="S1374" s="372" t="s">
        <v>9236</v>
      </c>
      <c r="T1374" s="697">
        <v>0.20900000000000002</v>
      </c>
      <c r="U1374" s="372" t="s">
        <v>9237</v>
      </c>
      <c r="V1374" s="723">
        <v>0</v>
      </c>
      <c r="W1374" s="723">
        <v>0</v>
      </c>
      <c r="X1374" s="723">
        <v>0</v>
      </c>
      <c r="Y1374" s="723">
        <v>0</v>
      </c>
      <c r="Z1374" s="382" t="s">
        <v>927</v>
      </c>
      <c r="AA1374" s="372">
        <v>523.93203840000001</v>
      </c>
      <c r="AB1374" s="372">
        <v>574.18806099999995</v>
      </c>
      <c r="AC1374" s="372">
        <v>646.80375719999995</v>
      </c>
      <c r="AD1374" s="372">
        <v>801.19449780000002</v>
      </c>
      <c r="AE1374" s="372">
        <v>0</v>
      </c>
      <c r="AF1374" s="372">
        <v>0</v>
      </c>
      <c r="AG1374" s="372">
        <v>0</v>
      </c>
      <c r="AH1374" s="372">
        <v>0</v>
      </c>
    </row>
    <row r="1375" spans="1:34">
      <c r="A1375" s="372" t="s">
        <v>9238</v>
      </c>
      <c r="B1375" s="373" t="s">
        <v>9239</v>
      </c>
      <c r="C1375" s="372" t="s">
        <v>9240</v>
      </c>
      <c r="D1375" s="374">
        <v>1643110019980</v>
      </c>
      <c r="E1375" s="372" t="s">
        <v>9241</v>
      </c>
      <c r="F1375" s="372" t="s">
        <v>9242</v>
      </c>
      <c r="G1375" s="375" t="s">
        <v>9242</v>
      </c>
      <c r="H1375" s="375" t="s">
        <v>861</v>
      </c>
      <c r="I1375" s="375" t="s">
        <v>862</v>
      </c>
      <c r="J1375" s="375">
        <v>61617.243289999999</v>
      </c>
      <c r="K1375" s="375">
        <v>3686.36256</v>
      </c>
      <c r="L1375" s="375">
        <v>3485.7988599999999</v>
      </c>
      <c r="M1375" s="375">
        <v>39991.726159999998</v>
      </c>
      <c r="N1375" s="372" t="s">
        <v>1026</v>
      </c>
      <c r="O1375" s="704">
        <v>15.428690283792612</v>
      </c>
      <c r="P1375" s="375" t="s">
        <v>622</v>
      </c>
      <c r="Q1375" s="372" t="s">
        <v>622</v>
      </c>
      <c r="R1375" s="696">
        <v>20230919</v>
      </c>
      <c r="S1375" s="372" t="s">
        <v>9243</v>
      </c>
      <c r="T1375" s="697">
        <v>0.20900000000000002</v>
      </c>
      <c r="U1375" s="372" t="s">
        <v>9244</v>
      </c>
      <c r="V1375" s="723">
        <v>14.42</v>
      </c>
      <c r="W1375" s="723">
        <v>2.1800000000000002</v>
      </c>
      <c r="X1375" s="723">
        <v>1.38</v>
      </c>
      <c r="Y1375" s="723">
        <v>27.69</v>
      </c>
      <c r="Z1375" s="382" t="s">
        <v>927</v>
      </c>
      <c r="AA1375" s="372">
        <v>231.66599099999999</v>
      </c>
      <c r="AB1375" s="372">
        <v>466.55891810000003</v>
      </c>
      <c r="AC1375" s="372">
        <v>449.4042445</v>
      </c>
      <c r="AD1375" s="372">
        <v>565.76333039999997</v>
      </c>
      <c r="AE1375" s="372">
        <v>0</v>
      </c>
      <c r="AF1375" s="372">
        <v>0</v>
      </c>
      <c r="AG1375" s="372">
        <v>0</v>
      </c>
      <c r="AH1375" s="372">
        <v>0</v>
      </c>
    </row>
    <row r="1376" spans="1:34">
      <c r="A1376" s="372" t="s">
        <v>9245</v>
      </c>
      <c r="B1376" s="373" t="s">
        <v>9246</v>
      </c>
      <c r="C1376" s="372" t="s">
        <v>9247</v>
      </c>
      <c r="D1376" s="374">
        <v>1101116042066</v>
      </c>
      <c r="E1376" s="372" t="s">
        <v>9248</v>
      </c>
      <c r="F1376" s="375" t="s">
        <v>1185</v>
      </c>
      <c r="G1376" s="375" t="s">
        <v>1186</v>
      </c>
      <c r="H1376" s="375" t="s">
        <v>861</v>
      </c>
      <c r="I1376" s="375" t="s">
        <v>862</v>
      </c>
      <c r="J1376" s="375">
        <v>37614.819609999999</v>
      </c>
      <c r="K1376" s="375">
        <v>-6377.6294399999997</v>
      </c>
      <c r="L1376" s="375">
        <v>-5523.8515799999996</v>
      </c>
      <c r="M1376" s="375">
        <v>45131.065260000003</v>
      </c>
      <c r="N1376" s="372">
        <v>1.391</v>
      </c>
      <c r="O1376" s="704">
        <v>23.331770163777698</v>
      </c>
      <c r="P1376" s="375" t="s">
        <v>622</v>
      </c>
      <c r="Q1376" s="375" t="s">
        <v>622</v>
      </c>
      <c r="R1376" s="696">
        <v>20221028</v>
      </c>
      <c r="S1376" s="375" t="s">
        <v>9249</v>
      </c>
      <c r="T1376" s="697" t="s">
        <v>771</v>
      </c>
      <c r="U1376" s="372" t="s">
        <v>9250</v>
      </c>
      <c r="V1376" s="723" t="s">
        <v>773</v>
      </c>
      <c r="W1376" s="723">
        <v>1.49</v>
      </c>
      <c r="X1376" s="723">
        <v>1.82</v>
      </c>
      <c r="Y1376" s="723" t="s">
        <v>773</v>
      </c>
      <c r="Z1376" s="382">
        <v>0.2580136279323697</v>
      </c>
      <c r="AA1376" s="372">
        <v>455.77744100000001</v>
      </c>
      <c r="AB1376" s="372">
        <v>448.26694859999998</v>
      </c>
      <c r="AC1376" s="372">
        <v>460.9864834</v>
      </c>
      <c r="AD1376" s="372">
        <v>359.3363286</v>
      </c>
      <c r="AE1376" s="372">
        <v>440</v>
      </c>
      <c r="AF1376" s="372">
        <v>520</v>
      </c>
      <c r="AG1376" s="372">
        <v>900</v>
      </c>
      <c r="AH1376" s="372">
        <v>0</v>
      </c>
    </row>
    <row r="1377" spans="1:34">
      <c r="A1377" s="372" t="s">
        <v>9251</v>
      </c>
      <c r="B1377" s="373" t="s">
        <v>9252</v>
      </c>
      <c r="C1377" s="372" t="s">
        <v>9253</v>
      </c>
      <c r="D1377" s="374">
        <v>1701110003814</v>
      </c>
      <c r="E1377" s="372" t="s">
        <v>9254</v>
      </c>
      <c r="F1377" s="372" t="s">
        <v>1648</v>
      </c>
      <c r="G1377" s="375" t="s">
        <v>1649</v>
      </c>
      <c r="H1377" s="375" t="s">
        <v>846</v>
      </c>
      <c r="I1377" s="375" t="s">
        <v>754</v>
      </c>
      <c r="J1377" s="375">
        <v>62499.859270000001</v>
      </c>
      <c r="K1377" s="375">
        <v>-15737.38157</v>
      </c>
      <c r="L1377" s="375">
        <v>-32085.143220000002</v>
      </c>
      <c r="M1377" s="375">
        <v>175499.66824</v>
      </c>
      <c r="N1377" s="372">
        <v>0.45500000000000002</v>
      </c>
      <c r="O1377" s="704">
        <v>386.67845137117143</v>
      </c>
      <c r="P1377" s="375" t="s">
        <v>622</v>
      </c>
      <c r="Q1377" s="375" t="s">
        <v>622</v>
      </c>
      <c r="R1377" s="696">
        <v>19881010</v>
      </c>
      <c r="S1377" s="372" t="s">
        <v>9255</v>
      </c>
      <c r="T1377" s="697" t="s">
        <v>771</v>
      </c>
      <c r="U1377" s="372" t="s">
        <v>9256</v>
      </c>
      <c r="V1377" s="723" t="s">
        <v>773</v>
      </c>
      <c r="W1377" s="723">
        <v>0.42</v>
      </c>
      <c r="X1377" s="723">
        <v>1.42</v>
      </c>
      <c r="Y1377" s="723" t="s">
        <v>773</v>
      </c>
      <c r="Z1377" s="382" t="s">
        <v>927</v>
      </c>
      <c r="AA1377" s="372">
        <v>911.09594909999998</v>
      </c>
      <c r="AB1377" s="372">
        <v>817.94091560000004</v>
      </c>
      <c r="AC1377" s="372">
        <v>758.99713350000002</v>
      </c>
      <c r="AD1377" s="372">
        <v>676.45316939999998</v>
      </c>
      <c r="AE1377" s="372">
        <v>0</v>
      </c>
      <c r="AF1377" s="372">
        <v>0</v>
      </c>
      <c r="AG1377" s="372">
        <v>0</v>
      </c>
      <c r="AH1377" s="372">
        <v>0</v>
      </c>
    </row>
    <row r="1378" spans="1:34">
      <c r="A1378" s="372" t="s">
        <v>9257</v>
      </c>
      <c r="B1378" s="373" t="s">
        <v>9258</v>
      </c>
      <c r="C1378" s="372" t="s">
        <v>9259</v>
      </c>
      <c r="D1378" s="374">
        <v>2001110115802</v>
      </c>
      <c r="E1378" s="372" t="s">
        <v>9260</v>
      </c>
      <c r="F1378" s="375" t="s">
        <v>16101</v>
      </c>
      <c r="G1378" s="375" t="s">
        <v>16101</v>
      </c>
      <c r="H1378" s="375" t="s">
        <v>861</v>
      </c>
      <c r="I1378" s="375" t="s">
        <v>862</v>
      </c>
      <c r="J1378" s="375">
        <v>6115.3189700000003</v>
      </c>
      <c r="K1378" s="375">
        <v>-7571.2238500000003</v>
      </c>
      <c r="L1378" s="375">
        <v>-8668.7739600000004</v>
      </c>
      <c r="M1378" s="375">
        <v>7763.9644399999997</v>
      </c>
      <c r="N1378" s="372">
        <v>0.51700000000000002</v>
      </c>
      <c r="O1378" s="704">
        <v>9.8289203343448808</v>
      </c>
      <c r="P1378" s="375" t="s">
        <v>622</v>
      </c>
      <c r="Q1378" s="372" t="s">
        <v>622</v>
      </c>
      <c r="R1378" s="696">
        <v>20161207</v>
      </c>
      <c r="S1378" s="372" t="s">
        <v>9261</v>
      </c>
      <c r="T1378" s="697" t="s">
        <v>771</v>
      </c>
      <c r="U1378" s="372" t="s">
        <v>9262</v>
      </c>
      <c r="V1378" s="723">
        <v>0</v>
      </c>
      <c r="W1378" s="723">
        <v>0</v>
      </c>
      <c r="X1378" s="723">
        <v>0</v>
      </c>
      <c r="Y1378" s="723">
        <v>0</v>
      </c>
      <c r="Z1378" s="382" t="s">
        <v>927</v>
      </c>
      <c r="AA1378" s="372">
        <v>85.160252299999996</v>
      </c>
      <c r="AB1378" s="372">
        <v>102.6684882</v>
      </c>
      <c r="AC1378" s="372">
        <v>86.622601399999994</v>
      </c>
      <c r="AD1378" s="372">
        <v>56.10913</v>
      </c>
      <c r="AE1378" s="372">
        <v>0</v>
      </c>
      <c r="AF1378" s="372">
        <v>0</v>
      </c>
      <c r="AG1378" s="372">
        <v>0</v>
      </c>
      <c r="AH1378" s="372">
        <v>0</v>
      </c>
    </row>
    <row r="1379" spans="1:34">
      <c r="A1379" s="372" t="s">
        <v>9263</v>
      </c>
      <c r="B1379" s="373" t="s">
        <v>9264</v>
      </c>
      <c r="C1379" s="372" t="s">
        <v>9265</v>
      </c>
      <c r="D1379" s="374">
        <v>1101114694679</v>
      </c>
      <c r="E1379" s="372" t="s">
        <v>9266</v>
      </c>
      <c r="F1379" s="375" t="s">
        <v>2124</v>
      </c>
      <c r="G1379" s="375" t="s">
        <v>4231</v>
      </c>
      <c r="H1379" s="375" t="s">
        <v>861</v>
      </c>
      <c r="I1379" s="375" t="s">
        <v>862</v>
      </c>
      <c r="J1379" s="375">
        <v>6276.5397700000003</v>
      </c>
      <c r="K1379" s="375">
        <v>-53621.573069999999</v>
      </c>
      <c r="L1379" s="375">
        <v>-65377.831619999997</v>
      </c>
      <c r="M1379" s="375">
        <v>31969.300459999999</v>
      </c>
      <c r="N1379" s="372">
        <v>0.34200000000000003</v>
      </c>
      <c r="O1379" s="704">
        <v>20.677868232774184</v>
      </c>
      <c r="P1379" s="375" t="s">
        <v>622</v>
      </c>
      <c r="Q1379" s="372" t="s">
        <v>622</v>
      </c>
      <c r="R1379" s="696">
        <v>20200914</v>
      </c>
      <c r="S1379" s="372" t="s">
        <v>9267</v>
      </c>
      <c r="T1379" s="697" t="s">
        <v>771</v>
      </c>
      <c r="U1379" s="372" t="s">
        <v>9268</v>
      </c>
      <c r="V1379" s="723" t="s">
        <v>773</v>
      </c>
      <c r="W1379" s="723">
        <v>6.73</v>
      </c>
      <c r="X1379" s="723">
        <v>29.18</v>
      </c>
      <c r="Y1379" s="723" t="s">
        <v>773</v>
      </c>
      <c r="Z1379" s="382" t="s">
        <v>927</v>
      </c>
      <c r="AA1379" s="372">
        <v>0.2165455</v>
      </c>
      <c r="AB1379" s="372">
        <v>6.9326749999999997</v>
      </c>
      <c r="AC1379" s="372">
        <v>67.078761799999995</v>
      </c>
      <c r="AD1379" s="372">
        <v>65.892174699999998</v>
      </c>
      <c r="AE1379" s="372">
        <v>684</v>
      </c>
      <c r="AF1379" s="372">
        <v>988</v>
      </c>
      <c r="AG1379" s="372">
        <v>0</v>
      </c>
      <c r="AH1379" s="372">
        <v>0</v>
      </c>
    </row>
    <row r="1380" spans="1:34">
      <c r="A1380" s="372" t="s">
        <v>9269</v>
      </c>
      <c r="B1380" s="373" t="s">
        <v>9270</v>
      </c>
      <c r="C1380" s="372" t="s">
        <v>9271</v>
      </c>
      <c r="D1380" s="374">
        <v>1348110015546</v>
      </c>
      <c r="E1380" s="372" t="s">
        <v>9272</v>
      </c>
      <c r="F1380" s="375" t="s">
        <v>1276</v>
      </c>
      <c r="G1380" s="375" t="s">
        <v>1718</v>
      </c>
      <c r="H1380" s="375" t="s">
        <v>861</v>
      </c>
      <c r="I1380" s="375" t="s">
        <v>862</v>
      </c>
      <c r="J1380" s="375">
        <v>54961.325109999998</v>
      </c>
      <c r="K1380" s="375">
        <v>2379.3968599999998</v>
      </c>
      <c r="L1380" s="375">
        <v>3371.9044199999998</v>
      </c>
      <c r="M1380" s="375">
        <v>71500.492469999997</v>
      </c>
      <c r="N1380" s="372">
        <v>0.51400000000000001</v>
      </c>
      <c r="O1380" s="704">
        <v>2.9977178433467486</v>
      </c>
      <c r="P1380" s="375" t="s">
        <v>622</v>
      </c>
      <c r="Q1380" s="372" t="s">
        <v>622</v>
      </c>
      <c r="R1380" s="696">
        <v>20000822</v>
      </c>
      <c r="S1380" s="372" t="s">
        <v>9273</v>
      </c>
      <c r="T1380" s="697">
        <v>0.20900000000000002</v>
      </c>
      <c r="U1380" s="372" t="s">
        <v>9274</v>
      </c>
      <c r="V1380" s="723">
        <v>23.74</v>
      </c>
      <c r="W1380" s="723">
        <v>1.36</v>
      </c>
      <c r="X1380" s="723">
        <v>1.95</v>
      </c>
      <c r="Y1380" s="723">
        <v>38.549999999999997</v>
      </c>
      <c r="Z1380" s="382" t="s">
        <v>927</v>
      </c>
      <c r="AA1380" s="372">
        <v>361.92298369999997</v>
      </c>
      <c r="AB1380" s="372">
        <v>452.11941209999998</v>
      </c>
      <c r="AC1380" s="372">
        <v>416.02729470000003</v>
      </c>
      <c r="AD1380" s="372">
        <v>566.3588929</v>
      </c>
      <c r="AE1380" s="372">
        <v>0</v>
      </c>
      <c r="AF1380" s="372">
        <v>0</v>
      </c>
      <c r="AG1380" s="372">
        <v>0</v>
      </c>
      <c r="AH1380" s="372">
        <v>0</v>
      </c>
    </row>
    <row r="1381" spans="1:34">
      <c r="A1381" s="372" t="s">
        <v>9275</v>
      </c>
      <c r="B1381" s="373" t="s">
        <v>9276</v>
      </c>
      <c r="C1381" s="372" t="s">
        <v>9277</v>
      </c>
      <c r="D1381" s="374">
        <v>1243110000812</v>
      </c>
      <c r="E1381" s="372" t="s">
        <v>9278</v>
      </c>
      <c r="F1381" s="375" t="s">
        <v>1323</v>
      </c>
      <c r="G1381" s="375" t="s">
        <v>16106</v>
      </c>
      <c r="H1381" s="375" t="s">
        <v>784</v>
      </c>
      <c r="I1381" s="375" t="s">
        <v>754</v>
      </c>
      <c r="J1381" s="375">
        <v>173598.53042</v>
      </c>
      <c r="K1381" s="375">
        <v>12802.11059</v>
      </c>
      <c r="L1381" s="375">
        <v>-743.2799</v>
      </c>
      <c r="M1381" s="375">
        <v>230300.20803000001</v>
      </c>
      <c r="N1381" s="372">
        <v>0.80500000000000005</v>
      </c>
      <c r="O1381" s="704">
        <v>44.524993704584844</v>
      </c>
      <c r="P1381" s="375" t="s">
        <v>622</v>
      </c>
      <c r="Q1381" s="375" t="s">
        <v>622</v>
      </c>
      <c r="R1381" s="696">
        <v>19900615</v>
      </c>
      <c r="S1381" s="372" t="s">
        <v>9279</v>
      </c>
      <c r="T1381" s="697" t="s">
        <v>771</v>
      </c>
      <c r="U1381" s="372" t="s">
        <v>15906</v>
      </c>
      <c r="V1381" s="723">
        <v>5.38</v>
      </c>
      <c r="W1381" s="723">
        <v>0.39</v>
      </c>
      <c r="X1381" s="723">
        <v>0.51</v>
      </c>
      <c r="Y1381" s="723" t="s">
        <v>773</v>
      </c>
      <c r="Z1381" s="382" t="s">
        <v>927</v>
      </c>
      <c r="AA1381" s="372">
        <v>966.14310439999997</v>
      </c>
      <c r="AB1381" s="372">
        <v>1098.6606681000001</v>
      </c>
      <c r="AC1381" s="372">
        <v>1509.3071537000001</v>
      </c>
      <c r="AD1381" s="372">
        <v>1667.7882565</v>
      </c>
      <c r="AE1381" s="372">
        <v>0</v>
      </c>
      <c r="AF1381" s="372">
        <v>0</v>
      </c>
      <c r="AG1381" s="372">
        <v>0</v>
      </c>
      <c r="AH1381" s="372">
        <v>0</v>
      </c>
    </row>
    <row r="1382" spans="1:34">
      <c r="A1382" s="372" t="s">
        <v>9280</v>
      </c>
      <c r="B1382" s="373" t="s">
        <v>9281</v>
      </c>
      <c r="C1382" s="372" t="s">
        <v>9282</v>
      </c>
      <c r="D1382" s="374">
        <v>1243110039762</v>
      </c>
      <c r="E1382" s="372" t="s">
        <v>9283</v>
      </c>
      <c r="F1382" s="375" t="s">
        <v>2856</v>
      </c>
      <c r="G1382" s="375" t="s">
        <v>2856</v>
      </c>
      <c r="H1382" s="375" t="s">
        <v>1337</v>
      </c>
      <c r="I1382" s="375" t="s">
        <v>862</v>
      </c>
      <c r="J1382" s="375">
        <v>108031.0361</v>
      </c>
      <c r="K1382" s="375">
        <v>11584.39993</v>
      </c>
      <c r="L1382" s="375">
        <v>11411.760990000001</v>
      </c>
      <c r="M1382" s="375">
        <v>83653.97941</v>
      </c>
      <c r="N1382" s="372">
        <v>0.40500000000000003</v>
      </c>
      <c r="O1382" s="704">
        <v>5.4205457051121702</v>
      </c>
      <c r="P1382" s="375" t="s">
        <v>622</v>
      </c>
      <c r="Q1382" s="372" t="s">
        <v>622</v>
      </c>
      <c r="R1382" s="696">
        <v>20000728</v>
      </c>
      <c r="S1382" s="372" t="s">
        <v>9284</v>
      </c>
      <c r="T1382" s="697">
        <v>0.20900000000000002</v>
      </c>
      <c r="U1382" s="372" t="s">
        <v>9285</v>
      </c>
      <c r="V1382" s="723">
        <v>5.3</v>
      </c>
      <c r="W1382" s="723">
        <v>1.1000000000000001</v>
      </c>
      <c r="X1382" s="723">
        <v>0.93</v>
      </c>
      <c r="Y1382" s="723">
        <v>11.15</v>
      </c>
      <c r="Z1382" s="382">
        <v>-1.2491826934656114E-2</v>
      </c>
      <c r="AA1382" s="372">
        <v>853.88337430000001</v>
      </c>
      <c r="AB1382" s="372">
        <v>1017.1428268</v>
      </c>
      <c r="AC1382" s="372">
        <v>1107.917631</v>
      </c>
      <c r="AD1382" s="372">
        <v>1133.5898950999999</v>
      </c>
      <c r="AE1382" s="372">
        <v>1061</v>
      </c>
      <c r="AF1382" s="372">
        <v>1074</v>
      </c>
      <c r="AG1382" s="372">
        <v>1078</v>
      </c>
      <c r="AH1382" s="372">
        <v>1071</v>
      </c>
    </row>
    <row r="1383" spans="1:34">
      <c r="A1383" s="372" t="s">
        <v>9286</v>
      </c>
      <c r="B1383" s="373" t="s">
        <v>9287</v>
      </c>
      <c r="C1383" s="372" t="s">
        <v>9288</v>
      </c>
      <c r="D1383" s="374">
        <v>1347110000408</v>
      </c>
      <c r="E1383" s="372" t="s">
        <v>9289</v>
      </c>
      <c r="F1383" s="375" t="s">
        <v>3956</v>
      </c>
      <c r="G1383" s="375" t="s">
        <v>3956</v>
      </c>
      <c r="H1383" s="375" t="s">
        <v>3957</v>
      </c>
      <c r="I1383" s="375" t="s">
        <v>754</v>
      </c>
      <c r="J1383" s="375">
        <v>86858.53512</v>
      </c>
      <c r="K1383" s="375">
        <v>-11980.8879</v>
      </c>
      <c r="L1383" s="375">
        <v>-18454.623780000002</v>
      </c>
      <c r="M1383" s="375">
        <v>108146.81137</v>
      </c>
      <c r="N1383" s="372">
        <v>0.72</v>
      </c>
      <c r="O1383" s="704">
        <v>112.09650892444985</v>
      </c>
      <c r="P1383" s="375" t="s">
        <v>622</v>
      </c>
      <c r="Q1383" s="372" t="s">
        <v>622</v>
      </c>
      <c r="R1383" s="696">
        <v>19960703</v>
      </c>
      <c r="S1383" s="372" t="s">
        <v>9290</v>
      </c>
      <c r="T1383" s="697" t="s">
        <v>771</v>
      </c>
      <c r="U1383" s="372" t="s">
        <v>9291</v>
      </c>
      <c r="V1383" s="723" t="s">
        <v>773</v>
      </c>
      <c r="W1383" s="723">
        <v>0.59</v>
      </c>
      <c r="X1383" s="723">
        <v>0.76</v>
      </c>
      <c r="Y1383" s="723" t="s">
        <v>773</v>
      </c>
      <c r="Z1383" s="382" t="s">
        <v>927</v>
      </c>
      <c r="AA1383" s="372">
        <v>981.55184919999999</v>
      </c>
      <c r="AB1383" s="372">
        <v>1206.1251153999999</v>
      </c>
      <c r="AC1383" s="372">
        <v>1054.4903886</v>
      </c>
      <c r="AD1383" s="372">
        <v>825.6802447</v>
      </c>
      <c r="AE1383" s="372">
        <v>0</v>
      </c>
      <c r="AF1383" s="372">
        <v>0</v>
      </c>
      <c r="AG1383" s="372">
        <v>0</v>
      </c>
      <c r="AH1383" s="372">
        <v>0</v>
      </c>
    </row>
    <row r="1384" spans="1:34">
      <c r="A1384" s="372" t="s">
        <v>9292</v>
      </c>
      <c r="B1384" s="373" t="s">
        <v>9293</v>
      </c>
      <c r="C1384" s="372" t="s">
        <v>9294</v>
      </c>
      <c r="D1384" s="374">
        <v>1101111867831</v>
      </c>
      <c r="E1384" s="372" t="s">
        <v>9295</v>
      </c>
      <c r="F1384" s="375" t="s">
        <v>1275</v>
      </c>
      <c r="G1384" s="375" t="s">
        <v>1275</v>
      </c>
      <c r="H1384" s="375" t="s">
        <v>861</v>
      </c>
      <c r="I1384" s="375" t="s">
        <v>862</v>
      </c>
      <c r="J1384" s="375">
        <v>42571.418109999999</v>
      </c>
      <c r="K1384" s="375">
        <v>-10341.65957</v>
      </c>
      <c r="L1384" s="375">
        <v>-10675.1199</v>
      </c>
      <c r="M1384" s="375">
        <v>50800.960339999998</v>
      </c>
      <c r="N1384" s="372">
        <v>1.0129999999999999</v>
      </c>
      <c r="O1384" s="704">
        <v>25.261708848494514</v>
      </c>
      <c r="P1384" s="375" t="s">
        <v>622</v>
      </c>
      <c r="Q1384" s="372" t="s">
        <v>622</v>
      </c>
      <c r="R1384" s="696">
        <v>20131219</v>
      </c>
      <c r="S1384" s="375" t="s">
        <v>9296</v>
      </c>
      <c r="T1384" s="697" t="s">
        <v>771</v>
      </c>
      <c r="U1384" s="372" t="s">
        <v>9297</v>
      </c>
      <c r="V1384" s="723" t="s">
        <v>773</v>
      </c>
      <c r="W1384" s="723">
        <v>1.26</v>
      </c>
      <c r="X1384" s="723">
        <v>1.51</v>
      </c>
      <c r="Y1384" s="723" t="s">
        <v>773</v>
      </c>
      <c r="Z1384" s="382" t="s">
        <v>927</v>
      </c>
      <c r="AA1384" s="372">
        <v>442.7859785</v>
      </c>
      <c r="AB1384" s="372">
        <v>716.23429309999995</v>
      </c>
      <c r="AC1384" s="372">
        <v>547.26444530000003</v>
      </c>
      <c r="AD1384" s="372">
        <v>442.94520240000003</v>
      </c>
      <c r="AE1384" s="372">
        <v>1266</v>
      </c>
      <c r="AF1384" s="372">
        <v>0</v>
      </c>
      <c r="AG1384" s="372">
        <v>0</v>
      </c>
      <c r="AH1384" s="372">
        <v>0</v>
      </c>
    </row>
    <row r="1385" spans="1:34">
      <c r="A1385" s="372" t="s">
        <v>9298</v>
      </c>
      <c r="B1385" s="373" t="s">
        <v>9299</v>
      </c>
      <c r="C1385" s="372" t="s">
        <v>9300</v>
      </c>
      <c r="D1385" s="374">
        <v>1101111335656</v>
      </c>
      <c r="E1385" s="372" t="s">
        <v>9301</v>
      </c>
      <c r="F1385" s="375" t="s">
        <v>1006</v>
      </c>
      <c r="G1385" s="375" t="s">
        <v>1215</v>
      </c>
      <c r="H1385" s="375" t="s">
        <v>861</v>
      </c>
      <c r="I1385" s="375" t="s">
        <v>862</v>
      </c>
      <c r="J1385" s="375">
        <v>86837.459969999996</v>
      </c>
      <c r="K1385" s="375">
        <v>32763.601449999998</v>
      </c>
      <c r="L1385" s="375">
        <v>37626.568189999998</v>
      </c>
      <c r="M1385" s="375">
        <v>242294.0215</v>
      </c>
      <c r="N1385" s="372">
        <v>0.89</v>
      </c>
      <c r="O1385" s="704">
        <v>4.945235729363894</v>
      </c>
      <c r="P1385" s="375" t="s">
        <v>622</v>
      </c>
      <c r="Q1385" s="372" t="s">
        <v>622</v>
      </c>
      <c r="R1385" s="696">
        <v>20010810</v>
      </c>
      <c r="S1385" s="372" t="s">
        <v>9302</v>
      </c>
      <c r="T1385" s="697">
        <v>0.23100000000000001</v>
      </c>
      <c r="U1385" s="372" t="s">
        <v>9303</v>
      </c>
      <c r="V1385" s="723">
        <v>1.97</v>
      </c>
      <c r="W1385" s="723">
        <v>0.28000000000000003</v>
      </c>
      <c r="X1385" s="723">
        <v>0.79</v>
      </c>
      <c r="Y1385" s="723">
        <v>3.87</v>
      </c>
      <c r="Z1385" s="382" t="s">
        <v>927</v>
      </c>
      <c r="AA1385" s="372">
        <v>475.43482979999999</v>
      </c>
      <c r="AB1385" s="372">
        <v>582.75218640000003</v>
      </c>
      <c r="AC1385" s="372">
        <v>590.56348969999999</v>
      </c>
      <c r="AD1385" s="372">
        <v>893.63311390000001</v>
      </c>
      <c r="AE1385" s="372">
        <v>0</v>
      </c>
      <c r="AF1385" s="372">
        <v>0</v>
      </c>
      <c r="AG1385" s="372">
        <v>0</v>
      </c>
      <c r="AH1385" s="372">
        <v>0</v>
      </c>
    </row>
    <row r="1386" spans="1:34">
      <c r="A1386" s="372" t="s">
        <v>9304</v>
      </c>
      <c r="B1386" s="373" t="s">
        <v>9305</v>
      </c>
      <c r="C1386" s="372" t="s">
        <v>9306</v>
      </c>
      <c r="D1386" s="374">
        <v>1311110332864</v>
      </c>
      <c r="E1386" s="372" t="s">
        <v>9307</v>
      </c>
      <c r="F1386" s="375" t="s">
        <v>975</v>
      </c>
      <c r="G1386" s="375" t="s">
        <v>975</v>
      </c>
      <c r="H1386" s="375" t="s">
        <v>1337</v>
      </c>
      <c r="I1386" s="375" t="s">
        <v>862</v>
      </c>
      <c r="J1386" s="375">
        <v>174771.63931999999</v>
      </c>
      <c r="K1386" s="375">
        <v>15186.333130000001</v>
      </c>
      <c r="L1386" s="375">
        <v>16825.92699</v>
      </c>
      <c r="M1386" s="375">
        <v>94974.794639999993</v>
      </c>
      <c r="N1386" s="372">
        <v>0.91600000000000004</v>
      </c>
      <c r="O1386" s="704">
        <v>14.602079356310712</v>
      </c>
      <c r="P1386" s="375" t="s">
        <v>622</v>
      </c>
      <c r="Q1386" s="375" t="s">
        <v>622</v>
      </c>
      <c r="R1386" s="696">
        <v>20171205</v>
      </c>
      <c r="S1386" s="375" t="s">
        <v>9308</v>
      </c>
      <c r="T1386" s="697">
        <v>0.20900000000000002</v>
      </c>
      <c r="U1386" s="372" t="s">
        <v>9309</v>
      </c>
      <c r="V1386" s="723">
        <v>6.67</v>
      </c>
      <c r="W1386" s="723">
        <v>1.35</v>
      </c>
      <c r="X1386" s="723">
        <v>0.75</v>
      </c>
      <c r="Y1386" s="723">
        <v>8.5500000000000007</v>
      </c>
      <c r="Z1386" s="382">
        <v>0.10168673059900568</v>
      </c>
      <c r="AA1386" s="372">
        <v>921.30559670000002</v>
      </c>
      <c r="AB1386" s="372">
        <v>1276.0760951</v>
      </c>
      <c r="AC1386" s="372">
        <v>1320.6970309999999</v>
      </c>
      <c r="AD1386" s="372">
        <v>1471.7254622999999</v>
      </c>
      <c r="AE1386" s="372">
        <v>1715</v>
      </c>
      <c r="AF1386" s="372">
        <v>1920</v>
      </c>
      <c r="AG1386" s="372">
        <v>2168</v>
      </c>
      <c r="AH1386" s="372">
        <v>0</v>
      </c>
    </row>
    <row r="1387" spans="1:34">
      <c r="A1387" s="372" t="s">
        <v>9310</v>
      </c>
      <c r="B1387" s="373" t="s">
        <v>9311</v>
      </c>
      <c r="C1387" s="372" t="s">
        <v>9312</v>
      </c>
      <c r="D1387" s="374">
        <v>1101110220204</v>
      </c>
      <c r="E1387" s="372" t="s">
        <v>9313</v>
      </c>
      <c r="F1387" s="375" t="s">
        <v>9314</v>
      </c>
      <c r="G1387" s="375" t="s">
        <v>9314</v>
      </c>
      <c r="H1387" s="375" t="s">
        <v>1043</v>
      </c>
      <c r="I1387" s="375" t="s">
        <v>754</v>
      </c>
      <c r="J1387" s="375">
        <v>27269.24855</v>
      </c>
      <c r="K1387" s="375">
        <v>2714.6297599999998</v>
      </c>
      <c r="L1387" s="375">
        <v>2377.1703000000002</v>
      </c>
      <c r="M1387" s="375">
        <v>45855.334159999999</v>
      </c>
      <c r="N1387" s="372" t="s">
        <v>1026</v>
      </c>
      <c r="O1387" s="704">
        <v>5.6279231693309795</v>
      </c>
      <c r="P1387" s="375" t="s">
        <v>16115</v>
      </c>
      <c r="Q1387" s="372" t="s">
        <v>622</v>
      </c>
      <c r="R1387" s="696">
        <v>19900710</v>
      </c>
      <c r="S1387" s="375" t="s">
        <v>9315</v>
      </c>
      <c r="T1387" s="697">
        <v>0.20900000000000002</v>
      </c>
      <c r="U1387" s="372" t="s">
        <v>15907</v>
      </c>
      <c r="V1387" s="723">
        <v>32.020000000000003</v>
      </c>
      <c r="W1387" s="723">
        <v>2.5299999999999998</v>
      </c>
      <c r="X1387" s="723">
        <v>4.1399999999999997</v>
      </c>
      <c r="Y1387" s="723">
        <v>47.63</v>
      </c>
      <c r="Z1387" s="382" t="s">
        <v>927</v>
      </c>
      <c r="AA1387" s="372">
        <v>291.8545312</v>
      </c>
      <c r="AB1387" s="372">
        <v>181.49624119999999</v>
      </c>
      <c r="AC1387" s="372">
        <v>215.89027809999999</v>
      </c>
      <c r="AD1387" s="372">
        <v>213.959239</v>
      </c>
      <c r="AE1387" s="372">
        <v>0</v>
      </c>
      <c r="AF1387" s="372">
        <v>0</v>
      </c>
      <c r="AG1387" s="372">
        <v>0</v>
      </c>
      <c r="AH1387" s="372">
        <v>0</v>
      </c>
    </row>
    <row r="1388" spans="1:34">
      <c r="A1388" s="372" t="s">
        <v>9316</v>
      </c>
      <c r="B1388" s="373" t="s">
        <v>9317</v>
      </c>
      <c r="C1388" s="372" t="s">
        <v>9318</v>
      </c>
      <c r="D1388" s="374">
        <v>1101111042574</v>
      </c>
      <c r="E1388" s="372" t="s">
        <v>9319</v>
      </c>
      <c r="F1388" s="375" t="s">
        <v>1282</v>
      </c>
      <c r="G1388" s="375" t="s">
        <v>1283</v>
      </c>
      <c r="H1388" s="375" t="s">
        <v>861</v>
      </c>
      <c r="I1388" s="375" t="s">
        <v>862</v>
      </c>
      <c r="J1388" s="375">
        <v>289389.05161999998</v>
      </c>
      <c r="K1388" s="375">
        <v>-1628.6614300000001</v>
      </c>
      <c r="L1388" s="375">
        <v>-5729.70669</v>
      </c>
      <c r="M1388" s="375">
        <v>179490.66097</v>
      </c>
      <c r="N1388" s="372">
        <v>0.871</v>
      </c>
      <c r="O1388" s="704">
        <v>39.992836145108733</v>
      </c>
      <c r="P1388" s="375" t="s">
        <v>622</v>
      </c>
      <c r="Q1388" s="372" t="s">
        <v>622</v>
      </c>
      <c r="R1388" s="696">
        <v>20031112</v>
      </c>
      <c r="S1388" s="372" t="s">
        <v>9320</v>
      </c>
      <c r="T1388" s="697" t="s">
        <v>771</v>
      </c>
      <c r="U1388" s="372" t="s">
        <v>9321</v>
      </c>
      <c r="V1388" s="723">
        <v>49.29</v>
      </c>
      <c r="W1388" s="723">
        <v>0.74</v>
      </c>
      <c r="X1388" s="723">
        <v>0.46</v>
      </c>
      <c r="Y1388" s="723" t="s">
        <v>773</v>
      </c>
      <c r="Z1388" s="382" t="s">
        <v>927</v>
      </c>
      <c r="AA1388" s="372">
        <v>2634.8582323000001</v>
      </c>
      <c r="AB1388" s="372">
        <v>3178.6413637999999</v>
      </c>
      <c r="AC1388" s="372">
        <v>3744.3999597000002</v>
      </c>
      <c r="AD1388" s="372">
        <v>3580.5233973999998</v>
      </c>
      <c r="AE1388" s="372">
        <v>0</v>
      </c>
      <c r="AF1388" s="372">
        <v>0</v>
      </c>
      <c r="AG1388" s="372">
        <v>0</v>
      </c>
      <c r="AH1388" s="372">
        <v>0</v>
      </c>
    </row>
    <row r="1389" spans="1:34">
      <c r="A1389" s="372" t="s">
        <v>9322</v>
      </c>
      <c r="B1389" s="373" t="s">
        <v>9323</v>
      </c>
      <c r="C1389" s="372" t="s">
        <v>9324</v>
      </c>
      <c r="D1389" s="374">
        <v>1311110042950</v>
      </c>
      <c r="E1389" s="372" t="s">
        <v>9325</v>
      </c>
      <c r="F1389" s="375" t="s">
        <v>4833</v>
      </c>
      <c r="G1389" s="375" t="s">
        <v>4833</v>
      </c>
      <c r="H1389" s="375" t="s">
        <v>1316</v>
      </c>
      <c r="I1389" s="375" t="s">
        <v>754</v>
      </c>
      <c r="J1389" s="375">
        <v>1622458.39487</v>
      </c>
      <c r="K1389" s="375">
        <v>41148.171009999998</v>
      </c>
      <c r="L1389" s="375">
        <v>12480.502</v>
      </c>
      <c r="M1389" s="375">
        <v>246107.93577000001</v>
      </c>
      <c r="N1389" s="372">
        <v>0.94599999999999995</v>
      </c>
      <c r="O1389" s="704">
        <v>1128.5514536856222</v>
      </c>
      <c r="P1389" s="375" t="s">
        <v>622</v>
      </c>
      <c r="Q1389" s="372" t="s">
        <v>622</v>
      </c>
      <c r="R1389" s="696">
        <v>19991025</v>
      </c>
      <c r="S1389" s="372" t="s">
        <v>9326</v>
      </c>
      <c r="T1389" s="697">
        <v>0.20900000000000002</v>
      </c>
      <c r="U1389" s="372" t="s">
        <v>9327</v>
      </c>
      <c r="V1389" s="723">
        <v>8.32</v>
      </c>
      <c r="W1389" s="723">
        <v>0.37</v>
      </c>
      <c r="X1389" s="723">
        <v>0.05</v>
      </c>
      <c r="Y1389" s="723" t="s">
        <v>773</v>
      </c>
      <c r="Z1389" s="382" t="s">
        <v>927</v>
      </c>
      <c r="AA1389" s="372">
        <v>13339.3711109</v>
      </c>
      <c r="AB1389" s="372">
        <v>15368.5609241</v>
      </c>
      <c r="AC1389" s="372">
        <v>19015.0680971</v>
      </c>
      <c r="AD1389" s="372">
        <v>18545.476888000001</v>
      </c>
      <c r="AE1389" s="372">
        <v>0</v>
      </c>
      <c r="AF1389" s="372">
        <v>0</v>
      </c>
      <c r="AG1389" s="372">
        <v>0</v>
      </c>
      <c r="AH1389" s="372">
        <v>0</v>
      </c>
    </row>
    <row r="1390" spans="1:34">
      <c r="A1390" s="372" t="s">
        <v>9328</v>
      </c>
      <c r="B1390" s="373" t="s">
        <v>9329</v>
      </c>
      <c r="C1390" s="372" t="s">
        <v>9330</v>
      </c>
      <c r="D1390" s="374">
        <v>1601110082513</v>
      </c>
      <c r="E1390" s="372" t="s">
        <v>9331</v>
      </c>
      <c r="F1390" s="375" t="s">
        <v>4871</v>
      </c>
      <c r="G1390" s="375" t="s">
        <v>4871</v>
      </c>
      <c r="H1390" s="375" t="s">
        <v>861</v>
      </c>
      <c r="I1390" s="375" t="s">
        <v>862</v>
      </c>
      <c r="J1390" s="375">
        <v>239680.79483999999</v>
      </c>
      <c r="K1390" s="375">
        <v>9100.5234400000008</v>
      </c>
      <c r="L1390" s="375">
        <v>-12952.53068</v>
      </c>
      <c r="M1390" s="375">
        <v>36074.768199999999</v>
      </c>
      <c r="N1390" s="372">
        <v>0.92600000000000005</v>
      </c>
      <c r="O1390" s="704">
        <v>217.54500679161009</v>
      </c>
      <c r="P1390" s="375" t="s">
        <v>622</v>
      </c>
      <c r="Q1390" s="372" t="s">
        <v>622</v>
      </c>
      <c r="R1390" s="696">
        <v>20050624</v>
      </c>
      <c r="S1390" s="372" t="s">
        <v>9332</v>
      </c>
      <c r="T1390" s="697" t="s">
        <v>771</v>
      </c>
      <c r="U1390" s="372" t="s">
        <v>9333</v>
      </c>
      <c r="V1390" s="723">
        <v>9.0500000000000007</v>
      </c>
      <c r="W1390" s="723">
        <v>1.64</v>
      </c>
      <c r="X1390" s="723">
        <v>0.28000000000000003</v>
      </c>
      <c r="Y1390" s="723" t="s">
        <v>773</v>
      </c>
      <c r="Z1390" s="382">
        <v>3.661322393686528E-2</v>
      </c>
      <c r="AA1390" s="372">
        <v>2067.2527414000001</v>
      </c>
      <c r="AB1390" s="372">
        <v>2008.9800593</v>
      </c>
      <c r="AC1390" s="372">
        <v>1982.2768466</v>
      </c>
      <c r="AD1390" s="372">
        <v>2320.9608505000001</v>
      </c>
      <c r="AE1390" s="372">
        <v>2191</v>
      </c>
      <c r="AF1390" s="372">
        <v>2438</v>
      </c>
      <c r="AG1390" s="372">
        <v>2680</v>
      </c>
      <c r="AH1390" s="372">
        <v>0</v>
      </c>
    </row>
    <row r="1391" spans="1:34">
      <c r="A1391" s="372" t="s">
        <v>9334</v>
      </c>
      <c r="B1391" s="373" t="s">
        <v>9335</v>
      </c>
      <c r="C1391" s="372" t="s">
        <v>9336</v>
      </c>
      <c r="D1391" s="374">
        <v>1701110207177</v>
      </c>
      <c r="E1391" s="372" t="s">
        <v>9337</v>
      </c>
      <c r="F1391" s="375" t="s">
        <v>1962</v>
      </c>
      <c r="G1391" s="375" t="s">
        <v>1962</v>
      </c>
      <c r="H1391" s="375" t="s">
        <v>861</v>
      </c>
      <c r="I1391" s="375" t="s">
        <v>862</v>
      </c>
      <c r="J1391" s="375">
        <v>26982.328819999999</v>
      </c>
      <c r="K1391" s="375">
        <v>809.08515999999997</v>
      </c>
      <c r="L1391" s="375">
        <v>629.01831000000004</v>
      </c>
      <c r="M1391" s="375">
        <v>27410.98833</v>
      </c>
      <c r="N1391" s="372" t="s">
        <v>1026</v>
      </c>
      <c r="O1391" s="704">
        <v>17.426569045688243</v>
      </c>
      <c r="P1391" s="375" t="s">
        <v>622</v>
      </c>
      <c r="Q1391" s="375" t="s">
        <v>622</v>
      </c>
      <c r="R1391" s="696">
        <v>20180913</v>
      </c>
      <c r="S1391" s="375" t="s">
        <v>9338</v>
      </c>
      <c r="T1391" s="697">
        <v>0.20900000000000002</v>
      </c>
      <c r="U1391" s="372" t="s">
        <v>9339</v>
      </c>
      <c r="V1391" s="723">
        <v>0</v>
      </c>
      <c r="W1391" s="723">
        <v>0</v>
      </c>
      <c r="X1391" s="723">
        <v>0</v>
      </c>
      <c r="Y1391" s="723">
        <v>0</v>
      </c>
      <c r="Z1391" s="382" t="s">
        <v>927</v>
      </c>
      <c r="AA1391" s="372">
        <v>174.65053040000001</v>
      </c>
      <c r="AB1391" s="372">
        <v>115.5437064</v>
      </c>
      <c r="AC1391" s="372">
        <v>62.172220799999998</v>
      </c>
      <c r="AD1391" s="372">
        <v>250.2980756</v>
      </c>
      <c r="AE1391" s="372">
        <v>0</v>
      </c>
      <c r="AF1391" s="372">
        <v>0</v>
      </c>
      <c r="AG1391" s="372">
        <v>0</v>
      </c>
      <c r="AH1391" s="372">
        <v>0</v>
      </c>
    </row>
    <row r="1392" spans="1:34">
      <c r="A1392" s="372" t="s">
        <v>9340</v>
      </c>
      <c r="B1392" s="373" t="s">
        <v>9341</v>
      </c>
      <c r="C1392" s="372" t="s">
        <v>9342</v>
      </c>
      <c r="D1392" s="374">
        <v>1311110128338</v>
      </c>
      <c r="E1392" s="372" t="s">
        <v>9343</v>
      </c>
      <c r="F1392" s="375" t="s">
        <v>5687</v>
      </c>
      <c r="G1392" s="375" t="s">
        <v>5687</v>
      </c>
      <c r="H1392" s="375" t="s">
        <v>861</v>
      </c>
      <c r="I1392" s="375" t="s">
        <v>862</v>
      </c>
      <c r="J1392" s="375">
        <v>1195.34214</v>
      </c>
      <c r="K1392" s="375">
        <v>-4458.3171300000004</v>
      </c>
      <c r="L1392" s="375">
        <v>-3752.8859200000002</v>
      </c>
      <c r="M1392" s="375">
        <v>9244.3457799999996</v>
      </c>
      <c r="N1392" s="372">
        <v>1.091</v>
      </c>
      <c r="O1392" s="704">
        <v>2.356785943061023</v>
      </c>
      <c r="P1392" s="375" t="s">
        <v>622</v>
      </c>
      <c r="Q1392" s="372" t="s">
        <v>622</v>
      </c>
      <c r="R1392" s="696">
        <v>20200220</v>
      </c>
      <c r="S1392" s="372" t="s">
        <v>9344</v>
      </c>
      <c r="T1392" s="697" t="s">
        <v>771</v>
      </c>
      <c r="U1392" s="372" t="s">
        <v>9345</v>
      </c>
      <c r="V1392" s="723">
        <v>0</v>
      </c>
      <c r="W1392" s="723">
        <v>0</v>
      </c>
      <c r="X1392" s="723">
        <v>0</v>
      </c>
      <c r="Y1392" s="723">
        <v>0</v>
      </c>
      <c r="Z1392" s="382" t="s">
        <v>927</v>
      </c>
      <c r="AA1392" s="372">
        <v>14.044777399999999</v>
      </c>
      <c r="AB1392" s="372">
        <v>11.371693499999999</v>
      </c>
      <c r="AC1392" s="372">
        <v>63.6461027</v>
      </c>
      <c r="AD1392" s="372">
        <v>63.9091156</v>
      </c>
      <c r="AE1392" s="372">
        <v>0</v>
      </c>
      <c r="AF1392" s="372">
        <v>0</v>
      </c>
      <c r="AG1392" s="372">
        <v>0</v>
      </c>
      <c r="AH1392" s="372">
        <v>0</v>
      </c>
    </row>
    <row r="1393" spans="1:34">
      <c r="A1393" s="372" t="s">
        <v>9346</v>
      </c>
      <c r="B1393" s="373" t="s">
        <v>9347</v>
      </c>
      <c r="C1393" s="372" t="s">
        <v>9348</v>
      </c>
      <c r="D1393" s="374">
        <v>1101110220882</v>
      </c>
      <c r="E1393" s="372" t="s">
        <v>9349</v>
      </c>
      <c r="F1393" s="375" t="s">
        <v>9350</v>
      </c>
      <c r="G1393" s="375" t="s">
        <v>9351</v>
      </c>
      <c r="H1393" s="375" t="s">
        <v>3957</v>
      </c>
      <c r="I1393" s="375" t="s">
        <v>754</v>
      </c>
      <c r="J1393" s="375">
        <v>128481.48417</v>
      </c>
      <c r="K1393" s="375">
        <v>4713.49377</v>
      </c>
      <c r="L1393" s="375">
        <v>4920.8386700000001</v>
      </c>
      <c r="M1393" s="375">
        <v>81725.14718</v>
      </c>
      <c r="N1393" s="372">
        <v>0.56200000000000006</v>
      </c>
      <c r="O1393" s="704">
        <v>0.51632251965966502</v>
      </c>
      <c r="P1393" s="375" t="s">
        <v>622</v>
      </c>
      <c r="Q1393" s="375" t="s">
        <v>622</v>
      </c>
      <c r="R1393" s="696">
        <v>19881014</v>
      </c>
      <c r="S1393" s="375" t="s">
        <v>9352</v>
      </c>
      <c r="T1393" s="697">
        <v>0.20900000000000002</v>
      </c>
      <c r="U1393" s="372" t="s">
        <v>9353</v>
      </c>
      <c r="V1393" s="723">
        <v>0</v>
      </c>
      <c r="W1393" s="723">
        <v>0</v>
      </c>
      <c r="X1393" s="723">
        <v>0</v>
      </c>
      <c r="Y1393" s="723">
        <v>0</v>
      </c>
      <c r="Z1393" s="382" t="s">
        <v>927</v>
      </c>
      <c r="AA1393" s="372">
        <v>1171.3087574000001</v>
      </c>
      <c r="AB1393" s="372">
        <v>1063.9939605</v>
      </c>
      <c r="AC1393" s="372">
        <v>1208.7009410999999</v>
      </c>
      <c r="AD1393" s="372">
        <v>1297.6004831</v>
      </c>
      <c r="AE1393" s="372">
        <v>0</v>
      </c>
      <c r="AF1393" s="372">
        <v>0</v>
      </c>
      <c r="AG1393" s="372">
        <v>0</v>
      </c>
      <c r="AH1393" s="372">
        <v>0</v>
      </c>
    </row>
    <row r="1394" spans="1:34">
      <c r="A1394" s="372" t="s">
        <v>9354</v>
      </c>
      <c r="B1394" s="373" t="s">
        <v>9355</v>
      </c>
      <c r="C1394" s="372" t="s">
        <v>16125</v>
      </c>
      <c r="D1394" s="374">
        <v>1701110001131</v>
      </c>
      <c r="E1394" s="372" t="s">
        <v>16126</v>
      </c>
      <c r="F1394" s="375" t="s">
        <v>1849</v>
      </c>
      <c r="G1394" s="375" t="s">
        <v>1850</v>
      </c>
      <c r="H1394" s="375" t="s">
        <v>1386</v>
      </c>
      <c r="I1394" s="375" t="s">
        <v>754</v>
      </c>
      <c r="J1394" s="375">
        <v>686123.08829999994</v>
      </c>
      <c r="K1394" s="375">
        <v>18948.609499999999</v>
      </c>
      <c r="L1394" s="375">
        <v>1800.4159199999999</v>
      </c>
      <c r="M1394" s="375">
        <v>376063.59863000002</v>
      </c>
      <c r="N1394" s="372">
        <v>0.63200000000000001</v>
      </c>
      <c r="O1394" s="704">
        <v>449.73351391895892</v>
      </c>
      <c r="P1394" s="375" t="s">
        <v>622</v>
      </c>
      <c r="Q1394" s="372" t="s">
        <v>622</v>
      </c>
      <c r="R1394" s="696">
        <v>19880929</v>
      </c>
      <c r="S1394" s="372" t="s">
        <v>9356</v>
      </c>
      <c r="T1394" s="697">
        <v>0.20900000000000002</v>
      </c>
      <c r="U1394" s="372" t="s">
        <v>9357</v>
      </c>
      <c r="V1394" s="723">
        <v>7.45</v>
      </c>
      <c r="W1394" s="723">
        <v>0.22</v>
      </c>
      <c r="X1394" s="723">
        <v>0.13</v>
      </c>
      <c r="Y1394" s="723" t="s">
        <v>773</v>
      </c>
      <c r="Z1394" s="382">
        <v>-7.670629152255215E-2</v>
      </c>
      <c r="AA1394" s="372">
        <v>4192.5929881000002</v>
      </c>
      <c r="AB1394" s="372">
        <v>4222.3139543999996</v>
      </c>
      <c r="AC1394" s="372">
        <v>6457.0674256000002</v>
      </c>
      <c r="AD1394" s="372">
        <v>9080.6852696000005</v>
      </c>
      <c r="AE1394" s="372">
        <v>5977</v>
      </c>
      <c r="AF1394" s="372">
        <v>6005</v>
      </c>
      <c r="AG1394" s="372">
        <v>6599</v>
      </c>
      <c r="AH1394" s="372">
        <v>7720</v>
      </c>
    </row>
    <row r="1395" spans="1:34">
      <c r="A1395" s="372" t="s">
        <v>9358</v>
      </c>
      <c r="B1395" s="373" t="s">
        <v>9359</v>
      </c>
      <c r="C1395" s="372" t="s">
        <v>9360</v>
      </c>
      <c r="D1395" s="374">
        <v>1101114297944</v>
      </c>
      <c r="E1395" s="372" t="s">
        <v>9361</v>
      </c>
      <c r="F1395" s="375" t="s">
        <v>1075</v>
      </c>
      <c r="G1395" s="375" t="s">
        <v>1530</v>
      </c>
      <c r="H1395" s="375" t="s">
        <v>1531</v>
      </c>
      <c r="I1395" s="375" t="s">
        <v>862</v>
      </c>
      <c r="J1395" s="375">
        <v>73698.823980000001</v>
      </c>
      <c r="K1395" s="375">
        <v>-10737.391530000001</v>
      </c>
      <c r="L1395" s="375">
        <v>-9096.5428100000008</v>
      </c>
      <c r="M1395" s="375">
        <v>77382.977329999994</v>
      </c>
      <c r="N1395" s="372">
        <v>0.78</v>
      </c>
      <c r="O1395" s="704">
        <v>19.737004650237601</v>
      </c>
      <c r="P1395" s="375" t="s">
        <v>622</v>
      </c>
      <c r="Q1395" s="375" t="s">
        <v>622</v>
      </c>
      <c r="R1395" s="696">
        <v>20211122</v>
      </c>
      <c r="S1395" s="375" t="s">
        <v>9362</v>
      </c>
      <c r="T1395" s="697" t="s">
        <v>771</v>
      </c>
      <c r="U1395" s="372" t="s">
        <v>9363</v>
      </c>
      <c r="V1395" s="723" t="s">
        <v>773</v>
      </c>
      <c r="W1395" s="723">
        <v>1.06</v>
      </c>
      <c r="X1395" s="723">
        <v>0.99</v>
      </c>
      <c r="Y1395" s="723" t="s">
        <v>773</v>
      </c>
      <c r="Z1395" s="382" t="s">
        <v>927</v>
      </c>
      <c r="AA1395" s="372">
        <v>372.76708739999998</v>
      </c>
      <c r="AB1395" s="372">
        <v>596.20243029999995</v>
      </c>
      <c r="AC1395" s="372">
        <v>630.86449909999999</v>
      </c>
      <c r="AD1395" s="372">
        <v>914.34324719999995</v>
      </c>
      <c r="AE1395" s="372">
        <v>0</v>
      </c>
      <c r="AF1395" s="372">
        <v>0</v>
      </c>
      <c r="AG1395" s="372">
        <v>0</v>
      </c>
      <c r="AH1395" s="372">
        <v>0</v>
      </c>
    </row>
    <row r="1396" spans="1:34">
      <c r="A1396" s="372" t="s">
        <v>9364</v>
      </c>
      <c r="B1396" s="373" t="s">
        <v>9365</v>
      </c>
      <c r="C1396" s="372" t="s">
        <v>9366</v>
      </c>
      <c r="D1396" s="374">
        <v>1101112498312</v>
      </c>
      <c r="E1396" s="372" t="s">
        <v>9367</v>
      </c>
      <c r="F1396" s="375" t="s">
        <v>1796</v>
      </c>
      <c r="G1396" s="375" t="s">
        <v>1797</v>
      </c>
      <c r="H1396" s="375" t="s">
        <v>861</v>
      </c>
      <c r="I1396" s="375" t="s">
        <v>862</v>
      </c>
      <c r="J1396" s="375">
        <v>32870.200420000001</v>
      </c>
      <c r="K1396" s="375">
        <v>859.45510000000002</v>
      </c>
      <c r="L1396" s="375">
        <v>1699.8099</v>
      </c>
      <c r="M1396" s="375">
        <v>43930.065860000002</v>
      </c>
      <c r="N1396" s="372" t="s">
        <v>1026</v>
      </c>
      <c r="O1396" s="704">
        <v>10.631703439568275</v>
      </c>
      <c r="P1396" s="375" t="s">
        <v>622</v>
      </c>
      <c r="Q1396" s="372" t="s">
        <v>622</v>
      </c>
      <c r="R1396" s="696">
        <v>20230925</v>
      </c>
      <c r="S1396" s="372" t="s">
        <v>9368</v>
      </c>
      <c r="T1396" s="697">
        <v>0.20900000000000002</v>
      </c>
      <c r="U1396" s="372" t="s">
        <v>9369</v>
      </c>
      <c r="V1396" s="723">
        <v>38.04</v>
      </c>
      <c r="W1396" s="723">
        <v>1.28</v>
      </c>
      <c r="X1396" s="723">
        <v>1.71</v>
      </c>
      <c r="Y1396" s="723">
        <v>24.62</v>
      </c>
      <c r="Z1396" s="382" t="s">
        <v>927</v>
      </c>
      <c r="AA1396" s="372">
        <v>211.32531</v>
      </c>
      <c r="AB1396" s="372">
        <v>326.08351399999998</v>
      </c>
      <c r="AC1396" s="372">
        <v>436.29716710000002</v>
      </c>
      <c r="AD1396" s="372">
        <v>326.03845710000002</v>
      </c>
      <c r="AE1396" s="372">
        <v>0</v>
      </c>
      <c r="AF1396" s="372">
        <v>0</v>
      </c>
      <c r="AG1396" s="372">
        <v>0</v>
      </c>
      <c r="AH1396" s="372">
        <v>0</v>
      </c>
    </row>
    <row r="1397" spans="1:34">
      <c r="A1397" s="372" t="s">
        <v>9370</v>
      </c>
      <c r="B1397" s="373" t="s">
        <v>9371</v>
      </c>
      <c r="C1397" s="372" t="s">
        <v>9372</v>
      </c>
      <c r="D1397" s="374">
        <v>1615110001291</v>
      </c>
      <c r="E1397" s="372" t="s">
        <v>9373</v>
      </c>
      <c r="F1397" s="375" t="s">
        <v>1249</v>
      </c>
      <c r="G1397" s="375" t="s">
        <v>1249</v>
      </c>
      <c r="H1397" s="375" t="s">
        <v>861</v>
      </c>
      <c r="I1397" s="375" t="s">
        <v>862</v>
      </c>
      <c r="J1397" s="375">
        <v>101414.32303</v>
      </c>
      <c r="K1397" s="375">
        <v>14080.15574</v>
      </c>
      <c r="L1397" s="375">
        <v>10420.207899999999</v>
      </c>
      <c r="M1397" s="375">
        <v>23747.61867</v>
      </c>
      <c r="N1397" s="372">
        <v>0.83</v>
      </c>
      <c r="O1397" s="704">
        <v>27.76651620924283</v>
      </c>
      <c r="P1397" s="375" t="s">
        <v>622</v>
      </c>
      <c r="Q1397" s="372" t="s">
        <v>622</v>
      </c>
      <c r="R1397" s="696">
        <v>20030207</v>
      </c>
      <c r="S1397" s="372" t="s">
        <v>9374</v>
      </c>
      <c r="T1397" s="697">
        <v>0.20900000000000002</v>
      </c>
      <c r="U1397" s="372" t="s">
        <v>9375</v>
      </c>
      <c r="V1397" s="723">
        <v>5.89</v>
      </c>
      <c r="W1397" s="723">
        <v>3.44</v>
      </c>
      <c r="X1397" s="723">
        <v>0.84</v>
      </c>
      <c r="Y1397" s="723">
        <v>11.66</v>
      </c>
      <c r="Z1397" s="382" t="s">
        <v>927</v>
      </c>
      <c r="AA1397" s="372">
        <v>1038.02657</v>
      </c>
      <c r="AB1397" s="372">
        <v>1009.6610627</v>
      </c>
      <c r="AC1397" s="372">
        <v>1027.1043901</v>
      </c>
      <c r="AD1397" s="372">
        <v>1042.3495041000001</v>
      </c>
      <c r="AE1397" s="372">
        <v>0</v>
      </c>
      <c r="AF1397" s="372">
        <v>0</v>
      </c>
      <c r="AG1397" s="372">
        <v>0</v>
      </c>
      <c r="AH1397" s="372">
        <v>0</v>
      </c>
    </row>
    <row r="1398" spans="1:34">
      <c r="A1398" s="372" t="s">
        <v>9376</v>
      </c>
      <c r="B1398" s="373" t="s">
        <v>9377</v>
      </c>
      <c r="C1398" s="372" t="s">
        <v>9378</v>
      </c>
      <c r="D1398" s="374">
        <v>1801110081389</v>
      </c>
      <c r="E1398" s="372" t="s">
        <v>9379</v>
      </c>
      <c r="F1398" s="372" t="s">
        <v>1136</v>
      </c>
      <c r="G1398" s="375" t="s">
        <v>3128</v>
      </c>
      <c r="H1398" s="375" t="s">
        <v>861</v>
      </c>
      <c r="I1398" s="375" t="s">
        <v>862</v>
      </c>
      <c r="J1398" s="375">
        <v>186086.81043000001</v>
      </c>
      <c r="K1398" s="375">
        <v>11033.267089999999</v>
      </c>
      <c r="L1398" s="375">
        <v>15598.20004</v>
      </c>
      <c r="M1398" s="375">
        <v>236222.28682000001</v>
      </c>
      <c r="N1398" s="372">
        <v>0.72799999999999998</v>
      </c>
      <c r="O1398" s="704">
        <v>0.19663473695657954</v>
      </c>
      <c r="P1398" s="375" t="s">
        <v>622</v>
      </c>
      <c r="Q1398" s="372" t="s">
        <v>622</v>
      </c>
      <c r="R1398" s="696">
        <v>20110708</v>
      </c>
      <c r="S1398" s="372" t="s">
        <v>9380</v>
      </c>
      <c r="T1398" s="697">
        <v>0.20900000000000002</v>
      </c>
      <c r="U1398" s="372" t="s">
        <v>9381</v>
      </c>
      <c r="V1398" s="723">
        <v>7.12</v>
      </c>
      <c r="W1398" s="723">
        <v>0.48</v>
      </c>
      <c r="X1398" s="723">
        <v>0.62</v>
      </c>
      <c r="Y1398" s="723">
        <v>8.7899999999999991</v>
      </c>
      <c r="Z1398" s="382">
        <v>0.10329555624294029</v>
      </c>
      <c r="AA1398" s="372">
        <v>1891.6252710000001</v>
      </c>
      <c r="AB1398" s="372">
        <v>1366.0476220999999</v>
      </c>
      <c r="AC1398" s="372">
        <v>1303.9602725</v>
      </c>
      <c r="AD1398" s="372">
        <v>1543.4717631000001</v>
      </c>
      <c r="AE1398" s="372">
        <v>1892</v>
      </c>
      <c r="AF1398" s="372">
        <v>2120</v>
      </c>
      <c r="AG1398" s="372">
        <v>2287</v>
      </c>
      <c r="AH1398" s="372">
        <v>0</v>
      </c>
    </row>
    <row r="1399" spans="1:34">
      <c r="A1399" s="372" t="s">
        <v>9382</v>
      </c>
      <c r="B1399" s="373" t="s">
        <v>9383</v>
      </c>
      <c r="C1399" s="372" t="s">
        <v>9384</v>
      </c>
      <c r="D1399" s="374">
        <v>1244110067216</v>
      </c>
      <c r="E1399" s="372" t="s">
        <v>9385</v>
      </c>
      <c r="F1399" s="375" t="s">
        <v>1185</v>
      </c>
      <c r="G1399" s="375" t="s">
        <v>1185</v>
      </c>
      <c r="H1399" s="375" t="s">
        <v>861</v>
      </c>
      <c r="I1399" s="375" t="s">
        <v>862</v>
      </c>
      <c r="J1399" s="375">
        <v>139062.50151999999</v>
      </c>
      <c r="K1399" s="375">
        <v>7670.3405199999997</v>
      </c>
      <c r="L1399" s="375">
        <v>4544.1764300000004</v>
      </c>
      <c r="M1399" s="375">
        <v>83272.041840000005</v>
      </c>
      <c r="N1399" s="372" t="s">
        <v>1026</v>
      </c>
      <c r="O1399" s="704">
        <v>21.838920173528987</v>
      </c>
      <c r="P1399" s="375" t="s">
        <v>16115</v>
      </c>
      <c r="Q1399" s="375" t="s">
        <v>16116</v>
      </c>
      <c r="R1399" s="696">
        <v>20150626</v>
      </c>
      <c r="S1399" s="375" t="s">
        <v>9386</v>
      </c>
      <c r="T1399" s="697">
        <v>0.20900000000000002</v>
      </c>
      <c r="U1399" s="372" t="s">
        <v>9387</v>
      </c>
      <c r="V1399" s="723">
        <v>11.18</v>
      </c>
      <c r="W1399" s="723">
        <v>1.96</v>
      </c>
      <c r="X1399" s="723">
        <v>0.85</v>
      </c>
      <c r="Y1399" s="723">
        <v>34.54</v>
      </c>
      <c r="Z1399" s="382" t="s">
        <v>927</v>
      </c>
      <c r="AA1399" s="372">
        <v>235.8321641</v>
      </c>
      <c r="AB1399" s="372">
        <v>376.07630660000001</v>
      </c>
      <c r="AC1399" s="372">
        <v>594.26814030000003</v>
      </c>
      <c r="AD1399" s="372">
        <v>1218.2686364000001</v>
      </c>
      <c r="AE1399" s="372">
        <v>0</v>
      </c>
      <c r="AF1399" s="372">
        <v>0</v>
      </c>
      <c r="AG1399" s="372">
        <v>0</v>
      </c>
      <c r="AH1399" s="372">
        <v>0</v>
      </c>
    </row>
    <row r="1400" spans="1:34">
      <c r="A1400" s="372" t="s">
        <v>9388</v>
      </c>
      <c r="B1400" s="373" t="s">
        <v>9389</v>
      </c>
      <c r="C1400" s="372" t="s">
        <v>9390</v>
      </c>
      <c r="D1400" s="374">
        <v>1311110367986</v>
      </c>
      <c r="E1400" s="372" t="s">
        <v>9391</v>
      </c>
      <c r="F1400" s="375" t="s">
        <v>1414</v>
      </c>
      <c r="G1400" s="375" t="s">
        <v>1414</v>
      </c>
      <c r="H1400" s="375" t="s">
        <v>861</v>
      </c>
      <c r="I1400" s="375" t="s">
        <v>862</v>
      </c>
      <c r="J1400" s="375">
        <v>31270.699329999999</v>
      </c>
      <c r="K1400" s="375">
        <v>-2582.7730999999999</v>
      </c>
      <c r="L1400" s="375">
        <v>-3068.1571300000001</v>
      </c>
      <c r="M1400" s="375">
        <v>69265.540340000007</v>
      </c>
      <c r="N1400" s="372">
        <v>0.92800000000000005</v>
      </c>
      <c r="O1400" s="704">
        <v>56.155189585974142</v>
      </c>
      <c r="P1400" s="375" t="s">
        <v>622</v>
      </c>
      <c r="Q1400" s="375" t="s">
        <v>622</v>
      </c>
      <c r="R1400" s="696">
        <v>20181015</v>
      </c>
      <c r="S1400" s="375" t="s">
        <v>9392</v>
      </c>
      <c r="T1400" s="697" t="s">
        <v>771</v>
      </c>
      <c r="U1400" s="372" t="s">
        <v>9393</v>
      </c>
      <c r="V1400" s="723" t="s">
        <v>773</v>
      </c>
      <c r="W1400" s="723">
        <v>1.18</v>
      </c>
      <c r="X1400" s="723">
        <v>2.62</v>
      </c>
      <c r="Y1400" s="723" t="s">
        <v>773</v>
      </c>
      <c r="Z1400" s="382">
        <v>0.11237931454241412</v>
      </c>
      <c r="AA1400" s="372">
        <v>469.91996399999999</v>
      </c>
      <c r="AB1400" s="372">
        <v>473.05873009999999</v>
      </c>
      <c r="AC1400" s="372">
        <v>467.76298860000003</v>
      </c>
      <c r="AD1400" s="372">
        <v>325.25031489999998</v>
      </c>
      <c r="AE1400" s="372">
        <v>383</v>
      </c>
      <c r="AF1400" s="372">
        <v>451</v>
      </c>
      <c r="AG1400" s="372">
        <v>498</v>
      </c>
      <c r="AH1400" s="372">
        <v>0</v>
      </c>
    </row>
    <row r="1401" spans="1:34">
      <c r="A1401" s="372" t="s">
        <v>9394</v>
      </c>
      <c r="B1401" s="373" t="s">
        <v>9395</v>
      </c>
      <c r="C1401" s="372" t="s">
        <v>9396</v>
      </c>
      <c r="D1401" s="374">
        <v>1801110015362</v>
      </c>
      <c r="E1401" s="372" t="s">
        <v>9397</v>
      </c>
      <c r="F1401" s="375" t="s">
        <v>2747</v>
      </c>
      <c r="G1401" s="375" t="s">
        <v>9398</v>
      </c>
      <c r="H1401" s="375" t="s">
        <v>812</v>
      </c>
      <c r="I1401" s="375" t="s">
        <v>754</v>
      </c>
      <c r="J1401" s="375">
        <v>765812.21900000004</v>
      </c>
      <c r="K1401" s="375">
        <v>13778.45666</v>
      </c>
      <c r="L1401" s="375">
        <v>2744.6194300000002</v>
      </c>
      <c r="M1401" s="375">
        <v>222820.77522000001</v>
      </c>
      <c r="N1401" s="372">
        <v>0.41</v>
      </c>
      <c r="O1401" s="704">
        <v>258.45474324635472</v>
      </c>
      <c r="P1401" s="375" t="s">
        <v>622</v>
      </c>
      <c r="Q1401" s="372" t="s">
        <v>622</v>
      </c>
      <c r="R1401" s="696">
        <v>19891113</v>
      </c>
      <c r="S1401" s="372" t="s">
        <v>9399</v>
      </c>
      <c r="T1401" s="697">
        <v>0.20900000000000002</v>
      </c>
      <c r="U1401" s="372" t="s">
        <v>9400</v>
      </c>
      <c r="V1401" s="723">
        <v>0</v>
      </c>
      <c r="W1401" s="723">
        <v>0</v>
      </c>
      <c r="X1401" s="723">
        <v>0</v>
      </c>
      <c r="Y1401" s="723">
        <v>0</v>
      </c>
      <c r="Z1401" s="382" t="s">
        <v>927</v>
      </c>
      <c r="AA1401" s="372">
        <v>4153.1351685</v>
      </c>
      <c r="AB1401" s="372">
        <v>6915.2519971000002</v>
      </c>
      <c r="AC1401" s="372">
        <v>7959.3963082</v>
      </c>
      <c r="AD1401" s="372">
        <v>8303.9181826999993</v>
      </c>
      <c r="AE1401" s="372">
        <v>0</v>
      </c>
      <c r="AF1401" s="372">
        <v>0</v>
      </c>
      <c r="AG1401" s="372">
        <v>0</v>
      </c>
      <c r="AH1401" s="372">
        <v>0</v>
      </c>
    </row>
    <row r="1402" spans="1:34">
      <c r="A1402" s="372" t="s">
        <v>9401</v>
      </c>
      <c r="B1402" s="373" t="s">
        <v>9402</v>
      </c>
      <c r="C1402" s="372" t="s">
        <v>9403</v>
      </c>
      <c r="D1402" s="374">
        <v>1101115045045</v>
      </c>
      <c r="E1402" s="372" t="s">
        <v>9404</v>
      </c>
      <c r="F1402" s="372" t="s">
        <v>3366</v>
      </c>
      <c r="G1402" s="375" t="s">
        <v>9405</v>
      </c>
      <c r="H1402" s="375" t="s">
        <v>3099</v>
      </c>
      <c r="I1402" s="375" t="s">
        <v>862</v>
      </c>
      <c r="J1402" s="375">
        <v>164071.74301999999</v>
      </c>
      <c r="K1402" s="375">
        <v>-32398.10671</v>
      </c>
      <c r="L1402" s="375">
        <v>-35807.287539999998</v>
      </c>
      <c r="M1402" s="375">
        <v>-3883.77457</v>
      </c>
      <c r="N1402" s="372">
        <v>0.78</v>
      </c>
      <c r="O1402" s="704">
        <v>224.9342293026173</v>
      </c>
      <c r="P1402" s="375" t="s">
        <v>622</v>
      </c>
      <c r="Q1402" s="372" t="s">
        <v>622</v>
      </c>
      <c r="R1402" s="696">
        <v>20181004</v>
      </c>
      <c r="S1402" s="372">
        <v>0</v>
      </c>
      <c r="T1402" s="697" t="s">
        <v>771</v>
      </c>
      <c r="U1402" s="372" t="s">
        <v>9406</v>
      </c>
      <c r="V1402" s="723" t="s">
        <v>773</v>
      </c>
      <c r="W1402" s="723">
        <v>8</v>
      </c>
      <c r="X1402" s="723">
        <v>0.31</v>
      </c>
      <c r="Y1402" s="723" t="s">
        <v>773</v>
      </c>
      <c r="Z1402" s="382" t="s">
        <v>927</v>
      </c>
      <c r="AA1402" s="372">
        <v>1171.5399748</v>
      </c>
      <c r="AB1402" s="372">
        <v>1911.9514896999999</v>
      </c>
      <c r="AC1402" s="372">
        <v>2172.0224352</v>
      </c>
      <c r="AD1402" s="372">
        <v>1906.9280899</v>
      </c>
      <c r="AE1402" s="372">
        <v>0</v>
      </c>
      <c r="AF1402" s="372">
        <v>0</v>
      </c>
      <c r="AG1402" s="372">
        <v>0</v>
      </c>
      <c r="AH1402" s="372">
        <v>0</v>
      </c>
    </row>
    <row r="1403" spans="1:34">
      <c r="A1403" s="372" t="s">
        <v>9407</v>
      </c>
      <c r="B1403" s="373" t="s">
        <v>9408</v>
      </c>
      <c r="C1403" s="372" t="s">
        <v>9409</v>
      </c>
      <c r="D1403" s="374">
        <v>1101110624969</v>
      </c>
      <c r="E1403" s="372" t="s">
        <v>9410</v>
      </c>
      <c r="F1403" s="375" t="s">
        <v>1591</v>
      </c>
      <c r="G1403" s="375" t="s">
        <v>1591</v>
      </c>
      <c r="H1403" s="375">
        <v>0</v>
      </c>
      <c r="I1403" s="375" t="s">
        <v>862</v>
      </c>
      <c r="J1403" s="375">
        <v>161227.42086000001</v>
      </c>
      <c r="K1403" s="375">
        <v>4703.4799599999997</v>
      </c>
      <c r="L1403" s="375">
        <v>4052.8202700000002</v>
      </c>
      <c r="M1403" s="375">
        <v>94213.020659999995</v>
      </c>
      <c r="N1403" s="372">
        <v>0.49199999999999999</v>
      </c>
      <c r="O1403" s="704">
        <v>47.950320192288018</v>
      </c>
      <c r="P1403" s="375" t="s">
        <v>622</v>
      </c>
      <c r="Q1403" s="375" t="s">
        <v>622</v>
      </c>
      <c r="R1403" s="696">
        <v>20011009</v>
      </c>
      <c r="S1403" s="375" t="s">
        <v>8981</v>
      </c>
      <c r="T1403" s="697">
        <v>0.20900000000000002</v>
      </c>
      <c r="U1403" s="375" t="s">
        <v>9411</v>
      </c>
      <c r="V1403" s="723">
        <v>0</v>
      </c>
      <c r="W1403" s="723">
        <v>0</v>
      </c>
      <c r="X1403" s="723">
        <v>0</v>
      </c>
      <c r="Y1403" s="723">
        <v>0</v>
      </c>
      <c r="Z1403" s="382" t="s">
        <v>927</v>
      </c>
      <c r="AA1403" s="372">
        <v>1208.0142444999999</v>
      </c>
      <c r="AB1403" s="372">
        <v>1287.0299083</v>
      </c>
      <c r="AC1403" s="372">
        <v>1726.183182</v>
      </c>
      <c r="AD1403" s="372">
        <v>1687.5967544</v>
      </c>
      <c r="AE1403" s="372">
        <v>0</v>
      </c>
      <c r="AF1403" s="372">
        <v>0</v>
      </c>
      <c r="AG1403" s="372">
        <v>0</v>
      </c>
      <c r="AH1403" s="372">
        <v>0</v>
      </c>
    </row>
    <row r="1404" spans="1:34">
      <c r="A1404" s="372" t="s">
        <v>9412</v>
      </c>
      <c r="B1404" s="373" t="s">
        <v>9413</v>
      </c>
      <c r="C1404" s="372" t="s">
        <v>9414</v>
      </c>
      <c r="D1404" s="374">
        <v>1201110063785</v>
      </c>
      <c r="E1404" s="372" t="s">
        <v>9415</v>
      </c>
      <c r="F1404" s="375" t="s">
        <v>1275</v>
      </c>
      <c r="G1404" s="375" t="s">
        <v>1275</v>
      </c>
      <c r="H1404" s="375" t="s">
        <v>861</v>
      </c>
      <c r="I1404" s="375" t="s">
        <v>862</v>
      </c>
      <c r="J1404" s="375">
        <v>83395.940159999998</v>
      </c>
      <c r="K1404" s="375">
        <v>5066.5975500000004</v>
      </c>
      <c r="L1404" s="375">
        <v>7404.7421199999999</v>
      </c>
      <c r="M1404" s="375">
        <v>46256.30719</v>
      </c>
      <c r="N1404" s="372" t="s">
        <v>1026</v>
      </c>
      <c r="O1404" s="704">
        <v>38.95759023813747</v>
      </c>
      <c r="P1404" s="375" t="s">
        <v>622</v>
      </c>
      <c r="Q1404" s="372" t="s">
        <v>622</v>
      </c>
      <c r="R1404" s="696">
        <v>20230217</v>
      </c>
      <c r="S1404" s="372" t="s">
        <v>9416</v>
      </c>
      <c r="T1404" s="697">
        <v>0.20900000000000002</v>
      </c>
      <c r="U1404" s="372" t="s">
        <v>9417</v>
      </c>
      <c r="V1404" s="723">
        <v>10.88</v>
      </c>
      <c r="W1404" s="723">
        <v>2.0499999999999998</v>
      </c>
      <c r="X1404" s="723">
        <v>1</v>
      </c>
      <c r="Y1404" s="723">
        <v>18.66</v>
      </c>
      <c r="Z1404" s="382" t="s">
        <v>927</v>
      </c>
      <c r="AA1404" s="372">
        <v>580.97535489999996</v>
      </c>
      <c r="AB1404" s="372">
        <v>660.5895137</v>
      </c>
      <c r="AC1404" s="372">
        <v>643.7092973</v>
      </c>
      <c r="AD1404" s="372">
        <v>692.22343609999996</v>
      </c>
      <c r="AE1404" s="372">
        <v>0</v>
      </c>
      <c r="AF1404" s="372">
        <v>0</v>
      </c>
      <c r="AG1404" s="372">
        <v>0</v>
      </c>
      <c r="AH1404" s="372">
        <v>0</v>
      </c>
    </row>
    <row r="1405" spans="1:34">
      <c r="A1405" s="372" t="s">
        <v>9418</v>
      </c>
      <c r="B1405" s="373" t="s">
        <v>9419</v>
      </c>
      <c r="C1405" s="372" t="s">
        <v>9420</v>
      </c>
      <c r="D1405" s="374">
        <v>1351110045041</v>
      </c>
      <c r="E1405" s="372" t="s">
        <v>9421</v>
      </c>
      <c r="F1405" s="375" t="s">
        <v>2834</v>
      </c>
      <c r="G1405" s="375" t="s">
        <v>2834</v>
      </c>
      <c r="H1405" s="375" t="s">
        <v>861</v>
      </c>
      <c r="I1405" s="375" t="s">
        <v>862</v>
      </c>
      <c r="J1405" s="375">
        <v>239993.04336000001</v>
      </c>
      <c r="K1405" s="375">
        <v>6587.3588099999997</v>
      </c>
      <c r="L1405" s="375">
        <v>12699.396650000001</v>
      </c>
      <c r="M1405" s="375">
        <v>207340.47124000001</v>
      </c>
      <c r="N1405" s="372">
        <v>0.55900000000000005</v>
      </c>
      <c r="O1405" s="704">
        <v>4.4839012154410813</v>
      </c>
      <c r="P1405" s="375" t="s">
        <v>622</v>
      </c>
      <c r="Q1405" s="375" t="s">
        <v>622</v>
      </c>
      <c r="R1405" s="696">
        <v>20071220</v>
      </c>
      <c r="S1405" s="375" t="s">
        <v>9422</v>
      </c>
      <c r="T1405" s="697">
        <v>0.20900000000000002</v>
      </c>
      <c r="U1405" s="372" t="s">
        <v>9423</v>
      </c>
      <c r="V1405" s="723">
        <v>10.17</v>
      </c>
      <c r="W1405" s="723">
        <v>0.51</v>
      </c>
      <c r="X1405" s="723">
        <v>0.44</v>
      </c>
      <c r="Y1405" s="723">
        <v>10.199999999999999</v>
      </c>
      <c r="Z1405" s="382" t="s">
        <v>927</v>
      </c>
      <c r="AA1405" s="372">
        <v>3156.1937514000001</v>
      </c>
      <c r="AB1405" s="372">
        <v>2885.4788423999998</v>
      </c>
      <c r="AC1405" s="372">
        <v>3167.8992242999998</v>
      </c>
      <c r="AD1405" s="372">
        <v>2628.1161910999999</v>
      </c>
      <c r="AE1405" s="372">
        <v>0</v>
      </c>
      <c r="AF1405" s="372">
        <v>0</v>
      </c>
      <c r="AG1405" s="372">
        <v>0</v>
      </c>
      <c r="AH1405" s="372">
        <v>0</v>
      </c>
    </row>
    <row r="1406" spans="1:34">
      <c r="A1406" s="372" t="s">
        <v>9424</v>
      </c>
      <c r="B1406" s="373" t="s">
        <v>9425</v>
      </c>
      <c r="C1406" s="372" t="s">
        <v>9426</v>
      </c>
      <c r="D1406" s="374">
        <v>1601110096473</v>
      </c>
      <c r="E1406" s="372" t="s">
        <v>9427</v>
      </c>
      <c r="F1406" s="375" t="s">
        <v>1276</v>
      </c>
      <c r="G1406" s="375" t="s">
        <v>1452</v>
      </c>
      <c r="H1406" s="375" t="s">
        <v>861</v>
      </c>
      <c r="I1406" s="375" t="s">
        <v>862</v>
      </c>
      <c r="J1406" s="375">
        <v>52465.099349999997</v>
      </c>
      <c r="K1406" s="375">
        <v>-1815.03846</v>
      </c>
      <c r="L1406" s="375">
        <v>1853.55439</v>
      </c>
      <c r="M1406" s="375">
        <v>85745.823269999993</v>
      </c>
      <c r="N1406" s="372">
        <v>0.90500000000000003</v>
      </c>
      <c r="O1406" s="704">
        <v>32.115481289103471</v>
      </c>
      <c r="P1406" s="375" t="s">
        <v>622</v>
      </c>
      <c r="Q1406" s="375" t="s">
        <v>622</v>
      </c>
      <c r="R1406" s="696">
        <v>20150612</v>
      </c>
      <c r="S1406" s="372" t="s">
        <v>9428</v>
      </c>
      <c r="T1406" s="697">
        <v>0.20900000000000002</v>
      </c>
      <c r="U1406" s="372" t="s">
        <v>9429</v>
      </c>
      <c r="V1406" s="723">
        <v>0</v>
      </c>
      <c r="W1406" s="723">
        <v>0</v>
      </c>
      <c r="X1406" s="723">
        <v>0</v>
      </c>
      <c r="Y1406" s="723">
        <v>0</v>
      </c>
      <c r="Z1406" s="382" t="s">
        <v>927</v>
      </c>
      <c r="AA1406" s="372">
        <v>390.80596989999998</v>
      </c>
      <c r="AB1406" s="372">
        <v>506.03998180000002</v>
      </c>
      <c r="AC1406" s="372">
        <v>628.62344380000002</v>
      </c>
      <c r="AD1406" s="372">
        <v>506.70581349999998</v>
      </c>
      <c r="AE1406" s="372">
        <v>0</v>
      </c>
      <c r="AF1406" s="372">
        <v>0</v>
      </c>
      <c r="AG1406" s="372">
        <v>0</v>
      </c>
      <c r="AH1406" s="372">
        <v>0</v>
      </c>
    </row>
    <row r="1407" spans="1:34">
      <c r="A1407" s="372" t="s">
        <v>9430</v>
      </c>
      <c r="B1407" s="373" t="s">
        <v>9431</v>
      </c>
      <c r="C1407" s="372" t="s">
        <v>9432</v>
      </c>
      <c r="D1407" s="374">
        <v>1101110099609</v>
      </c>
      <c r="E1407" s="372" t="s">
        <v>9433</v>
      </c>
      <c r="F1407" s="372" t="s">
        <v>16111</v>
      </c>
      <c r="G1407" s="375" t="s">
        <v>16111</v>
      </c>
      <c r="H1407" s="375" t="s">
        <v>861</v>
      </c>
      <c r="I1407" s="375" t="s">
        <v>862</v>
      </c>
      <c r="J1407" s="375">
        <v>2174074.8108299999</v>
      </c>
      <c r="K1407" s="375">
        <v>78554.44124</v>
      </c>
      <c r="L1407" s="375">
        <v>104366.92647999999</v>
      </c>
      <c r="M1407" s="375">
        <v>783358.58207999996</v>
      </c>
      <c r="N1407" s="372">
        <v>0.67700000000000005</v>
      </c>
      <c r="O1407" s="704">
        <v>249.68395832030734</v>
      </c>
      <c r="P1407" s="375" t="s">
        <v>622</v>
      </c>
      <c r="Q1407" s="372" t="s">
        <v>622</v>
      </c>
      <c r="R1407" s="696">
        <v>19990512</v>
      </c>
      <c r="S1407" s="372" t="s">
        <v>9434</v>
      </c>
      <c r="T1407" s="697">
        <v>0.23100000000000001</v>
      </c>
      <c r="U1407" s="372" t="s">
        <v>9435</v>
      </c>
      <c r="V1407" s="723">
        <v>3.21</v>
      </c>
      <c r="W1407" s="723">
        <v>0.27</v>
      </c>
      <c r="X1407" s="723">
        <v>0.05</v>
      </c>
      <c r="Y1407" s="723">
        <v>2.2599999999999998</v>
      </c>
      <c r="Z1407" s="382" t="s">
        <v>927</v>
      </c>
      <c r="AA1407" s="372">
        <v>16616.500857300001</v>
      </c>
      <c r="AB1407" s="372">
        <v>18067.354390600001</v>
      </c>
      <c r="AC1407" s="372">
        <v>19792.613810399998</v>
      </c>
      <c r="AD1407" s="372">
        <v>21463.987396100001</v>
      </c>
      <c r="AE1407" s="372">
        <v>0</v>
      </c>
      <c r="AF1407" s="372">
        <v>0</v>
      </c>
      <c r="AG1407" s="372">
        <v>0</v>
      </c>
      <c r="AH1407" s="372">
        <v>0</v>
      </c>
    </row>
    <row r="1408" spans="1:34">
      <c r="A1408" s="372" t="s">
        <v>9436</v>
      </c>
      <c r="B1408" s="373" t="s">
        <v>9437</v>
      </c>
      <c r="C1408" s="372" t="s">
        <v>9438</v>
      </c>
      <c r="D1408" s="374">
        <v>1358110087297</v>
      </c>
      <c r="E1408" s="372" t="s">
        <v>9439</v>
      </c>
      <c r="F1408" s="375" t="s">
        <v>4184</v>
      </c>
      <c r="G1408" s="375" t="s">
        <v>4184</v>
      </c>
      <c r="H1408" s="375" t="s">
        <v>861</v>
      </c>
      <c r="I1408" s="375" t="s">
        <v>862</v>
      </c>
      <c r="J1408" s="375">
        <v>110306.82702</v>
      </c>
      <c r="K1408" s="375">
        <v>8357.8922700000003</v>
      </c>
      <c r="L1408" s="375">
        <v>10086.253710000001</v>
      </c>
      <c r="M1408" s="375">
        <v>203731.73129</v>
      </c>
      <c r="N1408" s="372">
        <v>0.55300000000000005</v>
      </c>
      <c r="O1408" s="704">
        <v>7.8319076455583305</v>
      </c>
      <c r="P1408" s="375" t="s">
        <v>622</v>
      </c>
      <c r="Q1408" s="372" t="s">
        <v>622</v>
      </c>
      <c r="R1408" s="696">
        <v>20070820</v>
      </c>
      <c r="S1408" s="375" t="s">
        <v>9440</v>
      </c>
      <c r="T1408" s="697">
        <v>0.20900000000000002</v>
      </c>
      <c r="U1408" s="375" t="s">
        <v>9441</v>
      </c>
      <c r="V1408" s="723">
        <v>8.1</v>
      </c>
      <c r="W1408" s="723">
        <v>0.44</v>
      </c>
      <c r="X1408" s="723">
        <v>0.81</v>
      </c>
      <c r="Y1408" s="723">
        <v>9.61</v>
      </c>
      <c r="Z1408" s="382" t="s">
        <v>927</v>
      </c>
      <c r="AA1408" s="372">
        <v>744.61958990000005</v>
      </c>
      <c r="AB1408" s="372">
        <v>1003.8981894</v>
      </c>
      <c r="AC1408" s="372">
        <v>1348.9396681000001</v>
      </c>
      <c r="AD1408" s="372">
        <v>1081.2806703000001</v>
      </c>
      <c r="AE1408" s="372">
        <v>1815</v>
      </c>
      <c r="AF1408" s="372">
        <v>2306</v>
      </c>
      <c r="AG1408" s="372">
        <v>0</v>
      </c>
      <c r="AH1408" s="372">
        <v>0</v>
      </c>
    </row>
    <row r="1409" spans="1:34">
      <c r="A1409" s="372" t="s">
        <v>9442</v>
      </c>
      <c r="B1409" s="373" t="s">
        <v>9443</v>
      </c>
      <c r="C1409" s="372" t="s">
        <v>9444</v>
      </c>
      <c r="D1409" s="374">
        <v>1101110037427</v>
      </c>
      <c r="E1409" s="372" t="s">
        <v>9445</v>
      </c>
      <c r="F1409" s="375" t="s">
        <v>1096</v>
      </c>
      <c r="G1409" s="375" t="s">
        <v>1097</v>
      </c>
      <c r="H1409" s="375" t="s">
        <v>826</v>
      </c>
      <c r="I1409" s="375" t="s">
        <v>754</v>
      </c>
      <c r="J1409" s="375">
        <v>157958.18325</v>
      </c>
      <c r="K1409" s="375">
        <v>24251.43116</v>
      </c>
      <c r="L1409" s="375">
        <v>23890.861369999999</v>
      </c>
      <c r="M1409" s="375">
        <v>70728.338740000007</v>
      </c>
      <c r="N1409" s="372">
        <v>0.27800000000000002</v>
      </c>
      <c r="O1409" s="704">
        <v>4.3768407559980922</v>
      </c>
      <c r="P1409" s="375" t="s">
        <v>622</v>
      </c>
      <c r="Q1409" s="372" t="s">
        <v>622</v>
      </c>
      <c r="R1409" s="696">
        <v>19780206</v>
      </c>
      <c r="S1409" s="375" t="s">
        <v>9446</v>
      </c>
      <c r="T1409" s="697">
        <v>0.23100000000000001</v>
      </c>
      <c r="U1409" s="372" t="s">
        <v>9447</v>
      </c>
      <c r="V1409" s="723">
        <v>0</v>
      </c>
      <c r="W1409" s="723">
        <v>0</v>
      </c>
      <c r="X1409" s="723">
        <v>0</v>
      </c>
      <c r="Y1409" s="723">
        <v>0</v>
      </c>
      <c r="Z1409" s="382" t="s">
        <v>927</v>
      </c>
      <c r="AA1409" s="372">
        <v>619.90281670000002</v>
      </c>
      <c r="AB1409" s="372">
        <v>678.09682459999999</v>
      </c>
      <c r="AC1409" s="372">
        <v>1038.7696851000001</v>
      </c>
      <c r="AD1409" s="372">
        <v>1093.3776336000001</v>
      </c>
      <c r="AE1409" s="372">
        <v>0</v>
      </c>
      <c r="AF1409" s="372">
        <v>0</v>
      </c>
      <c r="AG1409" s="372">
        <v>0</v>
      </c>
      <c r="AH1409" s="372">
        <v>0</v>
      </c>
    </row>
    <row r="1410" spans="1:34">
      <c r="A1410" s="372" t="s">
        <v>9448</v>
      </c>
      <c r="B1410" s="373" t="s">
        <v>9449</v>
      </c>
      <c r="C1410" s="372" t="s">
        <v>9450</v>
      </c>
      <c r="D1410" s="374">
        <v>1101110176986</v>
      </c>
      <c r="E1410" s="372" t="s">
        <v>9451</v>
      </c>
      <c r="F1410" s="375" t="s">
        <v>1696</v>
      </c>
      <c r="G1410" s="375" t="s">
        <v>1696</v>
      </c>
      <c r="H1410" s="375" t="s">
        <v>1337</v>
      </c>
      <c r="I1410" s="375" t="s">
        <v>862</v>
      </c>
      <c r="J1410" s="375">
        <v>226599.79045</v>
      </c>
      <c r="K1410" s="375">
        <v>12015.133949999999</v>
      </c>
      <c r="L1410" s="375">
        <v>12880.823259999999</v>
      </c>
      <c r="M1410" s="375">
        <v>120352.74187</v>
      </c>
      <c r="N1410" s="372">
        <v>0.753</v>
      </c>
      <c r="O1410" s="704">
        <v>1.7593011392311926</v>
      </c>
      <c r="P1410" s="375" t="s">
        <v>622</v>
      </c>
      <c r="Q1410" s="375" t="s">
        <v>622</v>
      </c>
      <c r="R1410" s="696">
        <v>20001020</v>
      </c>
      <c r="S1410" s="375" t="s">
        <v>9452</v>
      </c>
      <c r="T1410" s="697">
        <v>0.20900000000000002</v>
      </c>
      <c r="U1410" s="372" t="s">
        <v>9453</v>
      </c>
      <c r="V1410" s="723">
        <v>5.49</v>
      </c>
      <c r="W1410" s="723">
        <v>0.64</v>
      </c>
      <c r="X1410" s="723">
        <v>0.34</v>
      </c>
      <c r="Y1410" s="723">
        <v>8.19</v>
      </c>
      <c r="Z1410" s="382" t="s">
        <v>927</v>
      </c>
      <c r="AA1410" s="372">
        <v>1322.8241367000001</v>
      </c>
      <c r="AB1410" s="372">
        <v>1573.5786343</v>
      </c>
      <c r="AC1410" s="372">
        <v>1900.8949098000001</v>
      </c>
      <c r="AD1410" s="372">
        <v>2185.5632626000001</v>
      </c>
      <c r="AE1410" s="372">
        <v>0</v>
      </c>
      <c r="AF1410" s="372">
        <v>0</v>
      </c>
      <c r="AG1410" s="372">
        <v>0</v>
      </c>
      <c r="AH1410" s="372">
        <v>0</v>
      </c>
    </row>
    <row r="1411" spans="1:34">
      <c r="A1411" s="372" t="s">
        <v>9454</v>
      </c>
      <c r="B1411" s="373" t="s">
        <v>9455</v>
      </c>
      <c r="C1411" s="372" t="s">
        <v>9456</v>
      </c>
      <c r="D1411" s="374">
        <v>1350110029576</v>
      </c>
      <c r="E1411" s="372" t="s">
        <v>9457</v>
      </c>
      <c r="F1411" s="375" t="s">
        <v>1764</v>
      </c>
      <c r="G1411" s="375" t="s">
        <v>2238</v>
      </c>
      <c r="H1411" s="375" t="s">
        <v>861</v>
      </c>
      <c r="I1411" s="375" t="s">
        <v>862</v>
      </c>
      <c r="J1411" s="375">
        <v>78773.947679999997</v>
      </c>
      <c r="K1411" s="375">
        <v>12125.325290000001</v>
      </c>
      <c r="L1411" s="375">
        <v>11200.73804</v>
      </c>
      <c r="M1411" s="375">
        <v>79829.907370000001</v>
      </c>
      <c r="N1411" s="372">
        <v>0.66800000000000004</v>
      </c>
      <c r="O1411" s="704">
        <v>36.208379663442059</v>
      </c>
      <c r="P1411" s="375" t="s">
        <v>622</v>
      </c>
      <c r="Q1411" s="375" t="s">
        <v>622</v>
      </c>
      <c r="R1411" s="696">
        <v>20210127</v>
      </c>
      <c r="S1411" s="375" t="s">
        <v>9458</v>
      </c>
      <c r="T1411" s="697">
        <v>0.20900000000000002</v>
      </c>
      <c r="U1411" s="372" t="s">
        <v>9459</v>
      </c>
      <c r="V1411" s="723">
        <v>10.19</v>
      </c>
      <c r="W1411" s="723">
        <v>1.83</v>
      </c>
      <c r="X1411" s="723">
        <v>1.8</v>
      </c>
      <c r="Y1411" s="723">
        <v>18.45</v>
      </c>
      <c r="Z1411" s="382">
        <v>0.1302174251021464</v>
      </c>
      <c r="AA1411" s="372">
        <v>463.92320330000001</v>
      </c>
      <c r="AB1411" s="372">
        <v>487.0298401</v>
      </c>
      <c r="AC1411" s="372">
        <v>643.32226649999996</v>
      </c>
      <c r="AD1411" s="372">
        <v>726.22359559999995</v>
      </c>
      <c r="AE1411" s="372">
        <v>910</v>
      </c>
      <c r="AF1411" s="372">
        <v>1050</v>
      </c>
      <c r="AG1411" s="372">
        <v>1185</v>
      </c>
      <c r="AH1411" s="372">
        <v>0</v>
      </c>
    </row>
    <row r="1412" spans="1:34">
      <c r="A1412" s="372" t="s">
        <v>9460</v>
      </c>
      <c r="B1412" s="373" t="s">
        <v>9461</v>
      </c>
      <c r="C1412" s="372" t="s">
        <v>9462</v>
      </c>
      <c r="D1412" s="374">
        <v>1101115448520</v>
      </c>
      <c r="E1412" s="372" t="s">
        <v>16306</v>
      </c>
      <c r="F1412" s="375" t="s">
        <v>7212</v>
      </c>
      <c r="G1412" s="375" t="s">
        <v>7212</v>
      </c>
      <c r="H1412" s="375" t="s">
        <v>861</v>
      </c>
      <c r="I1412" s="375" t="s">
        <v>862</v>
      </c>
      <c r="J1412" s="375">
        <v>32655.347419999998</v>
      </c>
      <c r="K1412" s="375">
        <v>-5895.7791100000004</v>
      </c>
      <c r="L1412" s="375">
        <v>-23734.555540000001</v>
      </c>
      <c r="M1412" s="375">
        <v>29235.990969999999</v>
      </c>
      <c r="N1412" s="372">
        <v>0.81499999999999995</v>
      </c>
      <c r="O1412" s="704">
        <v>41.63086226016285</v>
      </c>
      <c r="P1412" s="375" t="s">
        <v>622</v>
      </c>
      <c r="Q1412" s="372" t="s">
        <v>622</v>
      </c>
      <c r="R1412" s="696">
        <v>20140930</v>
      </c>
      <c r="S1412" s="372" t="s">
        <v>2069</v>
      </c>
      <c r="T1412" s="697" t="s">
        <v>771</v>
      </c>
      <c r="U1412" s="372" t="s">
        <v>9463</v>
      </c>
      <c r="V1412" s="723" t="s">
        <v>773</v>
      </c>
      <c r="W1412" s="723">
        <v>2.25</v>
      </c>
      <c r="X1412" s="723">
        <v>2.21</v>
      </c>
      <c r="Y1412" s="723" t="s">
        <v>773</v>
      </c>
      <c r="Z1412" s="382" t="s">
        <v>927</v>
      </c>
      <c r="AA1412" s="372">
        <v>207.27211879999999</v>
      </c>
      <c r="AB1412" s="372">
        <v>325.29392560000002</v>
      </c>
      <c r="AC1412" s="372">
        <v>265.75597420000003</v>
      </c>
      <c r="AD1412" s="372">
        <v>372.5269897</v>
      </c>
      <c r="AE1412" s="372">
        <v>0</v>
      </c>
      <c r="AF1412" s="372">
        <v>0</v>
      </c>
      <c r="AG1412" s="372">
        <v>0</v>
      </c>
      <c r="AH1412" s="372">
        <v>0</v>
      </c>
    </row>
    <row r="1413" spans="1:34">
      <c r="A1413" s="372" t="s">
        <v>9464</v>
      </c>
      <c r="B1413" s="373" t="s">
        <v>9465</v>
      </c>
      <c r="C1413" s="372" t="s">
        <v>9466</v>
      </c>
      <c r="D1413" s="374">
        <v>1341110000765</v>
      </c>
      <c r="E1413" s="372" t="s">
        <v>9467</v>
      </c>
      <c r="F1413" s="375" t="s">
        <v>1323</v>
      </c>
      <c r="G1413" s="375" t="s">
        <v>16106</v>
      </c>
      <c r="H1413" s="375" t="s">
        <v>861</v>
      </c>
      <c r="I1413" s="375" t="s">
        <v>862</v>
      </c>
      <c r="J1413" s="375">
        <v>101393.01936000001</v>
      </c>
      <c r="K1413" s="375">
        <v>25214.757239999999</v>
      </c>
      <c r="L1413" s="375">
        <v>30154.98387</v>
      </c>
      <c r="M1413" s="375">
        <v>213984.51016000001</v>
      </c>
      <c r="N1413" s="372">
        <v>0.32900000000000001</v>
      </c>
      <c r="O1413" s="704">
        <v>8.1138648540617133</v>
      </c>
      <c r="P1413" s="375" t="s">
        <v>622</v>
      </c>
      <c r="Q1413" s="372" t="s">
        <v>622</v>
      </c>
      <c r="R1413" s="696">
        <v>20000714</v>
      </c>
      <c r="S1413" s="372" t="s">
        <v>9468</v>
      </c>
      <c r="T1413" s="697">
        <v>0.23100000000000001</v>
      </c>
      <c r="U1413" s="372" t="s">
        <v>9469</v>
      </c>
      <c r="V1413" s="723">
        <v>4.58</v>
      </c>
      <c r="W1413" s="723">
        <v>0.63</v>
      </c>
      <c r="X1413" s="723">
        <v>1.33</v>
      </c>
      <c r="Y1413" s="723">
        <v>5.93</v>
      </c>
      <c r="Z1413" s="382" t="s">
        <v>927</v>
      </c>
      <c r="AA1413" s="372">
        <v>536.52808949999996</v>
      </c>
      <c r="AB1413" s="372">
        <v>546.66374870000004</v>
      </c>
      <c r="AC1413" s="372">
        <v>816.99539719999996</v>
      </c>
      <c r="AD1413" s="372">
        <v>972.11286210000003</v>
      </c>
      <c r="AE1413" s="372">
        <v>0</v>
      </c>
      <c r="AF1413" s="372">
        <v>0</v>
      </c>
      <c r="AG1413" s="372">
        <v>0</v>
      </c>
      <c r="AH1413" s="372">
        <v>0</v>
      </c>
    </row>
    <row r="1414" spans="1:34">
      <c r="A1414" s="372" t="s">
        <v>9470</v>
      </c>
      <c r="B1414" s="373" t="s">
        <v>9471</v>
      </c>
      <c r="C1414" s="372" t="s">
        <v>9472</v>
      </c>
      <c r="D1414" s="374">
        <v>1101110215578</v>
      </c>
      <c r="E1414" s="372" t="s">
        <v>9473</v>
      </c>
      <c r="F1414" s="375" t="s">
        <v>2222</v>
      </c>
      <c r="G1414" s="375" t="s">
        <v>2222</v>
      </c>
      <c r="H1414" s="375" t="s">
        <v>1316</v>
      </c>
      <c r="I1414" s="375" t="s">
        <v>754</v>
      </c>
      <c r="J1414" s="375">
        <v>195344.46496000001</v>
      </c>
      <c r="K1414" s="375">
        <v>4888.1939899999998</v>
      </c>
      <c r="L1414" s="375">
        <v>7212.1668399999999</v>
      </c>
      <c r="M1414" s="375">
        <v>82998.735069999995</v>
      </c>
      <c r="N1414" s="372">
        <v>0.68700000000000006</v>
      </c>
      <c r="O1414" s="704">
        <v>31.737489901119499</v>
      </c>
      <c r="P1414" s="375" t="s">
        <v>622</v>
      </c>
      <c r="Q1414" s="375" t="s">
        <v>622</v>
      </c>
      <c r="R1414" s="696">
        <v>19881126</v>
      </c>
      <c r="S1414" s="375" t="s">
        <v>9474</v>
      </c>
      <c r="T1414" s="697">
        <v>0.20900000000000002</v>
      </c>
      <c r="U1414" s="372" t="s">
        <v>9475</v>
      </c>
      <c r="V1414" s="723">
        <v>11.07</v>
      </c>
      <c r="W1414" s="723">
        <v>1.51</v>
      </c>
      <c r="X1414" s="723">
        <v>0.64</v>
      </c>
      <c r="Y1414" s="723">
        <v>18.05</v>
      </c>
      <c r="Z1414" s="382" t="s">
        <v>927</v>
      </c>
      <c r="AA1414" s="372">
        <v>1490.49674</v>
      </c>
      <c r="AB1414" s="372">
        <v>1621.4295162999999</v>
      </c>
      <c r="AC1414" s="372">
        <v>1527.0147193</v>
      </c>
      <c r="AD1414" s="372">
        <v>1483.4880728000001</v>
      </c>
      <c r="AE1414" s="372">
        <v>0</v>
      </c>
      <c r="AF1414" s="372">
        <v>0</v>
      </c>
      <c r="AG1414" s="372">
        <v>0</v>
      </c>
      <c r="AH1414" s="372">
        <v>0</v>
      </c>
    </row>
    <row r="1415" spans="1:34">
      <c r="A1415" s="372" t="s">
        <v>9476</v>
      </c>
      <c r="B1415" s="373" t="s">
        <v>9477</v>
      </c>
      <c r="C1415" s="372" t="s">
        <v>9478</v>
      </c>
      <c r="D1415" s="374">
        <v>1101111982720</v>
      </c>
      <c r="E1415" s="372" t="s">
        <v>9479</v>
      </c>
      <c r="F1415" s="375" t="s">
        <v>1323</v>
      </c>
      <c r="G1415" s="375" t="s">
        <v>16106</v>
      </c>
      <c r="H1415" s="375" t="s">
        <v>861</v>
      </c>
      <c r="I1415" s="375" t="s">
        <v>862</v>
      </c>
      <c r="J1415" s="375">
        <v>60609.529719999999</v>
      </c>
      <c r="K1415" s="375">
        <v>-21773.313119999999</v>
      </c>
      <c r="L1415" s="375">
        <v>-565.71335999999997</v>
      </c>
      <c r="M1415" s="375">
        <v>75749.422409999999</v>
      </c>
      <c r="N1415" s="372">
        <v>0.57699999999999996</v>
      </c>
      <c r="O1415" s="704">
        <v>46.948746790229897</v>
      </c>
      <c r="P1415" s="375" t="s">
        <v>622</v>
      </c>
      <c r="Q1415" s="375" t="s">
        <v>622</v>
      </c>
      <c r="R1415" s="696">
        <v>20180712</v>
      </c>
      <c r="S1415" s="375" t="s">
        <v>9480</v>
      </c>
      <c r="T1415" s="697" t="s">
        <v>771</v>
      </c>
      <c r="U1415" s="375" t="s">
        <v>9481</v>
      </c>
      <c r="V1415" s="723" t="s">
        <v>773</v>
      </c>
      <c r="W1415" s="723">
        <v>0.96</v>
      </c>
      <c r="X1415" s="723">
        <v>1.25</v>
      </c>
      <c r="Y1415" s="723">
        <v>145.16999999999999</v>
      </c>
      <c r="Z1415" s="382" t="s">
        <v>927</v>
      </c>
      <c r="AA1415" s="372">
        <v>901.44211140000004</v>
      </c>
      <c r="AB1415" s="372">
        <v>642.82851840000001</v>
      </c>
      <c r="AC1415" s="372">
        <v>593.67111179999995</v>
      </c>
      <c r="AD1415" s="372">
        <v>568.06335190000004</v>
      </c>
      <c r="AE1415" s="372">
        <v>0</v>
      </c>
      <c r="AF1415" s="372">
        <v>0</v>
      </c>
      <c r="AG1415" s="372">
        <v>0</v>
      </c>
      <c r="AH1415" s="372">
        <v>0</v>
      </c>
    </row>
    <row r="1416" spans="1:34">
      <c r="A1416" s="372" t="s">
        <v>9482</v>
      </c>
      <c r="B1416" s="373" t="s">
        <v>9483</v>
      </c>
      <c r="C1416" s="372" t="s">
        <v>9484</v>
      </c>
      <c r="D1416" s="374">
        <v>1101111977937</v>
      </c>
      <c r="E1416" s="372" t="s">
        <v>9485</v>
      </c>
      <c r="F1416" s="375" t="s">
        <v>1796</v>
      </c>
      <c r="G1416" s="375" t="s">
        <v>2797</v>
      </c>
      <c r="H1416" s="375" t="s">
        <v>861</v>
      </c>
      <c r="I1416" s="375" t="s">
        <v>862</v>
      </c>
      <c r="J1416" s="375">
        <v>18189.84794</v>
      </c>
      <c r="K1416" s="375">
        <v>-1311.6044400000001</v>
      </c>
      <c r="L1416" s="375">
        <v>-2049.7605600000002</v>
      </c>
      <c r="M1416" s="375">
        <v>24499.62428</v>
      </c>
      <c r="N1416" s="372" t="s">
        <v>1026</v>
      </c>
      <c r="O1416" s="704">
        <v>45.268530939825119</v>
      </c>
      <c r="P1416" s="375" t="s">
        <v>622</v>
      </c>
      <c r="Q1416" s="375" t="s">
        <v>622</v>
      </c>
      <c r="R1416" s="696">
        <v>20230706</v>
      </c>
      <c r="S1416" s="375" t="s">
        <v>9486</v>
      </c>
      <c r="T1416" s="697" t="s">
        <v>771</v>
      </c>
      <c r="U1416" s="372" t="s">
        <v>9487</v>
      </c>
      <c r="V1416" s="723">
        <v>0</v>
      </c>
      <c r="W1416" s="723">
        <v>0</v>
      </c>
      <c r="X1416" s="723">
        <v>0</v>
      </c>
      <c r="Y1416" s="723">
        <v>0</v>
      </c>
      <c r="Z1416" s="382" t="s">
        <v>927</v>
      </c>
      <c r="AA1416" s="372">
        <v>148.72632830000001</v>
      </c>
      <c r="AB1416" s="372">
        <v>140.38403890000001</v>
      </c>
      <c r="AC1416" s="372">
        <v>168.78208530000001</v>
      </c>
      <c r="AD1416" s="372">
        <v>194.83806079999999</v>
      </c>
      <c r="AE1416" s="372">
        <v>368</v>
      </c>
      <c r="AF1416" s="372">
        <v>582</v>
      </c>
      <c r="AG1416" s="372">
        <v>0</v>
      </c>
      <c r="AH1416" s="372">
        <v>0</v>
      </c>
    </row>
    <row r="1417" spans="1:34">
      <c r="A1417" s="372" t="s">
        <v>9488</v>
      </c>
      <c r="B1417" s="373" t="s">
        <v>9489</v>
      </c>
      <c r="C1417" s="372" t="s">
        <v>9490</v>
      </c>
      <c r="D1417" s="374">
        <v>1812110003421</v>
      </c>
      <c r="E1417" s="372" t="s">
        <v>9491</v>
      </c>
      <c r="F1417" s="375" t="s">
        <v>2992</v>
      </c>
      <c r="G1417" s="375" t="s">
        <v>2992</v>
      </c>
      <c r="H1417" s="375" t="s">
        <v>861</v>
      </c>
      <c r="I1417" s="375" t="s">
        <v>862</v>
      </c>
      <c r="J1417" s="375">
        <v>1557219.0802500001</v>
      </c>
      <c r="K1417" s="375">
        <v>85913.704329999993</v>
      </c>
      <c r="L1417" s="375">
        <v>65783.503979999994</v>
      </c>
      <c r="M1417" s="375">
        <v>377020.00050000002</v>
      </c>
      <c r="N1417" s="372">
        <v>0.90900000000000003</v>
      </c>
      <c r="O1417" s="704">
        <v>649.60281899102051</v>
      </c>
      <c r="P1417" s="375" t="s">
        <v>622</v>
      </c>
      <c r="Q1417" s="375" t="s">
        <v>622</v>
      </c>
      <c r="R1417" s="696">
        <v>20131203</v>
      </c>
      <c r="S1417" s="375" t="s">
        <v>9492</v>
      </c>
      <c r="T1417" s="697">
        <v>0.23100000000000001</v>
      </c>
      <c r="U1417" s="375" t="s">
        <v>9493</v>
      </c>
      <c r="V1417" s="723">
        <v>6.03</v>
      </c>
      <c r="W1417" s="723">
        <v>0.49</v>
      </c>
      <c r="X1417" s="723">
        <v>7.0000000000000007E-2</v>
      </c>
      <c r="Y1417" s="723">
        <v>3.53</v>
      </c>
      <c r="Z1417" s="382" t="s">
        <v>927</v>
      </c>
      <c r="AA1417" s="372">
        <v>9590.5023820000006</v>
      </c>
      <c r="AB1417" s="372">
        <v>10688.094236499999</v>
      </c>
      <c r="AC1417" s="372">
        <v>12300.0665156</v>
      </c>
      <c r="AD1417" s="372">
        <v>13714.1285185</v>
      </c>
      <c r="AE1417" s="372">
        <v>0</v>
      </c>
      <c r="AF1417" s="372">
        <v>0</v>
      </c>
      <c r="AG1417" s="372">
        <v>0</v>
      </c>
      <c r="AH1417" s="372">
        <v>0</v>
      </c>
    </row>
    <row r="1418" spans="1:34">
      <c r="A1418" s="372" t="s">
        <v>9494</v>
      </c>
      <c r="B1418" s="373" t="s">
        <v>9495</v>
      </c>
      <c r="C1418" s="372" t="s">
        <v>9496</v>
      </c>
      <c r="D1418" s="374">
        <v>1358110211565</v>
      </c>
      <c r="E1418" s="372" t="s">
        <v>9497</v>
      </c>
      <c r="F1418" s="375" t="s">
        <v>2426</v>
      </c>
      <c r="G1418" s="375" t="s">
        <v>2427</v>
      </c>
      <c r="H1418" s="375" t="s">
        <v>861</v>
      </c>
      <c r="I1418" s="375" t="s">
        <v>862</v>
      </c>
      <c r="J1418" s="375">
        <v>56496.32185</v>
      </c>
      <c r="K1418" s="375">
        <v>-15256.248820000001</v>
      </c>
      <c r="L1418" s="375">
        <v>-16141.714019999999</v>
      </c>
      <c r="M1418" s="375">
        <v>56528.329120000002</v>
      </c>
      <c r="N1418" s="372">
        <v>1.1990000000000001</v>
      </c>
      <c r="O1418" s="704">
        <v>65.907677176699494</v>
      </c>
      <c r="P1418" s="375" t="s">
        <v>622</v>
      </c>
      <c r="Q1418" s="375" t="s">
        <v>622</v>
      </c>
      <c r="R1418" s="696">
        <v>20210225</v>
      </c>
      <c r="S1418" s="375" t="s">
        <v>3983</v>
      </c>
      <c r="T1418" s="697" t="s">
        <v>771</v>
      </c>
      <c r="U1418" s="372" t="s">
        <v>9498</v>
      </c>
      <c r="V1418" s="723" t="s">
        <v>773</v>
      </c>
      <c r="W1418" s="723">
        <v>1.57</v>
      </c>
      <c r="X1418" s="723">
        <v>1.62</v>
      </c>
      <c r="Y1418" s="723" t="s">
        <v>773</v>
      </c>
      <c r="Z1418" s="382" t="s">
        <v>927</v>
      </c>
      <c r="AA1418" s="372">
        <v>590.18468559999997</v>
      </c>
      <c r="AB1418" s="372">
        <v>293.55057240000002</v>
      </c>
      <c r="AC1418" s="372">
        <v>474.68577149999999</v>
      </c>
      <c r="AD1418" s="372">
        <v>385.07805860000002</v>
      </c>
      <c r="AE1418" s="372">
        <v>1192</v>
      </c>
      <c r="AF1418" s="372">
        <v>0</v>
      </c>
      <c r="AG1418" s="372">
        <v>0</v>
      </c>
      <c r="AH1418" s="372">
        <v>0</v>
      </c>
    </row>
    <row r="1419" spans="1:34">
      <c r="A1419" s="372" t="s">
        <v>9499</v>
      </c>
      <c r="B1419" s="373" t="s">
        <v>9500</v>
      </c>
      <c r="C1419" s="372" t="s">
        <v>9501</v>
      </c>
      <c r="D1419" s="374">
        <v>1101115677864</v>
      </c>
      <c r="E1419" s="372" t="s">
        <v>9502</v>
      </c>
      <c r="F1419" s="375" t="s">
        <v>1962</v>
      </c>
      <c r="G1419" s="375" t="s">
        <v>1962</v>
      </c>
      <c r="H1419" s="375" t="s">
        <v>861</v>
      </c>
      <c r="I1419" s="375" t="s">
        <v>862</v>
      </c>
      <c r="J1419" s="375">
        <v>28253.634389999999</v>
      </c>
      <c r="K1419" s="375">
        <v>1219.60634</v>
      </c>
      <c r="L1419" s="375">
        <v>977.84130000000005</v>
      </c>
      <c r="M1419" s="375">
        <v>57017.94889</v>
      </c>
      <c r="N1419" s="372">
        <v>1.208</v>
      </c>
      <c r="O1419" s="704">
        <v>23.692094665634933</v>
      </c>
      <c r="P1419" s="375" t="s">
        <v>622</v>
      </c>
      <c r="Q1419" s="372" t="s">
        <v>622</v>
      </c>
      <c r="R1419" s="696">
        <v>20150616</v>
      </c>
      <c r="S1419" s="372" t="s">
        <v>9503</v>
      </c>
      <c r="T1419" s="697">
        <v>0.20900000000000002</v>
      </c>
      <c r="U1419" s="372" t="s">
        <v>9504</v>
      </c>
      <c r="V1419" s="723">
        <v>29.36</v>
      </c>
      <c r="W1419" s="723">
        <v>1.05</v>
      </c>
      <c r="X1419" s="723">
        <v>2.13</v>
      </c>
      <c r="Y1419" s="723">
        <v>34.950000000000003</v>
      </c>
      <c r="Z1419" s="382" t="s">
        <v>927</v>
      </c>
      <c r="AA1419" s="372">
        <v>344.6411402</v>
      </c>
      <c r="AB1419" s="372">
        <v>577.59768929999996</v>
      </c>
      <c r="AC1419" s="372">
        <v>419.26139180000001</v>
      </c>
      <c r="AD1419" s="372">
        <v>447.1088282</v>
      </c>
      <c r="AE1419" s="372">
        <v>827</v>
      </c>
      <c r="AF1419" s="372">
        <v>990</v>
      </c>
      <c r="AG1419" s="372">
        <v>0</v>
      </c>
      <c r="AH1419" s="372">
        <v>0</v>
      </c>
    </row>
    <row r="1420" spans="1:34">
      <c r="A1420" s="372" t="s">
        <v>9505</v>
      </c>
      <c r="B1420" s="373" t="s">
        <v>9506</v>
      </c>
      <c r="C1420" s="372" t="s">
        <v>16012</v>
      </c>
      <c r="D1420" s="374">
        <v>1801110037887</v>
      </c>
      <c r="E1420" s="372" t="s">
        <v>16013</v>
      </c>
      <c r="F1420" s="375" t="s">
        <v>1756</v>
      </c>
      <c r="G1420" s="375" t="s">
        <v>6499</v>
      </c>
      <c r="H1420" s="375" t="s">
        <v>861</v>
      </c>
      <c r="I1420" s="375" t="s">
        <v>862</v>
      </c>
      <c r="J1420" s="375">
        <v>0</v>
      </c>
      <c r="K1420" s="375">
        <v>0</v>
      </c>
      <c r="L1420" s="375">
        <v>0</v>
      </c>
      <c r="M1420" s="375">
        <v>133972.66255000001</v>
      </c>
      <c r="N1420" s="372">
        <v>0.69399999999999995</v>
      </c>
      <c r="O1420" s="704">
        <v>7.7393026514079981</v>
      </c>
      <c r="P1420" s="375" t="s">
        <v>622</v>
      </c>
      <c r="Q1420" s="375" t="s">
        <v>622</v>
      </c>
      <c r="R1420" s="696">
        <v>20201126</v>
      </c>
      <c r="S1420" s="375" t="s">
        <v>9507</v>
      </c>
      <c r="T1420" s="697" t="s">
        <v>771</v>
      </c>
      <c r="U1420" s="372" t="s">
        <v>9508</v>
      </c>
      <c r="V1420" s="723">
        <v>0</v>
      </c>
      <c r="W1420" s="723">
        <v>1.61</v>
      </c>
      <c r="X1420" s="723">
        <v>0</v>
      </c>
      <c r="Y1420" s="723">
        <v>0</v>
      </c>
      <c r="Z1420" s="382" t="s">
        <v>927</v>
      </c>
      <c r="AA1420" s="372">
        <v>1513.428279</v>
      </c>
      <c r="AB1420" s="372">
        <v>1472.3115746000001</v>
      </c>
      <c r="AC1420" s="372">
        <v>1321.5464093999999</v>
      </c>
      <c r="AD1420" s="372">
        <v>1439.8606603000001</v>
      </c>
      <c r="AE1420" s="372">
        <v>0</v>
      </c>
      <c r="AF1420" s="372">
        <v>0</v>
      </c>
      <c r="AG1420" s="372">
        <v>0</v>
      </c>
      <c r="AH1420" s="372">
        <v>0</v>
      </c>
    </row>
    <row r="1421" spans="1:34">
      <c r="A1421" s="372" t="s">
        <v>9509</v>
      </c>
      <c r="B1421" s="373" t="s">
        <v>9510</v>
      </c>
      <c r="C1421" s="372" t="s">
        <v>9511</v>
      </c>
      <c r="D1421" s="374">
        <v>1348110105438</v>
      </c>
      <c r="E1421" s="372" t="s">
        <v>9512</v>
      </c>
      <c r="F1421" s="375" t="s">
        <v>1185</v>
      </c>
      <c r="G1421" s="375" t="s">
        <v>1186</v>
      </c>
      <c r="H1421" s="375" t="s">
        <v>861</v>
      </c>
      <c r="I1421" s="375" t="s">
        <v>862</v>
      </c>
      <c r="J1421" s="375">
        <v>15237.22719</v>
      </c>
      <c r="K1421" s="375">
        <v>2645.83763</v>
      </c>
      <c r="L1421" s="375">
        <v>-3164.0732200000002</v>
      </c>
      <c r="M1421" s="375">
        <v>38051.765019999999</v>
      </c>
      <c r="N1421" s="372" t="s">
        <v>1026</v>
      </c>
      <c r="O1421" s="704">
        <v>47.353592843497935</v>
      </c>
      <c r="P1421" s="375" t="s">
        <v>622</v>
      </c>
      <c r="Q1421" s="372" t="s">
        <v>622</v>
      </c>
      <c r="R1421" s="696">
        <v>20231124</v>
      </c>
      <c r="S1421" s="372" t="s">
        <v>9513</v>
      </c>
      <c r="T1421" s="697" t="s">
        <v>771</v>
      </c>
      <c r="U1421" s="372" t="s">
        <v>9514</v>
      </c>
      <c r="V1421" s="723">
        <v>17.5</v>
      </c>
      <c r="W1421" s="723">
        <v>1.73</v>
      </c>
      <c r="X1421" s="723">
        <v>4.33</v>
      </c>
      <c r="Y1421" s="723" t="s">
        <v>773</v>
      </c>
      <c r="Z1421" s="382" t="s">
        <v>927</v>
      </c>
      <c r="AA1421" s="372">
        <v>117.15779999999999</v>
      </c>
      <c r="AB1421" s="372">
        <v>146.08246890000001</v>
      </c>
      <c r="AC1421" s="372">
        <v>165.50325309999999</v>
      </c>
      <c r="AD1421" s="372">
        <v>153.1311469</v>
      </c>
      <c r="AE1421" s="372">
        <v>0</v>
      </c>
      <c r="AF1421" s="372">
        <v>0</v>
      </c>
      <c r="AG1421" s="372">
        <v>0</v>
      </c>
      <c r="AH1421" s="372">
        <v>0</v>
      </c>
    </row>
    <row r="1422" spans="1:34">
      <c r="A1422" s="372" t="s">
        <v>9515</v>
      </c>
      <c r="B1422" s="373" t="s">
        <v>9516</v>
      </c>
      <c r="C1422" s="372" t="s">
        <v>9517</v>
      </c>
      <c r="D1422" s="374">
        <v>2112110005321</v>
      </c>
      <c r="E1422" s="372" t="s">
        <v>9518</v>
      </c>
      <c r="F1422" s="372" t="s">
        <v>9519</v>
      </c>
      <c r="G1422" s="375" t="s">
        <v>9519</v>
      </c>
      <c r="H1422" s="375" t="s">
        <v>861</v>
      </c>
      <c r="I1422" s="375" t="s">
        <v>862</v>
      </c>
      <c r="J1422" s="375">
        <v>284736.89711999998</v>
      </c>
      <c r="K1422" s="375">
        <v>22661.219349999999</v>
      </c>
      <c r="L1422" s="375">
        <v>16038.7966</v>
      </c>
      <c r="M1422" s="375">
        <v>278177.97954999999</v>
      </c>
      <c r="N1422" s="372">
        <v>0.63500000000000001</v>
      </c>
      <c r="O1422" s="704">
        <v>201.28015546411001</v>
      </c>
      <c r="P1422" s="375" t="s">
        <v>622</v>
      </c>
      <c r="Q1422" s="372" t="s">
        <v>622</v>
      </c>
      <c r="R1422" s="696">
        <v>20160727</v>
      </c>
      <c r="S1422" s="372" t="s">
        <v>9520</v>
      </c>
      <c r="T1422" s="697">
        <v>0.20900000000000002</v>
      </c>
      <c r="U1422" s="372" t="s">
        <v>9521</v>
      </c>
      <c r="V1422" s="723">
        <v>3.74</v>
      </c>
      <c r="W1422" s="723">
        <v>0.35</v>
      </c>
      <c r="X1422" s="723">
        <v>0.33</v>
      </c>
      <c r="Y1422" s="723">
        <v>7.6</v>
      </c>
      <c r="Z1422" s="382" t="s">
        <v>927</v>
      </c>
      <c r="AA1422" s="372">
        <v>2370.9441000000002</v>
      </c>
      <c r="AB1422" s="372">
        <v>2538.4225664000001</v>
      </c>
      <c r="AC1422" s="372">
        <v>2868.6496431999999</v>
      </c>
      <c r="AD1422" s="372">
        <v>2792.7403761</v>
      </c>
      <c r="AE1422" s="372">
        <v>0</v>
      </c>
      <c r="AF1422" s="372">
        <v>0</v>
      </c>
      <c r="AG1422" s="372">
        <v>0</v>
      </c>
      <c r="AH1422" s="372">
        <v>0</v>
      </c>
    </row>
    <row r="1423" spans="1:34">
      <c r="A1423" s="372" t="s">
        <v>9522</v>
      </c>
      <c r="B1423" s="373" t="s">
        <v>9523</v>
      </c>
      <c r="C1423" s="372" t="s">
        <v>9524</v>
      </c>
      <c r="D1423" s="374">
        <v>1101111960437</v>
      </c>
      <c r="E1423" s="372" t="s">
        <v>9525</v>
      </c>
      <c r="F1423" s="375" t="s">
        <v>621</v>
      </c>
      <c r="G1423" s="375" t="s">
        <v>621</v>
      </c>
      <c r="H1423" s="375" t="s">
        <v>861</v>
      </c>
      <c r="I1423" s="375" t="s">
        <v>862</v>
      </c>
      <c r="J1423" s="375">
        <v>19508.178110000001</v>
      </c>
      <c r="K1423" s="375">
        <v>2377.2821199999998</v>
      </c>
      <c r="L1423" s="375">
        <v>15337.48777</v>
      </c>
      <c r="M1423" s="375">
        <v>214628.04852000001</v>
      </c>
      <c r="N1423" s="372">
        <v>0.66200000000000003</v>
      </c>
      <c r="O1423" s="704">
        <v>2.8379412987908775E-2</v>
      </c>
      <c r="P1423" s="375" t="s">
        <v>622</v>
      </c>
      <c r="Q1423" s="372" t="s">
        <v>622</v>
      </c>
      <c r="R1423" s="696">
        <v>20080711</v>
      </c>
      <c r="S1423" s="372" t="s">
        <v>9526</v>
      </c>
      <c r="T1423" s="697">
        <v>0.20900000000000002</v>
      </c>
      <c r="U1423" s="372" t="s">
        <v>6612</v>
      </c>
      <c r="V1423" s="723">
        <v>23.37</v>
      </c>
      <c r="W1423" s="723">
        <v>0.28000000000000003</v>
      </c>
      <c r="X1423" s="723">
        <v>3.25</v>
      </c>
      <c r="Y1423" s="723">
        <v>4.57</v>
      </c>
      <c r="Z1423" s="382" t="s">
        <v>927</v>
      </c>
      <c r="AA1423" s="372">
        <v>262.52208009999998</v>
      </c>
      <c r="AB1423" s="372">
        <v>308.66937589999998</v>
      </c>
      <c r="AC1423" s="372">
        <v>173.2540296</v>
      </c>
      <c r="AD1423" s="372">
        <v>203.8664133</v>
      </c>
      <c r="AE1423" s="372">
        <v>0</v>
      </c>
      <c r="AF1423" s="372">
        <v>0</v>
      </c>
      <c r="AG1423" s="372">
        <v>0</v>
      </c>
      <c r="AH1423" s="372">
        <v>0</v>
      </c>
    </row>
    <row r="1424" spans="1:34">
      <c r="A1424" s="372" t="s">
        <v>9527</v>
      </c>
      <c r="B1424" s="373" t="s">
        <v>9528</v>
      </c>
      <c r="C1424" s="372" t="s">
        <v>9529</v>
      </c>
      <c r="D1424" s="374">
        <v>1101110607618</v>
      </c>
      <c r="E1424" s="372" t="s">
        <v>9530</v>
      </c>
      <c r="F1424" s="372" t="s">
        <v>1849</v>
      </c>
      <c r="G1424" s="375" t="s">
        <v>1850</v>
      </c>
      <c r="H1424" s="375" t="s">
        <v>4847</v>
      </c>
      <c r="I1424" s="375" t="s">
        <v>862</v>
      </c>
      <c r="J1424" s="375">
        <v>1711548.0542299999</v>
      </c>
      <c r="K1424" s="375">
        <v>41436.085379999997</v>
      </c>
      <c r="L1424" s="375">
        <v>14515.93353</v>
      </c>
      <c r="M1424" s="375">
        <v>457385.91738</v>
      </c>
      <c r="N1424" s="372">
        <v>0.72299999999999998</v>
      </c>
      <c r="O1424" s="704">
        <v>419.17437141605103</v>
      </c>
      <c r="P1424" s="375" t="s">
        <v>622</v>
      </c>
      <c r="Q1424" s="372" t="s">
        <v>622</v>
      </c>
      <c r="R1424" s="696">
        <v>20010817</v>
      </c>
      <c r="S1424" s="372" t="s">
        <v>9531</v>
      </c>
      <c r="T1424" s="697">
        <v>0.20900000000000002</v>
      </c>
      <c r="U1424" s="372" t="s">
        <v>9532</v>
      </c>
      <c r="V1424" s="723">
        <v>0</v>
      </c>
      <c r="W1424" s="723">
        <v>0</v>
      </c>
      <c r="X1424" s="723">
        <v>0</v>
      </c>
      <c r="Y1424" s="723">
        <v>0</v>
      </c>
      <c r="Z1424" s="382" t="s">
        <v>927</v>
      </c>
      <c r="AA1424" s="372">
        <v>11016.127495799999</v>
      </c>
      <c r="AB1424" s="372">
        <v>13639.653856200001</v>
      </c>
      <c r="AC1424" s="372">
        <v>18930.776791100001</v>
      </c>
      <c r="AD1424" s="372">
        <v>19095.919953500001</v>
      </c>
      <c r="AE1424" s="372">
        <v>0</v>
      </c>
      <c r="AF1424" s="372">
        <v>0</v>
      </c>
      <c r="AG1424" s="372">
        <v>0</v>
      </c>
      <c r="AH1424" s="372">
        <v>0</v>
      </c>
    </row>
    <row r="1425" spans="1:34">
      <c r="A1425" s="372" t="s">
        <v>9533</v>
      </c>
      <c r="B1425" s="373" t="s">
        <v>9534</v>
      </c>
      <c r="C1425" s="372" t="s">
        <v>9535</v>
      </c>
      <c r="D1425" s="374">
        <v>1101113731563</v>
      </c>
      <c r="E1425" s="372" t="s">
        <v>9536</v>
      </c>
      <c r="F1425" s="375" t="s">
        <v>1393</v>
      </c>
      <c r="G1425" s="375" t="s">
        <v>9537</v>
      </c>
      <c r="H1425" s="375" t="s">
        <v>895</v>
      </c>
      <c r="I1425" s="375" t="s">
        <v>862</v>
      </c>
      <c r="J1425" s="375">
        <v>0</v>
      </c>
      <c r="K1425" s="375">
        <v>0</v>
      </c>
      <c r="L1425" s="375">
        <v>0</v>
      </c>
      <c r="M1425" s="375">
        <v>0</v>
      </c>
      <c r="N1425" s="372">
        <v>0.49299999999999999</v>
      </c>
      <c r="O1425" s="704" t="s">
        <v>16301</v>
      </c>
      <c r="P1425" s="375" t="s">
        <v>622</v>
      </c>
      <c r="Q1425" s="375" t="s">
        <v>622</v>
      </c>
      <c r="R1425" s="696">
        <v>20181004</v>
      </c>
      <c r="S1425" s="372" t="s">
        <v>9538</v>
      </c>
      <c r="T1425" s="697" t="s">
        <v>771</v>
      </c>
      <c r="U1425" s="372" t="s">
        <v>9539</v>
      </c>
      <c r="V1425" s="723">
        <v>0</v>
      </c>
      <c r="W1425" s="723">
        <v>0</v>
      </c>
      <c r="X1425" s="723">
        <v>0</v>
      </c>
      <c r="Y1425" s="723">
        <v>0</v>
      </c>
      <c r="Z1425" s="382" t="s">
        <v>927</v>
      </c>
      <c r="AA1425" s="372">
        <v>153.44972509999999</v>
      </c>
      <c r="AB1425" s="372">
        <v>264.89312430000001</v>
      </c>
      <c r="AC1425" s="372">
        <v>176.0044661</v>
      </c>
      <c r="AD1425" s="372">
        <v>86.507171499999998</v>
      </c>
      <c r="AE1425" s="372">
        <v>0</v>
      </c>
      <c r="AF1425" s="372">
        <v>0</v>
      </c>
      <c r="AG1425" s="372">
        <v>0</v>
      </c>
      <c r="AH1425" s="372">
        <v>0</v>
      </c>
    </row>
    <row r="1426" spans="1:34">
      <c r="A1426" s="372" t="s">
        <v>9540</v>
      </c>
      <c r="B1426" s="373" t="s">
        <v>9541</v>
      </c>
      <c r="C1426" s="372" t="s">
        <v>9542</v>
      </c>
      <c r="D1426" s="374">
        <v>0</v>
      </c>
      <c r="E1426" s="372" t="s">
        <v>9543</v>
      </c>
      <c r="F1426" s="375" t="s">
        <v>1796</v>
      </c>
      <c r="G1426" s="375" t="s">
        <v>1797</v>
      </c>
      <c r="H1426" s="375">
        <v>0</v>
      </c>
      <c r="I1426" s="375" t="s">
        <v>862</v>
      </c>
      <c r="J1426" s="375">
        <v>0</v>
      </c>
      <c r="K1426" s="375">
        <v>0</v>
      </c>
      <c r="L1426" s="375">
        <v>0</v>
      </c>
      <c r="M1426" s="375">
        <v>0</v>
      </c>
      <c r="N1426" s="372">
        <v>0.40899999999999997</v>
      </c>
      <c r="O1426" s="704" t="s">
        <v>16301</v>
      </c>
      <c r="P1426" s="375" t="s">
        <v>622</v>
      </c>
      <c r="Q1426" s="372" t="s">
        <v>622</v>
      </c>
      <c r="R1426" s="696">
        <v>20121217</v>
      </c>
      <c r="S1426" s="372" t="s">
        <v>9544</v>
      </c>
      <c r="T1426" s="697" t="s">
        <v>771</v>
      </c>
      <c r="U1426" s="372" t="s">
        <v>9545</v>
      </c>
      <c r="V1426" s="723">
        <v>0</v>
      </c>
      <c r="W1426" s="723">
        <v>0</v>
      </c>
      <c r="X1426" s="723">
        <v>0</v>
      </c>
      <c r="Y1426" s="723">
        <v>0</v>
      </c>
      <c r="Z1426" s="382" t="s">
        <v>927</v>
      </c>
      <c r="AA1426" s="372">
        <v>514.37680999999998</v>
      </c>
      <c r="AB1426" s="372">
        <v>575.42256999999995</v>
      </c>
      <c r="AC1426" s="372">
        <v>521.80373999999995</v>
      </c>
      <c r="AD1426" s="372">
        <v>520.26095999999995</v>
      </c>
      <c r="AE1426" s="372">
        <v>0</v>
      </c>
      <c r="AF1426" s="372">
        <v>0</v>
      </c>
      <c r="AG1426" s="372">
        <v>0</v>
      </c>
      <c r="AH1426" s="372">
        <v>0</v>
      </c>
    </row>
    <row r="1427" spans="1:34">
      <c r="A1427" s="372" t="s">
        <v>9546</v>
      </c>
      <c r="B1427" s="373" t="s">
        <v>9547</v>
      </c>
      <c r="C1427" s="372" t="s">
        <v>9548</v>
      </c>
      <c r="D1427" s="374">
        <v>1301110009365</v>
      </c>
      <c r="E1427" s="372" t="s">
        <v>9549</v>
      </c>
      <c r="F1427" s="375" t="s">
        <v>1954</v>
      </c>
      <c r="G1427" s="375" t="s">
        <v>7834</v>
      </c>
      <c r="H1427" s="375" t="s">
        <v>861</v>
      </c>
      <c r="I1427" s="375" t="s">
        <v>862</v>
      </c>
      <c r="J1427" s="375">
        <v>102770.20806999999</v>
      </c>
      <c r="K1427" s="375">
        <v>12179.396640000001</v>
      </c>
      <c r="L1427" s="375">
        <v>12324.52778</v>
      </c>
      <c r="M1427" s="375">
        <v>82500.709749999995</v>
      </c>
      <c r="N1427" s="372">
        <v>0.60199999999999998</v>
      </c>
      <c r="O1427" s="704">
        <v>3.5714994462558478E-2</v>
      </c>
      <c r="P1427" s="375" t="s">
        <v>622</v>
      </c>
      <c r="Q1427" s="375" t="s">
        <v>622</v>
      </c>
      <c r="R1427" s="696">
        <v>19931222</v>
      </c>
      <c r="S1427" s="375" t="s">
        <v>5526</v>
      </c>
      <c r="T1427" s="697">
        <v>0.20900000000000002</v>
      </c>
      <c r="U1427" s="372" t="s">
        <v>9550</v>
      </c>
      <c r="V1427" s="723">
        <v>7.69</v>
      </c>
      <c r="W1427" s="723">
        <v>1.42</v>
      </c>
      <c r="X1427" s="723">
        <v>1.1100000000000001</v>
      </c>
      <c r="Y1427" s="723">
        <v>11.55</v>
      </c>
      <c r="Z1427" s="382" t="s">
        <v>927</v>
      </c>
      <c r="AA1427" s="372">
        <v>1018.5371628</v>
      </c>
      <c r="AB1427" s="372">
        <v>903.44610299999999</v>
      </c>
      <c r="AC1427" s="372">
        <v>995.86810690000004</v>
      </c>
      <c r="AD1427" s="372">
        <v>1000.6818617</v>
      </c>
      <c r="AE1427" s="372">
        <v>0</v>
      </c>
      <c r="AF1427" s="372">
        <v>0</v>
      </c>
      <c r="AG1427" s="372">
        <v>0</v>
      </c>
      <c r="AH1427" s="372">
        <v>0</v>
      </c>
    </row>
    <row r="1428" spans="1:34">
      <c r="A1428" s="372" t="s">
        <v>9551</v>
      </c>
      <c r="B1428" s="373" t="s">
        <v>9552</v>
      </c>
      <c r="C1428" s="372" t="s">
        <v>9553</v>
      </c>
      <c r="D1428" s="374">
        <v>1101118073613</v>
      </c>
      <c r="E1428" s="372" t="s">
        <v>9554</v>
      </c>
      <c r="F1428" s="375" t="s">
        <v>5899</v>
      </c>
      <c r="G1428" s="375" t="s">
        <v>5899</v>
      </c>
      <c r="H1428" s="375" t="s">
        <v>1337</v>
      </c>
      <c r="I1428" s="375" t="s">
        <v>862</v>
      </c>
      <c r="J1428" s="375">
        <v>55578.305110000001</v>
      </c>
      <c r="K1428" s="375">
        <v>12787.14788</v>
      </c>
      <c r="L1428" s="375">
        <v>12610.51138</v>
      </c>
      <c r="M1428" s="375">
        <v>63386.68636</v>
      </c>
      <c r="N1428" s="372">
        <v>0.29899999999999999</v>
      </c>
      <c r="O1428" s="704">
        <v>7.132045593473765</v>
      </c>
      <c r="P1428" s="375" t="s">
        <v>622</v>
      </c>
      <c r="Q1428" s="375" t="s">
        <v>622</v>
      </c>
      <c r="R1428" s="696">
        <v>20220307</v>
      </c>
      <c r="S1428" s="375" t="s">
        <v>9555</v>
      </c>
      <c r="T1428" s="697">
        <v>0.20900000000000002</v>
      </c>
      <c r="U1428" s="372" t="s">
        <v>9556</v>
      </c>
      <c r="V1428" s="723">
        <v>6.82</v>
      </c>
      <c r="W1428" s="723">
        <v>1.52</v>
      </c>
      <c r="X1428" s="723">
        <v>1.75</v>
      </c>
      <c r="Y1428" s="723">
        <v>10.77</v>
      </c>
      <c r="Z1428" s="382" t="s">
        <v>927</v>
      </c>
      <c r="AA1428" s="372">
        <v>188.4809119</v>
      </c>
      <c r="AB1428" s="372">
        <v>278.44355990000003</v>
      </c>
      <c r="AC1428" s="372">
        <v>383.34447390000003</v>
      </c>
      <c r="AD1428" s="372">
        <v>508.14045320000002</v>
      </c>
      <c r="AE1428" s="372">
        <v>640</v>
      </c>
      <c r="AF1428" s="372">
        <v>0</v>
      </c>
      <c r="AG1428" s="372">
        <v>0</v>
      </c>
      <c r="AH1428" s="372">
        <v>0</v>
      </c>
    </row>
    <row r="1429" spans="1:34">
      <c r="A1429" s="372" t="s">
        <v>9557</v>
      </c>
      <c r="B1429" s="373" t="s">
        <v>9558</v>
      </c>
      <c r="C1429" s="372" t="s">
        <v>9559</v>
      </c>
      <c r="D1429" s="374">
        <v>1101116332590</v>
      </c>
      <c r="E1429" s="372" t="s">
        <v>9560</v>
      </c>
      <c r="F1429" s="375" t="s">
        <v>1407</v>
      </c>
      <c r="G1429" s="375" t="s">
        <v>1407</v>
      </c>
      <c r="H1429" s="375" t="s">
        <v>1316</v>
      </c>
      <c r="I1429" s="375" t="s">
        <v>754</v>
      </c>
      <c r="J1429" s="375">
        <v>433935.14724000002</v>
      </c>
      <c r="K1429" s="375">
        <v>26886.794829999999</v>
      </c>
      <c r="L1429" s="375">
        <v>26890.35471</v>
      </c>
      <c r="M1429" s="375">
        <v>217367.58511000001</v>
      </c>
      <c r="N1429" s="372">
        <v>0.66700000000000004</v>
      </c>
      <c r="O1429" s="704">
        <v>19.903587319151136</v>
      </c>
      <c r="P1429" s="375" t="s">
        <v>622</v>
      </c>
      <c r="Q1429" s="375" t="s">
        <v>622</v>
      </c>
      <c r="R1429" s="696">
        <v>20170411</v>
      </c>
      <c r="S1429" s="375" t="s">
        <v>9561</v>
      </c>
      <c r="T1429" s="697">
        <v>0.23100000000000001</v>
      </c>
      <c r="U1429" s="372" t="s">
        <v>9562</v>
      </c>
      <c r="V1429" s="723">
        <v>0</v>
      </c>
      <c r="W1429" s="723">
        <v>0</v>
      </c>
      <c r="X1429" s="723">
        <v>0</v>
      </c>
      <c r="Y1429" s="723">
        <v>0</v>
      </c>
      <c r="Z1429" s="382" t="s">
        <v>927</v>
      </c>
      <c r="AA1429" s="372">
        <v>3815.3863986000001</v>
      </c>
      <c r="AB1429" s="372">
        <v>3812.1221574000001</v>
      </c>
      <c r="AC1429" s="372">
        <v>4136.3846474000002</v>
      </c>
      <c r="AD1429" s="372">
        <v>4347.2879263000004</v>
      </c>
      <c r="AE1429" s="372">
        <v>0</v>
      </c>
      <c r="AF1429" s="372">
        <v>0</v>
      </c>
      <c r="AG1429" s="372">
        <v>0</v>
      </c>
      <c r="AH1429" s="372">
        <v>0</v>
      </c>
    </row>
    <row r="1430" spans="1:34">
      <c r="A1430" s="372" t="s">
        <v>9563</v>
      </c>
      <c r="B1430" s="373" t="s">
        <v>9564</v>
      </c>
      <c r="C1430" s="372" t="s">
        <v>9565</v>
      </c>
      <c r="D1430" s="374">
        <v>1101113544263</v>
      </c>
      <c r="E1430" s="372" t="s">
        <v>9566</v>
      </c>
      <c r="F1430" s="375" t="s">
        <v>853</v>
      </c>
      <c r="G1430" s="375" t="s">
        <v>4419</v>
      </c>
      <c r="H1430" s="375" t="s">
        <v>895</v>
      </c>
      <c r="I1430" s="375" t="s">
        <v>862</v>
      </c>
      <c r="J1430" s="375">
        <v>0</v>
      </c>
      <c r="K1430" s="375">
        <v>0</v>
      </c>
      <c r="L1430" s="375">
        <v>0</v>
      </c>
      <c r="M1430" s="375">
        <v>0</v>
      </c>
      <c r="N1430" s="372">
        <v>0.98299999999999998</v>
      </c>
      <c r="O1430" s="704" t="s">
        <v>16301</v>
      </c>
      <c r="P1430" s="375" t="s">
        <v>622</v>
      </c>
      <c r="Q1430" s="372" t="s">
        <v>622</v>
      </c>
      <c r="R1430" s="696">
        <v>20190523</v>
      </c>
      <c r="S1430" s="372" t="s">
        <v>9567</v>
      </c>
      <c r="T1430" s="697" t="s">
        <v>771</v>
      </c>
      <c r="U1430" s="372" t="s">
        <v>9568</v>
      </c>
      <c r="V1430" s="723">
        <v>0</v>
      </c>
      <c r="W1430" s="723">
        <v>0</v>
      </c>
      <c r="X1430" s="723">
        <v>0</v>
      </c>
      <c r="Y1430" s="723">
        <v>0</v>
      </c>
      <c r="Z1430" s="382" t="s">
        <v>927</v>
      </c>
      <c r="AA1430" s="372">
        <v>186.29367160000001</v>
      </c>
      <c r="AB1430" s="372">
        <v>274.44773470000001</v>
      </c>
      <c r="AC1430" s="372">
        <v>158.43840990000001</v>
      </c>
      <c r="AD1430" s="372">
        <v>158.5896965</v>
      </c>
      <c r="AE1430" s="372">
        <v>0</v>
      </c>
      <c r="AF1430" s="372">
        <v>0</v>
      </c>
      <c r="AG1430" s="372">
        <v>0</v>
      </c>
      <c r="AH1430" s="372">
        <v>0</v>
      </c>
    </row>
    <row r="1431" spans="1:34">
      <c r="A1431" s="372" t="s">
        <v>9569</v>
      </c>
      <c r="B1431" s="373" t="s">
        <v>9570</v>
      </c>
      <c r="C1431" s="372" t="s">
        <v>9571</v>
      </c>
      <c r="D1431" s="374">
        <v>1101114504901</v>
      </c>
      <c r="E1431" s="372" t="s">
        <v>9572</v>
      </c>
      <c r="F1431" s="372" t="s">
        <v>1836</v>
      </c>
      <c r="G1431" s="375" t="s">
        <v>1836</v>
      </c>
      <c r="H1431" s="375" t="s">
        <v>3099</v>
      </c>
      <c r="I1431" s="375" t="s">
        <v>862</v>
      </c>
      <c r="J1431" s="375">
        <v>103582.22976</v>
      </c>
      <c r="K1431" s="375">
        <v>246.23748000000001</v>
      </c>
      <c r="L1431" s="375">
        <v>971.21741999999995</v>
      </c>
      <c r="M1431" s="375">
        <v>31576.156889999998</v>
      </c>
      <c r="N1431" s="372">
        <v>0.67300000000000004</v>
      </c>
      <c r="O1431" s="704">
        <v>5.089767695413534</v>
      </c>
      <c r="P1431" s="375" t="s">
        <v>622</v>
      </c>
      <c r="Q1431" s="372" t="s">
        <v>622</v>
      </c>
      <c r="R1431" s="696">
        <v>20170803</v>
      </c>
      <c r="S1431" s="372" t="s">
        <v>9573</v>
      </c>
      <c r="T1431" s="697">
        <v>0.20900000000000002</v>
      </c>
      <c r="U1431" s="372" t="s">
        <v>9574</v>
      </c>
      <c r="V1431" s="723">
        <v>0</v>
      </c>
      <c r="W1431" s="723">
        <v>0</v>
      </c>
      <c r="X1431" s="723">
        <v>0</v>
      </c>
      <c r="Y1431" s="723">
        <v>0</v>
      </c>
      <c r="Z1431" s="382" t="s">
        <v>927</v>
      </c>
      <c r="AA1431" s="372">
        <v>927.34563300000002</v>
      </c>
      <c r="AB1431" s="372">
        <v>1004.8118666</v>
      </c>
      <c r="AC1431" s="372">
        <v>991.18758709999997</v>
      </c>
      <c r="AD1431" s="372">
        <v>992.60952850000001</v>
      </c>
      <c r="AE1431" s="372">
        <v>0</v>
      </c>
      <c r="AF1431" s="372">
        <v>0</v>
      </c>
      <c r="AG1431" s="372">
        <v>0</v>
      </c>
      <c r="AH1431" s="372">
        <v>0</v>
      </c>
    </row>
    <row r="1432" spans="1:34">
      <c r="A1432" s="372" t="s">
        <v>9575</v>
      </c>
      <c r="B1432" s="373" t="s">
        <v>9576</v>
      </c>
      <c r="C1432" s="372" t="s">
        <v>9577</v>
      </c>
      <c r="D1432" s="374">
        <v>1101110204498</v>
      </c>
      <c r="E1432" s="372" t="s">
        <v>9578</v>
      </c>
      <c r="F1432" s="375" t="s">
        <v>1656</v>
      </c>
      <c r="G1432" s="375" t="s">
        <v>1656</v>
      </c>
      <c r="H1432" s="375" t="s">
        <v>753</v>
      </c>
      <c r="I1432" s="375" t="s">
        <v>754</v>
      </c>
      <c r="J1432" s="375">
        <v>163044.00601000001</v>
      </c>
      <c r="K1432" s="375">
        <v>4980.8839699999999</v>
      </c>
      <c r="L1432" s="375">
        <v>5586.5599899999997</v>
      </c>
      <c r="M1432" s="375">
        <v>108916.24524</v>
      </c>
      <c r="N1432" s="372">
        <v>0.746</v>
      </c>
      <c r="O1432" s="704">
        <v>3.4369430098926941</v>
      </c>
      <c r="P1432" s="375" t="s">
        <v>622</v>
      </c>
      <c r="Q1432" s="372" t="s">
        <v>622</v>
      </c>
      <c r="R1432" s="696">
        <v>19951221</v>
      </c>
      <c r="S1432" s="372" t="s">
        <v>9579</v>
      </c>
      <c r="T1432" s="697">
        <v>0.20900000000000002</v>
      </c>
      <c r="U1432" s="372" t="s">
        <v>15908</v>
      </c>
      <c r="V1432" s="723">
        <v>13.18</v>
      </c>
      <c r="W1432" s="723">
        <v>1.01</v>
      </c>
      <c r="X1432" s="723">
        <v>0.68</v>
      </c>
      <c r="Y1432" s="723">
        <v>13.67</v>
      </c>
      <c r="Z1432" s="382">
        <v>0.27068025807974494</v>
      </c>
      <c r="AA1432" s="372">
        <v>1073.9216547000001</v>
      </c>
      <c r="AB1432" s="372">
        <v>1015.2269926</v>
      </c>
      <c r="AC1432" s="372">
        <v>1205.1846373000001</v>
      </c>
      <c r="AD1432" s="372">
        <v>1369.3771787000001</v>
      </c>
      <c r="AE1432" s="372">
        <v>1930</v>
      </c>
      <c r="AF1432" s="372">
        <v>2470</v>
      </c>
      <c r="AG1432" s="372">
        <v>3570</v>
      </c>
      <c r="AH1432" s="372">
        <v>0</v>
      </c>
    </row>
    <row r="1433" spans="1:34">
      <c r="A1433" s="372" t="s">
        <v>9580</v>
      </c>
      <c r="B1433" s="373" t="s">
        <v>9581</v>
      </c>
      <c r="C1433" s="372" t="s">
        <v>9582</v>
      </c>
      <c r="D1433" s="374">
        <v>1101110032154</v>
      </c>
      <c r="E1433" s="372" t="s">
        <v>9583</v>
      </c>
      <c r="F1433" s="372" t="s">
        <v>1323</v>
      </c>
      <c r="G1433" s="375" t="s">
        <v>16106</v>
      </c>
      <c r="H1433" s="375" t="s">
        <v>784</v>
      </c>
      <c r="I1433" s="375" t="s">
        <v>754</v>
      </c>
      <c r="J1433" s="375">
        <v>150124.13034</v>
      </c>
      <c r="K1433" s="375">
        <v>4342.8733499999998</v>
      </c>
      <c r="L1433" s="375">
        <v>4685.3013700000001</v>
      </c>
      <c r="M1433" s="375">
        <v>89873.746350000001</v>
      </c>
      <c r="N1433" s="372">
        <v>0.41099999999999998</v>
      </c>
      <c r="O1433" s="704">
        <v>26.878920625765929</v>
      </c>
      <c r="P1433" s="375" t="s">
        <v>622</v>
      </c>
      <c r="Q1433" s="375" t="s">
        <v>622</v>
      </c>
      <c r="R1433" s="696">
        <v>19751227</v>
      </c>
      <c r="S1433" s="375" t="s">
        <v>9584</v>
      </c>
      <c r="T1433" s="697">
        <v>0.20900000000000002</v>
      </c>
      <c r="U1433" s="372" t="s">
        <v>9585</v>
      </c>
      <c r="V1433" s="723">
        <v>17.489999999999998</v>
      </c>
      <c r="W1433" s="723">
        <v>1.25</v>
      </c>
      <c r="X1433" s="723">
        <v>0.76</v>
      </c>
      <c r="Y1433" s="723">
        <v>27.92</v>
      </c>
      <c r="Z1433" s="382" t="s">
        <v>927</v>
      </c>
      <c r="AA1433" s="372">
        <v>1303.9472079</v>
      </c>
      <c r="AB1433" s="372">
        <v>1197.4556872999999</v>
      </c>
      <c r="AC1433" s="372">
        <v>1265.8340293000001</v>
      </c>
      <c r="AD1433" s="372">
        <v>1353.7269053</v>
      </c>
      <c r="AE1433" s="372">
        <v>0</v>
      </c>
      <c r="AF1433" s="372">
        <v>0</v>
      </c>
      <c r="AG1433" s="372">
        <v>0</v>
      </c>
      <c r="AH1433" s="372">
        <v>0</v>
      </c>
    </row>
    <row r="1434" spans="1:34">
      <c r="A1434" s="372" t="s">
        <v>9586</v>
      </c>
      <c r="B1434" s="373" t="s">
        <v>9587</v>
      </c>
      <c r="C1434" s="372" t="s">
        <v>9588</v>
      </c>
      <c r="D1434" s="374">
        <v>1101112063743</v>
      </c>
      <c r="E1434" s="372" t="s">
        <v>9589</v>
      </c>
      <c r="F1434" s="375" t="s">
        <v>1185</v>
      </c>
      <c r="G1434" s="375" t="s">
        <v>3115</v>
      </c>
      <c r="H1434" s="375" t="s">
        <v>861</v>
      </c>
      <c r="I1434" s="375" t="s">
        <v>862</v>
      </c>
      <c r="J1434" s="375">
        <v>125763.25608000001</v>
      </c>
      <c r="K1434" s="375">
        <v>10225.439619999999</v>
      </c>
      <c r="L1434" s="375">
        <v>11807.57575</v>
      </c>
      <c r="M1434" s="375">
        <v>62115.854509999997</v>
      </c>
      <c r="N1434" s="372">
        <v>1.127</v>
      </c>
      <c r="O1434" s="704">
        <v>36.978528158003513</v>
      </c>
      <c r="P1434" s="375" t="s">
        <v>622</v>
      </c>
      <c r="Q1434" s="375" t="s">
        <v>622</v>
      </c>
      <c r="R1434" s="696">
        <v>20161221</v>
      </c>
      <c r="S1434" s="375" t="s">
        <v>9590</v>
      </c>
      <c r="T1434" s="697">
        <v>0.20900000000000002</v>
      </c>
      <c r="U1434" s="372" t="s">
        <v>9591</v>
      </c>
      <c r="V1434" s="723">
        <v>10.23</v>
      </c>
      <c r="W1434" s="723">
        <v>2.1800000000000002</v>
      </c>
      <c r="X1434" s="723">
        <v>0.86</v>
      </c>
      <c r="Y1434" s="723">
        <v>15.79</v>
      </c>
      <c r="Z1434" s="382" t="s">
        <v>927</v>
      </c>
      <c r="AA1434" s="372">
        <v>152.16576040000001</v>
      </c>
      <c r="AB1434" s="372">
        <v>42.605455599999999</v>
      </c>
      <c r="AC1434" s="372">
        <v>146.17273599999999</v>
      </c>
      <c r="AD1434" s="372">
        <v>921.33337140000003</v>
      </c>
      <c r="AE1434" s="372">
        <v>1802.1</v>
      </c>
      <c r="AF1434" s="372">
        <v>0</v>
      </c>
      <c r="AG1434" s="372">
        <v>0</v>
      </c>
      <c r="AH1434" s="372">
        <v>0</v>
      </c>
    </row>
    <row r="1435" spans="1:34">
      <c r="A1435" s="372" t="s">
        <v>9592</v>
      </c>
      <c r="B1435" s="373" t="s">
        <v>9593</v>
      </c>
      <c r="C1435" s="372" t="s">
        <v>9594</v>
      </c>
      <c r="D1435" s="374">
        <v>1101111166803</v>
      </c>
      <c r="E1435" s="372" t="s">
        <v>9595</v>
      </c>
      <c r="F1435" s="375" t="s">
        <v>3548</v>
      </c>
      <c r="G1435" s="375" t="s">
        <v>3548</v>
      </c>
      <c r="H1435" s="375" t="s">
        <v>1337</v>
      </c>
      <c r="I1435" s="375" t="s">
        <v>862</v>
      </c>
      <c r="J1435" s="375">
        <v>136618.85694</v>
      </c>
      <c r="K1435" s="375">
        <v>-5591.7786900000001</v>
      </c>
      <c r="L1435" s="375">
        <v>-5062.3296399999999</v>
      </c>
      <c r="M1435" s="375">
        <v>70581.183090000006</v>
      </c>
      <c r="N1435" s="372">
        <v>0.91900000000000004</v>
      </c>
      <c r="O1435" s="704">
        <v>9.4429583051116206E-2</v>
      </c>
      <c r="P1435" s="375" t="s">
        <v>622</v>
      </c>
      <c r="Q1435" s="375" t="s">
        <v>622</v>
      </c>
      <c r="R1435" s="696">
        <v>20060704</v>
      </c>
      <c r="S1435" s="375" t="s">
        <v>9596</v>
      </c>
      <c r="T1435" s="697" t="s">
        <v>771</v>
      </c>
      <c r="U1435" s="372" t="s">
        <v>9597</v>
      </c>
      <c r="V1435" s="723" t="s">
        <v>773</v>
      </c>
      <c r="W1435" s="723">
        <v>0.82</v>
      </c>
      <c r="X1435" s="723">
        <v>0.42</v>
      </c>
      <c r="Y1435" s="723" t="s">
        <v>773</v>
      </c>
      <c r="Z1435" s="382" t="s">
        <v>927</v>
      </c>
      <c r="AA1435" s="372">
        <v>1196.0470836</v>
      </c>
      <c r="AB1435" s="372">
        <v>1385.9496326000001</v>
      </c>
      <c r="AC1435" s="372">
        <v>1401.7446934</v>
      </c>
      <c r="AD1435" s="372">
        <v>1368.6127048999999</v>
      </c>
      <c r="AE1435" s="372">
        <v>0</v>
      </c>
      <c r="AF1435" s="372">
        <v>0</v>
      </c>
      <c r="AG1435" s="372">
        <v>0</v>
      </c>
      <c r="AH1435" s="372">
        <v>0</v>
      </c>
    </row>
    <row r="1436" spans="1:34">
      <c r="A1436" s="372" t="s">
        <v>9598</v>
      </c>
      <c r="B1436" s="373" t="s">
        <v>9599</v>
      </c>
      <c r="C1436" s="372" t="s">
        <v>9600</v>
      </c>
      <c r="D1436" s="374">
        <v>1101112271510</v>
      </c>
      <c r="E1436" s="372" t="s">
        <v>9601</v>
      </c>
      <c r="F1436" s="375" t="s">
        <v>3180</v>
      </c>
      <c r="G1436" s="375" t="s">
        <v>3181</v>
      </c>
      <c r="H1436" s="375" t="s">
        <v>817</v>
      </c>
      <c r="I1436" s="375" t="s">
        <v>754</v>
      </c>
      <c r="J1436" s="375">
        <v>613303.92357999994</v>
      </c>
      <c r="K1436" s="375">
        <v>20290.77144</v>
      </c>
      <c r="L1436" s="375">
        <v>15223.05982</v>
      </c>
      <c r="M1436" s="375">
        <v>208722.99015</v>
      </c>
      <c r="N1436" s="372">
        <v>0.75600000000000001</v>
      </c>
      <c r="O1436" s="704">
        <v>200.12014041143553</v>
      </c>
      <c r="P1436" s="375" t="s">
        <v>622</v>
      </c>
      <c r="Q1436" s="372" t="s">
        <v>622</v>
      </c>
      <c r="R1436" s="696">
        <v>20101217</v>
      </c>
      <c r="S1436" s="372" t="s">
        <v>9602</v>
      </c>
      <c r="T1436" s="697">
        <v>0.20900000000000002</v>
      </c>
      <c r="U1436" s="372" t="s">
        <v>9603</v>
      </c>
      <c r="V1436" s="723">
        <v>0</v>
      </c>
      <c r="W1436" s="723">
        <v>0</v>
      </c>
      <c r="X1436" s="723">
        <v>0</v>
      </c>
      <c r="Y1436" s="723">
        <v>0</v>
      </c>
      <c r="Z1436" s="382" t="s">
        <v>927</v>
      </c>
      <c r="AA1436" s="372">
        <v>4536.3914463000001</v>
      </c>
      <c r="AB1436" s="372">
        <v>4680.0426398</v>
      </c>
      <c r="AC1436" s="372">
        <v>5357.8330593000001</v>
      </c>
      <c r="AD1436" s="372">
        <v>5929.5967072000003</v>
      </c>
      <c r="AE1436" s="372">
        <v>0</v>
      </c>
      <c r="AF1436" s="372">
        <v>0</v>
      </c>
      <c r="AG1436" s="372">
        <v>0</v>
      </c>
      <c r="AH1436" s="372">
        <v>0</v>
      </c>
    </row>
    <row r="1437" spans="1:34">
      <c r="A1437" s="372" t="s">
        <v>9604</v>
      </c>
      <c r="B1437" s="373" t="s">
        <v>9605</v>
      </c>
      <c r="C1437" s="372" t="s">
        <v>9606</v>
      </c>
      <c r="D1437" s="374">
        <v>1101114342228</v>
      </c>
      <c r="E1437" s="372" t="s">
        <v>9607</v>
      </c>
      <c r="F1437" s="375" t="s">
        <v>7142</v>
      </c>
      <c r="G1437" s="375" t="s">
        <v>7143</v>
      </c>
      <c r="H1437" s="375" t="s">
        <v>846</v>
      </c>
      <c r="I1437" s="375" t="s">
        <v>754</v>
      </c>
      <c r="J1437" s="375">
        <v>89682.710250000004</v>
      </c>
      <c r="K1437" s="375">
        <v>2153.94119</v>
      </c>
      <c r="L1437" s="375">
        <v>2423.0222100000001</v>
      </c>
      <c r="M1437" s="375">
        <v>28561.649140000001</v>
      </c>
      <c r="N1437" s="372">
        <v>0.56100000000000005</v>
      </c>
      <c r="O1437" s="704">
        <v>6.3705131023687178</v>
      </c>
      <c r="P1437" s="375" t="s">
        <v>622</v>
      </c>
      <c r="Q1437" s="375" t="s">
        <v>622</v>
      </c>
      <c r="R1437" s="696">
        <v>20100601</v>
      </c>
      <c r="S1437" s="375" t="s">
        <v>2069</v>
      </c>
      <c r="T1437" s="697">
        <v>0.20900000000000002</v>
      </c>
      <c r="U1437" s="372" t="s">
        <v>9608</v>
      </c>
      <c r="V1437" s="723">
        <v>30.38</v>
      </c>
      <c r="W1437" s="723">
        <v>4.34</v>
      </c>
      <c r="X1437" s="723">
        <v>1.38</v>
      </c>
      <c r="Y1437" s="723">
        <v>51.4</v>
      </c>
      <c r="Z1437" s="382" t="s">
        <v>927</v>
      </c>
      <c r="AA1437" s="372">
        <v>724.98592510000003</v>
      </c>
      <c r="AB1437" s="372">
        <v>669.65810080000006</v>
      </c>
      <c r="AC1437" s="372">
        <v>660.46677150000005</v>
      </c>
      <c r="AD1437" s="372">
        <v>787.12916910000001</v>
      </c>
      <c r="AE1437" s="372">
        <v>0</v>
      </c>
      <c r="AF1437" s="372">
        <v>0</v>
      </c>
      <c r="AG1437" s="372">
        <v>0</v>
      </c>
      <c r="AH1437" s="372">
        <v>0</v>
      </c>
    </row>
    <row r="1438" spans="1:34">
      <c r="A1438" s="372" t="s">
        <v>9609</v>
      </c>
      <c r="B1438" s="373" t="s">
        <v>9610</v>
      </c>
      <c r="C1438" s="372" t="s">
        <v>9611</v>
      </c>
      <c r="D1438" s="374">
        <v>1311110405091</v>
      </c>
      <c r="E1438" s="372" t="s">
        <v>9612</v>
      </c>
      <c r="F1438" s="375" t="s">
        <v>1185</v>
      </c>
      <c r="G1438" s="375" t="s">
        <v>1186</v>
      </c>
      <c r="H1438" s="375" t="s">
        <v>861</v>
      </c>
      <c r="I1438" s="375" t="s">
        <v>862</v>
      </c>
      <c r="J1438" s="375">
        <v>4529.2570299999998</v>
      </c>
      <c r="K1438" s="375">
        <v>-8160.0536499999998</v>
      </c>
      <c r="L1438" s="375">
        <v>-3499.4166599999999</v>
      </c>
      <c r="M1438" s="375">
        <v>30895.90552</v>
      </c>
      <c r="N1438" s="372">
        <v>0.97</v>
      </c>
      <c r="O1438" s="704">
        <v>20.008027574179717</v>
      </c>
      <c r="P1438" s="375" t="s">
        <v>622</v>
      </c>
      <c r="Q1438" s="372" t="s">
        <v>622</v>
      </c>
      <c r="R1438" s="696">
        <v>20220624</v>
      </c>
      <c r="S1438" s="372" t="s">
        <v>9613</v>
      </c>
      <c r="T1438" s="697" t="s">
        <v>771</v>
      </c>
      <c r="U1438" s="372" t="s">
        <v>9614</v>
      </c>
      <c r="V1438" s="723" t="s">
        <v>773</v>
      </c>
      <c r="W1438" s="723">
        <v>1.74</v>
      </c>
      <c r="X1438" s="723">
        <v>11.8</v>
      </c>
      <c r="Y1438" s="723" t="s">
        <v>773</v>
      </c>
      <c r="Z1438" s="382" t="s">
        <v>927</v>
      </c>
      <c r="AA1438" s="372">
        <v>38.787549400000003</v>
      </c>
      <c r="AB1438" s="372">
        <v>96.820524300000002</v>
      </c>
      <c r="AC1438" s="372">
        <v>60.329060499999997</v>
      </c>
      <c r="AD1438" s="372">
        <v>60.269613499999998</v>
      </c>
      <c r="AE1438" s="372">
        <v>0</v>
      </c>
      <c r="AF1438" s="372">
        <v>0</v>
      </c>
      <c r="AG1438" s="372">
        <v>0</v>
      </c>
      <c r="AH1438" s="372">
        <v>0</v>
      </c>
    </row>
    <row r="1439" spans="1:34">
      <c r="A1439" s="372" t="s">
        <v>9615</v>
      </c>
      <c r="B1439" s="373" t="s">
        <v>9616</v>
      </c>
      <c r="C1439" s="372" t="s">
        <v>9617</v>
      </c>
      <c r="D1439" s="374">
        <v>1101112233560</v>
      </c>
      <c r="E1439" s="372" t="s">
        <v>9618</v>
      </c>
      <c r="F1439" s="375" t="s">
        <v>1096</v>
      </c>
      <c r="G1439" s="375" t="s">
        <v>1097</v>
      </c>
      <c r="H1439" s="375" t="s">
        <v>861</v>
      </c>
      <c r="I1439" s="375" t="s">
        <v>862</v>
      </c>
      <c r="J1439" s="375">
        <v>84025.361250000002</v>
      </c>
      <c r="K1439" s="375">
        <v>-425.55597</v>
      </c>
      <c r="L1439" s="375">
        <v>-351.42151000000001</v>
      </c>
      <c r="M1439" s="375">
        <v>157874.20410999999</v>
      </c>
      <c r="N1439" s="372">
        <v>0.55100000000000005</v>
      </c>
      <c r="O1439" s="704">
        <v>2.2543972138639496</v>
      </c>
      <c r="P1439" s="375" t="s">
        <v>622</v>
      </c>
      <c r="Q1439" s="372" t="s">
        <v>622</v>
      </c>
      <c r="R1439" s="696">
        <v>20171207</v>
      </c>
      <c r="S1439" s="372" t="s">
        <v>9619</v>
      </c>
      <c r="T1439" s="697" t="s">
        <v>771</v>
      </c>
      <c r="U1439" s="372" t="s">
        <v>9620</v>
      </c>
      <c r="V1439" s="723">
        <v>26.09</v>
      </c>
      <c r="W1439" s="723">
        <v>0.65</v>
      </c>
      <c r="X1439" s="723">
        <v>1.29</v>
      </c>
      <c r="Y1439" s="723">
        <v>78.349999999999994</v>
      </c>
      <c r="Z1439" s="382">
        <v>9.4504843689808604E-2</v>
      </c>
      <c r="AA1439" s="372">
        <v>1241.9755130000001</v>
      </c>
      <c r="AB1439" s="372">
        <v>1138.3540943999999</v>
      </c>
      <c r="AC1439" s="372">
        <v>693.61422430000005</v>
      </c>
      <c r="AD1439" s="372">
        <v>889.16001180000001</v>
      </c>
      <c r="AE1439" s="372">
        <v>1017.5</v>
      </c>
      <c r="AF1439" s="372">
        <v>1222</v>
      </c>
      <c r="AG1439" s="372">
        <v>1276</v>
      </c>
      <c r="AH1439" s="372">
        <v>0</v>
      </c>
    </row>
    <row r="1440" spans="1:34">
      <c r="A1440" s="372" t="s">
        <v>9621</v>
      </c>
      <c r="B1440" s="373" t="s">
        <v>9622</v>
      </c>
      <c r="C1440" s="372" t="s">
        <v>9623</v>
      </c>
      <c r="D1440" s="374">
        <v>1101111143950</v>
      </c>
      <c r="E1440" s="372" t="s">
        <v>9624</v>
      </c>
      <c r="F1440" s="375" t="s">
        <v>1796</v>
      </c>
      <c r="G1440" s="375" t="s">
        <v>2797</v>
      </c>
      <c r="H1440" s="375" t="s">
        <v>861</v>
      </c>
      <c r="I1440" s="375" t="s">
        <v>862</v>
      </c>
      <c r="J1440" s="375">
        <v>50206.72623</v>
      </c>
      <c r="K1440" s="375">
        <v>-238.50621000000001</v>
      </c>
      <c r="L1440" s="375">
        <v>134.71229</v>
      </c>
      <c r="M1440" s="375">
        <v>47012.121890000002</v>
      </c>
      <c r="N1440" s="372">
        <v>0.69599999999999995</v>
      </c>
      <c r="O1440" s="704">
        <v>4.6369753769306596</v>
      </c>
      <c r="P1440" s="375" t="s">
        <v>622</v>
      </c>
      <c r="Q1440" s="372" t="s">
        <v>622</v>
      </c>
      <c r="R1440" s="696">
        <v>20080604</v>
      </c>
      <c r="S1440" s="372" t="s">
        <v>9625</v>
      </c>
      <c r="T1440" s="697">
        <v>9.9000000000000005E-2</v>
      </c>
      <c r="U1440" s="372" t="s">
        <v>9626</v>
      </c>
      <c r="V1440" s="723">
        <v>0</v>
      </c>
      <c r="W1440" s="723">
        <v>0</v>
      </c>
      <c r="X1440" s="723">
        <v>0</v>
      </c>
      <c r="Y1440" s="723">
        <v>0</v>
      </c>
      <c r="Z1440" s="382" t="s">
        <v>927</v>
      </c>
      <c r="AA1440" s="372">
        <v>443.25949630000002</v>
      </c>
      <c r="AB1440" s="372">
        <v>543.63053720000005</v>
      </c>
      <c r="AC1440" s="372">
        <v>589.35626479999996</v>
      </c>
      <c r="AD1440" s="372">
        <v>535.43737969999995</v>
      </c>
      <c r="AE1440" s="372">
        <v>0</v>
      </c>
      <c r="AF1440" s="372">
        <v>0</v>
      </c>
      <c r="AG1440" s="372">
        <v>0</v>
      </c>
      <c r="AH1440" s="372">
        <v>0</v>
      </c>
    </row>
    <row r="1441" spans="1:34">
      <c r="A1441" s="372" t="s">
        <v>9627</v>
      </c>
      <c r="B1441" s="373" t="s">
        <v>9628</v>
      </c>
      <c r="C1441" s="372" t="s">
        <v>9629</v>
      </c>
      <c r="D1441" s="374">
        <v>1615110096292</v>
      </c>
      <c r="E1441" s="372" t="s">
        <v>9630</v>
      </c>
      <c r="F1441" s="375" t="s">
        <v>1275</v>
      </c>
      <c r="G1441" s="375" t="s">
        <v>1275</v>
      </c>
      <c r="H1441" s="375" t="s">
        <v>861</v>
      </c>
      <c r="I1441" s="375" t="s">
        <v>862</v>
      </c>
      <c r="J1441" s="375">
        <v>161672.89006000001</v>
      </c>
      <c r="K1441" s="375">
        <v>6894.4786000000004</v>
      </c>
      <c r="L1441" s="375">
        <v>5167.3654200000001</v>
      </c>
      <c r="M1441" s="375">
        <v>123171.03547</v>
      </c>
      <c r="N1441" s="372">
        <v>0.80800000000000005</v>
      </c>
      <c r="O1441" s="704">
        <v>25.102769134143642</v>
      </c>
      <c r="P1441" s="375" t="s">
        <v>622</v>
      </c>
      <c r="Q1441" s="375" t="s">
        <v>622</v>
      </c>
      <c r="R1441" s="696">
        <v>20121115</v>
      </c>
      <c r="S1441" s="375" t="s">
        <v>9631</v>
      </c>
      <c r="T1441" s="697">
        <v>0.20900000000000002</v>
      </c>
      <c r="U1441" s="372" t="s">
        <v>9632</v>
      </c>
      <c r="V1441" s="723">
        <v>7.28</v>
      </c>
      <c r="W1441" s="723">
        <v>0.66</v>
      </c>
      <c r="X1441" s="723">
        <v>0.5</v>
      </c>
      <c r="Y1441" s="723">
        <v>14.28</v>
      </c>
      <c r="Z1441" s="382" t="s">
        <v>927</v>
      </c>
      <c r="AA1441" s="372">
        <v>1458.0063626000001</v>
      </c>
      <c r="AB1441" s="372">
        <v>1791.1117879000001</v>
      </c>
      <c r="AC1441" s="372">
        <v>2353.8135556000002</v>
      </c>
      <c r="AD1441" s="372">
        <v>2046.3320111999999</v>
      </c>
      <c r="AE1441" s="372">
        <v>2630</v>
      </c>
      <c r="AF1441" s="372">
        <v>0</v>
      </c>
      <c r="AG1441" s="372">
        <v>0</v>
      </c>
      <c r="AH1441" s="372">
        <v>0</v>
      </c>
    </row>
    <row r="1442" spans="1:34">
      <c r="A1442" s="372" t="s">
        <v>9633</v>
      </c>
      <c r="B1442" s="373" t="s">
        <v>9634</v>
      </c>
      <c r="C1442" s="372" t="s">
        <v>9635</v>
      </c>
      <c r="D1442" s="374">
        <v>1615110052450</v>
      </c>
      <c r="E1442" s="372" t="s">
        <v>9636</v>
      </c>
      <c r="F1442" s="372" t="s">
        <v>1185</v>
      </c>
      <c r="G1442" s="375" t="s">
        <v>1186</v>
      </c>
      <c r="H1442" s="375" t="s">
        <v>861</v>
      </c>
      <c r="I1442" s="375" t="s">
        <v>862</v>
      </c>
      <c r="J1442" s="375">
        <v>42501.912389999998</v>
      </c>
      <c r="K1442" s="375">
        <v>-424.47787</v>
      </c>
      <c r="L1442" s="375">
        <v>3179.7391699999998</v>
      </c>
      <c r="M1442" s="375">
        <v>135239.80403</v>
      </c>
      <c r="N1442" s="372">
        <v>0.80200000000000005</v>
      </c>
      <c r="O1442" s="704">
        <v>25.653516731639492</v>
      </c>
      <c r="P1442" s="375" t="s">
        <v>622</v>
      </c>
      <c r="Q1442" s="372" t="s">
        <v>622</v>
      </c>
      <c r="R1442" s="696">
        <v>20171220</v>
      </c>
      <c r="S1442" s="372" t="s">
        <v>9637</v>
      </c>
      <c r="T1442" s="697">
        <v>0.20900000000000002</v>
      </c>
      <c r="U1442" s="372" t="s">
        <v>9638</v>
      </c>
      <c r="V1442" s="723">
        <v>189.13</v>
      </c>
      <c r="W1442" s="723">
        <v>0.78</v>
      </c>
      <c r="X1442" s="723">
        <v>2.56</v>
      </c>
      <c r="Y1442" s="723">
        <v>42.21</v>
      </c>
      <c r="Z1442" s="382" t="s">
        <v>927</v>
      </c>
      <c r="AA1442" s="372">
        <v>1261.7272671000001</v>
      </c>
      <c r="AB1442" s="372">
        <v>1250.6766376999999</v>
      </c>
      <c r="AC1442" s="372">
        <v>727.3974968</v>
      </c>
      <c r="AD1442" s="372">
        <v>571.52091929999995</v>
      </c>
      <c r="AE1442" s="372">
        <v>1230</v>
      </c>
      <c r="AF1442" s="372">
        <v>0</v>
      </c>
      <c r="AG1442" s="372">
        <v>0</v>
      </c>
      <c r="AH1442" s="372">
        <v>0</v>
      </c>
    </row>
    <row r="1443" spans="1:34">
      <c r="A1443" s="372" t="s">
        <v>9639</v>
      </c>
      <c r="B1443" s="373" t="s">
        <v>9640</v>
      </c>
      <c r="C1443" s="372" t="s">
        <v>9641</v>
      </c>
      <c r="D1443" s="374">
        <v>1101112405721</v>
      </c>
      <c r="E1443" s="372" t="s">
        <v>9642</v>
      </c>
      <c r="F1443" s="375" t="s">
        <v>1185</v>
      </c>
      <c r="G1443" s="375" t="s">
        <v>3115</v>
      </c>
      <c r="H1443" s="375" t="s">
        <v>861</v>
      </c>
      <c r="I1443" s="375" t="s">
        <v>862</v>
      </c>
      <c r="J1443" s="375">
        <v>45447.428070000002</v>
      </c>
      <c r="K1443" s="375">
        <v>5901.0068899999997</v>
      </c>
      <c r="L1443" s="375">
        <v>5855.3255900000004</v>
      </c>
      <c r="M1443" s="375">
        <v>172723.85926999999</v>
      </c>
      <c r="N1443" s="372">
        <v>0.84299999999999997</v>
      </c>
      <c r="O1443" s="704">
        <v>1.5112486086265104</v>
      </c>
      <c r="P1443" s="375" t="s">
        <v>622</v>
      </c>
      <c r="Q1443" s="372" t="s">
        <v>622</v>
      </c>
      <c r="R1443" s="696">
        <v>20120504</v>
      </c>
      <c r="S1443" s="372" t="s">
        <v>9643</v>
      </c>
      <c r="T1443" s="697">
        <v>0.20900000000000002</v>
      </c>
      <c r="U1443" s="372" t="s">
        <v>9644</v>
      </c>
      <c r="V1443" s="723">
        <v>11.62</v>
      </c>
      <c r="W1443" s="723">
        <v>0.45</v>
      </c>
      <c r="X1443" s="723">
        <v>1.8</v>
      </c>
      <c r="Y1443" s="723">
        <v>12.44</v>
      </c>
      <c r="Z1443" s="382" t="s">
        <v>927</v>
      </c>
      <c r="AA1443" s="372">
        <v>925.83831610000004</v>
      </c>
      <c r="AB1443" s="372">
        <v>798.68088599999999</v>
      </c>
      <c r="AC1443" s="372">
        <v>709.75044009999999</v>
      </c>
      <c r="AD1443" s="372">
        <v>280.14037150000001</v>
      </c>
      <c r="AE1443" s="372">
        <v>660</v>
      </c>
      <c r="AF1443" s="372">
        <v>0</v>
      </c>
      <c r="AG1443" s="372">
        <v>0</v>
      </c>
      <c r="AH1443" s="372">
        <v>0</v>
      </c>
    </row>
    <row r="1444" spans="1:34">
      <c r="A1444" s="372" t="s">
        <v>9645</v>
      </c>
      <c r="B1444" s="373" t="s">
        <v>9646</v>
      </c>
      <c r="C1444" s="372" t="s">
        <v>9647</v>
      </c>
      <c r="D1444" s="374">
        <v>1101110128680</v>
      </c>
      <c r="E1444" s="372" t="s">
        <v>9648</v>
      </c>
      <c r="F1444" s="375" t="s">
        <v>1903</v>
      </c>
      <c r="G1444" s="375" t="s">
        <v>9649</v>
      </c>
      <c r="H1444" s="375" t="s">
        <v>861</v>
      </c>
      <c r="I1444" s="375" t="s">
        <v>862</v>
      </c>
      <c r="J1444" s="375">
        <v>144719.14734</v>
      </c>
      <c r="K1444" s="375">
        <v>-4608.6682499999997</v>
      </c>
      <c r="L1444" s="375">
        <v>-5071.5347700000002</v>
      </c>
      <c r="M1444" s="375">
        <v>54624.837039999999</v>
      </c>
      <c r="N1444" s="372">
        <v>0.97599999999999998</v>
      </c>
      <c r="O1444" s="704">
        <v>14.621416836395223</v>
      </c>
      <c r="P1444" s="375" t="s">
        <v>622</v>
      </c>
      <c r="Q1444" s="375" t="s">
        <v>622</v>
      </c>
      <c r="R1444" s="696">
        <v>20111108</v>
      </c>
      <c r="S1444" s="375" t="s">
        <v>9650</v>
      </c>
      <c r="T1444" s="697" t="s">
        <v>771</v>
      </c>
      <c r="U1444" s="372" t="s">
        <v>9651</v>
      </c>
      <c r="V1444" s="723" t="s">
        <v>773</v>
      </c>
      <c r="W1444" s="723">
        <v>1.8</v>
      </c>
      <c r="X1444" s="723">
        <v>0.72</v>
      </c>
      <c r="Y1444" s="723" t="s">
        <v>773</v>
      </c>
      <c r="Z1444" s="382" t="s">
        <v>927</v>
      </c>
      <c r="AA1444" s="372">
        <v>1040.3581612999999</v>
      </c>
      <c r="AB1444" s="372">
        <v>763.58148830000005</v>
      </c>
      <c r="AC1444" s="372">
        <v>1150.1546013</v>
      </c>
      <c r="AD1444" s="372">
        <v>1737.7416702</v>
      </c>
      <c r="AE1444" s="372">
        <v>0</v>
      </c>
      <c r="AF1444" s="372">
        <v>0</v>
      </c>
      <c r="AG1444" s="372">
        <v>0</v>
      </c>
      <c r="AH1444" s="372">
        <v>0</v>
      </c>
    </row>
    <row r="1445" spans="1:34">
      <c r="A1445" s="372" t="s">
        <v>9652</v>
      </c>
      <c r="B1445" s="373" t="s">
        <v>9653</v>
      </c>
      <c r="C1445" s="372" t="s">
        <v>9654</v>
      </c>
      <c r="D1445" s="374">
        <v>1345110001377</v>
      </c>
      <c r="E1445" s="372" t="s">
        <v>9655</v>
      </c>
      <c r="F1445" s="372" t="s">
        <v>9350</v>
      </c>
      <c r="G1445" s="375" t="s">
        <v>9350</v>
      </c>
      <c r="H1445" s="375" t="s">
        <v>861</v>
      </c>
      <c r="I1445" s="375" t="s">
        <v>862</v>
      </c>
      <c r="J1445" s="375">
        <v>76290.903760000001</v>
      </c>
      <c r="K1445" s="375">
        <v>-8781.9306899999992</v>
      </c>
      <c r="L1445" s="375">
        <v>-11025.538490000001</v>
      </c>
      <c r="M1445" s="375">
        <v>132588.53274</v>
      </c>
      <c r="N1445" s="372">
        <v>0.54400000000000004</v>
      </c>
      <c r="O1445" s="704">
        <v>2.0922844298368923E-2</v>
      </c>
      <c r="P1445" s="375" t="s">
        <v>16115</v>
      </c>
      <c r="Q1445" s="372" t="s">
        <v>16116</v>
      </c>
      <c r="R1445" s="696">
        <v>20041020</v>
      </c>
      <c r="S1445" s="372" t="s">
        <v>9656</v>
      </c>
      <c r="T1445" s="697" t="s">
        <v>771</v>
      </c>
      <c r="U1445" s="372" t="s">
        <v>9657</v>
      </c>
      <c r="V1445" s="723" t="s">
        <v>773</v>
      </c>
      <c r="W1445" s="723">
        <v>6.8</v>
      </c>
      <c r="X1445" s="723">
        <v>8.92</v>
      </c>
      <c r="Y1445" s="723" t="s">
        <v>773</v>
      </c>
      <c r="Z1445" s="382" t="s">
        <v>927</v>
      </c>
      <c r="AA1445" s="372">
        <v>1000.6102572999999</v>
      </c>
      <c r="AB1445" s="372">
        <v>954.50777779999999</v>
      </c>
      <c r="AC1445" s="372">
        <v>1124.995126</v>
      </c>
      <c r="AD1445" s="372">
        <v>807.12561700000003</v>
      </c>
      <c r="AE1445" s="372">
        <v>0</v>
      </c>
      <c r="AF1445" s="372">
        <v>0</v>
      </c>
      <c r="AG1445" s="372">
        <v>0</v>
      </c>
      <c r="AH1445" s="372">
        <v>0</v>
      </c>
    </row>
    <row r="1446" spans="1:34">
      <c r="A1446" s="372" t="s">
        <v>9658</v>
      </c>
      <c r="B1446" s="373" t="s">
        <v>9659</v>
      </c>
      <c r="C1446" s="372" t="s">
        <v>9660</v>
      </c>
      <c r="D1446" s="374">
        <v>1601110042533</v>
      </c>
      <c r="E1446" s="372" t="s">
        <v>9661</v>
      </c>
      <c r="F1446" s="375" t="s">
        <v>16101</v>
      </c>
      <c r="G1446" s="375" t="s">
        <v>16101</v>
      </c>
      <c r="H1446" s="375" t="s">
        <v>861</v>
      </c>
      <c r="I1446" s="375" t="s">
        <v>862</v>
      </c>
      <c r="J1446" s="375">
        <v>46680.26784</v>
      </c>
      <c r="K1446" s="375">
        <v>8172.41201</v>
      </c>
      <c r="L1446" s="375">
        <v>8736.5670800000007</v>
      </c>
      <c r="M1446" s="375">
        <v>101827.00447</v>
      </c>
      <c r="N1446" s="372">
        <v>0.47899999999999998</v>
      </c>
      <c r="O1446" s="704">
        <v>9.1435997839779564</v>
      </c>
      <c r="P1446" s="375" t="s">
        <v>622</v>
      </c>
      <c r="Q1446" s="372" t="s">
        <v>622</v>
      </c>
      <c r="R1446" s="696">
        <v>20031029</v>
      </c>
      <c r="S1446" s="372" t="s">
        <v>9662</v>
      </c>
      <c r="T1446" s="697">
        <v>0.20900000000000002</v>
      </c>
      <c r="U1446" s="372" t="s">
        <v>9663</v>
      </c>
      <c r="V1446" s="723">
        <v>0</v>
      </c>
      <c r="W1446" s="723">
        <v>0</v>
      </c>
      <c r="X1446" s="723">
        <v>0</v>
      </c>
      <c r="Y1446" s="723">
        <v>0</v>
      </c>
      <c r="Z1446" s="382" t="s">
        <v>927</v>
      </c>
      <c r="AA1446" s="372">
        <v>363.17531919999999</v>
      </c>
      <c r="AB1446" s="372">
        <v>409.13902569999999</v>
      </c>
      <c r="AC1446" s="372">
        <v>392.99158619999997</v>
      </c>
      <c r="AD1446" s="372">
        <v>418.67966000000001</v>
      </c>
      <c r="AE1446" s="372">
        <v>0</v>
      </c>
      <c r="AF1446" s="372">
        <v>0</v>
      </c>
      <c r="AG1446" s="372">
        <v>0</v>
      </c>
      <c r="AH1446" s="372">
        <v>0</v>
      </c>
    </row>
    <row r="1447" spans="1:34">
      <c r="A1447" s="372" t="s">
        <v>9664</v>
      </c>
      <c r="B1447" s="373" t="s">
        <v>9665</v>
      </c>
      <c r="C1447" s="372" t="s">
        <v>9666</v>
      </c>
      <c r="D1447" s="374">
        <v>1101111848394</v>
      </c>
      <c r="E1447" s="372" t="s">
        <v>9667</v>
      </c>
      <c r="F1447" s="375" t="s">
        <v>2518</v>
      </c>
      <c r="G1447" s="375" t="s">
        <v>2518</v>
      </c>
      <c r="H1447" s="375" t="s">
        <v>817</v>
      </c>
      <c r="I1447" s="375" t="s">
        <v>754</v>
      </c>
      <c r="J1447" s="375">
        <v>38303.306579999997</v>
      </c>
      <c r="K1447" s="375">
        <v>-1599.2822699999999</v>
      </c>
      <c r="L1447" s="375">
        <v>1249.8851099999999</v>
      </c>
      <c r="M1447" s="375">
        <v>103264.97429</v>
      </c>
      <c r="N1447" s="372">
        <v>0.496</v>
      </c>
      <c r="O1447" s="704">
        <v>0</v>
      </c>
      <c r="P1447" s="375" t="s">
        <v>622</v>
      </c>
      <c r="Q1447" s="375" t="s">
        <v>622</v>
      </c>
      <c r="R1447" s="696">
        <v>20040720</v>
      </c>
      <c r="S1447" s="375" t="s">
        <v>9668</v>
      </c>
      <c r="T1447" s="697">
        <v>0.20900000000000002</v>
      </c>
      <c r="U1447" s="372" t="s">
        <v>9669</v>
      </c>
      <c r="V1447" s="723">
        <v>6146.17</v>
      </c>
      <c r="W1447" s="723">
        <v>0.65</v>
      </c>
      <c r="X1447" s="723">
        <v>2.42</v>
      </c>
      <c r="Y1447" s="723">
        <v>86.96</v>
      </c>
      <c r="Z1447" s="382" t="s">
        <v>927</v>
      </c>
      <c r="AA1447" s="372">
        <v>364.01942700000001</v>
      </c>
      <c r="AB1447" s="372">
        <v>348.22430270000001</v>
      </c>
      <c r="AC1447" s="372">
        <v>425.68934869999998</v>
      </c>
      <c r="AD1447" s="372">
        <v>406.37609670000001</v>
      </c>
      <c r="AE1447" s="372">
        <v>528</v>
      </c>
      <c r="AF1447" s="372">
        <v>0</v>
      </c>
      <c r="AG1447" s="372">
        <v>0</v>
      </c>
      <c r="AH1447" s="372">
        <v>0</v>
      </c>
    </row>
    <row r="1448" spans="1:34">
      <c r="A1448" s="372" t="s">
        <v>9670</v>
      </c>
      <c r="B1448" s="373" t="s">
        <v>9671</v>
      </c>
      <c r="C1448" s="372" t="s">
        <v>9672</v>
      </c>
      <c r="D1448" s="374">
        <v>1101111991680</v>
      </c>
      <c r="E1448" s="372" t="s">
        <v>9673</v>
      </c>
      <c r="F1448" s="375" t="s">
        <v>1796</v>
      </c>
      <c r="G1448" s="375" t="s">
        <v>2797</v>
      </c>
      <c r="H1448" s="375" t="s">
        <v>861</v>
      </c>
      <c r="I1448" s="375" t="s">
        <v>862</v>
      </c>
      <c r="J1448" s="375">
        <v>44884.762210000001</v>
      </c>
      <c r="K1448" s="375">
        <v>3221.3176699999999</v>
      </c>
      <c r="L1448" s="375">
        <v>3696.5978300000002</v>
      </c>
      <c r="M1448" s="375">
        <v>31158.050190000002</v>
      </c>
      <c r="N1448" s="372">
        <v>0.67800000000000005</v>
      </c>
      <c r="O1448" s="704">
        <v>2.0376509522670023</v>
      </c>
      <c r="P1448" s="375" t="s">
        <v>622</v>
      </c>
      <c r="Q1448" s="372" t="s">
        <v>622</v>
      </c>
      <c r="R1448" s="696">
        <v>20131018</v>
      </c>
      <c r="S1448" s="372" t="s">
        <v>9674</v>
      </c>
      <c r="T1448" s="697">
        <v>0.20900000000000002</v>
      </c>
      <c r="U1448" s="372" t="s">
        <v>9675</v>
      </c>
      <c r="V1448" s="723">
        <v>8.8000000000000007</v>
      </c>
      <c r="W1448" s="723">
        <v>1.84</v>
      </c>
      <c r="X1448" s="723">
        <v>1.36</v>
      </c>
      <c r="Y1448" s="723">
        <v>17.64</v>
      </c>
      <c r="Z1448" s="382" t="s">
        <v>927</v>
      </c>
      <c r="AA1448" s="372">
        <v>364.0588803</v>
      </c>
      <c r="AB1448" s="372">
        <v>421.74716139999998</v>
      </c>
      <c r="AC1448" s="372">
        <v>441.23812659999999</v>
      </c>
      <c r="AD1448" s="372">
        <v>426.63565490000002</v>
      </c>
      <c r="AE1448" s="372">
        <v>560</v>
      </c>
      <c r="AF1448" s="372">
        <v>0</v>
      </c>
      <c r="AG1448" s="372">
        <v>0</v>
      </c>
      <c r="AH1448" s="372">
        <v>0</v>
      </c>
    </row>
    <row r="1449" spans="1:34">
      <c r="A1449" s="372" t="s">
        <v>9676</v>
      </c>
      <c r="B1449" s="373" t="s">
        <v>9677</v>
      </c>
      <c r="C1449" s="372" t="s">
        <v>9678</v>
      </c>
      <c r="D1449" s="374">
        <v>1201110083303</v>
      </c>
      <c r="E1449" s="372" t="s">
        <v>9679</v>
      </c>
      <c r="F1449" s="375" t="s">
        <v>1370</v>
      </c>
      <c r="G1449" s="375" t="s">
        <v>1370</v>
      </c>
      <c r="H1449" s="375" t="s">
        <v>861</v>
      </c>
      <c r="I1449" s="375" t="s">
        <v>862</v>
      </c>
      <c r="J1449" s="375">
        <v>118523.33998</v>
      </c>
      <c r="K1449" s="375">
        <v>8018.5965200000001</v>
      </c>
      <c r="L1449" s="375">
        <v>7936.7776999999996</v>
      </c>
      <c r="M1449" s="375">
        <v>101388.87805</v>
      </c>
      <c r="N1449" s="372">
        <v>0.78200000000000003</v>
      </c>
      <c r="O1449" s="704">
        <v>3.4774693415544206E-2</v>
      </c>
      <c r="P1449" s="375" t="s">
        <v>622</v>
      </c>
      <c r="Q1449" s="372" t="s">
        <v>622</v>
      </c>
      <c r="R1449" s="696">
        <v>20020404</v>
      </c>
      <c r="S1449" s="372" t="s">
        <v>9680</v>
      </c>
      <c r="T1449" s="697">
        <v>0.20900000000000002</v>
      </c>
      <c r="U1449" s="372" t="s">
        <v>9681</v>
      </c>
      <c r="V1449" s="723">
        <v>8.5</v>
      </c>
      <c r="W1449" s="723">
        <v>0.73</v>
      </c>
      <c r="X1449" s="723">
        <v>0.63</v>
      </c>
      <c r="Y1449" s="723">
        <v>10.72</v>
      </c>
      <c r="Z1449" s="382" t="s">
        <v>927</v>
      </c>
      <c r="AA1449" s="372">
        <v>689.77862649999997</v>
      </c>
      <c r="AB1449" s="372">
        <v>904.79359539999996</v>
      </c>
      <c r="AC1449" s="372">
        <v>958.45829749999996</v>
      </c>
      <c r="AD1449" s="372">
        <v>1032.8581180000001</v>
      </c>
      <c r="AE1449" s="372">
        <v>0</v>
      </c>
      <c r="AF1449" s="372">
        <v>0</v>
      </c>
      <c r="AG1449" s="372">
        <v>0</v>
      </c>
      <c r="AH1449" s="372">
        <v>0</v>
      </c>
    </row>
    <row r="1450" spans="1:34">
      <c r="A1450" s="372" t="s">
        <v>9682</v>
      </c>
      <c r="B1450" s="373" t="s">
        <v>9683</v>
      </c>
      <c r="C1450" s="372" t="s">
        <v>9684</v>
      </c>
      <c r="D1450" s="374">
        <v>1101110522494</v>
      </c>
      <c r="E1450" s="372" t="s">
        <v>9685</v>
      </c>
      <c r="F1450" s="375" t="s">
        <v>3591</v>
      </c>
      <c r="G1450" s="375" t="s">
        <v>3592</v>
      </c>
      <c r="H1450" s="375" t="s">
        <v>861</v>
      </c>
      <c r="I1450" s="375" t="s">
        <v>862</v>
      </c>
      <c r="J1450" s="375">
        <v>308500.24388000002</v>
      </c>
      <c r="K1450" s="375">
        <v>15007.442870000001</v>
      </c>
      <c r="L1450" s="375">
        <v>14083.894</v>
      </c>
      <c r="M1450" s="375">
        <v>340773.51736</v>
      </c>
      <c r="N1450" s="372">
        <v>0.49</v>
      </c>
      <c r="O1450" s="704">
        <v>54.999029489412486</v>
      </c>
      <c r="P1450" s="375" t="s">
        <v>622</v>
      </c>
      <c r="Q1450" s="375" t="s">
        <v>622</v>
      </c>
      <c r="R1450" s="696">
        <v>20010706</v>
      </c>
      <c r="S1450" s="375" t="s">
        <v>9686</v>
      </c>
      <c r="T1450" s="697">
        <v>0.20900000000000002</v>
      </c>
      <c r="U1450" s="372" t="s">
        <v>9687</v>
      </c>
      <c r="V1450" s="723">
        <v>7.08</v>
      </c>
      <c r="W1450" s="723">
        <v>0.35</v>
      </c>
      <c r="X1450" s="723">
        <v>0.39</v>
      </c>
      <c r="Y1450" s="723">
        <v>9.84</v>
      </c>
      <c r="Z1450" s="382" t="s">
        <v>927</v>
      </c>
      <c r="AA1450" s="372">
        <v>1865.3036307</v>
      </c>
      <c r="AB1450" s="372">
        <v>2129.0774354999999</v>
      </c>
      <c r="AC1450" s="372">
        <v>4285.5303678</v>
      </c>
      <c r="AD1450" s="372">
        <v>3271.0749076000002</v>
      </c>
      <c r="AE1450" s="372">
        <v>0</v>
      </c>
      <c r="AF1450" s="372">
        <v>0</v>
      </c>
      <c r="AG1450" s="372">
        <v>0</v>
      </c>
      <c r="AH1450" s="372">
        <v>0</v>
      </c>
    </row>
    <row r="1451" spans="1:34">
      <c r="A1451" s="372" t="s">
        <v>9688</v>
      </c>
      <c r="B1451" s="373" t="s">
        <v>9689</v>
      </c>
      <c r="C1451" s="372" t="s">
        <v>9690</v>
      </c>
      <c r="D1451" s="374">
        <v>1243110000573</v>
      </c>
      <c r="E1451" s="372" t="s">
        <v>9691</v>
      </c>
      <c r="F1451" s="372" t="s">
        <v>1962</v>
      </c>
      <c r="G1451" s="375" t="s">
        <v>1962</v>
      </c>
      <c r="H1451" s="375" t="s">
        <v>861</v>
      </c>
      <c r="I1451" s="375" t="s">
        <v>862</v>
      </c>
      <c r="J1451" s="375">
        <v>269049.61147</v>
      </c>
      <c r="K1451" s="375">
        <v>-7930.7403299999996</v>
      </c>
      <c r="L1451" s="375">
        <v>-11101.27579</v>
      </c>
      <c r="M1451" s="375">
        <v>102713.1778</v>
      </c>
      <c r="N1451" s="372">
        <v>0.58899999999999997</v>
      </c>
      <c r="O1451" s="704">
        <v>98.193002592080376</v>
      </c>
      <c r="P1451" s="375" t="s">
        <v>622</v>
      </c>
      <c r="Q1451" s="375" t="s">
        <v>622</v>
      </c>
      <c r="R1451" s="696">
        <v>19971226</v>
      </c>
      <c r="S1451" s="372" t="s">
        <v>9692</v>
      </c>
      <c r="T1451" s="697" t="s">
        <v>771</v>
      </c>
      <c r="U1451" s="372" t="s">
        <v>9693</v>
      </c>
      <c r="V1451" s="723" t="s">
        <v>773</v>
      </c>
      <c r="W1451" s="723">
        <v>0.62</v>
      </c>
      <c r="X1451" s="723">
        <v>0.24</v>
      </c>
      <c r="Y1451" s="723" t="s">
        <v>773</v>
      </c>
      <c r="Z1451" s="382" t="s">
        <v>927</v>
      </c>
      <c r="AA1451" s="372">
        <v>1149.6159832000001</v>
      </c>
      <c r="AB1451" s="372">
        <v>1129.4668818</v>
      </c>
      <c r="AC1451" s="372">
        <v>2140.5064966999998</v>
      </c>
      <c r="AD1451" s="372">
        <v>2184.1055848999999</v>
      </c>
      <c r="AE1451" s="372">
        <v>0</v>
      </c>
      <c r="AF1451" s="372">
        <v>0</v>
      </c>
      <c r="AG1451" s="372">
        <v>0</v>
      </c>
      <c r="AH1451" s="372">
        <v>0</v>
      </c>
    </row>
    <row r="1452" spans="1:34">
      <c r="A1452" s="372" t="s">
        <v>9694</v>
      </c>
      <c r="B1452" s="373" t="s">
        <v>9695</v>
      </c>
      <c r="C1452" s="372" t="s">
        <v>9696</v>
      </c>
      <c r="D1452" s="374">
        <v>1348110015885</v>
      </c>
      <c r="E1452" s="372" t="s">
        <v>9697</v>
      </c>
      <c r="F1452" s="375" t="s">
        <v>1863</v>
      </c>
      <c r="G1452" s="375" t="s">
        <v>1864</v>
      </c>
      <c r="H1452" s="375" t="s">
        <v>861</v>
      </c>
      <c r="I1452" s="375" t="s">
        <v>862</v>
      </c>
      <c r="J1452" s="375">
        <v>188544.68199000001</v>
      </c>
      <c r="K1452" s="375">
        <v>5125.2521500000003</v>
      </c>
      <c r="L1452" s="375">
        <v>11374.90934</v>
      </c>
      <c r="M1452" s="375">
        <v>326386.41810000001</v>
      </c>
      <c r="N1452" s="372">
        <v>1.0009999999999999</v>
      </c>
      <c r="O1452" s="704">
        <v>37.963350617309317</v>
      </c>
      <c r="P1452" s="375" t="s">
        <v>622</v>
      </c>
      <c r="Q1452" s="372" t="s">
        <v>622</v>
      </c>
      <c r="R1452" s="696">
        <v>20151229</v>
      </c>
      <c r="S1452" s="372" t="s">
        <v>9698</v>
      </c>
      <c r="T1452" s="697">
        <v>0.20900000000000002</v>
      </c>
      <c r="U1452" s="372" t="s">
        <v>15909</v>
      </c>
      <c r="V1452" s="723">
        <v>21.25</v>
      </c>
      <c r="W1452" s="723">
        <v>0.43</v>
      </c>
      <c r="X1452" s="723">
        <v>0.39</v>
      </c>
      <c r="Y1452" s="723">
        <v>32.340000000000003</v>
      </c>
      <c r="Z1452" s="382" t="s">
        <v>927</v>
      </c>
      <c r="AA1452" s="372">
        <v>720.66281709999998</v>
      </c>
      <c r="AB1452" s="372">
        <v>975.37203980000004</v>
      </c>
      <c r="AC1452" s="372">
        <v>1767.4112643999999</v>
      </c>
      <c r="AD1452" s="372">
        <v>1603.5047898</v>
      </c>
      <c r="AE1452" s="372">
        <v>0</v>
      </c>
      <c r="AF1452" s="372">
        <v>0</v>
      </c>
      <c r="AG1452" s="372">
        <v>0</v>
      </c>
      <c r="AH1452" s="372">
        <v>0</v>
      </c>
    </row>
    <row r="1453" spans="1:34">
      <c r="A1453" s="372" t="s">
        <v>9699</v>
      </c>
      <c r="B1453" s="373" t="s">
        <v>9700</v>
      </c>
      <c r="C1453" s="372" t="s">
        <v>9701</v>
      </c>
      <c r="D1453" s="374">
        <v>1101115617076</v>
      </c>
      <c r="E1453" s="372" t="s">
        <v>9702</v>
      </c>
      <c r="F1453" s="375" t="s">
        <v>1370</v>
      </c>
      <c r="G1453" s="375" t="s">
        <v>1370</v>
      </c>
      <c r="H1453" s="375" t="s">
        <v>861</v>
      </c>
      <c r="I1453" s="375" t="s">
        <v>862</v>
      </c>
      <c r="J1453" s="375">
        <v>223203.09821</v>
      </c>
      <c r="K1453" s="375">
        <v>-1260.50101</v>
      </c>
      <c r="L1453" s="375">
        <v>-12510.092640000001</v>
      </c>
      <c r="M1453" s="375">
        <v>146285.62228000001</v>
      </c>
      <c r="N1453" s="372">
        <v>1.1739999999999999</v>
      </c>
      <c r="O1453" s="704">
        <v>121.33083416670749</v>
      </c>
      <c r="P1453" s="375" t="s">
        <v>622</v>
      </c>
      <c r="Q1453" s="372" t="s">
        <v>622</v>
      </c>
      <c r="R1453" s="696">
        <v>20150325</v>
      </c>
      <c r="S1453" s="372" t="s">
        <v>9703</v>
      </c>
      <c r="T1453" s="697" t="s">
        <v>771</v>
      </c>
      <c r="U1453" s="372" t="s">
        <v>9704</v>
      </c>
      <c r="V1453" s="723">
        <v>17.84</v>
      </c>
      <c r="W1453" s="723">
        <v>0.84</v>
      </c>
      <c r="X1453" s="723">
        <v>0.28000000000000003</v>
      </c>
      <c r="Y1453" s="723" t="s">
        <v>773</v>
      </c>
      <c r="Z1453" s="382" t="s">
        <v>927</v>
      </c>
      <c r="AA1453" s="372">
        <v>1634.686342</v>
      </c>
      <c r="AB1453" s="372">
        <v>2118.3063903000002</v>
      </c>
      <c r="AC1453" s="372">
        <v>1765.4064202</v>
      </c>
      <c r="AD1453" s="372">
        <v>1756.0808873999999</v>
      </c>
      <c r="AE1453" s="372">
        <v>0</v>
      </c>
      <c r="AF1453" s="372">
        <v>0</v>
      </c>
      <c r="AG1453" s="372">
        <v>0</v>
      </c>
      <c r="AH1453" s="372">
        <v>0</v>
      </c>
    </row>
    <row r="1454" spans="1:34">
      <c r="A1454" s="372" t="s">
        <v>9705</v>
      </c>
      <c r="B1454" s="373" t="s">
        <v>9706</v>
      </c>
      <c r="C1454" s="372" t="s">
        <v>9707</v>
      </c>
      <c r="D1454" s="374">
        <v>1101115638741</v>
      </c>
      <c r="E1454" s="372" t="s">
        <v>9708</v>
      </c>
      <c r="F1454" s="375" t="s">
        <v>5687</v>
      </c>
      <c r="G1454" s="375" t="s">
        <v>5687</v>
      </c>
      <c r="H1454" s="375" t="s">
        <v>861</v>
      </c>
      <c r="I1454" s="375" t="s">
        <v>862</v>
      </c>
      <c r="J1454" s="375">
        <v>13030.5317</v>
      </c>
      <c r="K1454" s="375">
        <v>-1384.01836</v>
      </c>
      <c r="L1454" s="375">
        <v>-8.8161299999999994</v>
      </c>
      <c r="M1454" s="375">
        <v>31068.386569999999</v>
      </c>
      <c r="N1454" s="372">
        <v>0.72899999999999998</v>
      </c>
      <c r="O1454" s="704">
        <v>0.29771154848539094</v>
      </c>
      <c r="P1454" s="375" t="s">
        <v>622</v>
      </c>
      <c r="Q1454" s="372" t="s">
        <v>622</v>
      </c>
      <c r="R1454" s="696">
        <v>20150422</v>
      </c>
      <c r="S1454" s="372" t="s">
        <v>9709</v>
      </c>
      <c r="T1454" s="697" t="s">
        <v>771</v>
      </c>
      <c r="U1454" s="372" t="s">
        <v>9710</v>
      </c>
      <c r="V1454" s="723" t="s">
        <v>773</v>
      </c>
      <c r="W1454" s="723">
        <v>2.34</v>
      </c>
      <c r="X1454" s="723">
        <v>5.62</v>
      </c>
      <c r="Y1454" s="723" t="s">
        <v>773</v>
      </c>
      <c r="Z1454" s="382" t="s">
        <v>927</v>
      </c>
      <c r="AA1454" s="372">
        <v>48.425985099999998</v>
      </c>
      <c r="AB1454" s="372">
        <v>76.199027000000001</v>
      </c>
      <c r="AC1454" s="372">
        <v>118.6306804</v>
      </c>
      <c r="AD1454" s="372">
        <v>142.6119228</v>
      </c>
      <c r="AE1454" s="372">
        <v>0</v>
      </c>
      <c r="AF1454" s="372">
        <v>0</v>
      </c>
      <c r="AG1454" s="372">
        <v>0</v>
      </c>
      <c r="AH1454" s="372">
        <v>0</v>
      </c>
    </row>
    <row r="1455" spans="1:34">
      <c r="A1455" s="372" t="s">
        <v>9711</v>
      </c>
      <c r="B1455" s="373" t="s">
        <v>9712</v>
      </c>
      <c r="C1455" s="372" t="s">
        <v>9713</v>
      </c>
      <c r="D1455" s="374">
        <v>1101111577604</v>
      </c>
      <c r="E1455" s="372" t="s">
        <v>9714</v>
      </c>
      <c r="F1455" s="372" t="s">
        <v>1796</v>
      </c>
      <c r="G1455" s="375" t="s">
        <v>1797</v>
      </c>
      <c r="H1455" s="375" t="s">
        <v>861</v>
      </c>
      <c r="I1455" s="375" t="s">
        <v>862</v>
      </c>
      <c r="J1455" s="375">
        <v>37574.239379999999</v>
      </c>
      <c r="K1455" s="375">
        <v>-3042.89399</v>
      </c>
      <c r="L1455" s="375">
        <v>-41470.83973</v>
      </c>
      <c r="M1455" s="375">
        <v>132204.73720999999</v>
      </c>
      <c r="N1455" s="372">
        <v>0.499</v>
      </c>
      <c r="O1455" s="704">
        <v>8.9311081778869887</v>
      </c>
      <c r="P1455" s="375" t="s">
        <v>622</v>
      </c>
      <c r="Q1455" s="375" t="s">
        <v>622</v>
      </c>
      <c r="R1455" s="696">
        <v>20020614</v>
      </c>
      <c r="S1455" s="375" t="s">
        <v>9715</v>
      </c>
      <c r="T1455" s="697" t="s">
        <v>771</v>
      </c>
      <c r="U1455" s="372" t="s">
        <v>9716</v>
      </c>
      <c r="V1455" s="723" t="s">
        <v>773</v>
      </c>
      <c r="W1455" s="723">
        <v>0.47</v>
      </c>
      <c r="X1455" s="723">
        <v>1.62</v>
      </c>
      <c r="Y1455" s="723" t="s">
        <v>773</v>
      </c>
      <c r="Z1455" s="382" t="s">
        <v>927</v>
      </c>
      <c r="AA1455" s="372">
        <v>95.189483100000004</v>
      </c>
      <c r="AB1455" s="372">
        <v>100.83529009999999</v>
      </c>
      <c r="AC1455" s="372">
        <v>86.943325799999997</v>
      </c>
      <c r="AD1455" s="372">
        <v>267.6923539</v>
      </c>
      <c r="AE1455" s="372">
        <v>0</v>
      </c>
      <c r="AF1455" s="372">
        <v>0</v>
      </c>
      <c r="AG1455" s="372">
        <v>0</v>
      </c>
      <c r="AH1455" s="372">
        <v>0</v>
      </c>
    </row>
    <row r="1456" spans="1:34">
      <c r="A1456" s="372" t="s">
        <v>9717</v>
      </c>
      <c r="B1456" s="373" t="s">
        <v>9718</v>
      </c>
      <c r="C1456" s="372" t="s">
        <v>9719</v>
      </c>
      <c r="D1456" s="374">
        <v>1101112520644</v>
      </c>
      <c r="E1456" s="372" t="s">
        <v>9720</v>
      </c>
      <c r="F1456" s="375" t="s">
        <v>1648</v>
      </c>
      <c r="G1456" s="375" t="s">
        <v>1649</v>
      </c>
      <c r="H1456" s="375" t="s">
        <v>846</v>
      </c>
      <c r="I1456" s="375" t="s">
        <v>754</v>
      </c>
      <c r="J1456" s="375">
        <v>119910.54235</v>
      </c>
      <c r="K1456" s="375">
        <v>9082.8495700000003</v>
      </c>
      <c r="L1456" s="375">
        <v>16269.66599</v>
      </c>
      <c r="M1456" s="375">
        <v>482047.57961000002</v>
      </c>
      <c r="N1456" s="372">
        <v>0.86199999999999999</v>
      </c>
      <c r="O1456" s="704">
        <v>23.196771941162954</v>
      </c>
      <c r="P1456" s="375" t="s">
        <v>622</v>
      </c>
      <c r="Q1456" s="372" t="s">
        <v>622</v>
      </c>
      <c r="R1456" s="696">
        <v>20020725</v>
      </c>
      <c r="S1456" s="372" t="s">
        <v>9721</v>
      </c>
      <c r="T1456" s="697">
        <v>0.20900000000000002</v>
      </c>
      <c r="U1456" s="372" t="s">
        <v>9722</v>
      </c>
      <c r="V1456" s="723">
        <v>0</v>
      </c>
      <c r="W1456" s="723">
        <v>0</v>
      </c>
      <c r="X1456" s="723">
        <v>0</v>
      </c>
      <c r="Y1456" s="723">
        <v>0</v>
      </c>
      <c r="Z1456" s="382" t="s">
        <v>927</v>
      </c>
      <c r="AA1456" s="372">
        <v>1347.2306155000001</v>
      </c>
      <c r="AB1456" s="372">
        <v>1221.7323574</v>
      </c>
      <c r="AC1456" s="372">
        <v>1193.5027514000001</v>
      </c>
      <c r="AD1456" s="372">
        <v>1237.868633</v>
      </c>
      <c r="AE1456" s="372">
        <v>0</v>
      </c>
      <c r="AF1456" s="372">
        <v>0</v>
      </c>
      <c r="AG1456" s="372">
        <v>0</v>
      </c>
      <c r="AH1456" s="372">
        <v>0</v>
      </c>
    </row>
    <row r="1457" spans="1:34">
      <c r="A1457" s="372" t="s">
        <v>9723</v>
      </c>
      <c r="B1457" s="373" t="s">
        <v>9724</v>
      </c>
      <c r="C1457" s="372" t="s">
        <v>9725</v>
      </c>
      <c r="D1457" s="374">
        <v>1801110186907</v>
      </c>
      <c r="E1457" s="372" t="s">
        <v>9726</v>
      </c>
      <c r="F1457" s="375" t="s">
        <v>1136</v>
      </c>
      <c r="G1457" s="375" t="s">
        <v>3128</v>
      </c>
      <c r="H1457" s="375" t="s">
        <v>861</v>
      </c>
      <c r="I1457" s="375" t="s">
        <v>862</v>
      </c>
      <c r="J1457" s="375">
        <v>91129.713269999993</v>
      </c>
      <c r="K1457" s="375">
        <v>12638.312739999999</v>
      </c>
      <c r="L1457" s="375">
        <v>15454.62779</v>
      </c>
      <c r="M1457" s="375">
        <v>168042.34820000001</v>
      </c>
      <c r="N1457" s="372">
        <v>0.47499999999999998</v>
      </c>
      <c r="O1457" s="704">
        <v>9.4792311785373542</v>
      </c>
      <c r="P1457" s="375" t="s">
        <v>622</v>
      </c>
      <c r="Q1457" s="372" t="s">
        <v>622</v>
      </c>
      <c r="R1457" s="696">
        <v>20070522</v>
      </c>
      <c r="S1457" s="372" t="s">
        <v>9727</v>
      </c>
      <c r="T1457" s="697">
        <v>0.20900000000000002</v>
      </c>
      <c r="U1457" s="372" t="s">
        <v>9728</v>
      </c>
      <c r="V1457" s="723">
        <v>7.57</v>
      </c>
      <c r="W1457" s="723">
        <v>0.65</v>
      </c>
      <c r="X1457" s="723">
        <v>1.23</v>
      </c>
      <c r="Y1457" s="723">
        <v>8.5399999999999991</v>
      </c>
      <c r="Z1457" s="382" t="s">
        <v>927</v>
      </c>
      <c r="AA1457" s="372">
        <v>542.84074710000004</v>
      </c>
      <c r="AB1457" s="372">
        <v>565.1791571</v>
      </c>
      <c r="AC1457" s="372">
        <v>986.37116560000004</v>
      </c>
      <c r="AD1457" s="372">
        <v>789.44495370000004</v>
      </c>
      <c r="AE1457" s="372">
        <v>960</v>
      </c>
      <c r="AF1457" s="372">
        <v>1183</v>
      </c>
      <c r="AG1457" s="372">
        <v>0</v>
      </c>
      <c r="AH1457" s="372">
        <v>0</v>
      </c>
    </row>
    <row r="1458" spans="1:34">
      <c r="A1458" s="372" t="s">
        <v>9729</v>
      </c>
      <c r="B1458" s="373" t="s">
        <v>9730</v>
      </c>
      <c r="C1458" s="372" t="s">
        <v>9731</v>
      </c>
      <c r="D1458" s="374">
        <v>1101110155451</v>
      </c>
      <c r="E1458" s="372" t="s">
        <v>9732</v>
      </c>
      <c r="F1458" s="375" t="s">
        <v>1384</v>
      </c>
      <c r="G1458" s="375" t="s">
        <v>1385</v>
      </c>
      <c r="H1458" s="375" t="s">
        <v>1386</v>
      </c>
      <c r="I1458" s="375" t="s">
        <v>754</v>
      </c>
      <c r="J1458" s="375">
        <v>3033542.3813800002</v>
      </c>
      <c r="K1458" s="375">
        <v>-434245.73525999999</v>
      </c>
      <c r="L1458" s="375">
        <v>-1517402.32703</v>
      </c>
      <c r="M1458" s="375">
        <v>539867.64512999996</v>
      </c>
      <c r="N1458" s="372">
        <v>0.503</v>
      </c>
      <c r="O1458" s="704">
        <v>143.16135844641667</v>
      </c>
      <c r="P1458" s="375" t="s">
        <v>622</v>
      </c>
      <c r="Q1458" s="375" t="s">
        <v>16116</v>
      </c>
      <c r="R1458" s="696">
        <v>19891113</v>
      </c>
      <c r="S1458" s="375" t="s">
        <v>9733</v>
      </c>
      <c r="T1458" s="697" t="s">
        <v>771</v>
      </c>
      <c r="U1458" s="372" t="s">
        <v>9734</v>
      </c>
      <c r="V1458" s="723" t="s">
        <v>773</v>
      </c>
      <c r="W1458" s="723">
        <v>2.33</v>
      </c>
      <c r="X1458" s="723">
        <v>0.13</v>
      </c>
      <c r="Y1458" s="723" t="s">
        <v>773</v>
      </c>
      <c r="Z1458" s="382">
        <v>-8.910863232672761E-3</v>
      </c>
      <c r="AA1458" s="372">
        <v>22815.116610500001</v>
      </c>
      <c r="AB1458" s="372">
        <v>27517.106332899999</v>
      </c>
      <c r="AC1458" s="372">
        <v>26050.967321799999</v>
      </c>
      <c r="AD1458" s="372">
        <v>33529.217758300001</v>
      </c>
      <c r="AE1458" s="372">
        <v>34310</v>
      </c>
      <c r="AF1458" s="372">
        <v>28483</v>
      </c>
      <c r="AG1458" s="372">
        <v>32350</v>
      </c>
      <c r="AH1458" s="372">
        <v>34660</v>
      </c>
    </row>
    <row r="1459" spans="1:34">
      <c r="A1459" s="372" t="s">
        <v>9735</v>
      </c>
      <c r="B1459" s="373" t="s">
        <v>9736</v>
      </c>
      <c r="C1459" s="372" t="s">
        <v>9737</v>
      </c>
      <c r="D1459" s="374">
        <v>1760110019792</v>
      </c>
      <c r="E1459" s="372" t="s">
        <v>9738</v>
      </c>
      <c r="F1459" s="372" t="s">
        <v>5619</v>
      </c>
      <c r="G1459" s="375" t="s">
        <v>5619</v>
      </c>
      <c r="H1459" s="375" t="s">
        <v>861</v>
      </c>
      <c r="I1459" s="375" t="s">
        <v>862</v>
      </c>
      <c r="J1459" s="375">
        <v>92536.968210000006</v>
      </c>
      <c r="K1459" s="375">
        <v>37.813510000000001</v>
      </c>
      <c r="L1459" s="375">
        <v>462.93202000000002</v>
      </c>
      <c r="M1459" s="375">
        <v>69988.525529999999</v>
      </c>
      <c r="N1459" s="372">
        <v>1.405</v>
      </c>
      <c r="O1459" s="704">
        <v>61.295961595559156</v>
      </c>
      <c r="P1459" s="375" t="s">
        <v>622</v>
      </c>
      <c r="Q1459" s="372" t="s">
        <v>622</v>
      </c>
      <c r="R1459" s="696">
        <v>20220324</v>
      </c>
      <c r="S1459" s="372" t="s">
        <v>9739</v>
      </c>
      <c r="T1459" s="697">
        <v>0.20900000000000002</v>
      </c>
      <c r="U1459" s="372" t="s">
        <v>9740</v>
      </c>
      <c r="V1459" s="723">
        <v>0</v>
      </c>
      <c r="W1459" s="723">
        <v>0</v>
      </c>
      <c r="X1459" s="723">
        <v>0</v>
      </c>
      <c r="Y1459" s="723">
        <v>0</v>
      </c>
      <c r="Z1459" s="382" t="s">
        <v>927</v>
      </c>
      <c r="AA1459" s="372">
        <v>826.94740190000005</v>
      </c>
      <c r="AB1459" s="372">
        <v>1047.9648086</v>
      </c>
      <c r="AC1459" s="372">
        <v>876.38724979999995</v>
      </c>
      <c r="AD1459" s="372">
        <v>867.77674609999997</v>
      </c>
      <c r="AE1459" s="372">
        <v>0</v>
      </c>
      <c r="AF1459" s="372">
        <v>0</v>
      </c>
      <c r="AG1459" s="372">
        <v>0</v>
      </c>
      <c r="AH1459" s="372">
        <v>0</v>
      </c>
    </row>
    <row r="1460" spans="1:34">
      <c r="A1460" s="372" t="s">
        <v>9741</v>
      </c>
      <c r="B1460" s="373" t="s">
        <v>9742</v>
      </c>
      <c r="C1460" s="372" t="s">
        <v>9743</v>
      </c>
      <c r="D1460" s="374">
        <v>2850110287959</v>
      </c>
      <c r="E1460" s="372" t="s">
        <v>9744</v>
      </c>
      <c r="F1460" s="375" t="s">
        <v>16101</v>
      </c>
      <c r="G1460" s="375" t="s">
        <v>16101</v>
      </c>
      <c r="H1460" s="375" t="s">
        <v>861</v>
      </c>
      <c r="I1460" s="375" t="s">
        <v>862</v>
      </c>
      <c r="J1460" s="375">
        <v>6893.5217899999998</v>
      </c>
      <c r="K1460" s="375">
        <v>-26207.448509999998</v>
      </c>
      <c r="L1460" s="375">
        <v>-25681.666120000002</v>
      </c>
      <c r="M1460" s="375">
        <v>53798.486210000003</v>
      </c>
      <c r="N1460" s="372">
        <v>0.98199999999999998</v>
      </c>
      <c r="O1460" s="704">
        <v>9.7240563871600578</v>
      </c>
      <c r="P1460" s="375" t="s">
        <v>622</v>
      </c>
      <c r="Q1460" s="372" t="s">
        <v>622</v>
      </c>
      <c r="R1460" s="696">
        <v>20181224</v>
      </c>
      <c r="S1460" s="372" t="s">
        <v>9745</v>
      </c>
      <c r="T1460" s="697" t="s">
        <v>771</v>
      </c>
      <c r="U1460" s="372" t="s">
        <v>9746</v>
      </c>
      <c r="V1460" s="723" t="s">
        <v>773</v>
      </c>
      <c r="W1460" s="723">
        <v>1.78</v>
      </c>
      <c r="X1460" s="723">
        <v>13.26</v>
      </c>
      <c r="Y1460" s="723" t="s">
        <v>773</v>
      </c>
      <c r="Z1460" s="382" t="s">
        <v>927</v>
      </c>
      <c r="AA1460" s="372">
        <v>20.362919999999999</v>
      </c>
      <c r="AB1460" s="372">
        <v>0.73543000000000003</v>
      </c>
      <c r="AC1460" s="372">
        <v>2.1566200000000002</v>
      </c>
      <c r="AD1460" s="372">
        <v>1.31654</v>
      </c>
      <c r="AE1460" s="372">
        <v>0</v>
      </c>
      <c r="AF1460" s="372">
        <v>0</v>
      </c>
      <c r="AG1460" s="372">
        <v>0</v>
      </c>
      <c r="AH1460" s="372">
        <v>0</v>
      </c>
    </row>
    <row r="1461" spans="1:34">
      <c r="A1461" s="372" t="s">
        <v>9747</v>
      </c>
      <c r="B1461" s="373" t="s">
        <v>9748</v>
      </c>
      <c r="C1461" s="372" t="s">
        <v>9749</v>
      </c>
      <c r="D1461" s="374">
        <v>1101112215261</v>
      </c>
      <c r="E1461" s="372" t="s">
        <v>9750</v>
      </c>
      <c r="F1461" s="375" t="s">
        <v>2054</v>
      </c>
      <c r="G1461" s="375" t="s">
        <v>4697</v>
      </c>
      <c r="H1461" s="375" t="s">
        <v>861</v>
      </c>
      <c r="I1461" s="375" t="s">
        <v>862</v>
      </c>
      <c r="J1461" s="375">
        <v>108967.34961999999</v>
      </c>
      <c r="K1461" s="375">
        <v>10776.12759</v>
      </c>
      <c r="L1461" s="375">
        <v>7379.2334799999999</v>
      </c>
      <c r="M1461" s="375">
        <v>93006.898459999997</v>
      </c>
      <c r="N1461" s="372">
        <v>0.53400000000000003</v>
      </c>
      <c r="O1461" s="704">
        <v>38.272369038214258</v>
      </c>
      <c r="P1461" s="375" t="s">
        <v>622</v>
      </c>
      <c r="Q1461" s="375" t="s">
        <v>622</v>
      </c>
      <c r="R1461" s="696">
        <v>20180528</v>
      </c>
      <c r="S1461" s="375" t="s">
        <v>9751</v>
      </c>
      <c r="T1461" s="697">
        <v>0.20900000000000002</v>
      </c>
      <c r="U1461" s="372" t="s">
        <v>9752</v>
      </c>
      <c r="V1461" s="723">
        <v>6.03</v>
      </c>
      <c r="W1461" s="723">
        <v>0.86</v>
      </c>
      <c r="X1461" s="723">
        <v>0.84</v>
      </c>
      <c r="Y1461" s="723">
        <v>11.95</v>
      </c>
      <c r="Z1461" s="382" t="s">
        <v>927</v>
      </c>
      <c r="AA1461" s="372">
        <v>616.88005050000004</v>
      </c>
      <c r="AB1461" s="372">
        <v>742.90405220000002</v>
      </c>
      <c r="AC1461" s="372">
        <v>826.04106560000002</v>
      </c>
      <c r="AD1461" s="372">
        <v>978.97440570000003</v>
      </c>
      <c r="AE1461" s="372">
        <v>0</v>
      </c>
      <c r="AF1461" s="372">
        <v>0</v>
      </c>
      <c r="AG1461" s="372">
        <v>0</v>
      </c>
      <c r="AH1461" s="372">
        <v>0</v>
      </c>
    </row>
    <row r="1462" spans="1:34">
      <c r="A1462" s="372" t="s">
        <v>9753</v>
      </c>
      <c r="B1462" s="373" t="s">
        <v>9754</v>
      </c>
      <c r="C1462" s="372" t="s">
        <v>9755</v>
      </c>
      <c r="D1462" s="374">
        <v>1601110166341</v>
      </c>
      <c r="E1462" s="372" t="s">
        <v>9756</v>
      </c>
      <c r="F1462" s="375" t="s">
        <v>2184</v>
      </c>
      <c r="G1462" s="375" t="s">
        <v>6180</v>
      </c>
      <c r="H1462" s="375" t="s">
        <v>861</v>
      </c>
      <c r="I1462" s="375" t="s">
        <v>862</v>
      </c>
      <c r="J1462" s="375">
        <v>44144.140959999997</v>
      </c>
      <c r="K1462" s="375">
        <v>2177.3673600000002</v>
      </c>
      <c r="L1462" s="375">
        <v>4712.2690700000003</v>
      </c>
      <c r="M1462" s="375">
        <v>115827.84573</v>
      </c>
      <c r="N1462" s="372">
        <v>1.0660000000000001</v>
      </c>
      <c r="O1462" s="704">
        <v>15.180807483766189</v>
      </c>
      <c r="P1462" s="375" t="s">
        <v>622</v>
      </c>
      <c r="Q1462" s="372" t="s">
        <v>622</v>
      </c>
      <c r="R1462" s="696">
        <v>20201030</v>
      </c>
      <c r="S1462" s="372" t="s">
        <v>9757</v>
      </c>
      <c r="T1462" s="697">
        <v>0.20900000000000002</v>
      </c>
      <c r="U1462" s="375" t="s">
        <v>9758</v>
      </c>
      <c r="V1462" s="723">
        <v>28.65</v>
      </c>
      <c r="W1462" s="723">
        <v>0.78</v>
      </c>
      <c r="X1462" s="723">
        <v>2.12</v>
      </c>
      <c r="Y1462" s="723">
        <v>18.170000000000002</v>
      </c>
      <c r="Z1462" s="382" t="s">
        <v>927</v>
      </c>
      <c r="AA1462" s="372">
        <v>556.1717605</v>
      </c>
      <c r="AB1462" s="372">
        <v>683.07379189999995</v>
      </c>
      <c r="AC1462" s="372">
        <v>726.05947189999995</v>
      </c>
      <c r="AD1462" s="372">
        <v>495.61291840000001</v>
      </c>
      <c r="AE1462" s="372">
        <v>0</v>
      </c>
      <c r="AF1462" s="372">
        <v>0</v>
      </c>
      <c r="AG1462" s="372">
        <v>0</v>
      </c>
      <c r="AH1462" s="372">
        <v>0</v>
      </c>
    </row>
    <row r="1463" spans="1:34">
      <c r="A1463" s="372" t="s">
        <v>9759</v>
      </c>
      <c r="B1463" s="373" t="s">
        <v>9760</v>
      </c>
      <c r="C1463" s="372" t="s">
        <v>9761</v>
      </c>
      <c r="D1463" s="374">
        <v>1101115796789</v>
      </c>
      <c r="E1463" s="372" t="s">
        <v>9762</v>
      </c>
      <c r="F1463" s="375" t="s">
        <v>2426</v>
      </c>
      <c r="G1463" s="375" t="s">
        <v>2426</v>
      </c>
      <c r="H1463" s="375" t="s">
        <v>861</v>
      </c>
      <c r="I1463" s="375" t="s">
        <v>862</v>
      </c>
      <c r="J1463" s="375">
        <v>13735.49792</v>
      </c>
      <c r="K1463" s="375">
        <v>-15642.57546</v>
      </c>
      <c r="L1463" s="375">
        <v>-23207.192660000001</v>
      </c>
      <c r="M1463" s="375">
        <v>6925.9820900000004</v>
      </c>
      <c r="N1463" s="372" t="s">
        <v>1026</v>
      </c>
      <c r="O1463" s="704">
        <v>17.378440663035512</v>
      </c>
      <c r="P1463" s="375" t="s">
        <v>16115</v>
      </c>
      <c r="Q1463" s="375" t="s">
        <v>16116</v>
      </c>
      <c r="R1463" s="696">
        <v>20151006</v>
      </c>
      <c r="S1463" s="375" t="s">
        <v>9763</v>
      </c>
      <c r="T1463" s="697" t="s">
        <v>771</v>
      </c>
      <c r="U1463" s="372" t="s">
        <v>9764</v>
      </c>
      <c r="V1463" s="723" t="s">
        <v>773</v>
      </c>
      <c r="W1463" s="723">
        <v>14.52</v>
      </c>
      <c r="X1463" s="723">
        <v>7.32</v>
      </c>
      <c r="Y1463" s="723" t="s">
        <v>773</v>
      </c>
      <c r="Z1463" s="382" t="s">
        <v>927</v>
      </c>
      <c r="AA1463" s="372">
        <v>193.4372908</v>
      </c>
      <c r="AB1463" s="372">
        <v>296.0278409</v>
      </c>
      <c r="AC1463" s="372">
        <v>276.80229420000001</v>
      </c>
      <c r="AD1463" s="372">
        <v>112.1479034</v>
      </c>
      <c r="AE1463" s="372">
        <v>0</v>
      </c>
      <c r="AF1463" s="372">
        <v>0</v>
      </c>
      <c r="AG1463" s="372">
        <v>0</v>
      </c>
      <c r="AH1463" s="372">
        <v>0</v>
      </c>
    </row>
    <row r="1464" spans="1:34">
      <c r="A1464" s="372" t="s">
        <v>9765</v>
      </c>
      <c r="B1464" s="373" t="s">
        <v>9766</v>
      </c>
      <c r="C1464" s="372" t="s">
        <v>9767</v>
      </c>
      <c r="D1464" s="374">
        <v>1760110007937</v>
      </c>
      <c r="E1464" s="372" t="s">
        <v>9768</v>
      </c>
      <c r="F1464" s="375" t="s">
        <v>1185</v>
      </c>
      <c r="G1464" s="375" t="s">
        <v>3115</v>
      </c>
      <c r="H1464" s="375" t="s">
        <v>861</v>
      </c>
      <c r="I1464" s="375" t="s">
        <v>862</v>
      </c>
      <c r="J1464" s="375">
        <v>852163.83068000001</v>
      </c>
      <c r="K1464" s="375">
        <v>2187.7657599999998</v>
      </c>
      <c r="L1464" s="375">
        <v>4380.7887099999998</v>
      </c>
      <c r="M1464" s="375">
        <v>323923.15224000002</v>
      </c>
      <c r="N1464" s="372">
        <v>0.66500000000000004</v>
      </c>
      <c r="O1464" s="704">
        <v>121.15038979462886</v>
      </c>
      <c r="P1464" s="375" t="s">
        <v>622</v>
      </c>
      <c r="Q1464" s="375" t="s">
        <v>622</v>
      </c>
      <c r="R1464" s="696">
        <v>20030127</v>
      </c>
      <c r="S1464" s="375" t="s">
        <v>9769</v>
      </c>
      <c r="T1464" s="697">
        <v>0.20900000000000002</v>
      </c>
      <c r="U1464" s="372" t="s">
        <v>9770</v>
      </c>
      <c r="V1464" s="723">
        <v>7.56</v>
      </c>
      <c r="W1464" s="723">
        <v>0.33</v>
      </c>
      <c r="X1464" s="723">
        <v>0.08</v>
      </c>
      <c r="Y1464" s="723">
        <v>13.51</v>
      </c>
      <c r="Z1464" s="382" t="s">
        <v>927</v>
      </c>
      <c r="AA1464" s="372">
        <v>11861.0197479</v>
      </c>
      <c r="AB1464" s="372">
        <v>10848.0714345</v>
      </c>
      <c r="AC1464" s="372">
        <v>9364.4484066000005</v>
      </c>
      <c r="AD1464" s="372">
        <v>9593.8043637999999</v>
      </c>
      <c r="AE1464" s="372">
        <v>0</v>
      </c>
      <c r="AF1464" s="372">
        <v>0</v>
      </c>
      <c r="AG1464" s="372">
        <v>0</v>
      </c>
      <c r="AH1464" s="372">
        <v>0</v>
      </c>
    </row>
    <row r="1465" spans="1:34">
      <c r="A1465" s="372" t="s">
        <v>9771</v>
      </c>
      <c r="B1465" s="373" t="s">
        <v>9772</v>
      </c>
      <c r="C1465" s="372" t="s">
        <v>9773</v>
      </c>
      <c r="D1465" s="374">
        <v>1101110252405</v>
      </c>
      <c r="E1465" s="372" t="s">
        <v>9774</v>
      </c>
      <c r="F1465" s="375" t="s">
        <v>1648</v>
      </c>
      <c r="G1465" s="375" t="s">
        <v>1649</v>
      </c>
      <c r="H1465" s="375" t="s">
        <v>3099</v>
      </c>
      <c r="I1465" s="375" t="s">
        <v>862</v>
      </c>
      <c r="J1465" s="375">
        <v>68089.385259999995</v>
      </c>
      <c r="K1465" s="375">
        <v>18312.57791</v>
      </c>
      <c r="L1465" s="375">
        <v>7712.1473299999998</v>
      </c>
      <c r="M1465" s="375">
        <v>353186.30735999998</v>
      </c>
      <c r="N1465" s="372">
        <v>0.47299999999999998</v>
      </c>
      <c r="O1465" s="704">
        <v>236.62669919196725</v>
      </c>
      <c r="P1465" s="375" t="s">
        <v>622</v>
      </c>
      <c r="Q1465" s="372" t="s">
        <v>622</v>
      </c>
      <c r="R1465" s="696">
        <v>19931029</v>
      </c>
      <c r="S1465" s="375" t="s">
        <v>9775</v>
      </c>
      <c r="T1465" s="697">
        <v>0.20900000000000002</v>
      </c>
      <c r="U1465" s="375" t="s">
        <v>9776</v>
      </c>
      <c r="V1465" s="723">
        <v>9.25</v>
      </c>
      <c r="W1465" s="723">
        <v>0.33</v>
      </c>
      <c r="X1465" s="723">
        <v>1.51</v>
      </c>
      <c r="Y1465" s="723">
        <v>31.16</v>
      </c>
      <c r="Z1465" s="382" t="s">
        <v>927</v>
      </c>
      <c r="AA1465" s="372">
        <v>490.83339489999997</v>
      </c>
      <c r="AB1465" s="372">
        <v>509.2915496</v>
      </c>
      <c r="AC1465" s="372">
        <v>589.27664719999996</v>
      </c>
      <c r="AD1465" s="372">
        <v>650.47220570000002</v>
      </c>
      <c r="AE1465" s="372">
        <v>0</v>
      </c>
      <c r="AF1465" s="372">
        <v>0</v>
      </c>
      <c r="AG1465" s="372">
        <v>0</v>
      </c>
      <c r="AH1465" s="372">
        <v>0</v>
      </c>
    </row>
    <row r="1466" spans="1:34">
      <c r="A1466" s="372" t="s">
        <v>9777</v>
      </c>
      <c r="B1466" s="373" t="s">
        <v>9778</v>
      </c>
      <c r="C1466" s="372" t="s">
        <v>9779</v>
      </c>
      <c r="D1466" s="374">
        <v>1301110062876</v>
      </c>
      <c r="E1466" s="372" t="s">
        <v>9780</v>
      </c>
      <c r="F1466" s="375" t="s">
        <v>1055</v>
      </c>
      <c r="G1466" s="375" t="s">
        <v>16104</v>
      </c>
      <c r="H1466" s="375" t="s">
        <v>861</v>
      </c>
      <c r="I1466" s="375" t="s">
        <v>862</v>
      </c>
      <c r="J1466" s="375">
        <v>19085.288779999999</v>
      </c>
      <c r="K1466" s="375">
        <v>-2375.7006099999999</v>
      </c>
      <c r="L1466" s="375">
        <v>-2268.7690499999999</v>
      </c>
      <c r="M1466" s="375">
        <v>23428.121090000001</v>
      </c>
      <c r="N1466" s="372">
        <v>0.73399999999999999</v>
      </c>
      <c r="O1466" s="704">
        <v>14.982851026266781</v>
      </c>
      <c r="P1466" s="375" t="s">
        <v>622</v>
      </c>
      <c r="Q1466" s="375" t="s">
        <v>622</v>
      </c>
      <c r="R1466" s="696">
        <v>20181026</v>
      </c>
      <c r="S1466" s="375" t="s">
        <v>9781</v>
      </c>
      <c r="T1466" s="697" t="s">
        <v>771</v>
      </c>
      <c r="U1466" s="372" t="s">
        <v>9782</v>
      </c>
      <c r="V1466" s="723">
        <v>0</v>
      </c>
      <c r="W1466" s="723">
        <v>0</v>
      </c>
      <c r="X1466" s="723">
        <v>0</v>
      </c>
      <c r="Y1466" s="723">
        <v>0</v>
      </c>
      <c r="Z1466" s="382" t="s">
        <v>927</v>
      </c>
      <c r="AA1466" s="372">
        <v>130.458538</v>
      </c>
      <c r="AB1466" s="372">
        <v>142.58439999999999</v>
      </c>
      <c r="AC1466" s="372">
        <v>160.08196849999999</v>
      </c>
      <c r="AD1466" s="372">
        <v>173.72567549999999</v>
      </c>
      <c r="AE1466" s="372">
        <v>0</v>
      </c>
      <c r="AF1466" s="372">
        <v>0</v>
      </c>
      <c r="AG1466" s="372">
        <v>0</v>
      </c>
      <c r="AH1466" s="372">
        <v>0</v>
      </c>
    </row>
    <row r="1467" spans="1:34">
      <c r="A1467" s="372" t="s">
        <v>9783</v>
      </c>
      <c r="B1467" s="373" t="s">
        <v>9784</v>
      </c>
      <c r="C1467" s="372" t="s">
        <v>9785</v>
      </c>
      <c r="D1467" s="374">
        <v>1101110512049</v>
      </c>
      <c r="E1467" s="372" t="s">
        <v>9786</v>
      </c>
      <c r="F1467" s="375" t="s">
        <v>3885</v>
      </c>
      <c r="G1467" s="375" t="s">
        <v>7794</v>
      </c>
      <c r="H1467" s="375" t="s">
        <v>895</v>
      </c>
      <c r="I1467" s="375" t="s">
        <v>862</v>
      </c>
      <c r="J1467" s="375">
        <v>0</v>
      </c>
      <c r="K1467" s="375">
        <v>0</v>
      </c>
      <c r="L1467" s="375">
        <v>0</v>
      </c>
      <c r="M1467" s="375">
        <v>0</v>
      </c>
      <c r="N1467" s="372">
        <v>0.186</v>
      </c>
      <c r="O1467" s="704" t="s">
        <v>16301</v>
      </c>
      <c r="P1467" s="375" t="s">
        <v>16115</v>
      </c>
      <c r="Q1467" s="372" t="s">
        <v>622</v>
      </c>
      <c r="R1467" s="696">
        <v>19890307</v>
      </c>
      <c r="S1467" s="372" t="s">
        <v>7795</v>
      </c>
      <c r="T1467" s="697" t="s">
        <v>771</v>
      </c>
      <c r="U1467" s="372" t="s">
        <v>9787</v>
      </c>
      <c r="V1467" s="723">
        <v>0</v>
      </c>
      <c r="W1467" s="723">
        <v>0</v>
      </c>
      <c r="X1467" s="723">
        <v>0</v>
      </c>
      <c r="Y1467" s="723">
        <v>0</v>
      </c>
      <c r="Z1467" s="382" t="s">
        <v>927</v>
      </c>
      <c r="AA1467" s="372">
        <v>37.851720999999998</v>
      </c>
      <c r="AB1467" s="372">
        <v>86.768680599999996</v>
      </c>
      <c r="AC1467" s="372">
        <v>82.231760800000004</v>
      </c>
      <c r="AD1467" s="372">
        <v>35.429256000000002</v>
      </c>
      <c r="AE1467" s="372">
        <v>0</v>
      </c>
      <c r="AF1467" s="372">
        <v>0</v>
      </c>
      <c r="AG1467" s="372">
        <v>0</v>
      </c>
      <c r="AH1467" s="372">
        <v>0</v>
      </c>
    </row>
    <row r="1468" spans="1:34">
      <c r="A1468" s="372" t="s">
        <v>9788</v>
      </c>
      <c r="B1468" s="373" t="s">
        <v>9789</v>
      </c>
      <c r="C1468" s="372" t="s">
        <v>9790</v>
      </c>
      <c r="D1468" s="374">
        <v>1101110019334</v>
      </c>
      <c r="E1468" s="372" t="s">
        <v>9791</v>
      </c>
      <c r="F1468" s="372" t="s">
        <v>2222</v>
      </c>
      <c r="G1468" s="375" t="s">
        <v>2222</v>
      </c>
      <c r="H1468" s="375" t="s">
        <v>1316</v>
      </c>
      <c r="I1468" s="375" t="s">
        <v>754</v>
      </c>
      <c r="J1468" s="375">
        <v>407136.96421000001</v>
      </c>
      <c r="K1468" s="375">
        <v>27092.31249</v>
      </c>
      <c r="L1468" s="375">
        <v>20181.280640000001</v>
      </c>
      <c r="M1468" s="375">
        <v>158325.13454999999</v>
      </c>
      <c r="N1468" s="372">
        <v>0.52400000000000002</v>
      </c>
      <c r="O1468" s="704">
        <v>220.55715331776611</v>
      </c>
      <c r="P1468" s="375" t="s">
        <v>622</v>
      </c>
      <c r="Q1468" s="375" t="s">
        <v>622</v>
      </c>
      <c r="R1468" s="696">
        <v>19761223</v>
      </c>
      <c r="S1468" s="372" t="s">
        <v>9792</v>
      </c>
      <c r="T1468" s="697">
        <v>0.23100000000000001</v>
      </c>
      <c r="U1468" s="372" t="s">
        <v>9793</v>
      </c>
      <c r="V1468" s="723">
        <v>6.85</v>
      </c>
      <c r="W1468" s="723">
        <v>0.67</v>
      </c>
      <c r="X1468" s="723">
        <v>0.26</v>
      </c>
      <c r="Y1468" s="723">
        <v>6.28</v>
      </c>
      <c r="Z1468" s="382" t="s">
        <v>927</v>
      </c>
      <c r="AA1468" s="372">
        <v>2226.0429586999999</v>
      </c>
      <c r="AB1468" s="372">
        <v>2508.6124497000001</v>
      </c>
      <c r="AC1468" s="372">
        <v>3240.3575245000002</v>
      </c>
      <c r="AD1468" s="372">
        <v>4059.4560941999998</v>
      </c>
      <c r="AE1468" s="372">
        <v>0</v>
      </c>
      <c r="AF1468" s="372">
        <v>0</v>
      </c>
      <c r="AG1468" s="372">
        <v>0</v>
      </c>
      <c r="AH1468" s="372">
        <v>0</v>
      </c>
    </row>
    <row r="1469" spans="1:34">
      <c r="A1469" s="372" t="s">
        <v>9794</v>
      </c>
      <c r="B1469" s="373" t="s">
        <v>9795</v>
      </c>
      <c r="C1469" s="372" t="s">
        <v>9796</v>
      </c>
      <c r="D1469" s="374">
        <v>1101111954513</v>
      </c>
      <c r="E1469" s="372" t="s">
        <v>9797</v>
      </c>
      <c r="F1469" s="375" t="s">
        <v>845</v>
      </c>
      <c r="G1469" s="375" t="s">
        <v>845</v>
      </c>
      <c r="H1469" s="375" t="s">
        <v>3099</v>
      </c>
      <c r="I1469" s="375" t="s">
        <v>862</v>
      </c>
      <c r="J1469" s="375">
        <v>74277.516440000007</v>
      </c>
      <c r="K1469" s="375">
        <v>-8014.3713399999997</v>
      </c>
      <c r="L1469" s="375">
        <v>-9813.7895399999998</v>
      </c>
      <c r="M1469" s="375">
        <v>92762.325769999996</v>
      </c>
      <c r="N1469" s="372">
        <v>0.98099999999999998</v>
      </c>
      <c r="O1469" s="704">
        <v>24.253259087641087</v>
      </c>
      <c r="P1469" s="375" t="s">
        <v>622</v>
      </c>
      <c r="Q1469" s="375" t="s">
        <v>622</v>
      </c>
      <c r="R1469" s="696">
        <v>20030609</v>
      </c>
      <c r="S1469" s="375" t="s">
        <v>9798</v>
      </c>
      <c r="T1469" s="697" t="s">
        <v>771</v>
      </c>
      <c r="U1469" s="372" t="s">
        <v>9799</v>
      </c>
      <c r="V1469" s="723" t="s">
        <v>773</v>
      </c>
      <c r="W1469" s="723">
        <v>1.28</v>
      </c>
      <c r="X1469" s="723">
        <v>1.41</v>
      </c>
      <c r="Y1469" s="723" t="s">
        <v>773</v>
      </c>
      <c r="Z1469" s="382" t="s">
        <v>927</v>
      </c>
      <c r="AA1469" s="372">
        <v>406.73624899999999</v>
      </c>
      <c r="AB1469" s="372">
        <v>170.68079760000001</v>
      </c>
      <c r="AC1469" s="372">
        <v>733.04174990000001</v>
      </c>
      <c r="AD1469" s="372">
        <v>636.98211790000005</v>
      </c>
      <c r="AE1469" s="372">
        <v>0</v>
      </c>
      <c r="AF1469" s="372">
        <v>0</v>
      </c>
      <c r="AG1469" s="372">
        <v>0</v>
      </c>
      <c r="AH1469" s="372">
        <v>0</v>
      </c>
    </row>
    <row r="1470" spans="1:34">
      <c r="A1470" s="372" t="s">
        <v>9800</v>
      </c>
      <c r="B1470" s="373" t="s">
        <v>9801</v>
      </c>
      <c r="C1470" s="372" t="s">
        <v>16014</v>
      </c>
      <c r="D1470" s="374">
        <v>1101117655868</v>
      </c>
      <c r="E1470" s="372" t="s">
        <v>16015</v>
      </c>
      <c r="F1470" s="372" t="s">
        <v>9802</v>
      </c>
      <c r="G1470" s="375" t="s">
        <v>9802</v>
      </c>
      <c r="H1470" s="375" t="s">
        <v>861</v>
      </c>
      <c r="I1470" s="375" t="s">
        <v>862</v>
      </c>
      <c r="J1470" s="375">
        <v>30698.805319999999</v>
      </c>
      <c r="K1470" s="375">
        <v>-7316.5048900000002</v>
      </c>
      <c r="L1470" s="375">
        <v>-10240.69578</v>
      </c>
      <c r="M1470" s="375">
        <v>33997.244729999999</v>
      </c>
      <c r="N1470" s="372">
        <v>0.48499999999999999</v>
      </c>
      <c r="O1470" s="704">
        <v>15.912075968254404</v>
      </c>
      <c r="P1470" s="375" t="s">
        <v>622</v>
      </c>
      <c r="Q1470" s="372" t="s">
        <v>622</v>
      </c>
      <c r="R1470" s="696">
        <v>20201223</v>
      </c>
      <c r="S1470" s="372" t="s">
        <v>9803</v>
      </c>
      <c r="T1470" s="697" t="s">
        <v>771</v>
      </c>
      <c r="U1470" s="372" t="s">
        <v>9804</v>
      </c>
      <c r="V1470" s="723" t="s">
        <v>773</v>
      </c>
      <c r="W1470" s="723">
        <v>2.2599999999999998</v>
      </c>
      <c r="X1470" s="723">
        <v>2.6</v>
      </c>
      <c r="Y1470" s="723" t="s">
        <v>773</v>
      </c>
      <c r="Z1470" s="382" t="s">
        <v>927</v>
      </c>
      <c r="AA1470" s="372">
        <v>126.9446483</v>
      </c>
      <c r="AB1470" s="372">
        <v>158.50396269999999</v>
      </c>
      <c r="AC1470" s="372">
        <v>191.482494</v>
      </c>
      <c r="AD1470" s="372">
        <v>89.3974403</v>
      </c>
      <c r="AE1470" s="372">
        <v>0</v>
      </c>
      <c r="AF1470" s="372">
        <v>0</v>
      </c>
      <c r="AG1470" s="372">
        <v>0</v>
      </c>
      <c r="AH1470" s="372">
        <v>0</v>
      </c>
    </row>
    <row r="1471" spans="1:34">
      <c r="A1471" s="372" t="s">
        <v>9805</v>
      </c>
      <c r="B1471" s="373" t="s">
        <v>9806</v>
      </c>
      <c r="C1471" s="372" t="s">
        <v>9807</v>
      </c>
      <c r="D1471" s="374">
        <v>1101112838477</v>
      </c>
      <c r="E1471" s="372" t="s">
        <v>9808</v>
      </c>
      <c r="F1471" s="375" t="s">
        <v>1249</v>
      </c>
      <c r="G1471" s="375" t="s">
        <v>1249</v>
      </c>
      <c r="H1471" s="375" t="s">
        <v>861</v>
      </c>
      <c r="I1471" s="375" t="s">
        <v>862</v>
      </c>
      <c r="J1471" s="375">
        <v>13022.633669999999</v>
      </c>
      <c r="K1471" s="375">
        <v>-5823.4893599999996</v>
      </c>
      <c r="L1471" s="375">
        <v>-8546.1347700000006</v>
      </c>
      <c r="M1471" s="375">
        <v>16478.232400000001</v>
      </c>
      <c r="N1471" s="372" t="s">
        <v>1026</v>
      </c>
      <c r="O1471" s="704">
        <v>3.3257624761866791</v>
      </c>
      <c r="P1471" s="375" t="s">
        <v>622</v>
      </c>
      <c r="Q1471" s="375" t="s">
        <v>622</v>
      </c>
      <c r="R1471" s="696">
        <v>20230504</v>
      </c>
      <c r="S1471" s="375" t="s">
        <v>9809</v>
      </c>
      <c r="T1471" s="697" t="s">
        <v>771</v>
      </c>
      <c r="U1471" s="375" t="s">
        <v>9810</v>
      </c>
      <c r="V1471" s="723" t="s">
        <v>773</v>
      </c>
      <c r="W1471" s="723">
        <v>38.6</v>
      </c>
      <c r="X1471" s="723">
        <v>30.07</v>
      </c>
      <c r="Y1471" s="723" t="s">
        <v>773</v>
      </c>
      <c r="Z1471" s="382" t="s">
        <v>927</v>
      </c>
      <c r="AA1471" s="372">
        <v>53.193214500000003</v>
      </c>
      <c r="AB1471" s="372">
        <v>88.682229699999993</v>
      </c>
      <c r="AC1471" s="372">
        <v>121.126521</v>
      </c>
      <c r="AD1471" s="372">
        <v>131.08377999999999</v>
      </c>
      <c r="AE1471" s="372">
        <v>0</v>
      </c>
      <c r="AF1471" s="372">
        <v>0</v>
      </c>
      <c r="AG1471" s="372">
        <v>0</v>
      </c>
      <c r="AH1471" s="372">
        <v>0</v>
      </c>
    </row>
    <row r="1472" spans="1:34">
      <c r="A1472" s="372" t="s">
        <v>9811</v>
      </c>
      <c r="B1472" s="373" t="s">
        <v>9812</v>
      </c>
      <c r="C1472" s="372" t="s">
        <v>9813</v>
      </c>
      <c r="D1472" s="374">
        <v>2001110097272</v>
      </c>
      <c r="E1472" s="372" t="s">
        <v>9814</v>
      </c>
      <c r="F1472" s="375" t="s">
        <v>2426</v>
      </c>
      <c r="G1472" s="375" t="s">
        <v>6074</v>
      </c>
      <c r="H1472" s="375" t="s">
        <v>1043</v>
      </c>
      <c r="I1472" s="375" t="s">
        <v>754</v>
      </c>
      <c r="J1472" s="375">
        <v>70028.059829999998</v>
      </c>
      <c r="K1472" s="375">
        <v>-5717.5335800000003</v>
      </c>
      <c r="L1472" s="375">
        <v>-5487.2881900000002</v>
      </c>
      <c r="M1472" s="375">
        <v>59260.890359999998</v>
      </c>
      <c r="N1472" s="372">
        <v>1.196</v>
      </c>
      <c r="O1472" s="704">
        <v>33.335492237295611</v>
      </c>
      <c r="P1472" s="375" t="s">
        <v>622</v>
      </c>
      <c r="Q1472" s="372" t="s">
        <v>622</v>
      </c>
      <c r="R1472" s="696">
        <v>20150319</v>
      </c>
      <c r="S1472" s="372" t="s">
        <v>9815</v>
      </c>
      <c r="T1472" s="697" t="s">
        <v>771</v>
      </c>
      <c r="U1472" s="372" t="s">
        <v>9816</v>
      </c>
      <c r="V1472" s="723" t="s">
        <v>773</v>
      </c>
      <c r="W1472" s="723">
        <v>1.48</v>
      </c>
      <c r="X1472" s="723">
        <v>1.3</v>
      </c>
      <c r="Y1472" s="723" t="s">
        <v>773</v>
      </c>
      <c r="Z1472" s="382" t="s">
        <v>927</v>
      </c>
      <c r="AA1472" s="372">
        <v>767.83853239999996</v>
      </c>
      <c r="AB1472" s="372">
        <v>526.53886490000002</v>
      </c>
      <c r="AC1472" s="372">
        <v>581.98972419999996</v>
      </c>
      <c r="AD1472" s="372">
        <v>671.16106720000005</v>
      </c>
      <c r="AE1472" s="372">
        <v>0</v>
      </c>
      <c r="AF1472" s="372">
        <v>0</v>
      </c>
      <c r="AG1472" s="372">
        <v>0</v>
      </c>
      <c r="AH1472" s="372">
        <v>0</v>
      </c>
    </row>
    <row r="1473" spans="1:34">
      <c r="A1473" s="372" t="s">
        <v>9817</v>
      </c>
      <c r="B1473" s="373" t="s">
        <v>9818</v>
      </c>
      <c r="C1473" s="372" t="s">
        <v>9819</v>
      </c>
      <c r="D1473" s="374">
        <v>1101110375398</v>
      </c>
      <c r="E1473" s="372" t="s">
        <v>9820</v>
      </c>
      <c r="F1473" s="375" t="s">
        <v>7030</v>
      </c>
      <c r="G1473" s="375" t="s">
        <v>7030</v>
      </c>
      <c r="H1473" s="375" t="s">
        <v>817</v>
      </c>
      <c r="I1473" s="375" t="s">
        <v>754</v>
      </c>
      <c r="J1473" s="375">
        <v>517609.20912000001</v>
      </c>
      <c r="K1473" s="375">
        <v>23677.724559999999</v>
      </c>
      <c r="L1473" s="375">
        <v>23799.796719999998</v>
      </c>
      <c r="M1473" s="375">
        <v>181017.94098000001</v>
      </c>
      <c r="N1473" s="372">
        <v>0.42499999999999999</v>
      </c>
      <c r="O1473" s="704">
        <v>10.271250807108652</v>
      </c>
      <c r="P1473" s="375" t="s">
        <v>622</v>
      </c>
      <c r="Q1473" s="372" t="s">
        <v>622</v>
      </c>
      <c r="R1473" s="696">
        <v>19990811</v>
      </c>
      <c r="S1473" s="372" t="s">
        <v>16295</v>
      </c>
      <c r="T1473" s="697">
        <v>0.23100000000000001</v>
      </c>
      <c r="U1473" s="372" t="s">
        <v>15910</v>
      </c>
      <c r="V1473" s="723">
        <v>3.13</v>
      </c>
      <c r="W1473" s="723">
        <v>0.56000000000000005</v>
      </c>
      <c r="X1473" s="723">
        <v>0.2</v>
      </c>
      <c r="Y1473" s="723">
        <v>6.55</v>
      </c>
      <c r="Z1473" s="382" t="s">
        <v>927</v>
      </c>
      <c r="AA1473" s="372">
        <v>3756.1702273999999</v>
      </c>
      <c r="AB1473" s="372">
        <v>4584.9777049000004</v>
      </c>
      <c r="AC1473" s="372">
        <v>5304.4805361999997</v>
      </c>
      <c r="AD1473" s="372">
        <v>5483.3399902000001</v>
      </c>
      <c r="AE1473" s="372">
        <v>0</v>
      </c>
      <c r="AF1473" s="372">
        <v>0</v>
      </c>
      <c r="AG1473" s="372">
        <v>0</v>
      </c>
      <c r="AH1473" s="372">
        <v>0</v>
      </c>
    </row>
    <row r="1474" spans="1:34">
      <c r="A1474" s="372" t="s">
        <v>9821</v>
      </c>
      <c r="B1474" s="373" t="s">
        <v>9822</v>
      </c>
      <c r="C1474" s="372" t="s">
        <v>9823</v>
      </c>
      <c r="D1474" s="374">
        <v>1101114358382</v>
      </c>
      <c r="E1474" s="372" t="s">
        <v>9824</v>
      </c>
      <c r="F1474" s="375" t="s">
        <v>1006</v>
      </c>
      <c r="G1474" s="375" t="s">
        <v>1215</v>
      </c>
      <c r="H1474" s="375" t="s">
        <v>861</v>
      </c>
      <c r="I1474" s="375" t="s">
        <v>862</v>
      </c>
      <c r="J1474" s="375">
        <v>99813.864079999999</v>
      </c>
      <c r="K1474" s="375">
        <v>14741.10887</v>
      </c>
      <c r="L1474" s="375">
        <v>16453.440180000001</v>
      </c>
      <c r="M1474" s="375">
        <v>230748.59896999999</v>
      </c>
      <c r="N1474" s="372">
        <v>0.84199999999999997</v>
      </c>
      <c r="O1474" s="704">
        <v>40.339825276009996</v>
      </c>
      <c r="P1474" s="375" t="s">
        <v>622</v>
      </c>
      <c r="Q1474" s="372" t="s">
        <v>622</v>
      </c>
      <c r="R1474" s="696">
        <v>20161010</v>
      </c>
      <c r="S1474" s="372" t="s">
        <v>9825</v>
      </c>
      <c r="T1474" s="697">
        <v>0.20900000000000002</v>
      </c>
      <c r="U1474" s="372" t="s">
        <v>9826</v>
      </c>
      <c r="V1474" s="723">
        <v>7.61</v>
      </c>
      <c r="W1474" s="723">
        <v>0.51</v>
      </c>
      <c r="X1474" s="723">
        <v>0.72</v>
      </c>
      <c r="Y1474" s="723">
        <v>16.11</v>
      </c>
      <c r="Z1474" s="382" t="s">
        <v>927</v>
      </c>
      <c r="AA1474" s="372">
        <v>1307.0485443</v>
      </c>
      <c r="AB1474" s="372">
        <v>1097.3423419000001</v>
      </c>
      <c r="AC1474" s="372">
        <v>1120.1204914</v>
      </c>
      <c r="AD1474" s="372">
        <v>1089.9541506999999</v>
      </c>
      <c r="AE1474" s="372">
        <v>0</v>
      </c>
      <c r="AF1474" s="372">
        <v>0</v>
      </c>
      <c r="AG1474" s="372">
        <v>0</v>
      </c>
      <c r="AH1474" s="372">
        <v>0</v>
      </c>
    </row>
    <row r="1475" spans="1:34">
      <c r="A1475" s="372" t="s">
        <v>9827</v>
      </c>
      <c r="B1475" s="373" t="s">
        <v>9828</v>
      </c>
      <c r="C1475" s="372" t="s">
        <v>16016</v>
      </c>
      <c r="D1475" s="374">
        <v>1201110148800</v>
      </c>
      <c r="E1475" s="372" t="s">
        <v>16017</v>
      </c>
      <c r="F1475" s="375" t="s">
        <v>5619</v>
      </c>
      <c r="G1475" s="375" t="s">
        <v>5619</v>
      </c>
      <c r="H1475" s="375" t="s">
        <v>861</v>
      </c>
      <c r="I1475" s="375" t="s">
        <v>862</v>
      </c>
      <c r="J1475" s="375">
        <v>14606.93153</v>
      </c>
      <c r="K1475" s="375">
        <v>-958.13234999999997</v>
      </c>
      <c r="L1475" s="375">
        <v>-548.54750000000001</v>
      </c>
      <c r="M1475" s="375">
        <v>39650.352200000001</v>
      </c>
      <c r="N1475" s="372">
        <v>1.23</v>
      </c>
      <c r="O1475" s="704">
        <v>3.5662827318306015E-2</v>
      </c>
      <c r="P1475" s="375" t="s">
        <v>622</v>
      </c>
      <c r="Q1475" s="375" t="s">
        <v>622</v>
      </c>
      <c r="R1475" s="696">
        <v>20210421</v>
      </c>
      <c r="S1475" s="372" t="s">
        <v>9829</v>
      </c>
      <c r="T1475" s="697" t="s">
        <v>771</v>
      </c>
      <c r="U1475" s="372" t="s">
        <v>9830</v>
      </c>
      <c r="V1475" s="723">
        <v>0</v>
      </c>
      <c r="W1475" s="723">
        <v>0</v>
      </c>
      <c r="X1475" s="723">
        <v>0</v>
      </c>
      <c r="Y1475" s="723">
        <v>0</v>
      </c>
      <c r="Z1475" s="382" t="s">
        <v>927</v>
      </c>
      <c r="AA1475" s="372">
        <v>167.34359130000001</v>
      </c>
      <c r="AB1475" s="372">
        <v>152.27941609999999</v>
      </c>
      <c r="AC1475" s="372">
        <v>139.13931779999999</v>
      </c>
      <c r="AD1475" s="372">
        <v>136.8302214</v>
      </c>
      <c r="AE1475" s="372">
        <v>0</v>
      </c>
      <c r="AF1475" s="372">
        <v>0</v>
      </c>
      <c r="AG1475" s="372">
        <v>0</v>
      </c>
      <c r="AH1475" s="372">
        <v>0</v>
      </c>
    </row>
    <row r="1476" spans="1:34">
      <c r="A1476" s="372" t="s">
        <v>9831</v>
      </c>
      <c r="B1476" s="373" t="s">
        <v>9832</v>
      </c>
      <c r="C1476" s="372" t="s">
        <v>9833</v>
      </c>
      <c r="D1476" s="374">
        <v>1101111788566</v>
      </c>
      <c r="E1476" s="372" t="s">
        <v>9834</v>
      </c>
      <c r="F1476" s="375" t="s">
        <v>1796</v>
      </c>
      <c r="G1476" s="375" t="s">
        <v>2797</v>
      </c>
      <c r="H1476" s="375" t="s">
        <v>861</v>
      </c>
      <c r="I1476" s="375" t="s">
        <v>862</v>
      </c>
      <c r="J1476" s="375">
        <v>59105.612979999998</v>
      </c>
      <c r="K1476" s="375">
        <v>15438.38861</v>
      </c>
      <c r="L1476" s="375">
        <v>19366.46272</v>
      </c>
      <c r="M1476" s="375">
        <v>86933.215320000003</v>
      </c>
      <c r="N1476" s="372">
        <v>0.90800000000000003</v>
      </c>
      <c r="O1476" s="704">
        <v>41.036758428530369</v>
      </c>
      <c r="P1476" s="375" t="s">
        <v>622</v>
      </c>
      <c r="Q1476" s="372" t="s">
        <v>622</v>
      </c>
      <c r="R1476" s="696">
        <v>20191017</v>
      </c>
      <c r="S1476" s="372" t="s">
        <v>9835</v>
      </c>
      <c r="T1476" s="697">
        <v>0.20900000000000002</v>
      </c>
      <c r="U1476" s="372" t="s">
        <v>9836</v>
      </c>
      <c r="V1476" s="723">
        <v>5.09</v>
      </c>
      <c r="W1476" s="723">
        <v>1.03</v>
      </c>
      <c r="X1476" s="723">
        <v>1.56</v>
      </c>
      <c r="Y1476" s="723">
        <v>6.28</v>
      </c>
      <c r="Z1476" s="382">
        <v>7.6488719258215321E-2</v>
      </c>
      <c r="AA1476" s="372">
        <v>290.42823199999998</v>
      </c>
      <c r="AB1476" s="372">
        <v>432.81463179999997</v>
      </c>
      <c r="AC1476" s="372">
        <v>447.43476679999998</v>
      </c>
      <c r="AD1476" s="372">
        <v>550.30886109999994</v>
      </c>
      <c r="AE1476" s="372">
        <v>660</v>
      </c>
      <c r="AF1476" s="372">
        <v>699</v>
      </c>
      <c r="AG1476" s="372">
        <v>739</v>
      </c>
      <c r="AH1476" s="372">
        <v>0</v>
      </c>
    </row>
    <row r="1477" spans="1:34">
      <c r="A1477" s="372" t="s">
        <v>9837</v>
      </c>
      <c r="B1477" s="373" t="s">
        <v>9838</v>
      </c>
      <c r="C1477" s="372" t="s">
        <v>9839</v>
      </c>
      <c r="D1477" s="374">
        <v>1101110207799</v>
      </c>
      <c r="E1477" s="372" t="s">
        <v>9840</v>
      </c>
      <c r="F1477" s="372" t="s">
        <v>2089</v>
      </c>
      <c r="G1477" s="375" t="s">
        <v>2089</v>
      </c>
      <c r="H1477" s="375" t="s">
        <v>861</v>
      </c>
      <c r="I1477" s="375" t="s">
        <v>862</v>
      </c>
      <c r="J1477" s="375">
        <v>196084.76047000001</v>
      </c>
      <c r="K1477" s="375">
        <v>3406.95865</v>
      </c>
      <c r="L1477" s="375">
        <v>2521.6294699999999</v>
      </c>
      <c r="M1477" s="375">
        <v>127370.35718000001</v>
      </c>
      <c r="N1477" s="372">
        <v>0.86699999999999999</v>
      </c>
      <c r="O1477" s="704">
        <v>10.983319002058108</v>
      </c>
      <c r="P1477" s="375" t="s">
        <v>622</v>
      </c>
      <c r="Q1477" s="372" t="s">
        <v>622</v>
      </c>
      <c r="R1477" s="696">
        <v>20020102</v>
      </c>
      <c r="S1477" s="372" t="s">
        <v>9841</v>
      </c>
      <c r="T1477" s="697">
        <v>0.20900000000000002</v>
      </c>
      <c r="U1477" s="372" t="s">
        <v>9842</v>
      </c>
      <c r="V1477" s="723">
        <v>20.69</v>
      </c>
      <c r="W1477" s="723">
        <v>0.64</v>
      </c>
      <c r="X1477" s="723">
        <v>0.45</v>
      </c>
      <c r="Y1477" s="723">
        <v>44.71</v>
      </c>
      <c r="Z1477" s="382" t="s">
        <v>927</v>
      </c>
      <c r="AA1477" s="372">
        <v>1751.8144783</v>
      </c>
      <c r="AB1477" s="372">
        <v>2362.1988956</v>
      </c>
      <c r="AC1477" s="372">
        <v>2442.2099072999999</v>
      </c>
      <c r="AD1477" s="372">
        <v>2253.6256124000001</v>
      </c>
      <c r="AE1477" s="372">
        <v>0</v>
      </c>
      <c r="AF1477" s="372">
        <v>0</v>
      </c>
      <c r="AG1477" s="372">
        <v>0</v>
      </c>
      <c r="AH1477" s="372">
        <v>0</v>
      </c>
    </row>
    <row r="1478" spans="1:34">
      <c r="A1478" s="372" t="s">
        <v>9843</v>
      </c>
      <c r="B1478" s="373" t="s">
        <v>9844</v>
      </c>
      <c r="C1478" s="372" t="s">
        <v>9845</v>
      </c>
      <c r="D1478" s="374">
        <v>1345110127040</v>
      </c>
      <c r="E1478" s="372" t="s">
        <v>9846</v>
      </c>
      <c r="F1478" s="375" t="s">
        <v>2426</v>
      </c>
      <c r="G1478" s="375" t="s">
        <v>2427</v>
      </c>
      <c r="H1478" s="375" t="s">
        <v>861</v>
      </c>
      <c r="I1478" s="375" t="s">
        <v>862</v>
      </c>
      <c r="J1478" s="375">
        <v>73103.165150000001</v>
      </c>
      <c r="K1478" s="375">
        <v>7259.42911</v>
      </c>
      <c r="L1478" s="375">
        <v>8744.4232900000006</v>
      </c>
      <c r="M1478" s="375">
        <v>70357.906130000003</v>
      </c>
      <c r="N1478" s="372">
        <v>0.91400000000000003</v>
      </c>
      <c r="O1478" s="704">
        <v>0.20451046084000463</v>
      </c>
      <c r="P1478" s="375" t="s">
        <v>622</v>
      </c>
      <c r="Q1478" s="372" t="s">
        <v>622</v>
      </c>
      <c r="R1478" s="696">
        <v>20181212</v>
      </c>
      <c r="S1478" s="372" t="s">
        <v>9847</v>
      </c>
      <c r="T1478" s="697">
        <v>0.20900000000000002</v>
      </c>
      <c r="U1478" s="375" t="s">
        <v>9848</v>
      </c>
      <c r="V1478" s="723">
        <v>10.7</v>
      </c>
      <c r="W1478" s="723">
        <v>1.42</v>
      </c>
      <c r="X1478" s="723">
        <v>1.37</v>
      </c>
      <c r="Y1478" s="723">
        <v>12.74</v>
      </c>
      <c r="Z1478" s="382" t="s">
        <v>927</v>
      </c>
      <c r="AA1478" s="372">
        <v>207.23392920000001</v>
      </c>
      <c r="AB1478" s="372">
        <v>464.71488820000002</v>
      </c>
      <c r="AC1478" s="372">
        <v>757.10472630000004</v>
      </c>
      <c r="AD1478" s="372">
        <v>837.83909840000001</v>
      </c>
      <c r="AE1478" s="372">
        <v>1100</v>
      </c>
      <c r="AF1478" s="372">
        <v>1581</v>
      </c>
      <c r="AG1478" s="372">
        <v>0</v>
      </c>
      <c r="AH1478" s="372">
        <v>0</v>
      </c>
    </row>
    <row r="1479" spans="1:34">
      <c r="A1479" s="372" t="s">
        <v>9849</v>
      </c>
      <c r="B1479" s="373" t="s">
        <v>9850</v>
      </c>
      <c r="C1479" s="372" t="s">
        <v>9851</v>
      </c>
      <c r="D1479" s="374">
        <v>1101114816570</v>
      </c>
      <c r="E1479" s="372" t="s">
        <v>9852</v>
      </c>
      <c r="F1479" s="372" t="s">
        <v>2124</v>
      </c>
      <c r="G1479" s="375" t="s">
        <v>4466</v>
      </c>
      <c r="H1479" s="375" t="s">
        <v>861</v>
      </c>
      <c r="I1479" s="375" t="s">
        <v>862</v>
      </c>
      <c r="J1479" s="375">
        <v>32543.402460000001</v>
      </c>
      <c r="K1479" s="375">
        <v>6941.5218699999996</v>
      </c>
      <c r="L1479" s="375">
        <v>4366.9061000000002</v>
      </c>
      <c r="M1479" s="375">
        <v>56905.198060000002</v>
      </c>
      <c r="N1479" s="372">
        <v>0.51100000000000001</v>
      </c>
      <c r="O1479" s="704">
        <v>17.188080979746907</v>
      </c>
      <c r="P1479" s="375" t="s">
        <v>622</v>
      </c>
      <c r="Q1479" s="372" t="s">
        <v>622</v>
      </c>
      <c r="R1479" s="696">
        <v>20160504</v>
      </c>
      <c r="S1479" s="372" t="s">
        <v>9853</v>
      </c>
      <c r="T1479" s="697">
        <v>0.20900000000000002</v>
      </c>
      <c r="U1479" s="372" t="s">
        <v>9854</v>
      </c>
      <c r="V1479" s="723">
        <v>11.96</v>
      </c>
      <c r="W1479" s="723">
        <v>2.0499999999999998</v>
      </c>
      <c r="X1479" s="723">
        <v>3.75</v>
      </c>
      <c r="Y1479" s="723">
        <v>19.39</v>
      </c>
      <c r="Z1479" s="382" t="s">
        <v>927</v>
      </c>
      <c r="AA1479" s="372">
        <v>126.14550509999999</v>
      </c>
      <c r="AB1479" s="372">
        <v>155.97796410000001</v>
      </c>
      <c r="AC1479" s="372">
        <v>198.38547120000001</v>
      </c>
      <c r="AD1479" s="372">
        <v>277.98503879999998</v>
      </c>
      <c r="AE1479" s="372">
        <v>401</v>
      </c>
      <c r="AF1479" s="372">
        <v>533</v>
      </c>
      <c r="AG1479" s="372">
        <v>0</v>
      </c>
      <c r="AH1479" s="372">
        <v>0</v>
      </c>
    </row>
    <row r="1480" spans="1:34">
      <c r="A1480" s="372" t="s">
        <v>9855</v>
      </c>
      <c r="B1480" s="373" t="s">
        <v>9856</v>
      </c>
      <c r="C1480" s="372" t="s">
        <v>9857</v>
      </c>
      <c r="D1480" s="374">
        <v>1615110121601</v>
      </c>
      <c r="E1480" s="372" t="s">
        <v>9858</v>
      </c>
      <c r="F1480" s="375" t="s">
        <v>16100</v>
      </c>
      <c r="G1480" s="375" t="s">
        <v>3854</v>
      </c>
      <c r="H1480" s="375" t="s">
        <v>861</v>
      </c>
      <c r="I1480" s="375" t="s">
        <v>862</v>
      </c>
      <c r="J1480" s="375">
        <v>54981.996079999997</v>
      </c>
      <c r="K1480" s="375">
        <v>2626.6176399999999</v>
      </c>
      <c r="L1480" s="375">
        <v>3010.2822500000002</v>
      </c>
      <c r="M1480" s="375">
        <v>53852.241609999997</v>
      </c>
      <c r="N1480" s="372" t="s">
        <v>1026</v>
      </c>
      <c r="O1480" s="704">
        <v>4.1215441044048235</v>
      </c>
      <c r="P1480" s="375" t="s">
        <v>622</v>
      </c>
      <c r="Q1480" s="372" t="s">
        <v>622</v>
      </c>
      <c r="R1480" s="696">
        <v>20231109</v>
      </c>
      <c r="S1480" s="372" t="s">
        <v>9859</v>
      </c>
      <c r="T1480" s="697">
        <v>0.20900000000000002</v>
      </c>
      <c r="U1480" s="372" t="s">
        <v>9860</v>
      </c>
      <c r="V1480" s="723">
        <v>0</v>
      </c>
      <c r="W1480" s="723">
        <v>0</v>
      </c>
      <c r="X1480" s="723">
        <v>0</v>
      </c>
      <c r="Y1480" s="723">
        <v>0</v>
      </c>
      <c r="Z1480" s="382" t="s">
        <v>927</v>
      </c>
      <c r="AA1480" s="372">
        <v>315.51069999999999</v>
      </c>
      <c r="AB1480" s="372">
        <v>394.50600989999998</v>
      </c>
      <c r="AC1480" s="372">
        <v>490.4488298</v>
      </c>
      <c r="AD1480" s="372">
        <v>501.4341632</v>
      </c>
      <c r="AE1480" s="372">
        <v>0</v>
      </c>
      <c r="AF1480" s="372">
        <v>0</v>
      </c>
      <c r="AG1480" s="372">
        <v>0</v>
      </c>
      <c r="AH1480" s="372">
        <v>0</v>
      </c>
    </row>
    <row r="1481" spans="1:34">
      <c r="A1481" s="372" t="s">
        <v>9861</v>
      </c>
      <c r="B1481" s="373" t="s">
        <v>9862</v>
      </c>
      <c r="C1481" s="372" t="s">
        <v>9863</v>
      </c>
      <c r="D1481" s="374">
        <v>1942110032988</v>
      </c>
      <c r="E1481" s="372" t="s">
        <v>9864</v>
      </c>
      <c r="F1481" s="375" t="s">
        <v>1136</v>
      </c>
      <c r="G1481" s="375" t="s">
        <v>3128</v>
      </c>
      <c r="H1481" s="375" t="s">
        <v>861</v>
      </c>
      <c r="I1481" s="375" t="s">
        <v>862</v>
      </c>
      <c r="J1481" s="375">
        <v>105685.91654999999</v>
      </c>
      <c r="K1481" s="375">
        <v>7690.3246200000003</v>
      </c>
      <c r="L1481" s="375">
        <v>57448.34388</v>
      </c>
      <c r="M1481" s="375">
        <v>236969.85230999999</v>
      </c>
      <c r="N1481" s="372">
        <v>0.71399999999999997</v>
      </c>
      <c r="O1481" s="704">
        <v>57.780854660846572</v>
      </c>
      <c r="P1481" s="375" t="s">
        <v>622</v>
      </c>
      <c r="Q1481" s="372" t="s">
        <v>622</v>
      </c>
      <c r="R1481" s="696">
        <v>20101022</v>
      </c>
      <c r="S1481" s="372" t="s">
        <v>9865</v>
      </c>
      <c r="T1481" s="697">
        <v>0.23100000000000001</v>
      </c>
      <c r="U1481" s="372" t="s">
        <v>9866</v>
      </c>
      <c r="V1481" s="723">
        <v>19.940000000000001</v>
      </c>
      <c r="W1481" s="723">
        <v>0.83</v>
      </c>
      <c r="X1481" s="723">
        <v>1.9</v>
      </c>
      <c r="Y1481" s="723">
        <v>3.95</v>
      </c>
      <c r="Z1481" s="382" t="s">
        <v>927</v>
      </c>
      <c r="AA1481" s="372">
        <v>1057.4718525000001</v>
      </c>
      <c r="AB1481" s="372">
        <v>1104.7501870000001</v>
      </c>
      <c r="AC1481" s="372">
        <v>1073.0435680999999</v>
      </c>
      <c r="AD1481" s="372">
        <v>1039.5107373000001</v>
      </c>
      <c r="AE1481" s="372">
        <v>0</v>
      </c>
      <c r="AF1481" s="372">
        <v>0</v>
      </c>
      <c r="AG1481" s="372">
        <v>0</v>
      </c>
      <c r="AH1481" s="372">
        <v>0</v>
      </c>
    </row>
    <row r="1482" spans="1:34">
      <c r="A1482" s="372" t="s">
        <v>9867</v>
      </c>
      <c r="B1482" s="373" t="s">
        <v>9868</v>
      </c>
      <c r="C1482" s="372" t="s">
        <v>9869</v>
      </c>
      <c r="D1482" s="374">
        <v>1101112021501</v>
      </c>
      <c r="E1482" s="372" t="s">
        <v>9870</v>
      </c>
      <c r="F1482" s="372" t="s">
        <v>1796</v>
      </c>
      <c r="G1482" s="375" t="s">
        <v>1797</v>
      </c>
      <c r="H1482" s="375" t="s">
        <v>861</v>
      </c>
      <c r="I1482" s="375" t="s">
        <v>862</v>
      </c>
      <c r="J1482" s="375">
        <v>28540.274170000001</v>
      </c>
      <c r="K1482" s="375">
        <v>-7417.4479199999996</v>
      </c>
      <c r="L1482" s="375">
        <v>-11093.706899999999</v>
      </c>
      <c r="M1482" s="375">
        <v>56755.310510000003</v>
      </c>
      <c r="N1482" s="372">
        <v>0.98299999999999998</v>
      </c>
      <c r="O1482" s="704">
        <v>64.962557453595736</v>
      </c>
      <c r="P1482" s="375" t="s">
        <v>622</v>
      </c>
      <c r="Q1482" s="372" t="s">
        <v>622</v>
      </c>
      <c r="R1482" s="696">
        <v>20201028</v>
      </c>
      <c r="S1482" s="375" t="s">
        <v>9871</v>
      </c>
      <c r="T1482" s="697" t="s">
        <v>771</v>
      </c>
      <c r="U1482" s="372" t="s">
        <v>9872</v>
      </c>
      <c r="V1482" s="723" t="s">
        <v>773</v>
      </c>
      <c r="W1482" s="723">
        <v>1.03</v>
      </c>
      <c r="X1482" s="723">
        <v>2.0299999999999998</v>
      </c>
      <c r="Y1482" s="723" t="s">
        <v>773</v>
      </c>
      <c r="Z1482" s="382" t="s">
        <v>927</v>
      </c>
      <c r="AA1482" s="372">
        <v>255.7116733</v>
      </c>
      <c r="AB1482" s="372">
        <v>446.17204850000002</v>
      </c>
      <c r="AC1482" s="372">
        <v>344.47925670000001</v>
      </c>
      <c r="AD1482" s="372">
        <v>299.77118710000002</v>
      </c>
      <c r="AE1482" s="372">
        <v>330</v>
      </c>
      <c r="AF1482" s="372">
        <v>0</v>
      </c>
      <c r="AG1482" s="372">
        <v>0</v>
      </c>
      <c r="AH1482" s="372">
        <v>0</v>
      </c>
    </row>
    <row r="1483" spans="1:34">
      <c r="A1483" s="372" t="s">
        <v>9873</v>
      </c>
      <c r="B1483" s="373" t="s">
        <v>9874</v>
      </c>
      <c r="C1483" s="372" t="s">
        <v>9875</v>
      </c>
      <c r="D1483" s="374">
        <v>0</v>
      </c>
      <c r="E1483" s="372" t="s">
        <v>9876</v>
      </c>
      <c r="F1483" s="375" t="s">
        <v>2718</v>
      </c>
      <c r="G1483" s="375" t="s">
        <v>3024</v>
      </c>
      <c r="H1483" s="375">
        <v>0</v>
      </c>
      <c r="I1483" s="375" t="s">
        <v>862</v>
      </c>
      <c r="J1483" s="375">
        <v>38143.938999999998</v>
      </c>
      <c r="K1483" s="375">
        <v>-6014.4970000000003</v>
      </c>
      <c r="L1483" s="375">
        <v>-6468.0039999999999</v>
      </c>
      <c r="M1483" s="375">
        <v>28524.080000000002</v>
      </c>
      <c r="N1483" s="372">
        <v>0.73499999999999999</v>
      </c>
      <c r="O1483" s="704">
        <v>11.747153937434303</v>
      </c>
      <c r="P1483" s="375" t="s">
        <v>622</v>
      </c>
      <c r="Q1483" s="375" t="s">
        <v>622</v>
      </c>
      <c r="R1483" s="696">
        <v>20200713</v>
      </c>
      <c r="S1483" s="375" t="s">
        <v>9877</v>
      </c>
      <c r="T1483" s="697" t="s">
        <v>771</v>
      </c>
      <c r="U1483" s="372" t="s">
        <v>9878</v>
      </c>
      <c r="V1483" s="723" t="s">
        <v>773</v>
      </c>
      <c r="W1483" s="723">
        <v>2.99</v>
      </c>
      <c r="X1483" s="723">
        <v>2.25</v>
      </c>
      <c r="Y1483" s="723" t="s">
        <v>773</v>
      </c>
      <c r="Z1483" s="382" t="s">
        <v>927</v>
      </c>
      <c r="AA1483" s="372">
        <v>190.05866</v>
      </c>
      <c r="AB1483" s="372">
        <v>285.91651000000002</v>
      </c>
      <c r="AC1483" s="372">
        <v>433.74448999999998</v>
      </c>
      <c r="AD1483" s="372">
        <v>322.74664000000001</v>
      </c>
      <c r="AE1483" s="372">
        <v>0</v>
      </c>
      <c r="AF1483" s="372">
        <v>0</v>
      </c>
      <c r="AG1483" s="372">
        <v>0</v>
      </c>
      <c r="AH1483" s="372">
        <v>0</v>
      </c>
    </row>
    <row r="1484" spans="1:34">
      <c r="A1484" s="372" t="s">
        <v>9879</v>
      </c>
      <c r="B1484" s="373" t="s">
        <v>9880</v>
      </c>
      <c r="C1484" s="372" t="s">
        <v>9881</v>
      </c>
      <c r="D1484" s="374">
        <v>1341110003545</v>
      </c>
      <c r="E1484" s="372" t="s">
        <v>9882</v>
      </c>
      <c r="F1484" s="372" t="s">
        <v>1820</v>
      </c>
      <c r="G1484" s="375" t="s">
        <v>1820</v>
      </c>
      <c r="H1484" s="375" t="s">
        <v>861</v>
      </c>
      <c r="I1484" s="375" t="s">
        <v>862</v>
      </c>
      <c r="J1484" s="375">
        <v>151820.50889</v>
      </c>
      <c r="K1484" s="375">
        <v>-30979.12096</v>
      </c>
      <c r="L1484" s="375">
        <v>-42305.949090000002</v>
      </c>
      <c r="M1484" s="375">
        <v>51004.979039999998</v>
      </c>
      <c r="N1484" s="372">
        <v>0.67200000000000004</v>
      </c>
      <c r="O1484" s="704">
        <v>154.18143884310359</v>
      </c>
      <c r="P1484" s="375" t="s">
        <v>622</v>
      </c>
      <c r="Q1484" s="372" t="s">
        <v>622</v>
      </c>
      <c r="R1484" s="696">
        <v>19941031</v>
      </c>
      <c r="S1484" s="372" t="s">
        <v>9883</v>
      </c>
      <c r="T1484" s="697" t="s">
        <v>771</v>
      </c>
      <c r="U1484" s="372" t="s">
        <v>15911</v>
      </c>
      <c r="V1484" s="723" t="s">
        <v>773</v>
      </c>
      <c r="W1484" s="723">
        <v>1.47</v>
      </c>
      <c r="X1484" s="723">
        <v>0.49</v>
      </c>
      <c r="Y1484" s="723" t="s">
        <v>773</v>
      </c>
      <c r="Z1484" s="382" t="s">
        <v>927</v>
      </c>
      <c r="AA1484" s="372">
        <v>1360.884041</v>
      </c>
      <c r="AB1484" s="372">
        <v>1566.1049814</v>
      </c>
      <c r="AC1484" s="372">
        <v>1901.0850849000001</v>
      </c>
      <c r="AD1484" s="372">
        <v>1802.6276373000001</v>
      </c>
      <c r="AE1484" s="372">
        <v>0</v>
      </c>
      <c r="AF1484" s="372">
        <v>0</v>
      </c>
      <c r="AG1484" s="372">
        <v>0</v>
      </c>
      <c r="AH1484" s="372">
        <v>0</v>
      </c>
    </row>
    <row r="1485" spans="1:34">
      <c r="A1485" s="372" t="s">
        <v>9884</v>
      </c>
      <c r="B1485" s="373" t="s">
        <v>9885</v>
      </c>
      <c r="C1485" s="372" t="s">
        <v>9886</v>
      </c>
      <c r="D1485" s="374">
        <v>1101115687615</v>
      </c>
      <c r="E1485" s="372" t="s">
        <v>9887</v>
      </c>
      <c r="F1485" s="372" t="s">
        <v>5301</v>
      </c>
      <c r="G1485" s="375" t="s">
        <v>5301</v>
      </c>
      <c r="H1485" s="375" t="s">
        <v>861</v>
      </c>
      <c r="I1485" s="375" t="s">
        <v>862</v>
      </c>
      <c r="J1485" s="375">
        <v>63447.076869999997</v>
      </c>
      <c r="K1485" s="375">
        <v>-8.9038400000000006</v>
      </c>
      <c r="L1485" s="375">
        <v>65.191180000000003</v>
      </c>
      <c r="M1485" s="375">
        <v>44718.044739999998</v>
      </c>
      <c r="N1485" s="372">
        <v>0.85199999999999998</v>
      </c>
      <c r="O1485" s="704">
        <v>6.1537915162731132</v>
      </c>
      <c r="P1485" s="375" t="s">
        <v>622</v>
      </c>
      <c r="Q1485" s="372" t="s">
        <v>622</v>
      </c>
      <c r="R1485" s="696">
        <v>20150618</v>
      </c>
      <c r="S1485" s="372" t="s">
        <v>5301</v>
      </c>
      <c r="T1485" s="697">
        <v>9.9000000000000005E-2</v>
      </c>
      <c r="U1485" s="372" t="s">
        <v>9888</v>
      </c>
      <c r="V1485" s="723">
        <v>107.32</v>
      </c>
      <c r="W1485" s="723">
        <v>2.29</v>
      </c>
      <c r="X1485" s="723">
        <v>1.65</v>
      </c>
      <c r="Y1485" s="723">
        <v>303.39</v>
      </c>
      <c r="Z1485" s="382" t="s">
        <v>927</v>
      </c>
      <c r="AA1485" s="372">
        <v>474.97013579999998</v>
      </c>
      <c r="AB1485" s="372">
        <v>666.68150519999995</v>
      </c>
      <c r="AC1485" s="372">
        <v>756.35321629999999</v>
      </c>
      <c r="AD1485" s="372">
        <v>600.1591244</v>
      </c>
      <c r="AE1485" s="372">
        <v>0</v>
      </c>
      <c r="AF1485" s="372">
        <v>0</v>
      </c>
      <c r="AG1485" s="372">
        <v>0</v>
      </c>
      <c r="AH1485" s="372">
        <v>0</v>
      </c>
    </row>
    <row r="1486" spans="1:34">
      <c r="A1486" s="372" t="s">
        <v>9889</v>
      </c>
      <c r="B1486" s="373" t="s">
        <v>9890</v>
      </c>
      <c r="C1486" s="372" t="s">
        <v>9891</v>
      </c>
      <c r="D1486" s="374">
        <v>1101114846056</v>
      </c>
      <c r="E1486" s="372" t="s">
        <v>9892</v>
      </c>
      <c r="F1486" s="375" t="s">
        <v>1796</v>
      </c>
      <c r="G1486" s="375" t="s">
        <v>1797</v>
      </c>
      <c r="H1486" s="375" t="s">
        <v>861</v>
      </c>
      <c r="I1486" s="375" t="s">
        <v>862</v>
      </c>
      <c r="J1486" s="375">
        <v>35112.472249999999</v>
      </c>
      <c r="K1486" s="375">
        <v>1357.4497699999999</v>
      </c>
      <c r="L1486" s="375">
        <v>1563.0064199999999</v>
      </c>
      <c r="M1486" s="375">
        <v>38357.037600000003</v>
      </c>
      <c r="N1486" s="372" t="s">
        <v>1026</v>
      </c>
      <c r="O1486" s="704">
        <v>11.195849730909767</v>
      </c>
      <c r="P1486" s="375" t="s">
        <v>622</v>
      </c>
      <c r="Q1486" s="372" t="s">
        <v>622</v>
      </c>
      <c r="R1486" s="696">
        <v>20230630</v>
      </c>
      <c r="S1486" s="372" t="s">
        <v>9893</v>
      </c>
      <c r="T1486" s="697">
        <v>0.20900000000000002</v>
      </c>
      <c r="U1486" s="372" t="s">
        <v>9894</v>
      </c>
      <c r="V1486" s="723">
        <v>17.329999999999998</v>
      </c>
      <c r="W1486" s="723">
        <v>1.18</v>
      </c>
      <c r="X1486" s="723">
        <v>1.29</v>
      </c>
      <c r="Y1486" s="723">
        <v>26.51</v>
      </c>
      <c r="Z1486" s="382" t="s">
        <v>927</v>
      </c>
      <c r="AA1486" s="372">
        <v>70.9436046</v>
      </c>
      <c r="AB1486" s="372">
        <v>108.66428190000001</v>
      </c>
      <c r="AC1486" s="372">
        <v>162.67964760000001</v>
      </c>
      <c r="AD1486" s="372">
        <v>251.3643184</v>
      </c>
      <c r="AE1486" s="372">
        <v>0</v>
      </c>
      <c r="AF1486" s="372">
        <v>0</v>
      </c>
      <c r="AG1486" s="372">
        <v>0</v>
      </c>
      <c r="AH1486" s="372">
        <v>0</v>
      </c>
    </row>
    <row r="1487" spans="1:34">
      <c r="A1487" s="372" t="s">
        <v>9895</v>
      </c>
      <c r="B1487" s="373" t="s">
        <v>9896</v>
      </c>
      <c r="C1487" s="372" t="s">
        <v>9897</v>
      </c>
      <c r="D1487" s="374">
        <v>1101110053465</v>
      </c>
      <c r="E1487" s="372" t="s">
        <v>9898</v>
      </c>
      <c r="F1487" s="375" t="s">
        <v>2054</v>
      </c>
      <c r="G1487" s="375" t="s">
        <v>2055</v>
      </c>
      <c r="H1487" s="375" t="s">
        <v>861</v>
      </c>
      <c r="I1487" s="375" t="s">
        <v>862</v>
      </c>
      <c r="J1487" s="375">
        <v>163196.95767</v>
      </c>
      <c r="K1487" s="375">
        <v>9086.4329300000009</v>
      </c>
      <c r="L1487" s="375">
        <v>8843.2815399999999</v>
      </c>
      <c r="M1487" s="375">
        <v>128968.39586</v>
      </c>
      <c r="N1487" s="372">
        <v>0.84199999999999997</v>
      </c>
      <c r="O1487" s="704">
        <v>46.222384922058843</v>
      </c>
      <c r="P1487" s="375" t="s">
        <v>622</v>
      </c>
      <c r="Q1487" s="372" t="s">
        <v>622</v>
      </c>
      <c r="R1487" s="696">
        <v>19931130</v>
      </c>
      <c r="S1487" s="372" t="s">
        <v>9899</v>
      </c>
      <c r="T1487" s="697">
        <v>0.20900000000000002</v>
      </c>
      <c r="U1487" s="372" t="s">
        <v>9900</v>
      </c>
      <c r="V1487" s="723">
        <v>0</v>
      </c>
      <c r="W1487" s="723">
        <v>0</v>
      </c>
      <c r="X1487" s="723">
        <v>0</v>
      </c>
      <c r="Y1487" s="723">
        <v>0</v>
      </c>
      <c r="Z1487" s="382" t="s">
        <v>927</v>
      </c>
      <c r="AA1487" s="372">
        <v>1042.2568630000001</v>
      </c>
      <c r="AB1487" s="372">
        <v>1198.9840374</v>
      </c>
      <c r="AC1487" s="372">
        <v>1577.2934361</v>
      </c>
      <c r="AD1487" s="372">
        <v>1668.4408722000001</v>
      </c>
      <c r="AE1487" s="372">
        <v>0</v>
      </c>
      <c r="AF1487" s="372">
        <v>0</v>
      </c>
      <c r="AG1487" s="372">
        <v>0</v>
      </c>
      <c r="AH1487" s="372">
        <v>0</v>
      </c>
    </row>
    <row r="1488" spans="1:34">
      <c r="A1488" s="372" t="s">
        <v>9901</v>
      </c>
      <c r="B1488" s="373" t="s">
        <v>9902</v>
      </c>
      <c r="C1488" s="372" t="s">
        <v>9903</v>
      </c>
      <c r="D1488" s="374">
        <v>1243110016976</v>
      </c>
      <c r="E1488" s="372" t="s">
        <v>9904</v>
      </c>
      <c r="F1488" s="375" t="s">
        <v>1249</v>
      </c>
      <c r="G1488" s="375" t="s">
        <v>1249</v>
      </c>
      <c r="H1488" s="375" t="s">
        <v>861</v>
      </c>
      <c r="I1488" s="375" t="s">
        <v>862</v>
      </c>
      <c r="J1488" s="375">
        <v>93138.599960000007</v>
      </c>
      <c r="K1488" s="375">
        <v>8568.8766599999999</v>
      </c>
      <c r="L1488" s="375">
        <v>15096.34217</v>
      </c>
      <c r="M1488" s="375">
        <v>168742.79676</v>
      </c>
      <c r="N1488" s="372">
        <v>0.51900000000000002</v>
      </c>
      <c r="O1488" s="704">
        <v>24.880909128110968</v>
      </c>
      <c r="P1488" s="375" t="s">
        <v>622</v>
      </c>
      <c r="Q1488" s="375" t="s">
        <v>622</v>
      </c>
      <c r="R1488" s="696">
        <v>20051223</v>
      </c>
      <c r="S1488" s="372" t="s">
        <v>9905</v>
      </c>
      <c r="T1488" s="697">
        <v>0.20900000000000002</v>
      </c>
      <c r="U1488" s="372" t="s">
        <v>9906</v>
      </c>
      <c r="V1488" s="723">
        <v>22.39</v>
      </c>
      <c r="W1488" s="723">
        <v>1.7</v>
      </c>
      <c r="X1488" s="723">
        <v>2.5299999999999998</v>
      </c>
      <c r="Y1488" s="723">
        <v>23.38</v>
      </c>
      <c r="Z1488" s="382" t="s">
        <v>927</v>
      </c>
      <c r="AA1488" s="372">
        <v>762.54986199999996</v>
      </c>
      <c r="AB1488" s="372">
        <v>829.5717717</v>
      </c>
      <c r="AC1488" s="372">
        <v>935.0435311</v>
      </c>
      <c r="AD1488" s="372">
        <v>876.22205169999995</v>
      </c>
      <c r="AE1488" s="372">
        <v>0</v>
      </c>
      <c r="AF1488" s="372">
        <v>0</v>
      </c>
      <c r="AG1488" s="372">
        <v>0</v>
      </c>
      <c r="AH1488" s="372">
        <v>0</v>
      </c>
    </row>
    <row r="1489" spans="1:34">
      <c r="A1489" s="372" t="s">
        <v>9907</v>
      </c>
      <c r="B1489" s="373" t="s">
        <v>9908</v>
      </c>
      <c r="C1489" s="372" t="s">
        <v>9909</v>
      </c>
      <c r="D1489" s="374">
        <v>1101115501302</v>
      </c>
      <c r="E1489" s="372" t="s">
        <v>9910</v>
      </c>
      <c r="F1489" s="372" t="s">
        <v>1370</v>
      </c>
      <c r="G1489" s="375" t="s">
        <v>1370</v>
      </c>
      <c r="H1489" s="375" t="s">
        <v>861</v>
      </c>
      <c r="I1489" s="375" t="s">
        <v>862</v>
      </c>
      <c r="J1489" s="375">
        <v>7855.6075700000001</v>
      </c>
      <c r="K1489" s="375">
        <v>-10492.76563</v>
      </c>
      <c r="L1489" s="375">
        <v>-10254.22242</v>
      </c>
      <c r="M1489" s="375">
        <v>21542.655009999999</v>
      </c>
      <c r="N1489" s="372">
        <v>0.67900000000000005</v>
      </c>
      <c r="O1489" s="704">
        <v>7.1661776752991164</v>
      </c>
      <c r="P1489" s="375" t="s">
        <v>622</v>
      </c>
      <c r="Q1489" s="372" t="s">
        <v>622</v>
      </c>
      <c r="R1489" s="696">
        <v>20141112</v>
      </c>
      <c r="S1489" s="372" t="s">
        <v>2505</v>
      </c>
      <c r="T1489" s="697" t="s">
        <v>771</v>
      </c>
      <c r="U1489" s="372" t="s">
        <v>9911</v>
      </c>
      <c r="V1489" s="723" t="s">
        <v>773</v>
      </c>
      <c r="W1489" s="723">
        <v>2.99</v>
      </c>
      <c r="X1489" s="723">
        <v>8</v>
      </c>
      <c r="Y1489" s="723" t="s">
        <v>773</v>
      </c>
      <c r="Z1489" s="382" t="s">
        <v>927</v>
      </c>
      <c r="AA1489" s="372">
        <v>58.354884599999998</v>
      </c>
      <c r="AB1489" s="372">
        <v>56.188530900000003</v>
      </c>
      <c r="AC1489" s="372">
        <v>57.597318999999999</v>
      </c>
      <c r="AD1489" s="372">
        <v>54.602609100000002</v>
      </c>
      <c r="AE1489" s="372">
        <v>0</v>
      </c>
      <c r="AF1489" s="372">
        <v>0</v>
      </c>
      <c r="AG1489" s="372">
        <v>0</v>
      </c>
      <c r="AH1489" s="372">
        <v>0</v>
      </c>
    </row>
    <row r="1490" spans="1:34">
      <c r="A1490" s="372" t="s">
        <v>9912</v>
      </c>
      <c r="B1490" s="373" t="s">
        <v>9913</v>
      </c>
      <c r="C1490" s="372" t="s">
        <v>9914</v>
      </c>
      <c r="D1490" s="374">
        <v>1615110077268</v>
      </c>
      <c r="E1490" s="372" t="s">
        <v>9915</v>
      </c>
      <c r="F1490" s="375" t="s">
        <v>5687</v>
      </c>
      <c r="G1490" s="375" t="s">
        <v>6043</v>
      </c>
      <c r="H1490" s="375" t="s">
        <v>861</v>
      </c>
      <c r="I1490" s="375" t="s">
        <v>862</v>
      </c>
      <c r="J1490" s="375">
        <v>61415.135130000002</v>
      </c>
      <c r="K1490" s="375">
        <v>10103.24883</v>
      </c>
      <c r="L1490" s="375">
        <v>9161.2936300000001</v>
      </c>
      <c r="M1490" s="375">
        <v>64426.13897</v>
      </c>
      <c r="N1490" s="372">
        <v>1.133</v>
      </c>
      <c r="O1490" s="704">
        <v>8.549168323121922</v>
      </c>
      <c r="P1490" s="375" t="s">
        <v>622</v>
      </c>
      <c r="Q1490" s="375" t="s">
        <v>622</v>
      </c>
      <c r="R1490" s="696">
        <v>20210401</v>
      </c>
      <c r="S1490" s="372" t="s">
        <v>9916</v>
      </c>
      <c r="T1490" s="697">
        <v>0.20900000000000002</v>
      </c>
      <c r="U1490" s="372" t="s">
        <v>9917</v>
      </c>
      <c r="V1490" s="723">
        <v>10.87</v>
      </c>
      <c r="W1490" s="723">
        <v>1.76</v>
      </c>
      <c r="X1490" s="723">
        <v>1.93</v>
      </c>
      <c r="Y1490" s="723">
        <v>15.65</v>
      </c>
      <c r="Z1490" s="382" t="s">
        <v>927</v>
      </c>
      <c r="AA1490" s="372">
        <v>363.87318679999998</v>
      </c>
      <c r="AB1490" s="372">
        <v>426.8876459</v>
      </c>
      <c r="AC1490" s="372">
        <v>419.6034181</v>
      </c>
      <c r="AD1490" s="372">
        <v>512.2632959</v>
      </c>
      <c r="AE1490" s="372">
        <v>776</v>
      </c>
      <c r="AF1490" s="372">
        <v>1434</v>
      </c>
      <c r="AG1490" s="372">
        <v>0</v>
      </c>
      <c r="AH1490" s="372">
        <v>0</v>
      </c>
    </row>
    <row r="1491" spans="1:34">
      <c r="A1491" s="372" t="s">
        <v>9918</v>
      </c>
      <c r="B1491" s="373" t="s">
        <v>9919</v>
      </c>
      <c r="C1491" s="372" t="s">
        <v>9920</v>
      </c>
      <c r="D1491" s="374">
        <v>1615110038129</v>
      </c>
      <c r="E1491" s="372" t="s">
        <v>9921</v>
      </c>
      <c r="F1491" s="375" t="s">
        <v>9198</v>
      </c>
      <c r="G1491" s="375" t="s">
        <v>9198</v>
      </c>
      <c r="H1491" s="375" t="s">
        <v>861</v>
      </c>
      <c r="I1491" s="375" t="s">
        <v>862</v>
      </c>
      <c r="J1491" s="375">
        <v>82494.688259999995</v>
      </c>
      <c r="K1491" s="375">
        <v>10507.226290000001</v>
      </c>
      <c r="L1491" s="375">
        <v>10828.06256</v>
      </c>
      <c r="M1491" s="375">
        <v>70433.128930000006</v>
      </c>
      <c r="N1491" s="372">
        <v>0.82699999999999996</v>
      </c>
      <c r="O1491" s="704">
        <v>17.077839677134531</v>
      </c>
      <c r="P1491" s="375" t="s">
        <v>622</v>
      </c>
      <c r="Q1491" s="372" t="s">
        <v>622</v>
      </c>
      <c r="R1491" s="696">
        <v>20171026</v>
      </c>
      <c r="S1491" s="372" t="s">
        <v>9922</v>
      </c>
      <c r="T1491" s="697">
        <v>0.20900000000000002</v>
      </c>
      <c r="U1491" s="372" t="s">
        <v>9923</v>
      </c>
      <c r="V1491" s="723">
        <v>6.29</v>
      </c>
      <c r="W1491" s="723">
        <v>1.33</v>
      </c>
      <c r="X1491" s="723">
        <v>1.1399999999999999</v>
      </c>
      <c r="Y1491" s="723">
        <v>8.31</v>
      </c>
      <c r="Z1491" s="382" t="s">
        <v>927</v>
      </c>
      <c r="AA1491" s="372">
        <v>350.47404330000001</v>
      </c>
      <c r="AB1491" s="372">
        <v>406.24175320000001</v>
      </c>
      <c r="AC1491" s="372">
        <v>479.44605460000002</v>
      </c>
      <c r="AD1491" s="372">
        <v>649.2025251</v>
      </c>
      <c r="AE1491" s="372">
        <v>0</v>
      </c>
      <c r="AF1491" s="372">
        <v>0</v>
      </c>
      <c r="AG1491" s="372">
        <v>0</v>
      </c>
      <c r="AH1491" s="372">
        <v>0</v>
      </c>
    </row>
    <row r="1492" spans="1:34">
      <c r="A1492" s="372" t="s">
        <v>9924</v>
      </c>
      <c r="B1492" s="373" t="s">
        <v>9925</v>
      </c>
      <c r="C1492" s="372" t="s">
        <v>9926</v>
      </c>
      <c r="D1492" s="374">
        <v>1101115851559</v>
      </c>
      <c r="E1492" s="372" t="s">
        <v>9927</v>
      </c>
      <c r="F1492" s="372" t="s">
        <v>9928</v>
      </c>
      <c r="G1492" s="375" t="s">
        <v>9928</v>
      </c>
      <c r="H1492" s="375" t="s">
        <v>846</v>
      </c>
      <c r="I1492" s="375" t="s">
        <v>754</v>
      </c>
      <c r="J1492" s="375">
        <v>202856.53774</v>
      </c>
      <c r="K1492" s="375">
        <v>18947.568650000001</v>
      </c>
      <c r="L1492" s="375">
        <v>42593.759460000001</v>
      </c>
      <c r="M1492" s="375">
        <v>305848.41850999999</v>
      </c>
      <c r="N1492" s="372">
        <v>0.63</v>
      </c>
      <c r="O1492" s="704">
        <v>30.374640726524767</v>
      </c>
      <c r="P1492" s="375" t="s">
        <v>622</v>
      </c>
      <c r="Q1492" s="375" t="s">
        <v>622</v>
      </c>
      <c r="R1492" s="696">
        <v>20151023</v>
      </c>
      <c r="S1492" s="375" t="s">
        <v>9929</v>
      </c>
      <c r="T1492" s="697">
        <v>0.23100000000000001</v>
      </c>
      <c r="U1492" s="372" t="s">
        <v>9930</v>
      </c>
      <c r="V1492" s="723">
        <v>4.58</v>
      </c>
      <c r="W1492" s="723">
        <v>0.31</v>
      </c>
      <c r="X1492" s="723">
        <v>0.47</v>
      </c>
      <c r="Y1492" s="723">
        <v>2.54</v>
      </c>
      <c r="Z1492" s="382" t="s">
        <v>927</v>
      </c>
      <c r="AA1492" s="372">
        <v>1515.9547849999999</v>
      </c>
      <c r="AB1492" s="372">
        <v>1304.4176841000001</v>
      </c>
      <c r="AC1492" s="372">
        <v>1643.4578079</v>
      </c>
      <c r="AD1492" s="372">
        <v>1883.4622684000001</v>
      </c>
      <c r="AE1492" s="372">
        <v>0</v>
      </c>
      <c r="AF1492" s="372">
        <v>0</v>
      </c>
      <c r="AG1492" s="372">
        <v>0</v>
      </c>
      <c r="AH1492" s="372">
        <v>0</v>
      </c>
    </row>
    <row r="1493" spans="1:34">
      <c r="A1493" s="372" t="s">
        <v>9931</v>
      </c>
      <c r="B1493" s="373" t="s">
        <v>9932</v>
      </c>
      <c r="C1493" s="372" t="s">
        <v>9933</v>
      </c>
      <c r="D1493" s="374">
        <v>1101111646889</v>
      </c>
      <c r="E1493" s="372" t="s">
        <v>9934</v>
      </c>
      <c r="F1493" s="375" t="s">
        <v>1062</v>
      </c>
      <c r="G1493" s="375" t="s">
        <v>1062</v>
      </c>
      <c r="H1493" s="375" t="s">
        <v>1337</v>
      </c>
      <c r="I1493" s="375" t="s">
        <v>862</v>
      </c>
      <c r="J1493" s="375">
        <v>18779.98215</v>
      </c>
      <c r="K1493" s="375">
        <v>-7499.80674</v>
      </c>
      <c r="L1493" s="375">
        <v>-21693.27622</v>
      </c>
      <c r="M1493" s="375">
        <v>115362.07679000001</v>
      </c>
      <c r="N1493" s="372">
        <v>0.45300000000000001</v>
      </c>
      <c r="O1493" s="704">
        <v>66.462260643554671</v>
      </c>
      <c r="P1493" s="375" t="s">
        <v>16115</v>
      </c>
      <c r="Q1493" s="372" t="s">
        <v>16116</v>
      </c>
      <c r="R1493" s="696">
        <v>20031217</v>
      </c>
      <c r="S1493" s="372" t="s">
        <v>9935</v>
      </c>
      <c r="T1493" s="697" t="s">
        <v>771</v>
      </c>
      <c r="U1493" s="372" t="s">
        <v>9936</v>
      </c>
      <c r="V1493" s="723" t="s">
        <v>773</v>
      </c>
      <c r="W1493" s="723">
        <v>0.69</v>
      </c>
      <c r="X1493" s="723">
        <v>6.18</v>
      </c>
      <c r="Y1493" s="723" t="s">
        <v>773</v>
      </c>
      <c r="Z1493" s="382" t="s">
        <v>927</v>
      </c>
      <c r="AA1493" s="372">
        <v>232.56432179999999</v>
      </c>
      <c r="AB1493" s="372">
        <v>263.99116479999998</v>
      </c>
      <c r="AC1493" s="372">
        <v>243.6904614</v>
      </c>
      <c r="AD1493" s="372">
        <v>188.90365550000001</v>
      </c>
      <c r="AE1493" s="372">
        <v>0</v>
      </c>
      <c r="AF1493" s="372">
        <v>0</v>
      </c>
      <c r="AG1493" s="372">
        <v>0</v>
      </c>
      <c r="AH1493" s="372">
        <v>0</v>
      </c>
    </row>
    <row r="1494" spans="1:34">
      <c r="A1494" s="372" t="s">
        <v>9937</v>
      </c>
      <c r="B1494" s="373" t="s">
        <v>9938</v>
      </c>
      <c r="C1494" s="372" t="s">
        <v>9939</v>
      </c>
      <c r="D1494" s="374">
        <v>1101110591928</v>
      </c>
      <c r="E1494" s="372" t="s">
        <v>9940</v>
      </c>
      <c r="F1494" s="375" t="s">
        <v>1756</v>
      </c>
      <c r="G1494" s="375" t="s">
        <v>6499</v>
      </c>
      <c r="H1494" s="375" t="s">
        <v>861</v>
      </c>
      <c r="I1494" s="375" t="s">
        <v>862</v>
      </c>
      <c r="J1494" s="375">
        <v>47982.188329999997</v>
      </c>
      <c r="K1494" s="375">
        <v>5766.0531899999996</v>
      </c>
      <c r="L1494" s="375">
        <v>12623.81691</v>
      </c>
      <c r="M1494" s="375">
        <v>94617.636729999998</v>
      </c>
      <c r="N1494" s="372">
        <v>0.47299999999999998</v>
      </c>
      <c r="O1494" s="704">
        <v>8.4458552810050228E-2</v>
      </c>
      <c r="P1494" s="375" t="s">
        <v>622</v>
      </c>
      <c r="Q1494" s="372" t="s">
        <v>622</v>
      </c>
      <c r="R1494" s="696">
        <v>20020712</v>
      </c>
      <c r="S1494" s="372" t="s">
        <v>9941</v>
      </c>
      <c r="T1494" s="697">
        <v>0.20900000000000002</v>
      </c>
      <c r="U1494" s="372" t="s">
        <v>9942</v>
      </c>
      <c r="V1494" s="723">
        <v>17.86</v>
      </c>
      <c r="W1494" s="723">
        <v>1.1100000000000001</v>
      </c>
      <c r="X1494" s="723">
        <v>2.25</v>
      </c>
      <c r="Y1494" s="723">
        <v>10.35</v>
      </c>
      <c r="Z1494" s="382" t="s">
        <v>927</v>
      </c>
      <c r="AA1494" s="372">
        <v>656.53420249999999</v>
      </c>
      <c r="AB1494" s="372">
        <v>743.05951809999999</v>
      </c>
      <c r="AC1494" s="372">
        <v>601.70515020000005</v>
      </c>
      <c r="AD1494" s="372">
        <v>661.69002060000003</v>
      </c>
      <c r="AE1494" s="372">
        <v>0</v>
      </c>
      <c r="AF1494" s="372">
        <v>0</v>
      </c>
      <c r="AG1494" s="372">
        <v>0</v>
      </c>
      <c r="AH1494" s="372">
        <v>0</v>
      </c>
    </row>
    <row r="1495" spans="1:34">
      <c r="A1495" s="372" t="s">
        <v>9943</v>
      </c>
      <c r="B1495" s="373" t="s">
        <v>9944</v>
      </c>
      <c r="C1495" s="372" t="s">
        <v>9945</v>
      </c>
      <c r="D1495" s="374">
        <v>1101111958888</v>
      </c>
      <c r="E1495" s="372" t="s">
        <v>9946</v>
      </c>
      <c r="F1495" s="375" t="s">
        <v>1185</v>
      </c>
      <c r="G1495" s="375" t="s">
        <v>1186</v>
      </c>
      <c r="H1495" s="375" t="s">
        <v>861</v>
      </c>
      <c r="I1495" s="375" t="s">
        <v>862</v>
      </c>
      <c r="J1495" s="375">
        <v>33174.869769999998</v>
      </c>
      <c r="K1495" s="375">
        <v>-27738.948049999999</v>
      </c>
      <c r="L1495" s="375">
        <v>-77024.468150000001</v>
      </c>
      <c r="M1495" s="375">
        <v>5820.9858199999999</v>
      </c>
      <c r="N1495" s="372">
        <v>0.39100000000000001</v>
      </c>
      <c r="O1495" s="704">
        <v>23.918185814627922</v>
      </c>
      <c r="P1495" s="375" t="s">
        <v>16115</v>
      </c>
      <c r="Q1495" s="372" t="s">
        <v>16116</v>
      </c>
      <c r="R1495" s="696">
        <v>20141119</v>
      </c>
      <c r="S1495" s="372" t="s">
        <v>9947</v>
      </c>
      <c r="T1495" s="697" t="s">
        <v>771</v>
      </c>
      <c r="U1495" s="372" t="s">
        <v>9948</v>
      </c>
      <c r="V1495" s="723" t="s">
        <v>773</v>
      </c>
      <c r="W1495" s="723">
        <v>6.04</v>
      </c>
      <c r="X1495" s="723">
        <v>1.0900000000000001</v>
      </c>
      <c r="Y1495" s="723" t="s">
        <v>773</v>
      </c>
      <c r="Z1495" s="382" t="s">
        <v>927</v>
      </c>
      <c r="AA1495" s="372">
        <v>343.08286099999998</v>
      </c>
      <c r="AB1495" s="372">
        <v>454.00415829999997</v>
      </c>
      <c r="AC1495" s="372">
        <v>532.05792740000004</v>
      </c>
      <c r="AD1495" s="372">
        <v>895.34954319999997</v>
      </c>
      <c r="AE1495" s="372">
        <v>0</v>
      </c>
      <c r="AF1495" s="372">
        <v>0</v>
      </c>
      <c r="AG1495" s="372">
        <v>0</v>
      </c>
      <c r="AH1495" s="372">
        <v>0</v>
      </c>
    </row>
    <row r="1496" spans="1:34">
      <c r="A1496" s="372" t="s">
        <v>9949</v>
      </c>
      <c r="B1496" s="373" t="s">
        <v>9950</v>
      </c>
      <c r="C1496" s="372" t="s">
        <v>9951</v>
      </c>
      <c r="D1496" s="374">
        <v>1101110660806</v>
      </c>
      <c r="E1496" s="372" t="s">
        <v>9952</v>
      </c>
      <c r="F1496" s="375" t="s">
        <v>6273</v>
      </c>
      <c r="G1496" s="375" t="s">
        <v>6274</v>
      </c>
      <c r="H1496" s="375" t="s">
        <v>1337</v>
      </c>
      <c r="I1496" s="375" t="s">
        <v>862</v>
      </c>
      <c r="J1496" s="375">
        <v>241314.18786000001</v>
      </c>
      <c r="K1496" s="375">
        <v>13254.952880000001</v>
      </c>
      <c r="L1496" s="375">
        <v>13540.16756</v>
      </c>
      <c r="M1496" s="375">
        <v>75890.890889999995</v>
      </c>
      <c r="N1496" s="372">
        <v>0.82099999999999995</v>
      </c>
      <c r="O1496" s="704">
        <v>58.460666273217313</v>
      </c>
      <c r="P1496" s="375" t="s">
        <v>622</v>
      </c>
      <c r="Q1496" s="375" t="s">
        <v>622</v>
      </c>
      <c r="R1496" s="696">
        <v>20000201</v>
      </c>
      <c r="S1496" s="375" t="s">
        <v>9953</v>
      </c>
      <c r="T1496" s="697">
        <v>0.20900000000000002</v>
      </c>
      <c r="U1496" s="375" t="s">
        <v>9954</v>
      </c>
      <c r="V1496" s="723">
        <v>4.29</v>
      </c>
      <c r="W1496" s="723">
        <v>0.85</v>
      </c>
      <c r="X1496" s="723">
        <v>0.3</v>
      </c>
      <c r="Y1496" s="723">
        <v>6.96</v>
      </c>
      <c r="Z1496" s="382">
        <v>5.9386026118251056E-2</v>
      </c>
      <c r="AA1496" s="372">
        <v>2038.6926096</v>
      </c>
      <c r="AB1496" s="372">
        <v>2120.9247013999998</v>
      </c>
      <c r="AC1496" s="372">
        <v>2210.6722513</v>
      </c>
      <c r="AD1496" s="372">
        <v>2286.5227539000002</v>
      </c>
      <c r="AE1496" s="372">
        <v>2430</v>
      </c>
      <c r="AF1496" s="372">
        <v>3560</v>
      </c>
      <c r="AG1496" s="372">
        <v>2880</v>
      </c>
      <c r="AH1496" s="372">
        <v>0</v>
      </c>
    </row>
    <row r="1497" spans="1:34">
      <c r="A1497" s="372" t="s">
        <v>9955</v>
      </c>
      <c r="B1497" s="373" t="s">
        <v>9956</v>
      </c>
      <c r="C1497" s="372" t="s">
        <v>9957</v>
      </c>
      <c r="D1497" s="374">
        <v>1311110060978</v>
      </c>
      <c r="E1497" s="372" t="s">
        <v>9958</v>
      </c>
      <c r="F1497" s="375" t="s">
        <v>621</v>
      </c>
      <c r="G1497" s="375" t="s">
        <v>621</v>
      </c>
      <c r="H1497" s="375" t="s">
        <v>861</v>
      </c>
      <c r="I1497" s="375" t="s">
        <v>862</v>
      </c>
      <c r="J1497" s="375">
        <v>484551.15678999998</v>
      </c>
      <c r="K1497" s="375">
        <v>-39889.565490000001</v>
      </c>
      <c r="L1497" s="375">
        <v>-45963.879229999999</v>
      </c>
      <c r="M1497" s="375">
        <v>135845.06041999999</v>
      </c>
      <c r="N1497" s="372">
        <v>0.67100000000000004</v>
      </c>
      <c r="O1497" s="704">
        <v>360.67852742689058</v>
      </c>
      <c r="P1497" s="375" t="s">
        <v>622</v>
      </c>
      <c r="Q1497" s="375" t="s">
        <v>622</v>
      </c>
      <c r="R1497" s="696">
        <v>20050712</v>
      </c>
      <c r="S1497" s="375" t="s">
        <v>9959</v>
      </c>
      <c r="T1497" s="697" t="s">
        <v>771</v>
      </c>
      <c r="U1497" s="372" t="s">
        <v>9960</v>
      </c>
      <c r="V1497" s="723" t="s">
        <v>773</v>
      </c>
      <c r="W1497" s="723">
        <v>0.47</v>
      </c>
      <c r="X1497" s="723">
        <v>0.15</v>
      </c>
      <c r="Y1497" s="723" t="s">
        <v>773</v>
      </c>
      <c r="Z1497" s="382" t="s">
        <v>927</v>
      </c>
      <c r="AA1497" s="372">
        <v>4831.3594320000002</v>
      </c>
      <c r="AB1497" s="372">
        <v>5331.1864084999997</v>
      </c>
      <c r="AC1497" s="372">
        <v>6112.3527238999995</v>
      </c>
      <c r="AD1497" s="372">
        <v>5363.7463114000002</v>
      </c>
      <c r="AE1497" s="372">
        <v>0</v>
      </c>
      <c r="AF1497" s="372">
        <v>0</v>
      </c>
      <c r="AG1497" s="372">
        <v>0</v>
      </c>
      <c r="AH1497" s="372">
        <v>0</v>
      </c>
    </row>
    <row r="1498" spans="1:34">
      <c r="A1498" s="372" t="s">
        <v>9961</v>
      </c>
      <c r="B1498" s="373" t="s">
        <v>9962</v>
      </c>
      <c r="C1498" s="372" t="s">
        <v>9963</v>
      </c>
      <c r="D1498" s="374">
        <v>1943110012186</v>
      </c>
      <c r="E1498" s="372" t="s">
        <v>9964</v>
      </c>
      <c r="F1498" s="375" t="s">
        <v>5619</v>
      </c>
      <c r="G1498" s="375" t="s">
        <v>5619</v>
      </c>
      <c r="H1498" s="375" t="s">
        <v>861</v>
      </c>
      <c r="I1498" s="375" t="s">
        <v>862</v>
      </c>
      <c r="J1498" s="375">
        <v>101131.22334</v>
      </c>
      <c r="K1498" s="375">
        <v>1716.2456199999999</v>
      </c>
      <c r="L1498" s="375">
        <v>-11143.82048</v>
      </c>
      <c r="M1498" s="375">
        <v>80044.854550000004</v>
      </c>
      <c r="N1498" s="372">
        <v>0.54700000000000004</v>
      </c>
      <c r="O1498" s="704">
        <v>79.490499937496011</v>
      </c>
      <c r="P1498" s="375" t="s">
        <v>622</v>
      </c>
      <c r="Q1498" s="372" t="s">
        <v>622</v>
      </c>
      <c r="R1498" s="696">
        <v>20071029</v>
      </c>
      <c r="S1498" s="372" t="s">
        <v>9965</v>
      </c>
      <c r="T1498" s="697" t="s">
        <v>771</v>
      </c>
      <c r="U1498" s="372" t="s">
        <v>9966</v>
      </c>
      <c r="V1498" s="723">
        <v>0</v>
      </c>
      <c r="W1498" s="723">
        <v>0</v>
      </c>
      <c r="X1498" s="723">
        <v>0</v>
      </c>
      <c r="Y1498" s="723">
        <v>0</v>
      </c>
      <c r="Z1498" s="382" t="s">
        <v>927</v>
      </c>
      <c r="AA1498" s="372">
        <v>767.77094609999995</v>
      </c>
      <c r="AB1498" s="372">
        <v>980.25956099999996</v>
      </c>
      <c r="AC1498" s="372">
        <v>955.28614340000001</v>
      </c>
      <c r="AD1498" s="372">
        <v>1022.394437</v>
      </c>
      <c r="AE1498" s="372">
        <v>0</v>
      </c>
      <c r="AF1498" s="372">
        <v>0</v>
      </c>
      <c r="AG1498" s="372">
        <v>0</v>
      </c>
      <c r="AH1498" s="372">
        <v>0</v>
      </c>
    </row>
    <row r="1499" spans="1:34">
      <c r="A1499" s="372" t="s">
        <v>9967</v>
      </c>
      <c r="B1499" s="373" t="s">
        <v>9968</v>
      </c>
      <c r="C1499" s="372" t="s">
        <v>9969</v>
      </c>
      <c r="D1499" s="374">
        <v>1501110048707</v>
      </c>
      <c r="E1499" s="372" t="s">
        <v>9970</v>
      </c>
      <c r="F1499" s="375" t="s">
        <v>1116</v>
      </c>
      <c r="G1499" s="375" t="s">
        <v>1336</v>
      </c>
      <c r="H1499" s="375" t="s">
        <v>1337</v>
      </c>
      <c r="I1499" s="375" t="s">
        <v>862</v>
      </c>
      <c r="J1499" s="375">
        <v>38444.584779999997</v>
      </c>
      <c r="K1499" s="375">
        <v>-9840.8008599999994</v>
      </c>
      <c r="L1499" s="375">
        <v>-11526.93353</v>
      </c>
      <c r="M1499" s="375">
        <v>38626.895349999999</v>
      </c>
      <c r="N1499" s="372">
        <v>0.82099999999999995</v>
      </c>
      <c r="O1499" s="704">
        <v>96.445246373980865</v>
      </c>
      <c r="P1499" s="375" t="s">
        <v>622</v>
      </c>
      <c r="Q1499" s="372" t="s">
        <v>622</v>
      </c>
      <c r="R1499" s="696">
        <v>20070921</v>
      </c>
      <c r="S1499" s="372" t="s">
        <v>9971</v>
      </c>
      <c r="T1499" s="697" t="s">
        <v>771</v>
      </c>
      <c r="U1499" s="372" t="s">
        <v>9972</v>
      </c>
      <c r="V1499" s="723" t="s">
        <v>773</v>
      </c>
      <c r="W1499" s="723">
        <v>1.39</v>
      </c>
      <c r="X1499" s="723">
        <v>1.72</v>
      </c>
      <c r="Y1499" s="723" t="s">
        <v>773</v>
      </c>
      <c r="Z1499" s="382" t="s">
        <v>927</v>
      </c>
      <c r="AA1499" s="372">
        <v>264.28629519999998</v>
      </c>
      <c r="AB1499" s="372">
        <v>327.17393079999999</v>
      </c>
      <c r="AC1499" s="372">
        <v>372.91741889999997</v>
      </c>
      <c r="AD1499" s="372">
        <v>326.30975719999998</v>
      </c>
      <c r="AE1499" s="372">
        <v>0</v>
      </c>
      <c r="AF1499" s="372">
        <v>0</v>
      </c>
      <c r="AG1499" s="372">
        <v>0</v>
      </c>
      <c r="AH1499" s="372">
        <v>0</v>
      </c>
    </row>
    <row r="1500" spans="1:34">
      <c r="A1500" s="372" t="s">
        <v>9973</v>
      </c>
      <c r="B1500" s="373" t="s">
        <v>9974</v>
      </c>
      <c r="C1500" s="372" t="s">
        <v>9975</v>
      </c>
      <c r="D1500" s="374">
        <v>1101111531460</v>
      </c>
      <c r="E1500" s="372" t="s">
        <v>9976</v>
      </c>
      <c r="F1500" s="375" t="s">
        <v>2032</v>
      </c>
      <c r="G1500" s="375" t="s">
        <v>2033</v>
      </c>
      <c r="H1500" s="375" t="s">
        <v>1531</v>
      </c>
      <c r="I1500" s="375" t="s">
        <v>862</v>
      </c>
      <c r="J1500" s="375">
        <v>59418.088909999999</v>
      </c>
      <c r="K1500" s="375">
        <v>630.87444000000005</v>
      </c>
      <c r="L1500" s="375">
        <v>3756.4761800000001</v>
      </c>
      <c r="M1500" s="375">
        <v>82602.217699999994</v>
      </c>
      <c r="N1500" s="372">
        <v>0.65300000000000002</v>
      </c>
      <c r="O1500" s="704">
        <v>26.775231939323252</v>
      </c>
      <c r="P1500" s="375" t="s">
        <v>622</v>
      </c>
      <c r="Q1500" s="375" t="s">
        <v>622</v>
      </c>
      <c r="R1500" s="696">
        <v>20060707</v>
      </c>
      <c r="S1500" s="375" t="s">
        <v>9977</v>
      </c>
      <c r="T1500" s="697">
        <v>0.20900000000000002</v>
      </c>
      <c r="U1500" s="372" t="s">
        <v>9978</v>
      </c>
      <c r="V1500" s="723">
        <v>34.549999999999997</v>
      </c>
      <c r="W1500" s="723">
        <v>0.71</v>
      </c>
      <c r="X1500" s="723">
        <v>1.02</v>
      </c>
      <c r="Y1500" s="723">
        <v>11.53</v>
      </c>
      <c r="Z1500" s="382" t="s">
        <v>927</v>
      </c>
      <c r="AA1500" s="372">
        <v>247.285291</v>
      </c>
      <c r="AB1500" s="372">
        <v>304.04771210000001</v>
      </c>
      <c r="AC1500" s="372">
        <v>253.20813530000001</v>
      </c>
      <c r="AD1500" s="372">
        <v>1238.1064143999999</v>
      </c>
      <c r="AE1500" s="372">
        <v>0</v>
      </c>
      <c r="AF1500" s="372">
        <v>0</v>
      </c>
      <c r="AG1500" s="372">
        <v>0</v>
      </c>
      <c r="AH1500" s="372">
        <v>0</v>
      </c>
    </row>
    <row r="1501" spans="1:34">
      <c r="A1501" s="372" t="s">
        <v>9979</v>
      </c>
      <c r="B1501" s="373" t="s">
        <v>9980</v>
      </c>
      <c r="C1501" s="372" t="s">
        <v>9981</v>
      </c>
      <c r="D1501" s="374">
        <v>1345110076627</v>
      </c>
      <c r="E1501" s="372" t="s">
        <v>9982</v>
      </c>
      <c r="F1501" s="372" t="s">
        <v>1055</v>
      </c>
      <c r="G1501" s="375" t="s">
        <v>16104</v>
      </c>
      <c r="H1501" s="375" t="s">
        <v>861</v>
      </c>
      <c r="I1501" s="375" t="s">
        <v>862</v>
      </c>
      <c r="J1501" s="375">
        <v>99716.290510000006</v>
      </c>
      <c r="K1501" s="375">
        <v>1316.0783699999999</v>
      </c>
      <c r="L1501" s="375">
        <v>111.20437</v>
      </c>
      <c r="M1501" s="375">
        <v>41355.672409999999</v>
      </c>
      <c r="N1501" s="372">
        <v>0.79700000000000004</v>
      </c>
      <c r="O1501" s="704">
        <v>29.137602417466457</v>
      </c>
      <c r="P1501" s="375" t="s">
        <v>622</v>
      </c>
      <c r="Q1501" s="375" t="s">
        <v>622</v>
      </c>
      <c r="R1501" s="696">
        <v>20141217</v>
      </c>
      <c r="S1501" s="372" t="s">
        <v>9983</v>
      </c>
      <c r="T1501" s="697">
        <v>9.9000000000000005E-2</v>
      </c>
      <c r="U1501" s="372" t="s">
        <v>9984</v>
      </c>
      <c r="V1501" s="723">
        <v>22.81</v>
      </c>
      <c r="W1501" s="723">
        <v>2.2599999999999998</v>
      </c>
      <c r="X1501" s="723">
        <v>0.89</v>
      </c>
      <c r="Y1501" s="723">
        <v>590.84</v>
      </c>
      <c r="Z1501" s="382" t="s">
        <v>927</v>
      </c>
      <c r="AA1501" s="372">
        <v>1133.7749260000001</v>
      </c>
      <c r="AB1501" s="372">
        <v>1016.7478004</v>
      </c>
      <c r="AC1501" s="372">
        <v>1131.091187</v>
      </c>
      <c r="AD1501" s="372">
        <v>940.10675479999998</v>
      </c>
      <c r="AE1501" s="372">
        <v>0</v>
      </c>
      <c r="AF1501" s="372">
        <v>0</v>
      </c>
      <c r="AG1501" s="372">
        <v>0</v>
      </c>
      <c r="AH1501" s="372">
        <v>0</v>
      </c>
    </row>
    <row r="1502" spans="1:34">
      <c r="A1502" s="372" t="s">
        <v>9985</v>
      </c>
      <c r="B1502" s="373" t="s">
        <v>9986</v>
      </c>
      <c r="C1502" s="372" t="s">
        <v>9987</v>
      </c>
      <c r="D1502" s="374">
        <v>1942110014431</v>
      </c>
      <c r="E1502" s="372" t="s">
        <v>9988</v>
      </c>
      <c r="F1502" s="372" t="s">
        <v>880</v>
      </c>
      <c r="G1502" s="375" t="s">
        <v>880</v>
      </c>
      <c r="H1502" s="375" t="s">
        <v>792</v>
      </c>
      <c r="I1502" s="375" t="s">
        <v>754</v>
      </c>
      <c r="J1502" s="375">
        <v>440401.80635999999</v>
      </c>
      <c r="K1502" s="375">
        <v>1262.73866</v>
      </c>
      <c r="L1502" s="375">
        <v>-18860.823639999999</v>
      </c>
      <c r="M1502" s="375">
        <v>82383.803740000003</v>
      </c>
      <c r="N1502" s="372">
        <v>0.67500000000000004</v>
      </c>
      <c r="O1502" s="704">
        <v>338.51236205698092</v>
      </c>
      <c r="P1502" s="375" t="s">
        <v>622</v>
      </c>
      <c r="Q1502" s="372" t="s">
        <v>622</v>
      </c>
      <c r="R1502" s="696">
        <v>20191125</v>
      </c>
      <c r="S1502" s="372" t="s">
        <v>9989</v>
      </c>
      <c r="T1502" s="697" t="s">
        <v>771</v>
      </c>
      <c r="U1502" s="372" t="s">
        <v>9990</v>
      </c>
      <c r="V1502" s="723">
        <v>12.08</v>
      </c>
      <c r="W1502" s="723">
        <v>0.63</v>
      </c>
      <c r="X1502" s="723">
        <v>0.12</v>
      </c>
      <c r="Y1502" s="723" t="s">
        <v>773</v>
      </c>
      <c r="Z1502" s="382" t="s">
        <v>927</v>
      </c>
      <c r="AA1502" s="372">
        <v>3168.2653102999998</v>
      </c>
      <c r="AB1502" s="372">
        <v>3684.3497630000002</v>
      </c>
      <c r="AC1502" s="372">
        <v>4230.9655623999997</v>
      </c>
      <c r="AD1502" s="372">
        <v>4441.7362590000002</v>
      </c>
      <c r="AE1502" s="372">
        <v>0</v>
      </c>
      <c r="AF1502" s="372">
        <v>0</v>
      </c>
      <c r="AG1502" s="372">
        <v>0</v>
      </c>
      <c r="AH1502" s="372">
        <v>0</v>
      </c>
    </row>
    <row r="1503" spans="1:34">
      <c r="A1503" s="372" t="s">
        <v>9991</v>
      </c>
      <c r="B1503" s="373" t="s">
        <v>9992</v>
      </c>
      <c r="C1503" s="372" t="s">
        <v>9993</v>
      </c>
      <c r="D1503" s="374">
        <v>1845110022448</v>
      </c>
      <c r="E1503" s="372" t="s">
        <v>9994</v>
      </c>
      <c r="F1503" s="375" t="s">
        <v>1276</v>
      </c>
      <c r="G1503" s="375" t="s">
        <v>1452</v>
      </c>
      <c r="H1503" s="375" t="s">
        <v>861</v>
      </c>
      <c r="I1503" s="375" t="s">
        <v>862</v>
      </c>
      <c r="J1503" s="375">
        <v>62460.721120000002</v>
      </c>
      <c r="K1503" s="375">
        <v>4884.1354300000003</v>
      </c>
      <c r="L1503" s="375">
        <v>5521.6300300000003</v>
      </c>
      <c r="M1503" s="375">
        <v>59971.803979999997</v>
      </c>
      <c r="N1503" s="372">
        <v>1.5980000000000001</v>
      </c>
      <c r="O1503" s="704">
        <v>1.3815893298740096</v>
      </c>
      <c r="P1503" s="375" t="s">
        <v>622</v>
      </c>
      <c r="Q1503" s="372" t="s">
        <v>622</v>
      </c>
      <c r="R1503" s="696">
        <v>20080923</v>
      </c>
      <c r="S1503" s="372" t="s">
        <v>9995</v>
      </c>
      <c r="T1503" s="697">
        <v>0.20900000000000002</v>
      </c>
      <c r="U1503" s="372" t="s">
        <v>9996</v>
      </c>
      <c r="V1503" s="723">
        <v>7.18</v>
      </c>
      <c r="W1503" s="723">
        <v>0.81</v>
      </c>
      <c r="X1503" s="723">
        <v>0.78</v>
      </c>
      <c r="Y1503" s="723">
        <v>9.14</v>
      </c>
      <c r="Z1503" s="382" t="s">
        <v>927</v>
      </c>
      <c r="AA1503" s="372">
        <v>392.74889539999998</v>
      </c>
      <c r="AB1503" s="372">
        <v>613.82432200000005</v>
      </c>
      <c r="AC1503" s="372">
        <v>610.54715699999997</v>
      </c>
      <c r="AD1503" s="372">
        <v>648.17181259999995</v>
      </c>
      <c r="AE1503" s="372">
        <v>0</v>
      </c>
      <c r="AF1503" s="372">
        <v>0</v>
      </c>
      <c r="AG1503" s="372">
        <v>0</v>
      </c>
      <c r="AH1503" s="372">
        <v>0</v>
      </c>
    </row>
    <row r="1504" spans="1:34">
      <c r="A1504" s="372" t="s">
        <v>9997</v>
      </c>
      <c r="B1504" s="373" t="s">
        <v>9998</v>
      </c>
      <c r="C1504" s="372" t="s">
        <v>9999</v>
      </c>
      <c r="D1504" s="374">
        <v>1501110041925</v>
      </c>
      <c r="E1504" s="372" t="s">
        <v>10000</v>
      </c>
      <c r="F1504" s="372" t="s">
        <v>1055</v>
      </c>
      <c r="G1504" s="375" t="s">
        <v>16104</v>
      </c>
      <c r="H1504" s="375" t="s">
        <v>861</v>
      </c>
      <c r="I1504" s="375" t="s">
        <v>862</v>
      </c>
      <c r="J1504" s="375">
        <v>92300.215320000003</v>
      </c>
      <c r="K1504" s="375">
        <v>11976.479600000001</v>
      </c>
      <c r="L1504" s="375">
        <v>11170.3514</v>
      </c>
      <c r="M1504" s="375">
        <v>85967.428339999999</v>
      </c>
      <c r="N1504" s="372">
        <v>1.048</v>
      </c>
      <c r="O1504" s="704">
        <v>60.358297256902659</v>
      </c>
      <c r="P1504" s="375" t="s">
        <v>622</v>
      </c>
      <c r="Q1504" s="372" t="s">
        <v>622</v>
      </c>
      <c r="R1504" s="696">
        <v>20080415</v>
      </c>
      <c r="S1504" s="372" t="s">
        <v>10001</v>
      </c>
      <c r="T1504" s="697">
        <v>0.20900000000000002</v>
      </c>
      <c r="U1504" s="372" t="s">
        <v>10002</v>
      </c>
      <c r="V1504" s="723">
        <v>5.85</v>
      </c>
      <c r="W1504" s="723">
        <v>1.06</v>
      </c>
      <c r="X1504" s="723">
        <v>0.99</v>
      </c>
      <c r="Y1504" s="723">
        <v>5.98</v>
      </c>
      <c r="Z1504" s="382" t="s">
        <v>927</v>
      </c>
      <c r="AA1504" s="372">
        <v>449.97599689999998</v>
      </c>
      <c r="AB1504" s="372">
        <v>587.8046981</v>
      </c>
      <c r="AC1504" s="372">
        <v>689.41504010000006</v>
      </c>
      <c r="AD1504" s="372">
        <v>831.00721820000001</v>
      </c>
      <c r="AE1504" s="372">
        <v>0</v>
      </c>
      <c r="AF1504" s="372">
        <v>0</v>
      </c>
      <c r="AG1504" s="372">
        <v>0</v>
      </c>
      <c r="AH1504" s="372">
        <v>0</v>
      </c>
    </row>
    <row r="1505" spans="1:34">
      <c r="A1505" s="372" t="s">
        <v>10003</v>
      </c>
      <c r="B1505" s="373" t="s">
        <v>10004</v>
      </c>
      <c r="C1505" s="372" t="s">
        <v>16018</v>
      </c>
      <c r="D1505" s="374">
        <v>1760110017077</v>
      </c>
      <c r="E1505" s="372" t="s">
        <v>16019</v>
      </c>
      <c r="F1505" s="375" t="s">
        <v>1177</v>
      </c>
      <c r="G1505" s="375" t="s">
        <v>1178</v>
      </c>
      <c r="H1505" s="375" t="s">
        <v>861</v>
      </c>
      <c r="I1505" s="375" t="s">
        <v>862</v>
      </c>
      <c r="J1505" s="375">
        <v>14077.56263</v>
      </c>
      <c r="K1505" s="375">
        <v>1918.39318</v>
      </c>
      <c r="L1505" s="375">
        <v>1692.41687</v>
      </c>
      <c r="M1505" s="375">
        <v>162602.72628</v>
      </c>
      <c r="N1505" s="372">
        <v>1.0009999999999999</v>
      </c>
      <c r="O1505" s="704">
        <v>4.3967974937788312E-2</v>
      </c>
      <c r="P1505" s="375" t="s">
        <v>622</v>
      </c>
      <c r="Q1505" s="372" t="s">
        <v>622</v>
      </c>
      <c r="R1505" s="696">
        <v>20021226</v>
      </c>
      <c r="S1505" s="375" t="s">
        <v>10005</v>
      </c>
      <c r="T1505" s="697">
        <v>0.20900000000000002</v>
      </c>
      <c r="U1505" s="372" t="s">
        <v>10006</v>
      </c>
      <c r="V1505" s="723">
        <v>17.64</v>
      </c>
      <c r="W1505" s="723">
        <v>0.37</v>
      </c>
      <c r="X1505" s="723">
        <v>4.66</v>
      </c>
      <c r="Y1505" s="723">
        <v>51.37</v>
      </c>
      <c r="Z1505" s="382" t="s">
        <v>927</v>
      </c>
      <c r="AA1505" s="372">
        <v>417.35459109999999</v>
      </c>
      <c r="AB1505" s="372">
        <v>1359.7407751000001</v>
      </c>
      <c r="AC1505" s="372">
        <v>690.66166769999995</v>
      </c>
      <c r="AD1505" s="372">
        <v>346.42468430000002</v>
      </c>
      <c r="AE1505" s="372">
        <v>0</v>
      </c>
      <c r="AF1505" s="372">
        <v>0</v>
      </c>
      <c r="AG1505" s="372">
        <v>0</v>
      </c>
      <c r="AH1505" s="372">
        <v>0</v>
      </c>
    </row>
    <row r="1506" spans="1:34">
      <c r="A1506" s="372" t="s">
        <v>10007</v>
      </c>
      <c r="B1506" s="373" t="s">
        <v>10008</v>
      </c>
      <c r="C1506" s="372" t="s">
        <v>10009</v>
      </c>
      <c r="D1506" s="374">
        <v>1313110026091</v>
      </c>
      <c r="E1506" s="372" t="s">
        <v>10010</v>
      </c>
      <c r="F1506" s="375" t="s">
        <v>3011</v>
      </c>
      <c r="G1506" s="375" t="s">
        <v>3011</v>
      </c>
      <c r="H1506" s="375" t="s">
        <v>1337</v>
      </c>
      <c r="I1506" s="375" t="s">
        <v>862</v>
      </c>
      <c r="J1506" s="375">
        <v>235346.54779000001</v>
      </c>
      <c r="K1506" s="375">
        <v>-2725.26917</v>
      </c>
      <c r="L1506" s="375">
        <v>-6421.2183999999997</v>
      </c>
      <c r="M1506" s="375">
        <v>134402.27742</v>
      </c>
      <c r="N1506" s="372">
        <v>0.61099999999999999</v>
      </c>
      <c r="O1506" s="704">
        <v>57.967918172234015</v>
      </c>
      <c r="P1506" s="375" t="s">
        <v>622</v>
      </c>
      <c r="Q1506" s="372" t="s">
        <v>622</v>
      </c>
      <c r="R1506" s="696">
        <v>20030115</v>
      </c>
      <c r="S1506" s="372" t="s">
        <v>10011</v>
      </c>
      <c r="T1506" s="697" t="s">
        <v>771</v>
      </c>
      <c r="U1506" s="372" t="s">
        <v>15912</v>
      </c>
      <c r="V1506" s="723">
        <v>22.38</v>
      </c>
      <c r="W1506" s="723">
        <v>0.71</v>
      </c>
      <c r="X1506" s="723">
        <v>0.4</v>
      </c>
      <c r="Y1506" s="723" t="s">
        <v>773</v>
      </c>
      <c r="Z1506" s="382" t="s">
        <v>927</v>
      </c>
      <c r="AA1506" s="372">
        <v>135.49223169999999</v>
      </c>
      <c r="AB1506" s="372">
        <v>1682.8749929999999</v>
      </c>
      <c r="AC1506" s="372">
        <v>3225.4220787999998</v>
      </c>
      <c r="AD1506" s="372">
        <v>3684.2765098</v>
      </c>
      <c r="AE1506" s="372">
        <v>3329</v>
      </c>
      <c r="AF1506" s="372">
        <v>0</v>
      </c>
      <c r="AG1506" s="372">
        <v>0</v>
      </c>
      <c r="AH1506" s="372">
        <v>0</v>
      </c>
    </row>
    <row r="1507" spans="1:34">
      <c r="A1507" s="372" t="s">
        <v>10012</v>
      </c>
      <c r="B1507" s="373" t="s">
        <v>10013</v>
      </c>
      <c r="C1507" s="372" t="s">
        <v>10014</v>
      </c>
      <c r="D1507" s="374">
        <v>1344110020543</v>
      </c>
      <c r="E1507" s="372" t="s">
        <v>10015</v>
      </c>
      <c r="F1507" s="375" t="s">
        <v>769</v>
      </c>
      <c r="G1507" s="375" t="s">
        <v>769</v>
      </c>
      <c r="H1507" s="375" t="s">
        <v>861</v>
      </c>
      <c r="I1507" s="375" t="s">
        <v>862</v>
      </c>
      <c r="J1507" s="375">
        <v>78445.079750000004</v>
      </c>
      <c r="K1507" s="375">
        <v>-22295.6783</v>
      </c>
      <c r="L1507" s="375">
        <v>-31788.788759999999</v>
      </c>
      <c r="M1507" s="375">
        <v>73588.697830000005</v>
      </c>
      <c r="N1507" s="372">
        <v>1.075</v>
      </c>
      <c r="O1507" s="704">
        <v>44.701920864036921</v>
      </c>
      <c r="P1507" s="375" t="s">
        <v>622</v>
      </c>
      <c r="Q1507" s="372" t="s">
        <v>622</v>
      </c>
      <c r="R1507" s="696">
        <v>20130307</v>
      </c>
      <c r="S1507" s="372" t="s">
        <v>10016</v>
      </c>
      <c r="T1507" s="697" t="s">
        <v>771</v>
      </c>
      <c r="U1507" s="372" t="s">
        <v>10017</v>
      </c>
      <c r="V1507" s="723">
        <v>0</v>
      </c>
      <c r="W1507" s="723">
        <v>0</v>
      </c>
      <c r="X1507" s="723">
        <v>0</v>
      </c>
      <c r="Y1507" s="723">
        <v>0</v>
      </c>
      <c r="Z1507" s="382" t="s">
        <v>927</v>
      </c>
      <c r="AA1507" s="372">
        <v>1100.9484150999999</v>
      </c>
      <c r="AB1507" s="372">
        <v>1014.4217554000001</v>
      </c>
      <c r="AC1507" s="372">
        <v>1526.3543073999999</v>
      </c>
      <c r="AD1507" s="372">
        <v>862.05142339999998</v>
      </c>
      <c r="AE1507" s="372">
        <v>0</v>
      </c>
      <c r="AF1507" s="372">
        <v>0</v>
      </c>
      <c r="AG1507" s="372">
        <v>0</v>
      </c>
      <c r="AH1507" s="372">
        <v>0</v>
      </c>
    </row>
    <row r="1508" spans="1:34">
      <c r="A1508" s="372" t="s">
        <v>10018</v>
      </c>
      <c r="B1508" s="373" t="s">
        <v>10019</v>
      </c>
      <c r="C1508" s="372" t="s">
        <v>10020</v>
      </c>
      <c r="D1508" s="374">
        <v>1801110248369</v>
      </c>
      <c r="E1508" s="372" t="s">
        <v>10021</v>
      </c>
      <c r="F1508" s="375" t="s">
        <v>1656</v>
      </c>
      <c r="G1508" s="375" t="s">
        <v>1656</v>
      </c>
      <c r="H1508" s="375" t="s">
        <v>861</v>
      </c>
      <c r="I1508" s="375" t="s">
        <v>862</v>
      </c>
      <c r="J1508" s="375">
        <v>25876.168669999999</v>
      </c>
      <c r="K1508" s="375">
        <v>-2086.7962000000002</v>
      </c>
      <c r="L1508" s="375">
        <v>-1148.46804</v>
      </c>
      <c r="M1508" s="375">
        <v>42176.567869999999</v>
      </c>
      <c r="N1508" s="372">
        <v>1.2130000000000001</v>
      </c>
      <c r="O1508" s="704">
        <v>1.3791924990742537</v>
      </c>
      <c r="P1508" s="375" t="s">
        <v>622</v>
      </c>
      <c r="Q1508" s="372" t="s">
        <v>622</v>
      </c>
      <c r="R1508" s="696">
        <v>20130701</v>
      </c>
      <c r="S1508" s="372" t="s">
        <v>10022</v>
      </c>
      <c r="T1508" s="697" t="s">
        <v>771</v>
      </c>
      <c r="U1508" s="372" t="s">
        <v>10023</v>
      </c>
      <c r="V1508" s="723">
        <v>0</v>
      </c>
      <c r="W1508" s="723">
        <v>0</v>
      </c>
      <c r="X1508" s="723">
        <v>0</v>
      </c>
      <c r="Y1508" s="723">
        <v>0</v>
      </c>
      <c r="Z1508" s="382" t="s">
        <v>927</v>
      </c>
      <c r="AA1508" s="372">
        <v>226.4990737</v>
      </c>
      <c r="AB1508" s="372">
        <v>416.49797840000002</v>
      </c>
      <c r="AC1508" s="372">
        <v>356.91515629999998</v>
      </c>
      <c r="AD1508" s="372">
        <v>248.8410447</v>
      </c>
      <c r="AE1508" s="372">
        <v>0</v>
      </c>
      <c r="AF1508" s="372">
        <v>0</v>
      </c>
      <c r="AG1508" s="372">
        <v>0</v>
      </c>
      <c r="AH1508" s="372">
        <v>0</v>
      </c>
    </row>
    <row r="1509" spans="1:34">
      <c r="A1509" s="372" t="s">
        <v>10024</v>
      </c>
      <c r="B1509" s="373" t="s">
        <v>10025</v>
      </c>
      <c r="C1509" s="372" t="s">
        <v>10026</v>
      </c>
      <c r="D1509" s="374">
        <v>1101110346745</v>
      </c>
      <c r="E1509" s="372" t="s">
        <v>10027</v>
      </c>
      <c r="F1509" s="372" t="s">
        <v>2625</v>
      </c>
      <c r="G1509" s="375" t="s">
        <v>2626</v>
      </c>
      <c r="H1509" s="375" t="s">
        <v>817</v>
      </c>
      <c r="I1509" s="375" t="s">
        <v>754</v>
      </c>
      <c r="J1509" s="375">
        <v>1005057.37066</v>
      </c>
      <c r="K1509" s="375">
        <v>27963.647000000001</v>
      </c>
      <c r="L1509" s="375">
        <v>-31124.159039999999</v>
      </c>
      <c r="M1509" s="375">
        <v>203460.10089</v>
      </c>
      <c r="N1509" s="372">
        <v>1.0680000000000001</v>
      </c>
      <c r="O1509" s="704">
        <v>651.86682843516644</v>
      </c>
      <c r="P1509" s="375" t="s">
        <v>622</v>
      </c>
      <c r="Q1509" s="375" t="s">
        <v>622</v>
      </c>
      <c r="R1509" s="696">
        <v>19941105</v>
      </c>
      <c r="S1509" s="375" t="s">
        <v>10028</v>
      </c>
      <c r="T1509" s="697" t="s">
        <v>771</v>
      </c>
      <c r="U1509" s="375" t="s">
        <v>10029</v>
      </c>
      <c r="V1509" s="723">
        <v>5.82</v>
      </c>
      <c r="W1509" s="723">
        <v>0.92</v>
      </c>
      <c r="X1509" s="723">
        <v>0.08</v>
      </c>
      <c r="Y1509" s="723" t="s">
        <v>773</v>
      </c>
      <c r="Z1509" s="382" t="s">
        <v>927</v>
      </c>
      <c r="AA1509" s="372">
        <v>8862.3938608000008</v>
      </c>
      <c r="AB1509" s="372">
        <v>9798.6623557999992</v>
      </c>
      <c r="AC1509" s="372">
        <v>10498.412920700001</v>
      </c>
      <c r="AD1509" s="372">
        <v>10185.7715162</v>
      </c>
      <c r="AE1509" s="372">
        <v>0</v>
      </c>
      <c r="AF1509" s="372">
        <v>0</v>
      </c>
      <c r="AG1509" s="372">
        <v>0</v>
      </c>
      <c r="AH1509" s="372">
        <v>0</v>
      </c>
    </row>
    <row r="1510" spans="1:34">
      <c r="A1510" s="372" t="s">
        <v>10030</v>
      </c>
      <c r="B1510" s="373" t="s">
        <v>10031</v>
      </c>
      <c r="C1510" s="372" t="s">
        <v>10032</v>
      </c>
      <c r="D1510" s="374">
        <v>1101111373755</v>
      </c>
      <c r="E1510" s="372" t="s">
        <v>10033</v>
      </c>
      <c r="F1510" s="375" t="s">
        <v>1185</v>
      </c>
      <c r="G1510" s="375" t="s">
        <v>3115</v>
      </c>
      <c r="H1510" s="375" t="s">
        <v>861</v>
      </c>
      <c r="I1510" s="375" t="s">
        <v>862</v>
      </c>
      <c r="J1510" s="375">
        <v>262972.82902</v>
      </c>
      <c r="K1510" s="375">
        <v>12840.06049</v>
      </c>
      <c r="L1510" s="375">
        <v>8720.4600300000002</v>
      </c>
      <c r="M1510" s="375">
        <v>341843.19935000001</v>
      </c>
      <c r="N1510" s="372">
        <v>0.78400000000000003</v>
      </c>
      <c r="O1510" s="704">
        <v>56.413054505529047</v>
      </c>
      <c r="P1510" s="375" t="s">
        <v>622</v>
      </c>
      <c r="Q1510" s="372" t="s">
        <v>622</v>
      </c>
      <c r="R1510" s="696">
        <v>19991208</v>
      </c>
      <c r="S1510" s="372" t="s">
        <v>10034</v>
      </c>
      <c r="T1510" s="697">
        <v>0.20900000000000002</v>
      </c>
      <c r="U1510" s="372" t="s">
        <v>10035</v>
      </c>
      <c r="V1510" s="723">
        <v>16.940000000000001</v>
      </c>
      <c r="W1510" s="723">
        <v>0.67</v>
      </c>
      <c r="X1510" s="723">
        <v>0.31</v>
      </c>
      <c r="Y1510" s="723" t="s">
        <v>773</v>
      </c>
      <c r="Z1510" s="382" t="s">
        <v>927</v>
      </c>
      <c r="AA1510" s="372">
        <v>300.57413450000001</v>
      </c>
      <c r="AB1510" s="372">
        <v>311.6125566</v>
      </c>
      <c r="AC1510" s="372">
        <v>352.18638079999999</v>
      </c>
      <c r="AD1510" s="372">
        <v>352.3235833</v>
      </c>
      <c r="AE1510" s="372">
        <v>0</v>
      </c>
      <c r="AF1510" s="372">
        <v>0</v>
      </c>
      <c r="AG1510" s="372">
        <v>0</v>
      </c>
      <c r="AH1510" s="372">
        <v>0</v>
      </c>
    </row>
    <row r="1511" spans="1:34">
      <c r="A1511" s="372" t="s">
        <v>10036</v>
      </c>
      <c r="B1511" s="373" t="s">
        <v>10037</v>
      </c>
      <c r="C1511" s="372" t="s">
        <v>10038</v>
      </c>
      <c r="D1511" s="374">
        <v>1615110037709</v>
      </c>
      <c r="E1511" s="372" t="s">
        <v>10039</v>
      </c>
      <c r="F1511" s="372" t="s">
        <v>769</v>
      </c>
      <c r="G1511" s="375" t="s">
        <v>769</v>
      </c>
      <c r="H1511" s="375" t="s">
        <v>861</v>
      </c>
      <c r="I1511" s="375" t="s">
        <v>862</v>
      </c>
      <c r="J1511" s="375">
        <v>20587.09086</v>
      </c>
      <c r="K1511" s="375">
        <v>-1253.47399</v>
      </c>
      <c r="L1511" s="375">
        <v>672.19471999999996</v>
      </c>
      <c r="M1511" s="375">
        <v>83217.769190000006</v>
      </c>
      <c r="N1511" s="372">
        <v>0.88400000000000001</v>
      </c>
      <c r="O1511" s="704">
        <v>0.63563605348078045</v>
      </c>
      <c r="P1511" s="375" t="s">
        <v>622</v>
      </c>
      <c r="Q1511" s="372" t="s">
        <v>622</v>
      </c>
      <c r="R1511" s="696">
        <v>20061124</v>
      </c>
      <c r="S1511" s="372" t="s">
        <v>10040</v>
      </c>
      <c r="T1511" s="697">
        <v>0.20900000000000002</v>
      </c>
      <c r="U1511" s="372" t="s">
        <v>10041</v>
      </c>
      <c r="V1511" s="723">
        <v>37.36</v>
      </c>
      <c r="W1511" s="723">
        <v>0.8</v>
      </c>
      <c r="X1511" s="723">
        <v>3.35</v>
      </c>
      <c r="Y1511" s="723">
        <v>73.599999999999994</v>
      </c>
      <c r="Z1511" s="382" t="s">
        <v>927</v>
      </c>
      <c r="AA1511" s="372">
        <v>230.0342996</v>
      </c>
      <c r="AB1511" s="372">
        <v>293.79599339999999</v>
      </c>
      <c r="AC1511" s="372">
        <v>226.99451669999999</v>
      </c>
      <c r="AD1511" s="372">
        <v>186.87093089999999</v>
      </c>
      <c r="AE1511" s="372">
        <v>0</v>
      </c>
      <c r="AF1511" s="372">
        <v>0</v>
      </c>
      <c r="AG1511" s="372">
        <v>0</v>
      </c>
      <c r="AH1511" s="372">
        <v>0</v>
      </c>
    </row>
    <row r="1512" spans="1:34">
      <c r="A1512" s="372" t="s">
        <v>10042</v>
      </c>
      <c r="B1512" s="373" t="s">
        <v>10043</v>
      </c>
      <c r="C1512" s="372" t="s">
        <v>10044</v>
      </c>
      <c r="D1512" s="374">
        <v>1301110010841</v>
      </c>
      <c r="E1512" s="372" t="s">
        <v>10045</v>
      </c>
      <c r="F1512" s="375" t="s">
        <v>10046</v>
      </c>
      <c r="G1512" s="375" t="s">
        <v>10047</v>
      </c>
      <c r="H1512" s="375" t="s">
        <v>861</v>
      </c>
      <c r="I1512" s="375" t="s">
        <v>862</v>
      </c>
      <c r="J1512" s="375">
        <v>802398.97797999997</v>
      </c>
      <c r="K1512" s="375">
        <v>42511.065690000003</v>
      </c>
      <c r="L1512" s="375">
        <v>28978.702300000001</v>
      </c>
      <c r="M1512" s="375">
        <v>251938.01070000001</v>
      </c>
      <c r="N1512" s="372">
        <v>0.81799999999999995</v>
      </c>
      <c r="O1512" s="704">
        <v>386.74004650368818</v>
      </c>
      <c r="P1512" s="375" t="s">
        <v>622</v>
      </c>
      <c r="Q1512" s="372" t="s">
        <v>622</v>
      </c>
      <c r="R1512" s="696">
        <v>19941222</v>
      </c>
      <c r="S1512" s="372" t="s">
        <v>10048</v>
      </c>
      <c r="T1512" s="697">
        <v>0.23100000000000001</v>
      </c>
      <c r="U1512" s="372" t="s">
        <v>15913</v>
      </c>
      <c r="V1512" s="723">
        <v>5.95</v>
      </c>
      <c r="W1512" s="723">
        <v>0.38</v>
      </c>
      <c r="X1512" s="723">
        <v>0.11</v>
      </c>
      <c r="Y1512" s="723">
        <v>5.27</v>
      </c>
      <c r="Z1512" s="382">
        <v>3.4694725819676142E-2</v>
      </c>
      <c r="AA1512" s="372">
        <v>3348.2076594</v>
      </c>
      <c r="AB1512" s="372">
        <v>5224.2405010000002</v>
      </c>
      <c r="AC1512" s="372">
        <v>8190.2564075999999</v>
      </c>
      <c r="AD1512" s="372">
        <v>8096.5319651999998</v>
      </c>
      <c r="AE1512" s="372">
        <v>7980</v>
      </c>
      <c r="AF1512" s="372">
        <v>8820</v>
      </c>
      <c r="AG1512" s="372">
        <v>9280</v>
      </c>
      <c r="AH1512" s="372">
        <v>0</v>
      </c>
    </row>
    <row r="1513" spans="1:34">
      <c r="A1513" s="372" t="s">
        <v>10049</v>
      </c>
      <c r="B1513" s="373" t="s">
        <v>10050</v>
      </c>
      <c r="C1513" s="372" t="s">
        <v>10051</v>
      </c>
      <c r="D1513" s="374">
        <v>1601110114126</v>
      </c>
      <c r="E1513" s="372" t="s">
        <v>10052</v>
      </c>
      <c r="F1513" s="375" t="s">
        <v>16101</v>
      </c>
      <c r="G1513" s="375" t="s">
        <v>16101</v>
      </c>
      <c r="H1513" s="375" t="s">
        <v>861</v>
      </c>
      <c r="I1513" s="375" t="s">
        <v>862</v>
      </c>
      <c r="J1513" s="375">
        <v>6926.8416399999996</v>
      </c>
      <c r="K1513" s="375">
        <v>-1679.41021</v>
      </c>
      <c r="L1513" s="375">
        <v>3135.7863699999998</v>
      </c>
      <c r="M1513" s="375">
        <v>50979.70609</v>
      </c>
      <c r="N1513" s="372">
        <v>1.294</v>
      </c>
      <c r="O1513" s="704">
        <v>1.1747227209589095</v>
      </c>
      <c r="P1513" s="375" t="s">
        <v>622</v>
      </c>
      <c r="Q1513" s="375" t="s">
        <v>622</v>
      </c>
      <c r="R1513" s="696">
        <v>20141106</v>
      </c>
      <c r="S1513" s="375" t="s">
        <v>10053</v>
      </c>
      <c r="T1513" s="697">
        <v>0.20900000000000002</v>
      </c>
      <c r="U1513" s="372" t="s">
        <v>10054</v>
      </c>
      <c r="V1513" s="723" t="s">
        <v>773</v>
      </c>
      <c r="W1513" s="723">
        <v>2.34</v>
      </c>
      <c r="X1513" s="723">
        <v>17.95</v>
      </c>
      <c r="Y1513" s="723">
        <v>34.04</v>
      </c>
      <c r="Z1513" s="382" t="s">
        <v>927</v>
      </c>
      <c r="AA1513" s="372">
        <v>87.891003499999997</v>
      </c>
      <c r="AB1513" s="372">
        <v>82.996131599999998</v>
      </c>
      <c r="AC1513" s="372">
        <v>76.783862200000002</v>
      </c>
      <c r="AD1513" s="372">
        <v>77.724085700000003</v>
      </c>
      <c r="AE1513" s="372">
        <v>0</v>
      </c>
      <c r="AF1513" s="372">
        <v>0</v>
      </c>
      <c r="AG1513" s="372">
        <v>0</v>
      </c>
      <c r="AH1513" s="372">
        <v>0</v>
      </c>
    </row>
    <row r="1514" spans="1:34">
      <c r="A1514" s="372" t="s">
        <v>10055</v>
      </c>
      <c r="B1514" s="373" t="s">
        <v>10056</v>
      </c>
      <c r="C1514" s="372" t="s">
        <v>10057</v>
      </c>
      <c r="D1514" s="374">
        <v>1348110250671</v>
      </c>
      <c r="E1514" s="372" t="s">
        <v>10058</v>
      </c>
      <c r="F1514" s="375" t="s">
        <v>1275</v>
      </c>
      <c r="G1514" s="375" t="s">
        <v>1275</v>
      </c>
      <c r="H1514" s="375" t="s">
        <v>861</v>
      </c>
      <c r="I1514" s="375" t="s">
        <v>862</v>
      </c>
      <c r="J1514" s="375">
        <v>65525.591760000003</v>
      </c>
      <c r="K1514" s="375">
        <v>-600.97379999999998</v>
      </c>
      <c r="L1514" s="375">
        <v>-3072.24791</v>
      </c>
      <c r="M1514" s="375">
        <v>53191.687960000003</v>
      </c>
      <c r="N1514" s="372">
        <v>0.68200000000000005</v>
      </c>
      <c r="O1514" s="704">
        <v>87.232296247059594</v>
      </c>
      <c r="P1514" s="375" t="s">
        <v>622</v>
      </c>
      <c r="Q1514" s="372" t="s">
        <v>622</v>
      </c>
      <c r="R1514" s="696">
        <v>20220729</v>
      </c>
      <c r="S1514" s="372" t="s">
        <v>10059</v>
      </c>
      <c r="T1514" s="697" t="s">
        <v>771</v>
      </c>
      <c r="U1514" s="372" t="s">
        <v>10060</v>
      </c>
      <c r="V1514" s="723">
        <v>21.49</v>
      </c>
      <c r="W1514" s="723">
        <v>1.29</v>
      </c>
      <c r="X1514" s="723">
        <v>1.0900000000000001</v>
      </c>
      <c r="Y1514" s="723" t="s">
        <v>773</v>
      </c>
      <c r="Z1514" s="382" t="s">
        <v>927</v>
      </c>
      <c r="AA1514" s="372">
        <v>241.66788410000001</v>
      </c>
      <c r="AB1514" s="372">
        <v>384.39590729999998</v>
      </c>
      <c r="AC1514" s="372">
        <v>228.20911960000001</v>
      </c>
      <c r="AD1514" s="372">
        <v>431.92695140000001</v>
      </c>
      <c r="AE1514" s="372">
        <v>704</v>
      </c>
      <c r="AF1514" s="372">
        <v>967</v>
      </c>
      <c r="AG1514" s="372">
        <v>0</v>
      </c>
      <c r="AH1514" s="372">
        <v>0</v>
      </c>
    </row>
    <row r="1515" spans="1:34">
      <c r="A1515" s="372" t="s">
        <v>10061</v>
      </c>
      <c r="B1515" s="373" t="s">
        <v>10062</v>
      </c>
      <c r="C1515" s="372" t="s">
        <v>16020</v>
      </c>
      <c r="D1515" s="374">
        <v>1301110010031</v>
      </c>
      <c r="E1515" s="372" t="s">
        <v>16020</v>
      </c>
      <c r="F1515" s="375" t="s">
        <v>10063</v>
      </c>
      <c r="G1515" s="375" t="s">
        <v>10063</v>
      </c>
      <c r="H1515" s="375" t="s">
        <v>1539</v>
      </c>
      <c r="I1515" s="375" t="s">
        <v>754</v>
      </c>
      <c r="J1515" s="375">
        <v>1008000.24449</v>
      </c>
      <c r="K1515" s="375">
        <v>46141.835740000002</v>
      </c>
      <c r="L1515" s="375">
        <v>26883.918119999998</v>
      </c>
      <c r="M1515" s="375">
        <v>235288.05405999999</v>
      </c>
      <c r="N1515" s="372">
        <v>0.86899999999999999</v>
      </c>
      <c r="O1515" s="704">
        <v>540.28822761467404</v>
      </c>
      <c r="P1515" s="375" t="s">
        <v>622</v>
      </c>
      <c r="Q1515" s="375" t="s">
        <v>622</v>
      </c>
      <c r="R1515" s="696">
        <v>19941227</v>
      </c>
      <c r="S1515" s="375" t="s">
        <v>10064</v>
      </c>
      <c r="T1515" s="697">
        <v>0.23100000000000001</v>
      </c>
      <c r="U1515" s="372" t="s">
        <v>10065</v>
      </c>
      <c r="V1515" s="723">
        <v>6</v>
      </c>
      <c r="W1515" s="723">
        <v>0.3</v>
      </c>
      <c r="X1515" s="723">
        <v>7.0000000000000007E-2</v>
      </c>
      <c r="Y1515" s="723">
        <v>3.58</v>
      </c>
      <c r="Z1515" s="382" t="s">
        <v>927</v>
      </c>
      <c r="AA1515" s="372">
        <v>7850.4034166000001</v>
      </c>
      <c r="AB1515" s="372">
        <v>8929.2765400999997</v>
      </c>
      <c r="AC1515" s="372">
        <v>10846.0702282</v>
      </c>
      <c r="AD1515" s="372">
        <v>9201.7502248000001</v>
      </c>
      <c r="AE1515" s="372">
        <v>0</v>
      </c>
      <c r="AF1515" s="372">
        <v>0</v>
      </c>
      <c r="AG1515" s="372">
        <v>0</v>
      </c>
      <c r="AH1515" s="372">
        <v>0</v>
      </c>
    </row>
    <row r="1516" spans="1:34">
      <c r="A1516" s="372" t="s">
        <v>10066</v>
      </c>
      <c r="B1516" s="373" t="s">
        <v>10067</v>
      </c>
      <c r="C1516" s="372" t="s">
        <v>10068</v>
      </c>
      <c r="D1516" s="374">
        <v>1801110024496</v>
      </c>
      <c r="E1516" s="372" t="s">
        <v>10069</v>
      </c>
      <c r="F1516" s="375" t="s">
        <v>1863</v>
      </c>
      <c r="G1516" s="375" t="s">
        <v>1864</v>
      </c>
      <c r="H1516" s="375" t="s">
        <v>861</v>
      </c>
      <c r="I1516" s="375" t="s">
        <v>862</v>
      </c>
      <c r="J1516" s="375">
        <v>361248.66094999999</v>
      </c>
      <c r="K1516" s="375">
        <v>10644.428550000001</v>
      </c>
      <c r="L1516" s="375">
        <v>6067.8048900000003</v>
      </c>
      <c r="M1516" s="375">
        <v>123444.35033</v>
      </c>
      <c r="N1516" s="372">
        <v>0.874</v>
      </c>
      <c r="O1516" s="704">
        <v>91.449669157562482</v>
      </c>
      <c r="P1516" s="375" t="s">
        <v>622</v>
      </c>
      <c r="Q1516" s="372" t="s">
        <v>622</v>
      </c>
      <c r="R1516" s="696">
        <v>19931222</v>
      </c>
      <c r="S1516" s="372" t="s">
        <v>10070</v>
      </c>
      <c r="T1516" s="697">
        <v>0.20900000000000002</v>
      </c>
      <c r="U1516" s="372" t="s">
        <v>10071</v>
      </c>
      <c r="V1516" s="723">
        <v>5.76</v>
      </c>
      <c r="W1516" s="723">
        <v>0.69</v>
      </c>
      <c r="X1516" s="723">
        <v>0.24</v>
      </c>
      <c r="Y1516" s="723">
        <v>21.6</v>
      </c>
      <c r="Z1516" s="382" t="s">
        <v>927</v>
      </c>
      <c r="AA1516" s="372">
        <v>2155.8849845999998</v>
      </c>
      <c r="AB1516" s="372">
        <v>2467.0238411</v>
      </c>
      <c r="AC1516" s="372">
        <v>2840.7890075999999</v>
      </c>
      <c r="AD1516" s="372">
        <v>3289.5203741999999</v>
      </c>
      <c r="AE1516" s="372">
        <v>0</v>
      </c>
      <c r="AF1516" s="372">
        <v>0</v>
      </c>
      <c r="AG1516" s="372">
        <v>0</v>
      </c>
      <c r="AH1516" s="372">
        <v>0</v>
      </c>
    </row>
    <row r="1517" spans="1:34">
      <c r="A1517" s="372" t="s">
        <v>10072</v>
      </c>
      <c r="B1517" s="373" t="s">
        <v>10073</v>
      </c>
      <c r="C1517" s="372" t="s">
        <v>10074</v>
      </c>
      <c r="D1517" s="374">
        <v>1101112139776</v>
      </c>
      <c r="E1517" s="372" t="s">
        <v>10075</v>
      </c>
      <c r="F1517" s="372" t="s">
        <v>1370</v>
      </c>
      <c r="G1517" s="375" t="s">
        <v>1370</v>
      </c>
      <c r="H1517" s="375" t="s">
        <v>861</v>
      </c>
      <c r="I1517" s="375" t="s">
        <v>862</v>
      </c>
      <c r="J1517" s="375">
        <v>71953.053480000002</v>
      </c>
      <c r="K1517" s="375">
        <v>754.07291999999995</v>
      </c>
      <c r="L1517" s="375">
        <v>1888.3651600000001</v>
      </c>
      <c r="M1517" s="375">
        <v>48903.671260000003</v>
      </c>
      <c r="N1517" s="372">
        <v>0.64900000000000002</v>
      </c>
      <c r="O1517" s="704">
        <v>2.605096410442818</v>
      </c>
      <c r="P1517" s="375" t="s">
        <v>622</v>
      </c>
      <c r="Q1517" s="375" t="s">
        <v>622</v>
      </c>
      <c r="R1517" s="696">
        <v>20210129</v>
      </c>
      <c r="S1517" s="375" t="s">
        <v>10076</v>
      </c>
      <c r="T1517" s="697">
        <v>0.20900000000000002</v>
      </c>
      <c r="U1517" s="372" t="s">
        <v>10077</v>
      </c>
      <c r="V1517" s="723">
        <v>38.93</v>
      </c>
      <c r="W1517" s="723">
        <v>2.06</v>
      </c>
      <c r="X1517" s="723">
        <v>1.4</v>
      </c>
      <c r="Y1517" s="723">
        <v>60.52</v>
      </c>
      <c r="Z1517" s="382" t="s">
        <v>927</v>
      </c>
      <c r="AA1517" s="372">
        <v>597.51677119999999</v>
      </c>
      <c r="AB1517" s="372">
        <v>947.87590929999999</v>
      </c>
      <c r="AC1517" s="372">
        <v>901.02336019999996</v>
      </c>
      <c r="AD1517" s="372">
        <v>831.27054169999997</v>
      </c>
      <c r="AE1517" s="372">
        <v>0</v>
      </c>
      <c r="AF1517" s="372">
        <v>0</v>
      </c>
      <c r="AG1517" s="372">
        <v>0</v>
      </c>
      <c r="AH1517" s="372">
        <v>0</v>
      </c>
    </row>
    <row r="1518" spans="1:34">
      <c r="A1518" s="372" t="s">
        <v>10078</v>
      </c>
      <c r="B1518" s="373" t="s">
        <v>10079</v>
      </c>
      <c r="C1518" s="372" t="s">
        <v>10080</v>
      </c>
      <c r="D1518" s="374">
        <v>1101115059773</v>
      </c>
      <c r="E1518" s="372" t="s">
        <v>10081</v>
      </c>
      <c r="F1518" s="375" t="s">
        <v>3672</v>
      </c>
      <c r="G1518" s="375" t="s">
        <v>3672</v>
      </c>
      <c r="H1518" s="375" t="s">
        <v>861</v>
      </c>
      <c r="I1518" s="375" t="s">
        <v>862</v>
      </c>
      <c r="J1518" s="375">
        <v>55.5</v>
      </c>
      <c r="K1518" s="375">
        <v>-17147.636979999999</v>
      </c>
      <c r="L1518" s="375">
        <v>-15356.65408</v>
      </c>
      <c r="M1518" s="375">
        <v>61356.111149999997</v>
      </c>
      <c r="N1518" s="372">
        <v>0.81200000000000006</v>
      </c>
      <c r="O1518" s="704">
        <v>13.23533591871251</v>
      </c>
      <c r="P1518" s="375" t="s">
        <v>622</v>
      </c>
      <c r="Q1518" s="372" t="s">
        <v>622</v>
      </c>
      <c r="R1518" s="696">
        <v>20210825</v>
      </c>
      <c r="S1518" s="372" t="s">
        <v>10082</v>
      </c>
      <c r="T1518" s="697" t="s">
        <v>771</v>
      </c>
      <c r="U1518" s="372" t="s">
        <v>10083</v>
      </c>
      <c r="V1518" s="723" t="s">
        <v>773</v>
      </c>
      <c r="W1518" s="723">
        <v>1.1499999999999999</v>
      </c>
      <c r="X1518" s="723">
        <v>1264.58</v>
      </c>
      <c r="Y1518" s="723" t="s">
        <v>773</v>
      </c>
      <c r="Z1518" s="382" t="s">
        <v>773</v>
      </c>
      <c r="AA1518" s="372">
        <v>0</v>
      </c>
      <c r="AB1518" s="372">
        <v>0</v>
      </c>
      <c r="AC1518" s="372">
        <v>0</v>
      </c>
      <c r="AD1518" s="372">
        <v>0</v>
      </c>
      <c r="AE1518" s="372">
        <v>0</v>
      </c>
      <c r="AF1518" s="372">
        <v>0</v>
      </c>
      <c r="AG1518" s="372">
        <v>0</v>
      </c>
      <c r="AH1518" s="372">
        <v>0</v>
      </c>
    </row>
    <row r="1519" spans="1:34">
      <c r="A1519" s="372" t="s">
        <v>10084</v>
      </c>
      <c r="B1519" s="373" t="s">
        <v>10085</v>
      </c>
      <c r="C1519" s="372" t="s">
        <v>10086</v>
      </c>
      <c r="D1519" s="374">
        <v>1101115300647</v>
      </c>
      <c r="E1519" s="372" t="s">
        <v>10087</v>
      </c>
      <c r="F1519" s="375" t="s">
        <v>1796</v>
      </c>
      <c r="G1519" s="375" t="s">
        <v>2797</v>
      </c>
      <c r="H1519" s="375" t="s">
        <v>861</v>
      </c>
      <c r="I1519" s="375" t="s">
        <v>862</v>
      </c>
      <c r="J1519" s="375">
        <v>51549.878499999999</v>
      </c>
      <c r="K1519" s="375">
        <v>4807.5714399999997</v>
      </c>
      <c r="L1519" s="375">
        <v>3086.4662800000001</v>
      </c>
      <c r="M1519" s="375">
        <v>114364.53350999999</v>
      </c>
      <c r="N1519" s="372">
        <v>0.73299999999999998</v>
      </c>
      <c r="O1519" s="704">
        <v>94.185909080820906</v>
      </c>
      <c r="P1519" s="375" t="s">
        <v>16115</v>
      </c>
      <c r="Q1519" s="375" t="s">
        <v>622</v>
      </c>
      <c r="R1519" s="696">
        <v>20140428</v>
      </c>
      <c r="S1519" s="375">
        <v>0</v>
      </c>
      <c r="T1519" s="697">
        <v>0.20900000000000002</v>
      </c>
      <c r="U1519" s="372" t="s">
        <v>10088</v>
      </c>
      <c r="V1519" s="723">
        <v>13.26</v>
      </c>
      <c r="W1519" s="723">
        <v>0.78</v>
      </c>
      <c r="X1519" s="723">
        <v>1.39</v>
      </c>
      <c r="Y1519" s="723">
        <v>22.32</v>
      </c>
      <c r="Z1519" s="382" t="s">
        <v>927</v>
      </c>
      <c r="AA1519" s="372">
        <v>353.10173120000002</v>
      </c>
      <c r="AB1519" s="372">
        <v>372.80494720000002</v>
      </c>
      <c r="AC1519" s="372">
        <v>431.8702394</v>
      </c>
      <c r="AD1519" s="372">
        <v>471.01229230000001</v>
      </c>
      <c r="AE1519" s="372">
        <v>0</v>
      </c>
      <c r="AF1519" s="372">
        <v>0</v>
      </c>
      <c r="AG1519" s="372">
        <v>0</v>
      </c>
      <c r="AH1519" s="372">
        <v>0</v>
      </c>
    </row>
    <row r="1520" spans="1:34">
      <c r="A1520" s="372" t="s">
        <v>10089</v>
      </c>
      <c r="B1520" s="373" t="s">
        <v>10090</v>
      </c>
      <c r="C1520" s="372" t="s">
        <v>10091</v>
      </c>
      <c r="D1520" s="374">
        <v>1101110035108</v>
      </c>
      <c r="E1520" s="372" t="s">
        <v>10092</v>
      </c>
      <c r="F1520" s="372" t="s">
        <v>10093</v>
      </c>
      <c r="G1520" s="375" t="s">
        <v>10093</v>
      </c>
      <c r="H1520" s="375" t="s">
        <v>1539</v>
      </c>
      <c r="I1520" s="375" t="s">
        <v>754</v>
      </c>
      <c r="J1520" s="375">
        <v>114660.50208000001</v>
      </c>
      <c r="K1520" s="375">
        <v>-4354.5041000000001</v>
      </c>
      <c r="L1520" s="375">
        <v>1865.00982</v>
      </c>
      <c r="M1520" s="375">
        <v>192318.21340000001</v>
      </c>
      <c r="N1520" s="372">
        <v>0.65</v>
      </c>
      <c r="O1520" s="704">
        <v>11.750516627411697</v>
      </c>
      <c r="P1520" s="375" t="s">
        <v>622</v>
      </c>
      <c r="Q1520" s="372" t="s">
        <v>622</v>
      </c>
      <c r="R1520" s="696">
        <v>19890530</v>
      </c>
      <c r="S1520" s="372" t="s">
        <v>10094</v>
      </c>
      <c r="T1520" s="697">
        <v>0.20900000000000002</v>
      </c>
      <c r="U1520" s="372" t="s">
        <v>10095</v>
      </c>
      <c r="V1520" s="723">
        <v>1307.6300000000001</v>
      </c>
      <c r="W1520" s="723">
        <v>0.56999999999999995</v>
      </c>
      <c r="X1520" s="723">
        <v>1.03</v>
      </c>
      <c r="Y1520" s="723">
        <v>136.19</v>
      </c>
      <c r="Z1520" s="382" t="s">
        <v>927</v>
      </c>
      <c r="AA1520" s="372">
        <v>1165.4695658999999</v>
      </c>
      <c r="AB1520" s="372">
        <v>1309.7316013</v>
      </c>
      <c r="AC1520" s="372">
        <v>1557.6817344999999</v>
      </c>
      <c r="AD1520" s="372">
        <v>1319.2158465</v>
      </c>
      <c r="AE1520" s="372">
        <v>0</v>
      </c>
      <c r="AF1520" s="372">
        <v>0</v>
      </c>
      <c r="AG1520" s="372">
        <v>0</v>
      </c>
      <c r="AH1520" s="372">
        <v>0</v>
      </c>
    </row>
    <row r="1521" spans="1:34">
      <c r="A1521" s="372" t="s">
        <v>10096</v>
      </c>
      <c r="B1521" s="373" t="s">
        <v>10097</v>
      </c>
      <c r="C1521" s="372" t="s">
        <v>10098</v>
      </c>
      <c r="D1521" s="374">
        <v>1101111347940</v>
      </c>
      <c r="E1521" s="372" t="s">
        <v>10099</v>
      </c>
      <c r="F1521" s="375" t="s">
        <v>2259</v>
      </c>
      <c r="G1521" s="375" t="s">
        <v>2259</v>
      </c>
      <c r="H1521" s="375" t="s">
        <v>4847</v>
      </c>
      <c r="I1521" s="375" t="s">
        <v>862</v>
      </c>
      <c r="J1521" s="375">
        <v>73399.640069999994</v>
      </c>
      <c r="K1521" s="375">
        <v>1732.7084600000001</v>
      </c>
      <c r="L1521" s="375">
        <v>761.48252000000002</v>
      </c>
      <c r="M1521" s="375">
        <v>73197.439419999995</v>
      </c>
      <c r="N1521" s="372" t="s">
        <v>1026</v>
      </c>
      <c r="O1521" s="704">
        <v>2.9076211934573895</v>
      </c>
      <c r="P1521" s="375" t="s">
        <v>622</v>
      </c>
      <c r="Q1521" s="372" t="s">
        <v>622</v>
      </c>
      <c r="R1521" s="696">
        <v>20020102</v>
      </c>
      <c r="S1521" s="372" t="s">
        <v>10100</v>
      </c>
      <c r="T1521" s="697">
        <v>0.20900000000000002</v>
      </c>
      <c r="U1521" s="375" t="s">
        <v>10101</v>
      </c>
      <c r="V1521" s="723">
        <v>0</v>
      </c>
      <c r="W1521" s="723">
        <v>0</v>
      </c>
      <c r="X1521" s="723">
        <v>0</v>
      </c>
      <c r="Y1521" s="723">
        <v>0</v>
      </c>
      <c r="Z1521" s="382" t="s">
        <v>927</v>
      </c>
      <c r="AA1521" s="372">
        <v>8.9692266000000007</v>
      </c>
      <c r="AB1521" s="372">
        <v>386.25451420000002</v>
      </c>
      <c r="AC1521" s="372">
        <v>320.80799480000002</v>
      </c>
      <c r="AD1521" s="372">
        <v>501.69908989999999</v>
      </c>
      <c r="AE1521" s="372">
        <v>0</v>
      </c>
      <c r="AF1521" s="372">
        <v>0</v>
      </c>
      <c r="AG1521" s="372">
        <v>0</v>
      </c>
      <c r="AH1521" s="372">
        <v>0</v>
      </c>
    </row>
    <row r="1522" spans="1:34">
      <c r="A1522" s="372" t="s">
        <v>10102</v>
      </c>
      <c r="B1522" s="373" t="s">
        <v>10103</v>
      </c>
      <c r="C1522" s="372" t="s">
        <v>10104</v>
      </c>
      <c r="D1522" s="374">
        <v>1201110233338</v>
      </c>
      <c r="E1522" s="372" t="s">
        <v>10105</v>
      </c>
      <c r="F1522" s="375" t="s">
        <v>3236</v>
      </c>
      <c r="G1522" s="375" t="s">
        <v>3236</v>
      </c>
      <c r="H1522" s="375" t="s">
        <v>861</v>
      </c>
      <c r="I1522" s="375" t="s">
        <v>862</v>
      </c>
      <c r="J1522" s="375">
        <v>55779.005400000002</v>
      </c>
      <c r="K1522" s="375">
        <v>-1849.6023499999999</v>
      </c>
      <c r="L1522" s="375">
        <v>1954.6757700000001</v>
      </c>
      <c r="M1522" s="375">
        <v>188606.97975999999</v>
      </c>
      <c r="N1522" s="372">
        <v>0.74099999999999999</v>
      </c>
      <c r="O1522" s="704">
        <v>1.799084111759353</v>
      </c>
      <c r="P1522" s="375" t="s">
        <v>622</v>
      </c>
      <c r="Q1522" s="375" t="s">
        <v>622</v>
      </c>
      <c r="R1522" s="696">
        <v>20171206</v>
      </c>
      <c r="S1522" s="372" t="s">
        <v>10106</v>
      </c>
      <c r="T1522" s="697">
        <v>0.20900000000000002</v>
      </c>
      <c r="U1522" s="372" t="s">
        <v>10107</v>
      </c>
      <c r="V1522" s="723">
        <v>11.18</v>
      </c>
      <c r="W1522" s="723">
        <v>0.4</v>
      </c>
      <c r="X1522" s="723">
        <v>1.39</v>
      </c>
      <c r="Y1522" s="723">
        <v>69.239999999999995</v>
      </c>
      <c r="Z1522" s="382" t="s">
        <v>927</v>
      </c>
      <c r="AA1522" s="372">
        <v>727.41604970000003</v>
      </c>
      <c r="AB1522" s="372">
        <v>490.32633509999999</v>
      </c>
      <c r="AC1522" s="372">
        <v>539.90901169999995</v>
      </c>
      <c r="AD1522" s="372">
        <v>407.6086009</v>
      </c>
      <c r="AE1522" s="372">
        <v>0</v>
      </c>
      <c r="AF1522" s="372">
        <v>0</v>
      </c>
      <c r="AG1522" s="372">
        <v>0</v>
      </c>
      <c r="AH1522" s="372">
        <v>0</v>
      </c>
    </row>
    <row r="1523" spans="1:34">
      <c r="A1523" s="372" t="s">
        <v>10108</v>
      </c>
      <c r="B1523" s="373" t="s">
        <v>10109</v>
      </c>
      <c r="C1523" s="372" t="s">
        <v>10110</v>
      </c>
      <c r="D1523" s="374">
        <v>1348110073536</v>
      </c>
      <c r="E1523" s="372" t="s">
        <v>10111</v>
      </c>
      <c r="F1523" s="375" t="s">
        <v>1750</v>
      </c>
      <c r="G1523" s="375" t="s">
        <v>1750</v>
      </c>
      <c r="H1523" s="375" t="s">
        <v>861</v>
      </c>
      <c r="I1523" s="375" t="s">
        <v>862</v>
      </c>
      <c r="J1523" s="375">
        <v>10735.639709999999</v>
      </c>
      <c r="K1523" s="375">
        <v>753.43372999999997</v>
      </c>
      <c r="L1523" s="375">
        <v>2055.3783899999999</v>
      </c>
      <c r="M1523" s="375">
        <v>28186.36924</v>
      </c>
      <c r="N1523" s="372">
        <v>0.89900000000000002</v>
      </c>
      <c r="O1523" s="704">
        <v>8.5668348446111278</v>
      </c>
      <c r="P1523" s="375" t="s">
        <v>622</v>
      </c>
      <c r="Q1523" s="372" t="s">
        <v>622</v>
      </c>
      <c r="R1523" s="696">
        <v>20190605</v>
      </c>
      <c r="S1523" s="375" t="s">
        <v>10112</v>
      </c>
      <c r="T1523" s="697">
        <v>0.20900000000000002</v>
      </c>
      <c r="U1523" s="375" t="s">
        <v>10113</v>
      </c>
      <c r="V1523" s="723">
        <v>0</v>
      </c>
      <c r="W1523" s="723">
        <v>0</v>
      </c>
      <c r="X1523" s="723">
        <v>0</v>
      </c>
      <c r="Y1523" s="723">
        <v>0</v>
      </c>
      <c r="Z1523" s="382" t="s">
        <v>927</v>
      </c>
      <c r="AA1523" s="372">
        <v>22.901868700000001</v>
      </c>
      <c r="AB1523" s="372">
        <v>43.046279699999999</v>
      </c>
      <c r="AC1523" s="372">
        <v>88.836988000000005</v>
      </c>
      <c r="AD1523" s="372">
        <v>108.3985461</v>
      </c>
      <c r="AE1523" s="372">
        <v>0</v>
      </c>
      <c r="AF1523" s="372">
        <v>0</v>
      </c>
      <c r="AG1523" s="372">
        <v>0</v>
      </c>
      <c r="AH1523" s="372">
        <v>0</v>
      </c>
    </row>
    <row r="1524" spans="1:34">
      <c r="A1524" s="372" t="s">
        <v>10114</v>
      </c>
      <c r="B1524" s="373" t="s">
        <v>10115</v>
      </c>
      <c r="C1524" s="372" t="s">
        <v>10116</v>
      </c>
      <c r="D1524" s="374">
        <v>1345110059459</v>
      </c>
      <c r="E1524" s="372" t="s">
        <v>10117</v>
      </c>
      <c r="F1524" s="375" t="s">
        <v>1185</v>
      </c>
      <c r="G1524" s="375" t="s">
        <v>3115</v>
      </c>
      <c r="H1524" s="375" t="s">
        <v>861</v>
      </c>
      <c r="I1524" s="375" t="s">
        <v>862</v>
      </c>
      <c r="J1524" s="375">
        <v>62230.772499999999</v>
      </c>
      <c r="K1524" s="375">
        <v>6029.6770800000004</v>
      </c>
      <c r="L1524" s="375">
        <v>11206.01456</v>
      </c>
      <c r="M1524" s="375">
        <v>74540.706040000005</v>
      </c>
      <c r="N1524" s="372">
        <v>1.2529999999999999</v>
      </c>
      <c r="O1524" s="704">
        <v>27.663816538420555</v>
      </c>
      <c r="P1524" s="375" t="s">
        <v>622</v>
      </c>
      <c r="Q1524" s="372" t="s">
        <v>622</v>
      </c>
      <c r="R1524" s="696">
        <v>20170227</v>
      </c>
      <c r="S1524" s="372" t="s">
        <v>10118</v>
      </c>
      <c r="T1524" s="697">
        <v>0.20900000000000002</v>
      </c>
      <c r="U1524" s="372" t="s">
        <v>10119</v>
      </c>
      <c r="V1524" s="723">
        <v>10.29</v>
      </c>
      <c r="W1524" s="723">
        <v>1.1499999999999999</v>
      </c>
      <c r="X1524" s="723">
        <v>1.46</v>
      </c>
      <c r="Y1524" s="723">
        <v>9</v>
      </c>
      <c r="Z1524" s="382" t="s">
        <v>927</v>
      </c>
      <c r="AA1524" s="372">
        <v>919.09698690000005</v>
      </c>
      <c r="AB1524" s="372">
        <v>660.85794999999996</v>
      </c>
      <c r="AC1524" s="372">
        <v>676.42003550000004</v>
      </c>
      <c r="AD1524" s="372">
        <v>388.83827389999999</v>
      </c>
      <c r="AE1524" s="372">
        <v>1070</v>
      </c>
      <c r="AF1524" s="372">
        <v>0</v>
      </c>
      <c r="AG1524" s="372">
        <v>0</v>
      </c>
      <c r="AH1524" s="372">
        <v>0</v>
      </c>
    </row>
    <row r="1525" spans="1:34">
      <c r="A1525" s="372" t="s">
        <v>10120</v>
      </c>
      <c r="B1525" s="373" t="s">
        <v>10121</v>
      </c>
      <c r="C1525" s="372" t="s">
        <v>10122</v>
      </c>
      <c r="D1525" s="374">
        <v>1211110061910</v>
      </c>
      <c r="E1525" s="372" t="s">
        <v>10123</v>
      </c>
      <c r="F1525" s="375" t="s">
        <v>1185</v>
      </c>
      <c r="G1525" s="375" t="s">
        <v>1186</v>
      </c>
      <c r="H1525" s="375" t="s">
        <v>861</v>
      </c>
      <c r="I1525" s="375" t="s">
        <v>862</v>
      </c>
      <c r="J1525" s="375">
        <v>50818.979590000003</v>
      </c>
      <c r="K1525" s="375">
        <v>1582.8801599999999</v>
      </c>
      <c r="L1525" s="375">
        <v>3677.9320400000001</v>
      </c>
      <c r="M1525" s="375">
        <v>60826.141349999998</v>
      </c>
      <c r="N1525" s="372">
        <v>1.137</v>
      </c>
      <c r="O1525" s="704">
        <v>38.64318583211589</v>
      </c>
      <c r="P1525" s="375" t="s">
        <v>622</v>
      </c>
      <c r="Q1525" s="372" t="s">
        <v>622</v>
      </c>
      <c r="R1525" s="696">
        <v>20061027</v>
      </c>
      <c r="S1525" s="375" t="s">
        <v>10124</v>
      </c>
      <c r="T1525" s="697">
        <v>0.20900000000000002</v>
      </c>
      <c r="U1525" s="372" t="s">
        <v>10125</v>
      </c>
      <c r="V1525" s="723">
        <v>18.91</v>
      </c>
      <c r="W1525" s="723">
        <v>0.8</v>
      </c>
      <c r="X1525" s="723">
        <v>1.08</v>
      </c>
      <c r="Y1525" s="723">
        <v>13.55</v>
      </c>
      <c r="Z1525" s="382">
        <v>8.4344781089711329E-2</v>
      </c>
      <c r="AA1525" s="372">
        <v>446.08947030000002</v>
      </c>
      <c r="AB1525" s="372">
        <v>656.44973670000002</v>
      </c>
      <c r="AC1525" s="372">
        <v>818.58814170000005</v>
      </c>
      <c r="AD1525" s="372">
        <v>471.60458799999998</v>
      </c>
      <c r="AE1525" s="372">
        <v>454</v>
      </c>
      <c r="AF1525" s="372">
        <v>569</v>
      </c>
      <c r="AG1525" s="372">
        <v>652</v>
      </c>
      <c r="AH1525" s="372">
        <v>0</v>
      </c>
    </row>
    <row r="1526" spans="1:34">
      <c r="A1526" s="372" t="s">
        <v>10126</v>
      </c>
      <c r="B1526" s="373" t="s">
        <v>10127</v>
      </c>
      <c r="C1526" s="372" t="s">
        <v>10128</v>
      </c>
      <c r="D1526" s="374">
        <v>1845110021812</v>
      </c>
      <c r="E1526" s="372" t="s">
        <v>10129</v>
      </c>
      <c r="F1526" s="375" t="s">
        <v>10130</v>
      </c>
      <c r="G1526" s="375" t="s">
        <v>10131</v>
      </c>
      <c r="H1526" s="375" t="s">
        <v>861</v>
      </c>
      <c r="I1526" s="375" t="s">
        <v>862</v>
      </c>
      <c r="J1526" s="375">
        <v>496448.81738999998</v>
      </c>
      <c r="K1526" s="375">
        <v>42876.549420000003</v>
      </c>
      <c r="L1526" s="375">
        <v>47445.995430000003</v>
      </c>
      <c r="M1526" s="375">
        <v>189101.18056000001</v>
      </c>
      <c r="N1526" s="372">
        <v>0.65700000000000003</v>
      </c>
      <c r="O1526" s="704">
        <v>0</v>
      </c>
      <c r="P1526" s="375" t="s">
        <v>622</v>
      </c>
      <c r="Q1526" s="375" t="s">
        <v>622</v>
      </c>
      <c r="R1526" s="696">
        <v>20031112</v>
      </c>
      <c r="S1526" s="375" t="s">
        <v>10132</v>
      </c>
      <c r="T1526" s="697">
        <v>0.23100000000000001</v>
      </c>
      <c r="U1526" s="372" t="s">
        <v>10133</v>
      </c>
      <c r="V1526" s="723">
        <v>2.3199999999999998</v>
      </c>
      <c r="W1526" s="723">
        <v>0.59</v>
      </c>
      <c r="X1526" s="723">
        <v>0.24</v>
      </c>
      <c r="Y1526" s="723">
        <v>3.29</v>
      </c>
      <c r="Z1526" s="382" t="s">
        <v>927</v>
      </c>
      <c r="AA1526" s="372">
        <v>3124.8550337000001</v>
      </c>
      <c r="AB1526" s="372">
        <v>3306.5477231</v>
      </c>
      <c r="AC1526" s="372">
        <v>4684.4851388999996</v>
      </c>
      <c r="AD1526" s="372">
        <v>4145.9404731000004</v>
      </c>
      <c r="AE1526" s="372">
        <v>3753</v>
      </c>
      <c r="AF1526" s="372">
        <v>0</v>
      </c>
      <c r="AG1526" s="372">
        <v>0</v>
      </c>
      <c r="AH1526" s="372">
        <v>0</v>
      </c>
    </row>
    <row r="1527" spans="1:34">
      <c r="A1527" s="372" t="s">
        <v>10134</v>
      </c>
      <c r="B1527" s="373" t="s">
        <v>10135</v>
      </c>
      <c r="C1527" s="372" t="s">
        <v>10136</v>
      </c>
      <c r="D1527" s="374">
        <v>1101115794478</v>
      </c>
      <c r="E1527" s="372" t="s">
        <v>10137</v>
      </c>
      <c r="F1527" s="375" t="s">
        <v>1357</v>
      </c>
      <c r="G1527" s="375" t="s">
        <v>1357</v>
      </c>
      <c r="H1527" s="375" t="s">
        <v>861</v>
      </c>
      <c r="I1527" s="375" t="s">
        <v>862</v>
      </c>
      <c r="J1527" s="375">
        <v>75055.704530000003</v>
      </c>
      <c r="K1527" s="375">
        <v>6346.2636199999997</v>
      </c>
      <c r="L1527" s="375">
        <v>-5535.45129</v>
      </c>
      <c r="M1527" s="375">
        <v>59884.315750000002</v>
      </c>
      <c r="N1527" s="372">
        <v>0.432</v>
      </c>
      <c r="O1527" s="704">
        <v>29.214129119062303</v>
      </c>
      <c r="P1527" s="375" t="s">
        <v>622</v>
      </c>
      <c r="Q1527" s="372" t="s">
        <v>622</v>
      </c>
      <c r="R1527" s="696">
        <v>20151105</v>
      </c>
      <c r="S1527" s="372" t="s">
        <v>9018</v>
      </c>
      <c r="T1527" s="697" t="s">
        <v>771</v>
      </c>
      <c r="U1527" s="372" t="s">
        <v>10138</v>
      </c>
      <c r="V1527" s="723">
        <v>11.36</v>
      </c>
      <c r="W1527" s="723">
        <v>1.46</v>
      </c>
      <c r="X1527" s="723">
        <v>1.08</v>
      </c>
      <c r="Y1527" s="723" t="s">
        <v>773</v>
      </c>
      <c r="Z1527" s="382" t="s">
        <v>927</v>
      </c>
      <c r="AA1527" s="372">
        <v>360.46399630000002</v>
      </c>
      <c r="AB1527" s="372">
        <v>538.06095589999995</v>
      </c>
      <c r="AC1527" s="372">
        <v>607.20302219999996</v>
      </c>
      <c r="AD1527" s="372">
        <v>729.10268640000004</v>
      </c>
      <c r="AE1527" s="372">
        <v>1022</v>
      </c>
      <c r="AF1527" s="372">
        <v>1105</v>
      </c>
      <c r="AG1527" s="372">
        <v>0</v>
      </c>
      <c r="AH1527" s="372">
        <v>0</v>
      </c>
    </row>
    <row r="1528" spans="1:34">
      <c r="A1528" s="372" t="s">
        <v>10139</v>
      </c>
      <c r="B1528" s="373" t="s">
        <v>10140</v>
      </c>
      <c r="C1528" s="372" t="s">
        <v>10141</v>
      </c>
      <c r="D1528" s="374">
        <v>1101110550502</v>
      </c>
      <c r="E1528" s="372" t="s">
        <v>10142</v>
      </c>
      <c r="F1528" s="375" t="s">
        <v>2124</v>
      </c>
      <c r="G1528" s="375" t="s">
        <v>4231</v>
      </c>
      <c r="H1528" s="375" t="s">
        <v>861</v>
      </c>
      <c r="I1528" s="375" t="s">
        <v>862</v>
      </c>
      <c r="J1528" s="375">
        <v>29307.152190000001</v>
      </c>
      <c r="K1528" s="375">
        <v>955.85994000000005</v>
      </c>
      <c r="L1528" s="375">
        <v>1751.4657400000001</v>
      </c>
      <c r="M1528" s="375">
        <v>71962.774860000005</v>
      </c>
      <c r="N1528" s="372">
        <v>0.99099999999999999</v>
      </c>
      <c r="O1528" s="704">
        <v>0.20474227281111176</v>
      </c>
      <c r="P1528" s="375" t="s">
        <v>622</v>
      </c>
      <c r="Q1528" s="372" t="s">
        <v>622</v>
      </c>
      <c r="R1528" s="696">
        <v>20000811</v>
      </c>
      <c r="S1528" s="372" t="s">
        <v>10143</v>
      </c>
      <c r="T1528" s="697">
        <v>0.20900000000000002</v>
      </c>
      <c r="U1528" s="372" t="s">
        <v>10144</v>
      </c>
      <c r="V1528" s="723">
        <v>28.96</v>
      </c>
      <c r="W1528" s="723">
        <v>1.42</v>
      </c>
      <c r="X1528" s="723">
        <v>3.11</v>
      </c>
      <c r="Y1528" s="723">
        <v>148.08000000000001</v>
      </c>
      <c r="Z1528" s="382" t="s">
        <v>927</v>
      </c>
      <c r="AA1528" s="372">
        <v>294.43386129999999</v>
      </c>
      <c r="AB1528" s="372">
        <v>357.8419791</v>
      </c>
      <c r="AC1528" s="372">
        <v>352.0066731</v>
      </c>
      <c r="AD1528" s="372">
        <v>268.36556519999999</v>
      </c>
      <c r="AE1528" s="372">
        <v>0</v>
      </c>
      <c r="AF1528" s="372">
        <v>0</v>
      </c>
      <c r="AG1528" s="372">
        <v>0</v>
      </c>
      <c r="AH1528" s="372">
        <v>0</v>
      </c>
    </row>
    <row r="1529" spans="1:34">
      <c r="A1529" s="372" t="s">
        <v>10145</v>
      </c>
      <c r="B1529" s="373" t="s">
        <v>10146</v>
      </c>
      <c r="C1529" s="372" t="s">
        <v>10147</v>
      </c>
      <c r="D1529" s="374">
        <v>2055110049363</v>
      </c>
      <c r="E1529" s="372" t="s">
        <v>10148</v>
      </c>
      <c r="F1529" s="375" t="s">
        <v>1796</v>
      </c>
      <c r="G1529" s="375" t="s">
        <v>1797</v>
      </c>
      <c r="H1529" s="375" t="s">
        <v>861</v>
      </c>
      <c r="I1529" s="375" t="s">
        <v>862</v>
      </c>
      <c r="J1529" s="375">
        <v>6332.8508099999999</v>
      </c>
      <c r="K1529" s="375">
        <v>-11713.86787</v>
      </c>
      <c r="L1529" s="375">
        <v>-10897.674499999999</v>
      </c>
      <c r="M1529" s="375">
        <v>35315.40451</v>
      </c>
      <c r="N1529" s="372" t="s">
        <v>1026</v>
      </c>
      <c r="O1529" s="704">
        <v>18.876778321609091</v>
      </c>
      <c r="P1529" s="375" t="s">
        <v>622</v>
      </c>
      <c r="Q1529" s="375" t="s">
        <v>622</v>
      </c>
      <c r="R1529" s="696">
        <v>20230726</v>
      </c>
      <c r="S1529" s="375" t="s">
        <v>10149</v>
      </c>
      <c r="T1529" s="697" t="s">
        <v>771</v>
      </c>
      <c r="U1529" s="372" t="s">
        <v>10150</v>
      </c>
      <c r="V1529" s="723" t="s">
        <v>773</v>
      </c>
      <c r="W1529" s="723">
        <v>1.34</v>
      </c>
      <c r="X1529" s="723">
        <v>7.46</v>
      </c>
      <c r="Y1529" s="723" t="s">
        <v>773</v>
      </c>
      <c r="Z1529" s="382" t="s">
        <v>927</v>
      </c>
      <c r="AA1529" s="372">
        <v>21.783449999999998</v>
      </c>
      <c r="AB1529" s="372">
        <v>35.688971600000002</v>
      </c>
      <c r="AC1529" s="372">
        <v>50.564939600000002</v>
      </c>
      <c r="AD1529" s="372">
        <v>65.019623699999997</v>
      </c>
      <c r="AE1529" s="372">
        <v>0</v>
      </c>
      <c r="AF1529" s="372">
        <v>0</v>
      </c>
      <c r="AG1529" s="372">
        <v>0</v>
      </c>
      <c r="AH1529" s="372">
        <v>0</v>
      </c>
    </row>
    <row r="1530" spans="1:34">
      <c r="A1530" s="372" t="s">
        <v>10151</v>
      </c>
      <c r="B1530" s="373" t="s">
        <v>10152</v>
      </c>
      <c r="C1530" s="372" t="s">
        <v>10153</v>
      </c>
      <c r="D1530" s="374">
        <v>1101111453648</v>
      </c>
      <c r="E1530" s="372" t="s">
        <v>16324</v>
      </c>
      <c r="F1530" s="375" t="s">
        <v>2124</v>
      </c>
      <c r="G1530" s="375" t="s">
        <v>4466</v>
      </c>
      <c r="H1530" s="375" t="s">
        <v>861</v>
      </c>
      <c r="I1530" s="375" t="s">
        <v>862</v>
      </c>
      <c r="J1530" s="375">
        <v>35387.179349999999</v>
      </c>
      <c r="K1530" s="375">
        <v>-1761.4338600000001</v>
      </c>
      <c r="L1530" s="375">
        <v>-1881.53826</v>
      </c>
      <c r="M1530" s="375">
        <v>70019.18793</v>
      </c>
      <c r="N1530" s="372">
        <v>0.432</v>
      </c>
      <c r="O1530" s="704">
        <v>3.6860814327338591</v>
      </c>
      <c r="P1530" s="375" t="s">
        <v>622</v>
      </c>
      <c r="Q1530" s="375" t="s">
        <v>622</v>
      </c>
      <c r="R1530" s="696">
        <v>20151112</v>
      </c>
      <c r="S1530" s="375" t="s">
        <v>10154</v>
      </c>
      <c r="T1530" s="697" t="s">
        <v>771</v>
      </c>
      <c r="U1530" s="372" t="s">
        <v>15914</v>
      </c>
      <c r="V1530" s="723" t="s">
        <v>773</v>
      </c>
      <c r="W1530" s="723">
        <v>1.81</v>
      </c>
      <c r="X1530" s="723">
        <v>3.38</v>
      </c>
      <c r="Y1530" s="723" t="s">
        <v>773</v>
      </c>
      <c r="Z1530" s="382" t="s">
        <v>927</v>
      </c>
      <c r="AA1530" s="372">
        <v>277.75058660000002</v>
      </c>
      <c r="AB1530" s="372">
        <v>380.55373520000001</v>
      </c>
      <c r="AC1530" s="372">
        <v>411.68961919999998</v>
      </c>
      <c r="AD1530" s="372">
        <v>349.68541349999998</v>
      </c>
      <c r="AE1530" s="372">
        <v>0</v>
      </c>
      <c r="AF1530" s="372">
        <v>0</v>
      </c>
      <c r="AG1530" s="372">
        <v>0</v>
      </c>
      <c r="AH1530" s="372">
        <v>0</v>
      </c>
    </row>
    <row r="1531" spans="1:34">
      <c r="A1531" s="372" t="s">
        <v>10155</v>
      </c>
      <c r="B1531" s="373" t="s">
        <v>10156</v>
      </c>
      <c r="C1531" s="372" t="s">
        <v>10157</v>
      </c>
      <c r="D1531" s="374">
        <v>1101110775853</v>
      </c>
      <c r="E1531" s="372" t="s">
        <v>10158</v>
      </c>
      <c r="F1531" s="372" t="s">
        <v>3296</v>
      </c>
      <c r="G1531" s="375" t="s">
        <v>3296</v>
      </c>
      <c r="H1531" s="375" t="s">
        <v>3099</v>
      </c>
      <c r="I1531" s="375" t="s">
        <v>862</v>
      </c>
      <c r="J1531" s="375">
        <v>250196.69647</v>
      </c>
      <c r="K1531" s="375">
        <v>-1796.5785100000001</v>
      </c>
      <c r="L1531" s="375">
        <v>876.56070999999997</v>
      </c>
      <c r="M1531" s="375">
        <v>112403.31875999999</v>
      </c>
      <c r="N1531" s="372">
        <v>0.57499999999999996</v>
      </c>
      <c r="O1531" s="704">
        <v>17.632544532072746</v>
      </c>
      <c r="P1531" s="375" t="s">
        <v>622</v>
      </c>
      <c r="Q1531" s="375" t="s">
        <v>622</v>
      </c>
      <c r="R1531" s="696">
        <v>19971110</v>
      </c>
      <c r="S1531" s="375" t="s">
        <v>10159</v>
      </c>
      <c r="T1531" s="697">
        <v>0.20900000000000002</v>
      </c>
      <c r="U1531" s="375" t="s">
        <v>10160</v>
      </c>
      <c r="V1531" s="723">
        <v>733.46</v>
      </c>
      <c r="W1531" s="723">
        <v>0.56999999999999995</v>
      </c>
      <c r="X1531" s="723">
        <v>0.25</v>
      </c>
      <c r="Y1531" s="723" t="s">
        <v>773</v>
      </c>
      <c r="Z1531" s="382" t="s">
        <v>927</v>
      </c>
      <c r="AA1531" s="372">
        <v>2397.8650892999999</v>
      </c>
      <c r="AB1531" s="372">
        <v>2654.3592113999998</v>
      </c>
      <c r="AC1531" s="372">
        <v>2005.6447235000001</v>
      </c>
      <c r="AD1531" s="372">
        <v>2115.6247179000002</v>
      </c>
      <c r="AE1531" s="372">
        <v>0</v>
      </c>
      <c r="AF1531" s="372">
        <v>0</v>
      </c>
      <c r="AG1531" s="372">
        <v>0</v>
      </c>
      <c r="AH1531" s="372">
        <v>0</v>
      </c>
    </row>
    <row r="1532" spans="1:34">
      <c r="A1532" s="372" t="s">
        <v>10161</v>
      </c>
      <c r="B1532" s="373" t="s">
        <v>10162</v>
      </c>
      <c r="C1532" s="372" t="s">
        <v>10163</v>
      </c>
      <c r="D1532" s="374">
        <v>1301110006270</v>
      </c>
      <c r="E1532" s="372" t="s">
        <v>10164</v>
      </c>
      <c r="F1532" s="375" t="s">
        <v>1756</v>
      </c>
      <c r="G1532" s="375" t="s">
        <v>6499</v>
      </c>
      <c r="H1532" s="375" t="s">
        <v>753</v>
      </c>
      <c r="I1532" s="375" t="s">
        <v>754</v>
      </c>
      <c r="J1532" s="375">
        <v>148997.20352000001</v>
      </c>
      <c r="K1532" s="375">
        <v>-6631.1754300000002</v>
      </c>
      <c r="L1532" s="375">
        <v>1961.5757900000001</v>
      </c>
      <c r="M1532" s="375">
        <v>108903.38520999999</v>
      </c>
      <c r="N1532" s="372">
        <v>0.98799999999999999</v>
      </c>
      <c r="O1532" s="704">
        <v>36.37427706173213</v>
      </c>
      <c r="P1532" s="375" t="s">
        <v>622</v>
      </c>
      <c r="Q1532" s="375" t="s">
        <v>622</v>
      </c>
      <c r="R1532" s="696">
        <v>19900914</v>
      </c>
      <c r="S1532" s="375" t="s">
        <v>10165</v>
      </c>
      <c r="T1532" s="697">
        <v>0.20900000000000002</v>
      </c>
      <c r="U1532" s="372" t="s">
        <v>10166</v>
      </c>
      <c r="V1532" s="723">
        <v>0</v>
      </c>
      <c r="W1532" s="723">
        <v>0</v>
      </c>
      <c r="X1532" s="723">
        <v>0</v>
      </c>
      <c r="Y1532" s="723">
        <v>0</v>
      </c>
      <c r="Z1532" s="382" t="s">
        <v>927</v>
      </c>
      <c r="AA1532" s="372">
        <v>1235.4832452000001</v>
      </c>
      <c r="AB1532" s="372">
        <v>1370.9277001999999</v>
      </c>
      <c r="AC1532" s="372">
        <v>1382.3935590999999</v>
      </c>
      <c r="AD1532" s="372">
        <v>1612.2012178</v>
      </c>
      <c r="AE1532" s="372">
        <v>0</v>
      </c>
      <c r="AF1532" s="372">
        <v>0</v>
      </c>
      <c r="AG1532" s="372">
        <v>0</v>
      </c>
      <c r="AH1532" s="372">
        <v>0</v>
      </c>
    </row>
    <row r="1533" spans="1:34">
      <c r="A1533" s="372" t="s">
        <v>10167</v>
      </c>
      <c r="B1533" s="373" t="s">
        <v>10168</v>
      </c>
      <c r="C1533" s="372" t="s">
        <v>10169</v>
      </c>
      <c r="D1533" s="374">
        <v>1101111647671</v>
      </c>
      <c r="E1533" s="372" t="s">
        <v>10170</v>
      </c>
      <c r="F1533" s="375" t="s">
        <v>975</v>
      </c>
      <c r="G1533" s="375" t="s">
        <v>976</v>
      </c>
      <c r="H1533" s="375" t="s">
        <v>1337</v>
      </c>
      <c r="I1533" s="375" t="s">
        <v>862</v>
      </c>
      <c r="J1533" s="375">
        <v>484913.62409</v>
      </c>
      <c r="K1533" s="375">
        <v>10654.89033</v>
      </c>
      <c r="L1533" s="375">
        <v>15208.60636</v>
      </c>
      <c r="M1533" s="375">
        <v>101731.61165000001</v>
      </c>
      <c r="N1533" s="372">
        <v>0.77600000000000002</v>
      </c>
      <c r="O1533" s="704">
        <v>38.672310954724495</v>
      </c>
      <c r="P1533" s="375" t="s">
        <v>622</v>
      </c>
      <c r="Q1533" s="372" t="s">
        <v>622</v>
      </c>
      <c r="R1533" s="696">
        <v>20000425</v>
      </c>
      <c r="S1533" s="372" t="s">
        <v>10171</v>
      </c>
      <c r="T1533" s="697">
        <v>0.20900000000000002</v>
      </c>
      <c r="U1533" s="372" t="s">
        <v>10172</v>
      </c>
      <c r="V1533" s="723">
        <v>6.26</v>
      </c>
      <c r="W1533" s="723">
        <v>0.8</v>
      </c>
      <c r="X1533" s="723">
        <v>0.16</v>
      </c>
      <c r="Y1533" s="723">
        <v>5.41</v>
      </c>
      <c r="Z1533" s="382">
        <v>5.8112567090546907E-2</v>
      </c>
      <c r="AA1533" s="372">
        <v>3208.9444656000001</v>
      </c>
      <c r="AB1533" s="372">
        <v>3212.2355883</v>
      </c>
      <c r="AC1533" s="372">
        <v>3894.9392403000002</v>
      </c>
      <c r="AD1533" s="372">
        <v>4771.4053420999999</v>
      </c>
      <c r="AE1533" s="372">
        <v>5163</v>
      </c>
      <c r="AF1533" s="372">
        <v>5567</v>
      </c>
      <c r="AG1533" s="372">
        <v>5981</v>
      </c>
      <c r="AH1533" s="372">
        <v>0</v>
      </c>
    </row>
    <row r="1534" spans="1:34">
      <c r="A1534" s="372" t="s">
        <v>10173</v>
      </c>
      <c r="B1534" s="373" t="s">
        <v>10174</v>
      </c>
      <c r="C1534" s="372" t="s">
        <v>10175</v>
      </c>
      <c r="D1534" s="374">
        <v>1313110080427</v>
      </c>
      <c r="E1534" s="372" t="s">
        <v>10176</v>
      </c>
      <c r="F1534" s="375" t="s">
        <v>3296</v>
      </c>
      <c r="G1534" s="375" t="s">
        <v>3296</v>
      </c>
      <c r="H1534" s="375" t="s">
        <v>846</v>
      </c>
      <c r="I1534" s="375" t="s">
        <v>754</v>
      </c>
      <c r="J1534" s="375">
        <v>6435.7015300000003</v>
      </c>
      <c r="K1534" s="375">
        <v>-5481.7108500000004</v>
      </c>
      <c r="L1534" s="375">
        <v>-172.50698</v>
      </c>
      <c r="M1534" s="375">
        <v>149896.97159999999</v>
      </c>
      <c r="N1534" s="372">
        <v>1.165</v>
      </c>
      <c r="O1534" s="704">
        <v>0.53759618894976602</v>
      </c>
      <c r="P1534" s="375" t="s">
        <v>16115</v>
      </c>
      <c r="Q1534" s="375" t="s">
        <v>16116</v>
      </c>
      <c r="R1534" s="696">
        <v>20080402</v>
      </c>
      <c r="S1534" s="375" t="s">
        <v>10177</v>
      </c>
      <c r="T1534" s="697" t="s">
        <v>771</v>
      </c>
      <c r="U1534" s="372" t="s">
        <v>10178</v>
      </c>
      <c r="V1534" s="723">
        <v>0</v>
      </c>
      <c r="W1534" s="723">
        <v>0</v>
      </c>
      <c r="X1534" s="723">
        <v>0</v>
      </c>
      <c r="Y1534" s="723">
        <v>0</v>
      </c>
      <c r="Z1534" s="382" t="s">
        <v>927</v>
      </c>
      <c r="AA1534" s="372">
        <v>102.17711610000001</v>
      </c>
      <c r="AB1534" s="372">
        <v>104.80817709999999</v>
      </c>
      <c r="AC1534" s="372">
        <v>104.19522000000001</v>
      </c>
      <c r="AD1534" s="372">
        <v>62.408046300000002</v>
      </c>
      <c r="AE1534" s="372">
        <v>0</v>
      </c>
      <c r="AF1534" s="372">
        <v>0</v>
      </c>
      <c r="AG1534" s="372">
        <v>0</v>
      </c>
      <c r="AH1534" s="372">
        <v>0</v>
      </c>
    </row>
    <row r="1535" spans="1:34">
      <c r="A1535" s="372" t="s">
        <v>10179</v>
      </c>
      <c r="B1535" s="373" t="s">
        <v>10180</v>
      </c>
      <c r="C1535" s="372" t="s">
        <v>10181</v>
      </c>
      <c r="D1535" s="374">
        <v>1348110018641</v>
      </c>
      <c r="E1535" s="372" t="s">
        <v>10182</v>
      </c>
      <c r="F1535" s="375" t="s">
        <v>893</v>
      </c>
      <c r="G1535" s="375" t="s">
        <v>894</v>
      </c>
      <c r="H1535" s="375" t="s">
        <v>855</v>
      </c>
      <c r="I1535" s="375" t="s">
        <v>754</v>
      </c>
      <c r="J1535" s="375">
        <v>606948.12535999995</v>
      </c>
      <c r="K1535" s="375">
        <v>15639.13054</v>
      </c>
      <c r="L1535" s="375">
        <v>10496.03102</v>
      </c>
      <c r="M1535" s="375">
        <v>255486.45999</v>
      </c>
      <c r="N1535" s="372">
        <v>0.58199999999999996</v>
      </c>
      <c r="O1535" s="704">
        <v>598.33052931924919</v>
      </c>
      <c r="P1535" s="375" t="s">
        <v>622</v>
      </c>
      <c r="Q1535" s="372" t="s">
        <v>622</v>
      </c>
      <c r="R1535" s="696">
        <v>20020205</v>
      </c>
      <c r="S1535" s="372" t="s">
        <v>10183</v>
      </c>
      <c r="T1535" s="697">
        <v>0.20900000000000002</v>
      </c>
      <c r="U1535" s="372" t="s">
        <v>10184</v>
      </c>
      <c r="V1535" s="723">
        <v>11.68</v>
      </c>
      <c r="W1535" s="723">
        <v>0.35</v>
      </c>
      <c r="X1535" s="723">
        <v>0.14000000000000001</v>
      </c>
      <c r="Y1535" s="723">
        <v>7.88</v>
      </c>
      <c r="Z1535" s="382" t="s">
        <v>927</v>
      </c>
      <c r="AA1535" s="372">
        <v>5259.0430647000003</v>
      </c>
      <c r="AB1535" s="372">
        <v>5759.9820164000002</v>
      </c>
      <c r="AC1535" s="372">
        <v>6174.0377502000001</v>
      </c>
      <c r="AD1535" s="372">
        <v>6285.9701922000004</v>
      </c>
      <c r="AE1535" s="372">
        <v>0</v>
      </c>
      <c r="AF1535" s="372">
        <v>0</v>
      </c>
      <c r="AG1535" s="372">
        <v>0</v>
      </c>
      <c r="AH1535" s="372">
        <v>0</v>
      </c>
    </row>
    <row r="1536" spans="1:34">
      <c r="A1536" s="372" t="s">
        <v>10185</v>
      </c>
      <c r="B1536" s="373" t="s">
        <v>10186</v>
      </c>
      <c r="C1536" s="372" t="s">
        <v>10187</v>
      </c>
      <c r="D1536" s="374">
        <v>1201110144999</v>
      </c>
      <c r="E1536" s="372" t="s">
        <v>10188</v>
      </c>
      <c r="F1536" s="375" t="s">
        <v>845</v>
      </c>
      <c r="G1536" s="375" t="s">
        <v>845</v>
      </c>
      <c r="H1536" s="375" t="s">
        <v>3099</v>
      </c>
      <c r="I1536" s="375" t="s">
        <v>862</v>
      </c>
      <c r="J1536" s="375">
        <v>37794.375939999998</v>
      </c>
      <c r="K1536" s="375">
        <v>-12834.593769999999</v>
      </c>
      <c r="L1536" s="375">
        <v>-10949.833490000001</v>
      </c>
      <c r="M1536" s="375">
        <v>14980.24685</v>
      </c>
      <c r="N1536" s="372">
        <v>0.78600000000000003</v>
      </c>
      <c r="O1536" s="704">
        <v>38.813037622150134</v>
      </c>
      <c r="P1536" s="375" t="s">
        <v>622</v>
      </c>
      <c r="Q1536" s="372" t="s">
        <v>622</v>
      </c>
      <c r="R1536" s="696">
        <v>20050105</v>
      </c>
      <c r="S1536" s="372" t="s">
        <v>10189</v>
      </c>
      <c r="T1536" s="697" t="s">
        <v>771</v>
      </c>
      <c r="U1536" s="372" t="s">
        <v>10190</v>
      </c>
      <c r="V1536" s="723" t="s">
        <v>773</v>
      </c>
      <c r="W1536" s="723">
        <v>3.86</v>
      </c>
      <c r="X1536" s="723">
        <v>1.54</v>
      </c>
      <c r="Y1536" s="723" t="s">
        <v>773</v>
      </c>
      <c r="Z1536" s="382" t="s">
        <v>927</v>
      </c>
      <c r="AA1536" s="372">
        <v>852.6055503</v>
      </c>
      <c r="AB1536" s="372">
        <v>754.50508230000003</v>
      </c>
      <c r="AC1536" s="372">
        <v>666.83494880000001</v>
      </c>
      <c r="AD1536" s="372">
        <v>503.47819479999998</v>
      </c>
      <c r="AE1536" s="372">
        <v>0</v>
      </c>
      <c r="AF1536" s="372">
        <v>0</v>
      </c>
      <c r="AG1536" s="372">
        <v>0</v>
      </c>
      <c r="AH1536" s="372">
        <v>0</v>
      </c>
    </row>
    <row r="1537" spans="1:34">
      <c r="A1537" s="372" t="s">
        <v>10191</v>
      </c>
      <c r="B1537" s="373" t="s">
        <v>10192</v>
      </c>
      <c r="C1537" s="372" t="s">
        <v>10193</v>
      </c>
      <c r="D1537" s="374">
        <v>1201110001818</v>
      </c>
      <c r="E1537" s="372" t="s">
        <v>10194</v>
      </c>
      <c r="F1537" s="372" t="s">
        <v>10195</v>
      </c>
      <c r="G1537" s="375" t="s">
        <v>10196</v>
      </c>
      <c r="H1537" s="375" t="s">
        <v>968</v>
      </c>
      <c r="I1537" s="375" t="s">
        <v>754</v>
      </c>
      <c r="J1537" s="375">
        <v>231233.74217000001</v>
      </c>
      <c r="K1537" s="375">
        <v>6492.14858</v>
      </c>
      <c r="L1537" s="375">
        <v>5966.1894000000002</v>
      </c>
      <c r="M1537" s="375">
        <v>260099.75523000001</v>
      </c>
      <c r="N1537" s="372">
        <v>0.54400000000000004</v>
      </c>
      <c r="O1537" s="704">
        <v>203.18030209134861</v>
      </c>
      <c r="P1537" s="375" t="s">
        <v>622</v>
      </c>
      <c r="Q1537" s="372" t="s">
        <v>622</v>
      </c>
      <c r="R1537" s="696">
        <v>19880930</v>
      </c>
      <c r="S1537" s="372" t="s">
        <v>10197</v>
      </c>
      <c r="T1537" s="697">
        <v>0.20900000000000002</v>
      </c>
      <c r="U1537" s="372" t="s">
        <v>10198</v>
      </c>
      <c r="V1537" s="723">
        <v>7.6</v>
      </c>
      <c r="W1537" s="723">
        <v>0.34</v>
      </c>
      <c r="X1537" s="723">
        <v>0.42</v>
      </c>
      <c r="Y1537" s="723">
        <v>34.07</v>
      </c>
      <c r="Z1537" s="382" t="s">
        <v>927</v>
      </c>
      <c r="AA1537" s="372">
        <v>2478.5772014999998</v>
      </c>
      <c r="AB1537" s="372">
        <v>2954.2826782000002</v>
      </c>
      <c r="AC1537" s="372">
        <v>3256.9958738999999</v>
      </c>
      <c r="AD1537" s="372">
        <v>2479.2919883999998</v>
      </c>
      <c r="AE1537" s="372">
        <v>3781</v>
      </c>
      <c r="AF1537" s="372">
        <v>0</v>
      </c>
      <c r="AG1537" s="372">
        <v>0</v>
      </c>
      <c r="AH1537" s="372">
        <v>0</v>
      </c>
    </row>
    <row r="1538" spans="1:34">
      <c r="A1538" s="372" t="s">
        <v>10199</v>
      </c>
      <c r="B1538" s="373" t="s">
        <v>10200</v>
      </c>
      <c r="C1538" s="372" t="s">
        <v>10201</v>
      </c>
      <c r="D1538" s="374">
        <v>1101110414126</v>
      </c>
      <c r="E1538" s="372" t="s">
        <v>10202</v>
      </c>
      <c r="F1538" s="375" t="s">
        <v>10203</v>
      </c>
      <c r="G1538" s="375" t="s">
        <v>10203</v>
      </c>
      <c r="H1538" s="375" t="s">
        <v>817</v>
      </c>
      <c r="I1538" s="375" t="s">
        <v>754</v>
      </c>
      <c r="J1538" s="375">
        <v>865727.97464999999</v>
      </c>
      <c r="K1538" s="375">
        <v>20428.847580000001</v>
      </c>
      <c r="L1538" s="375">
        <v>18899.637940000001</v>
      </c>
      <c r="M1538" s="375">
        <v>222808.97709999999</v>
      </c>
      <c r="N1538" s="372">
        <v>0.82199999999999995</v>
      </c>
      <c r="O1538" s="704">
        <v>92.241806675815468</v>
      </c>
      <c r="P1538" s="375" t="s">
        <v>622</v>
      </c>
      <c r="Q1538" s="372" t="s">
        <v>622</v>
      </c>
      <c r="R1538" s="696">
        <v>19970212</v>
      </c>
      <c r="S1538" s="372" t="s">
        <v>10204</v>
      </c>
      <c r="T1538" s="697">
        <v>0.20900000000000002</v>
      </c>
      <c r="U1538" s="372" t="s">
        <v>10205</v>
      </c>
      <c r="V1538" s="723">
        <v>4.16</v>
      </c>
      <c r="W1538" s="723">
        <v>0.4</v>
      </c>
      <c r="X1538" s="723">
        <v>0.08</v>
      </c>
      <c r="Y1538" s="723">
        <v>4.3600000000000003</v>
      </c>
      <c r="Z1538" s="382" t="s">
        <v>927</v>
      </c>
      <c r="AA1538" s="372">
        <v>2386.3063713000001</v>
      </c>
      <c r="AB1538" s="372">
        <v>3825.0007005000002</v>
      </c>
      <c r="AC1538" s="372">
        <v>7098.4722186999998</v>
      </c>
      <c r="AD1538" s="372">
        <v>8925.7286292000008</v>
      </c>
      <c r="AE1538" s="372">
        <v>0</v>
      </c>
      <c r="AF1538" s="372">
        <v>0</v>
      </c>
      <c r="AG1538" s="372">
        <v>0</v>
      </c>
      <c r="AH1538" s="372">
        <v>0</v>
      </c>
    </row>
    <row r="1539" spans="1:34">
      <c r="A1539" s="372" t="s">
        <v>10206</v>
      </c>
      <c r="B1539" s="373" t="s">
        <v>10207</v>
      </c>
      <c r="C1539" s="372" t="s">
        <v>10208</v>
      </c>
      <c r="D1539" s="374">
        <v>1701110031881</v>
      </c>
      <c r="E1539" s="372" t="s">
        <v>10209</v>
      </c>
      <c r="F1539" s="375" t="s">
        <v>3885</v>
      </c>
      <c r="G1539" s="375" t="s">
        <v>7794</v>
      </c>
      <c r="H1539" s="375" t="s">
        <v>895</v>
      </c>
      <c r="I1539" s="375" t="s">
        <v>862</v>
      </c>
      <c r="J1539" s="375">
        <v>0</v>
      </c>
      <c r="K1539" s="375">
        <v>0</v>
      </c>
      <c r="L1539" s="375">
        <v>0</v>
      </c>
      <c r="M1539" s="375">
        <v>0</v>
      </c>
      <c r="N1539" s="372">
        <v>0.53100000000000003</v>
      </c>
      <c r="O1539" s="704" t="s">
        <v>16301</v>
      </c>
      <c r="P1539" s="375" t="s">
        <v>622</v>
      </c>
      <c r="Q1539" s="372" t="s">
        <v>622</v>
      </c>
      <c r="R1539" s="696">
        <v>19991127</v>
      </c>
      <c r="S1539" s="372" t="s">
        <v>10210</v>
      </c>
      <c r="T1539" s="697" t="s">
        <v>771</v>
      </c>
      <c r="U1539" s="372" t="s">
        <v>10211</v>
      </c>
      <c r="V1539" s="723">
        <v>0</v>
      </c>
      <c r="W1539" s="723">
        <v>0</v>
      </c>
      <c r="X1539" s="723">
        <v>0</v>
      </c>
      <c r="Y1539" s="723">
        <v>0</v>
      </c>
      <c r="Z1539" s="382" t="s">
        <v>927</v>
      </c>
      <c r="AA1539" s="372">
        <v>113.4215682</v>
      </c>
      <c r="AB1539" s="372">
        <v>218.7615145</v>
      </c>
      <c r="AC1539" s="372">
        <v>136.5685087</v>
      </c>
      <c r="AD1539" s="372">
        <v>123.6326555</v>
      </c>
      <c r="AE1539" s="372">
        <v>0</v>
      </c>
      <c r="AF1539" s="372">
        <v>0</v>
      </c>
      <c r="AG1539" s="372">
        <v>0</v>
      </c>
      <c r="AH1539" s="372">
        <v>0</v>
      </c>
    </row>
    <row r="1540" spans="1:34">
      <c r="A1540" s="372" t="s">
        <v>10212</v>
      </c>
      <c r="B1540" s="373" t="s">
        <v>10213</v>
      </c>
      <c r="C1540" s="372" t="s">
        <v>10214</v>
      </c>
      <c r="D1540" s="374">
        <v>1701110080458</v>
      </c>
      <c r="E1540" s="372" t="s">
        <v>10215</v>
      </c>
      <c r="F1540" s="375" t="s">
        <v>3685</v>
      </c>
      <c r="G1540" s="375" t="s">
        <v>3685</v>
      </c>
      <c r="H1540" s="375" t="s">
        <v>1337</v>
      </c>
      <c r="I1540" s="375" t="s">
        <v>862</v>
      </c>
      <c r="J1540" s="375">
        <v>42209.233820000001</v>
      </c>
      <c r="K1540" s="375">
        <v>1798.6660199999999</v>
      </c>
      <c r="L1540" s="375">
        <v>5223.2650800000001</v>
      </c>
      <c r="M1540" s="375">
        <v>126959.17891</v>
      </c>
      <c r="N1540" s="372">
        <v>0.5</v>
      </c>
      <c r="O1540" s="704">
        <v>0</v>
      </c>
      <c r="P1540" s="375" t="s">
        <v>622</v>
      </c>
      <c r="Q1540" s="372" t="s">
        <v>622</v>
      </c>
      <c r="R1540" s="696">
        <v>20101129</v>
      </c>
      <c r="S1540" s="372" t="s">
        <v>10216</v>
      </c>
      <c r="T1540" s="697">
        <v>0.20900000000000002</v>
      </c>
      <c r="U1540" s="372" t="s">
        <v>10217</v>
      </c>
      <c r="V1540" s="723">
        <v>25.22</v>
      </c>
      <c r="W1540" s="723">
        <v>0.6</v>
      </c>
      <c r="X1540" s="723">
        <v>1.85</v>
      </c>
      <c r="Y1540" s="723">
        <v>18.579999999999998</v>
      </c>
      <c r="Z1540" s="382" t="s">
        <v>927</v>
      </c>
      <c r="AA1540" s="372">
        <v>352.91791910000001</v>
      </c>
      <c r="AB1540" s="372">
        <v>428.4254818</v>
      </c>
      <c r="AC1540" s="372">
        <v>424.8328722</v>
      </c>
      <c r="AD1540" s="372">
        <v>435.05868959999998</v>
      </c>
      <c r="AE1540" s="372">
        <v>0</v>
      </c>
      <c r="AF1540" s="372">
        <v>0</v>
      </c>
      <c r="AG1540" s="372">
        <v>0</v>
      </c>
      <c r="AH1540" s="372">
        <v>0</v>
      </c>
    </row>
    <row r="1541" spans="1:34">
      <c r="A1541" s="372" t="s">
        <v>10218</v>
      </c>
      <c r="B1541" s="373" t="s">
        <v>10219</v>
      </c>
      <c r="C1541" s="372" t="s">
        <v>10220</v>
      </c>
      <c r="D1541" s="374">
        <v>1101114778267</v>
      </c>
      <c r="E1541" s="372" t="s">
        <v>10221</v>
      </c>
      <c r="F1541" s="375" t="s">
        <v>3885</v>
      </c>
      <c r="G1541" s="375" t="s">
        <v>7794</v>
      </c>
      <c r="H1541" s="375" t="s">
        <v>895</v>
      </c>
      <c r="I1541" s="375" t="s">
        <v>862</v>
      </c>
      <c r="J1541" s="375">
        <v>0</v>
      </c>
      <c r="K1541" s="375">
        <v>0</v>
      </c>
      <c r="L1541" s="375">
        <v>0</v>
      </c>
      <c r="M1541" s="375">
        <v>0</v>
      </c>
      <c r="N1541" s="372">
        <v>0.6</v>
      </c>
      <c r="O1541" s="704" t="s">
        <v>16301</v>
      </c>
      <c r="P1541" s="375" t="s">
        <v>622</v>
      </c>
      <c r="Q1541" s="375" t="s">
        <v>622</v>
      </c>
      <c r="R1541" s="696">
        <v>20161219</v>
      </c>
      <c r="S1541" s="375" t="s">
        <v>10222</v>
      </c>
      <c r="T1541" s="697" t="s">
        <v>771</v>
      </c>
      <c r="U1541" s="372" t="s">
        <v>10223</v>
      </c>
      <c r="V1541" s="723">
        <v>0</v>
      </c>
      <c r="W1541" s="723">
        <v>0</v>
      </c>
      <c r="X1541" s="723">
        <v>0</v>
      </c>
      <c r="Y1541" s="723">
        <v>0</v>
      </c>
      <c r="Z1541" s="382" t="s">
        <v>927</v>
      </c>
      <c r="AA1541" s="372">
        <v>387.4298594</v>
      </c>
      <c r="AB1541" s="372">
        <v>308.6932339</v>
      </c>
      <c r="AC1541" s="372">
        <v>337.75348320000001</v>
      </c>
      <c r="AD1541" s="372">
        <v>335.64906109999998</v>
      </c>
      <c r="AE1541" s="372">
        <v>0</v>
      </c>
      <c r="AF1541" s="372">
        <v>0</v>
      </c>
      <c r="AG1541" s="372">
        <v>0</v>
      </c>
      <c r="AH1541" s="372">
        <v>0</v>
      </c>
    </row>
    <row r="1542" spans="1:34">
      <c r="A1542" s="372" t="s">
        <v>10224</v>
      </c>
      <c r="B1542" s="373" t="s">
        <v>10225</v>
      </c>
      <c r="C1542" s="372" t="s">
        <v>10226</v>
      </c>
      <c r="D1542" s="374">
        <v>1311110405166</v>
      </c>
      <c r="E1542" s="372" t="s">
        <v>10227</v>
      </c>
      <c r="F1542" s="375" t="s">
        <v>1796</v>
      </c>
      <c r="G1542" s="375" t="s">
        <v>2797</v>
      </c>
      <c r="H1542" s="375" t="s">
        <v>861</v>
      </c>
      <c r="I1542" s="375" t="s">
        <v>862</v>
      </c>
      <c r="J1542" s="375">
        <v>37765.291519999999</v>
      </c>
      <c r="K1542" s="375">
        <v>39.57779</v>
      </c>
      <c r="L1542" s="375">
        <v>441.62133999999998</v>
      </c>
      <c r="M1542" s="375">
        <v>37555.165280000001</v>
      </c>
      <c r="N1542" s="372">
        <v>0.84799999999999998</v>
      </c>
      <c r="O1542" s="704">
        <v>7.9757462550232745</v>
      </c>
      <c r="P1542" s="375" t="s">
        <v>622</v>
      </c>
      <c r="Q1542" s="375" t="s">
        <v>622</v>
      </c>
      <c r="R1542" s="696">
        <v>20210811</v>
      </c>
      <c r="S1542" s="375" t="s">
        <v>10228</v>
      </c>
      <c r="T1542" s="697">
        <v>0.20900000000000002</v>
      </c>
      <c r="U1542" s="372" t="s">
        <v>15915</v>
      </c>
      <c r="V1542" s="723">
        <v>29.05</v>
      </c>
      <c r="W1542" s="723">
        <v>1.03</v>
      </c>
      <c r="X1542" s="723">
        <v>1.28</v>
      </c>
      <c r="Y1542" s="723">
        <v>239.15</v>
      </c>
      <c r="Z1542" s="382" t="s">
        <v>927</v>
      </c>
      <c r="AA1542" s="372">
        <v>146.9609313</v>
      </c>
      <c r="AB1542" s="372">
        <v>316.99211600000001</v>
      </c>
      <c r="AC1542" s="372">
        <v>502.91114349999998</v>
      </c>
      <c r="AD1542" s="372">
        <v>396.68183090000002</v>
      </c>
      <c r="AE1542" s="372">
        <v>724</v>
      </c>
      <c r="AF1542" s="372">
        <v>879</v>
      </c>
      <c r="AG1542" s="372">
        <v>0</v>
      </c>
      <c r="AH1542" s="372">
        <v>0</v>
      </c>
    </row>
    <row r="1543" spans="1:34">
      <c r="A1543" s="372" t="s">
        <v>10229</v>
      </c>
      <c r="B1543" s="373" t="s">
        <v>10230</v>
      </c>
      <c r="C1543" s="372" t="s">
        <v>10231</v>
      </c>
      <c r="D1543" s="374">
        <v>1101110027353</v>
      </c>
      <c r="E1543" s="372" t="s">
        <v>10232</v>
      </c>
      <c r="F1543" s="375" t="s">
        <v>1323</v>
      </c>
      <c r="G1543" s="375" t="s">
        <v>16106</v>
      </c>
      <c r="H1543" s="375" t="s">
        <v>861</v>
      </c>
      <c r="I1543" s="375" t="s">
        <v>862</v>
      </c>
      <c r="J1543" s="375">
        <v>105729.88711</v>
      </c>
      <c r="K1543" s="375">
        <v>6237.01044</v>
      </c>
      <c r="L1543" s="375">
        <v>4106.6020200000003</v>
      </c>
      <c r="M1543" s="375">
        <v>65216.592409999997</v>
      </c>
      <c r="N1543" s="372">
        <v>0.20300000000000001</v>
      </c>
      <c r="O1543" s="704">
        <v>49.862104353925162</v>
      </c>
      <c r="P1543" s="375" t="s">
        <v>622</v>
      </c>
      <c r="Q1543" s="372" t="s">
        <v>622</v>
      </c>
      <c r="R1543" s="696">
        <v>20170228</v>
      </c>
      <c r="S1543" s="372" t="s">
        <v>10233</v>
      </c>
      <c r="T1543" s="697">
        <v>0.20900000000000002</v>
      </c>
      <c r="U1543" s="372" t="s">
        <v>10234</v>
      </c>
      <c r="V1543" s="723">
        <v>13.22</v>
      </c>
      <c r="W1543" s="723">
        <v>1.5</v>
      </c>
      <c r="X1543" s="723">
        <v>0.93</v>
      </c>
      <c r="Y1543" s="723">
        <v>24.64</v>
      </c>
      <c r="Z1543" s="382" t="s">
        <v>927</v>
      </c>
      <c r="AA1543" s="372">
        <v>671.28841179999995</v>
      </c>
      <c r="AB1543" s="372">
        <v>740.07577819999995</v>
      </c>
      <c r="AC1543" s="372">
        <v>919.25822960000005</v>
      </c>
      <c r="AD1543" s="372">
        <v>1025.8557621</v>
      </c>
      <c r="AE1543" s="372">
        <v>0</v>
      </c>
      <c r="AF1543" s="372">
        <v>0</v>
      </c>
      <c r="AG1543" s="372">
        <v>0</v>
      </c>
      <c r="AH1543" s="372">
        <v>0</v>
      </c>
    </row>
    <row r="1544" spans="1:34">
      <c r="A1544" s="372" t="s">
        <v>10235</v>
      </c>
      <c r="B1544" s="373" t="s">
        <v>10236</v>
      </c>
      <c r="C1544" s="372" t="s">
        <v>10237</v>
      </c>
      <c r="D1544" s="374">
        <v>1341110005202</v>
      </c>
      <c r="E1544" s="372" t="s">
        <v>10238</v>
      </c>
      <c r="F1544" s="375" t="s">
        <v>2834</v>
      </c>
      <c r="G1544" s="375" t="s">
        <v>2834</v>
      </c>
      <c r="H1544" s="375" t="s">
        <v>753</v>
      </c>
      <c r="I1544" s="375" t="s">
        <v>754</v>
      </c>
      <c r="J1544" s="375">
        <v>273713.79116999998</v>
      </c>
      <c r="K1544" s="375">
        <v>22822.907670000001</v>
      </c>
      <c r="L1544" s="375">
        <v>28768.082340000001</v>
      </c>
      <c r="M1544" s="375">
        <v>170620.68867999999</v>
      </c>
      <c r="N1544" s="372">
        <v>8.1000000000000003E-2</v>
      </c>
      <c r="O1544" s="704">
        <v>1.5514853732836151</v>
      </c>
      <c r="P1544" s="375" t="s">
        <v>622</v>
      </c>
      <c r="Q1544" s="375" t="s">
        <v>622</v>
      </c>
      <c r="R1544" s="696">
        <v>19910903</v>
      </c>
      <c r="S1544" s="375" t="s">
        <v>10239</v>
      </c>
      <c r="T1544" s="697">
        <v>0.23100000000000001</v>
      </c>
      <c r="U1544" s="372" t="s">
        <v>10240</v>
      </c>
      <c r="V1544" s="723">
        <v>0</v>
      </c>
      <c r="W1544" s="723">
        <v>0</v>
      </c>
      <c r="X1544" s="723">
        <v>0</v>
      </c>
      <c r="Y1544" s="723">
        <v>0</v>
      </c>
      <c r="Z1544" s="382" t="s">
        <v>927</v>
      </c>
      <c r="AA1544" s="372">
        <v>2012.6969658</v>
      </c>
      <c r="AB1544" s="372">
        <v>2277.0190793000002</v>
      </c>
      <c r="AC1544" s="372">
        <v>2224.7089761000002</v>
      </c>
      <c r="AD1544" s="372">
        <v>2288.4387501000001</v>
      </c>
      <c r="AE1544" s="372">
        <v>0</v>
      </c>
      <c r="AF1544" s="372">
        <v>0</v>
      </c>
      <c r="AG1544" s="372">
        <v>0</v>
      </c>
      <c r="AH1544" s="372">
        <v>0</v>
      </c>
    </row>
    <row r="1545" spans="1:34">
      <c r="A1545" s="372" t="s">
        <v>10241</v>
      </c>
      <c r="B1545" s="373" t="s">
        <v>10242</v>
      </c>
      <c r="C1545" s="372" t="s">
        <v>10243</v>
      </c>
      <c r="D1545" s="374">
        <v>1101112003640</v>
      </c>
      <c r="E1545" s="372" t="s">
        <v>10244</v>
      </c>
      <c r="F1545" s="375" t="s">
        <v>1796</v>
      </c>
      <c r="G1545" s="375" t="s">
        <v>2797</v>
      </c>
      <c r="H1545" s="375" t="s">
        <v>861</v>
      </c>
      <c r="I1545" s="375" t="s">
        <v>862</v>
      </c>
      <c r="J1545" s="375">
        <v>25619.225480000001</v>
      </c>
      <c r="K1545" s="375">
        <v>-381.67586999999997</v>
      </c>
      <c r="L1545" s="375">
        <v>414.84656000000001</v>
      </c>
      <c r="M1545" s="375">
        <v>33395.440399999999</v>
      </c>
      <c r="N1545" s="372" t="s">
        <v>1026</v>
      </c>
      <c r="O1545" s="704">
        <v>7.264074934561858</v>
      </c>
      <c r="P1545" s="375" t="s">
        <v>622</v>
      </c>
      <c r="Q1545" s="375" t="s">
        <v>622</v>
      </c>
      <c r="R1545" s="696">
        <v>20231004</v>
      </c>
      <c r="S1545" s="375" t="s">
        <v>10245</v>
      </c>
      <c r="T1545" s="697">
        <v>0.20900000000000002</v>
      </c>
      <c r="U1545" s="372" t="s">
        <v>10246</v>
      </c>
      <c r="V1545" s="723" t="s">
        <v>773</v>
      </c>
      <c r="W1545" s="723">
        <v>2.09</v>
      </c>
      <c r="X1545" s="723">
        <v>2.72</v>
      </c>
      <c r="Y1545" s="723">
        <v>59.23</v>
      </c>
      <c r="Z1545" s="382" t="s">
        <v>927</v>
      </c>
      <c r="AA1545" s="372">
        <v>155.36584819999999</v>
      </c>
      <c r="AB1545" s="372">
        <v>184.0876122</v>
      </c>
      <c r="AC1545" s="372">
        <v>219.028166</v>
      </c>
      <c r="AD1545" s="372">
        <v>240.95098859999999</v>
      </c>
      <c r="AE1545" s="372">
        <v>0</v>
      </c>
      <c r="AF1545" s="372">
        <v>0</v>
      </c>
      <c r="AG1545" s="372">
        <v>0</v>
      </c>
      <c r="AH1545" s="372">
        <v>0</v>
      </c>
    </row>
    <row r="1546" spans="1:34">
      <c r="A1546" s="372" t="s">
        <v>10247</v>
      </c>
      <c r="B1546" s="373" t="s">
        <v>10248</v>
      </c>
      <c r="C1546" s="372" t="s">
        <v>10249</v>
      </c>
      <c r="D1546" s="374">
        <v>1101110110083</v>
      </c>
      <c r="E1546" s="372" t="s">
        <v>10250</v>
      </c>
      <c r="F1546" s="372" t="s">
        <v>1591</v>
      </c>
      <c r="G1546" s="375" t="s">
        <v>1591</v>
      </c>
      <c r="H1546" s="375" t="s">
        <v>946</v>
      </c>
      <c r="I1546" s="375" t="s">
        <v>754</v>
      </c>
      <c r="J1546" s="375">
        <v>1181252</v>
      </c>
      <c r="K1546" s="375">
        <v>51510</v>
      </c>
      <c r="L1546" s="375">
        <v>34640</v>
      </c>
      <c r="M1546" s="375">
        <v>387276</v>
      </c>
      <c r="N1546" s="372">
        <v>0.56799999999999995</v>
      </c>
      <c r="O1546" s="704">
        <v>799.91211580057575</v>
      </c>
      <c r="P1546" s="375" t="s">
        <v>622</v>
      </c>
      <c r="Q1546" s="375" t="s">
        <v>622</v>
      </c>
      <c r="R1546" s="696">
        <v>19560303</v>
      </c>
      <c r="S1546" s="375" t="s">
        <v>854</v>
      </c>
      <c r="T1546" s="697">
        <v>0.23100000000000001</v>
      </c>
      <c r="U1546" s="372" t="s">
        <v>10251</v>
      </c>
      <c r="V1546" s="723">
        <v>5.53</v>
      </c>
      <c r="W1546" s="723">
        <v>0.27</v>
      </c>
      <c r="X1546" s="723">
        <v>0.09</v>
      </c>
      <c r="Y1546" s="723">
        <v>3.64</v>
      </c>
      <c r="Z1546" s="382" t="s">
        <v>927</v>
      </c>
      <c r="AA1546" s="372">
        <v>7952.07</v>
      </c>
      <c r="AB1546" s="372">
        <v>8880.34</v>
      </c>
      <c r="AC1546" s="372">
        <v>14401.44</v>
      </c>
      <c r="AD1546" s="372">
        <v>12426.08</v>
      </c>
      <c r="AE1546" s="372">
        <v>0</v>
      </c>
      <c r="AF1546" s="372">
        <v>0</v>
      </c>
      <c r="AG1546" s="372">
        <v>0</v>
      </c>
      <c r="AH1546" s="372">
        <v>0</v>
      </c>
    </row>
    <row r="1547" spans="1:34">
      <c r="A1547" s="372" t="s">
        <v>10252</v>
      </c>
      <c r="B1547" s="373" t="s">
        <v>10253</v>
      </c>
      <c r="C1547" s="372" t="s">
        <v>16021</v>
      </c>
      <c r="D1547" s="374">
        <v>1942110216483</v>
      </c>
      <c r="E1547" s="372" t="s">
        <v>16022</v>
      </c>
      <c r="F1547" s="375" t="s">
        <v>4871</v>
      </c>
      <c r="G1547" s="375" t="s">
        <v>4871</v>
      </c>
      <c r="H1547" s="375" t="s">
        <v>861</v>
      </c>
      <c r="I1547" s="375" t="s">
        <v>862</v>
      </c>
      <c r="J1547" s="375">
        <v>38176.237119999998</v>
      </c>
      <c r="K1547" s="375">
        <v>802.48281999999995</v>
      </c>
      <c r="L1547" s="375">
        <v>730.11586999999997</v>
      </c>
      <c r="M1547" s="375">
        <v>30458.40886</v>
      </c>
      <c r="N1547" s="372">
        <v>0.44400000000000001</v>
      </c>
      <c r="O1547" s="704">
        <v>6.9343316003356446</v>
      </c>
      <c r="P1547" s="375" t="s">
        <v>622</v>
      </c>
      <c r="Q1547" s="372" t="s">
        <v>622</v>
      </c>
      <c r="R1547" s="696">
        <v>20170602</v>
      </c>
      <c r="S1547" s="375" t="s">
        <v>10254</v>
      </c>
      <c r="T1547" s="697">
        <v>0.20900000000000002</v>
      </c>
      <c r="U1547" s="372" t="s">
        <v>10255</v>
      </c>
      <c r="V1547" s="723">
        <v>22.95</v>
      </c>
      <c r="W1547" s="723">
        <v>3.16</v>
      </c>
      <c r="X1547" s="723">
        <v>2.52</v>
      </c>
      <c r="Y1547" s="723">
        <v>33.28</v>
      </c>
      <c r="Z1547" s="382" t="s">
        <v>927</v>
      </c>
      <c r="AA1547" s="372">
        <v>385.77204769999997</v>
      </c>
      <c r="AB1547" s="372">
        <v>576.76416440000003</v>
      </c>
      <c r="AC1547" s="372">
        <v>549.47071170000004</v>
      </c>
      <c r="AD1547" s="372">
        <v>390.31722710000003</v>
      </c>
      <c r="AE1547" s="372">
        <v>1120</v>
      </c>
      <c r="AF1547" s="372">
        <v>0</v>
      </c>
      <c r="AG1547" s="372">
        <v>0</v>
      </c>
      <c r="AH1547" s="372">
        <v>0</v>
      </c>
    </row>
    <row r="1548" spans="1:34">
      <c r="A1548" s="372" t="s">
        <v>10256</v>
      </c>
      <c r="B1548" s="373" t="s">
        <v>10257</v>
      </c>
      <c r="C1548" s="372" t="s">
        <v>10258</v>
      </c>
      <c r="D1548" s="374">
        <v>1701110023002</v>
      </c>
      <c r="E1548" s="372" t="s">
        <v>10259</v>
      </c>
      <c r="F1548" s="375" t="s">
        <v>1849</v>
      </c>
      <c r="G1548" s="375" t="s">
        <v>1850</v>
      </c>
      <c r="H1548" s="375" t="s">
        <v>4847</v>
      </c>
      <c r="I1548" s="375" t="s">
        <v>862</v>
      </c>
      <c r="J1548" s="375">
        <v>767325.65364000003</v>
      </c>
      <c r="K1548" s="375">
        <v>33013.349699999999</v>
      </c>
      <c r="L1548" s="375">
        <v>10725.94455</v>
      </c>
      <c r="M1548" s="375">
        <v>403533.63526000001</v>
      </c>
      <c r="N1548" s="372">
        <v>0.66900000000000004</v>
      </c>
      <c r="O1548" s="704">
        <v>740.26408088439712</v>
      </c>
      <c r="P1548" s="375" t="s">
        <v>622</v>
      </c>
      <c r="Q1548" s="372" t="s">
        <v>622</v>
      </c>
      <c r="R1548" s="696">
        <v>19940517</v>
      </c>
      <c r="S1548" s="372" t="s">
        <v>10260</v>
      </c>
      <c r="T1548" s="697">
        <v>0.20900000000000002</v>
      </c>
      <c r="U1548" s="372" t="s">
        <v>10261</v>
      </c>
      <c r="V1548" s="723">
        <v>12.78</v>
      </c>
      <c r="W1548" s="723">
        <v>0.2</v>
      </c>
      <c r="X1548" s="723">
        <v>0.11</v>
      </c>
      <c r="Y1548" s="723">
        <v>8.1300000000000008</v>
      </c>
      <c r="Z1548" s="382" t="s">
        <v>927</v>
      </c>
      <c r="AA1548" s="372">
        <v>4852.3633092999999</v>
      </c>
      <c r="AB1548" s="372">
        <v>6088.1728125</v>
      </c>
      <c r="AC1548" s="372">
        <v>7300.3316862000001</v>
      </c>
      <c r="AD1548" s="372">
        <v>6216.5829568999998</v>
      </c>
      <c r="AE1548" s="372">
        <v>0</v>
      </c>
      <c r="AF1548" s="372">
        <v>0</v>
      </c>
      <c r="AG1548" s="372">
        <v>0</v>
      </c>
      <c r="AH1548" s="372">
        <v>0</v>
      </c>
    </row>
    <row r="1549" spans="1:34">
      <c r="A1549" s="372" t="s">
        <v>10262</v>
      </c>
      <c r="B1549" s="373" t="s">
        <v>10263</v>
      </c>
      <c r="C1549" s="372" t="s">
        <v>10264</v>
      </c>
      <c r="D1549" s="374">
        <v>1101110003212</v>
      </c>
      <c r="E1549" s="372" t="s">
        <v>10265</v>
      </c>
      <c r="F1549" s="372" t="s">
        <v>2007</v>
      </c>
      <c r="G1549" s="375" t="s">
        <v>2007</v>
      </c>
      <c r="H1549" s="375" t="s">
        <v>792</v>
      </c>
      <c r="I1549" s="375" t="s">
        <v>754</v>
      </c>
      <c r="J1549" s="375">
        <v>623491.43721999996</v>
      </c>
      <c r="K1549" s="375">
        <v>17295.986499999999</v>
      </c>
      <c r="L1549" s="375">
        <v>1279.48287</v>
      </c>
      <c r="M1549" s="375">
        <v>111982.82694</v>
      </c>
      <c r="N1549" s="372">
        <v>0.83499999999999996</v>
      </c>
      <c r="O1549" s="704">
        <v>156.88699148276336</v>
      </c>
      <c r="P1549" s="375" t="s">
        <v>622</v>
      </c>
      <c r="Q1549" s="372" t="s">
        <v>622</v>
      </c>
      <c r="R1549" s="696">
        <v>19760525</v>
      </c>
      <c r="S1549" s="372" t="s">
        <v>10266</v>
      </c>
      <c r="T1549" s="697">
        <v>0.20900000000000002</v>
      </c>
      <c r="U1549" s="372" t="s">
        <v>10267</v>
      </c>
      <c r="V1549" s="723">
        <v>9.73</v>
      </c>
      <c r="W1549" s="723">
        <v>1.1100000000000001</v>
      </c>
      <c r="X1549" s="723">
        <v>0.2</v>
      </c>
      <c r="Y1549" s="723" t="s">
        <v>773</v>
      </c>
      <c r="Z1549" s="382" t="s">
        <v>927</v>
      </c>
      <c r="AA1549" s="372">
        <v>4044.3283793000001</v>
      </c>
      <c r="AB1549" s="372">
        <v>4630.4589812000004</v>
      </c>
      <c r="AC1549" s="372">
        <v>5695.0276903000004</v>
      </c>
      <c r="AD1549" s="372">
        <v>6171.7160479000004</v>
      </c>
      <c r="AE1549" s="372">
        <v>0</v>
      </c>
      <c r="AF1549" s="372">
        <v>0</v>
      </c>
      <c r="AG1549" s="372">
        <v>0</v>
      </c>
      <c r="AH1549" s="372">
        <v>0</v>
      </c>
    </row>
    <row r="1550" spans="1:34">
      <c r="A1550" s="372" t="s">
        <v>10268</v>
      </c>
      <c r="B1550" s="373" t="s">
        <v>10269</v>
      </c>
      <c r="C1550" s="372" t="s">
        <v>10270</v>
      </c>
      <c r="D1550" s="374">
        <v>1501110132344</v>
      </c>
      <c r="E1550" s="372" t="s">
        <v>10271</v>
      </c>
      <c r="F1550" s="372" t="s">
        <v>1796</v>
      </c>
      <c r="G1550" s="375" t="s">
        <v>1797</v>
      </c>
      <c r="H1550" s="375" t="s">
        <v>861</v>
      </c>
      <c r="I1550" s="375" t="s">
        <v>862</v>
      </c>
      <c r="J1550" s="375">
        <v>37350.515590000003</v>
      </c>
      <c r="K1550" s="375">
        <v>2981.3292999999999</v>
      </c>
      <c r="L1550" s="375">
        <v>3336.8105599999999</v>
      </c>
      <c r="M1550" s="375">
        <v>66169.472389999995</v>
      </c>
      <c r="N1550" s="372">
        <v>0.52</v>
      </c>
      <c r="O1550" s="704">
        <v>0.64928113287990752</v>
      </c>
      <c r="P1550" s="375" t="s">
        <v>622</v>
      </c>
      <c r="Q1550" s="372" t="s">
        <v>622</v>
      </c>
      <c r="R1550" s="696">
        <v>20211117</v>
      </c>
      <c r="S1550" s="372" t="s">
        <v>10272</v>
      </c>
      <c r="T1550" s="697">
        <v>0.20900000000000002</v>
      </c>
      <c r="U1550" s="372" t="s">
        <v>10273</v>
      </c>
      <c r="V1550" s="723">
        <v>15.65</v>
      </c>
      <c r="W1550" s="723">
        <v>0.81</v>
      </c>
      <c r="X1550" s="723">
        <v>1.59</v>
      </c>
      <c r="Y1550" s="723">
        <v>18.600000000000001</v>
      </c>
      <c r="Z1550" s="382" t="s">
        <v>927</v>
      </c>
      <c r="AA1550" s="372">
        <v>182.59560719999999</v>
      </c>
      <c r="AB1550" s="372">
        <v>216.02999969999999</v>
      </c>
      <c r="AC1550" s="372">
        <v>195.6161649</v>
      </c>
      <c r="AD1550" s="372">
        <v>344.92364509999999</v>
      </c>
      <c r="AE1550" s="372">
        <v>0</v>
      </c>
      <c r="AF1550" s="372">
        <v>0</v>
      </c>
      <c r="AG1550" s="372">
        <v>0</v>
      </c>
      <c r="AH1550" s="372">
        <v>0</v>
      </c>
    </row>
    <row r="1551" spans="1:34">
      <c r="A1551" s="372" t="s">
        <v>10274</v>
      </c>
      <c r="B1551" s="373" t="s">
        <v>10275</v>
      </c>
      <c r="C1551" s="372" t="s">
        <v>15916</v>
      </c>
      <c r="D1551" s="374">
        <v>1701110006868</v>
      </c>
      <c r="E1551" s="372" t="s">
        <v>15917</v>
      </c>
      <c r="F1551" s="375" t="s">
        <v>10276</v>
      </c>
      <c r="G1551" s="375" t="s">
        <v>10277</v>
      </c>
      <c r="H1551" s="375" t="s">
        <v>1539</v>
      </c>
      <c r="I1551" s="375" t="s">
        <v>754</v>
      </c>
      <c r="J1551" s="375">
        <v>16402.546429999999</v>
      </c>
      <c r="K1551" s="375">
        <v>-9831.9353900000006</v>
      </c>
      <c r="L1551" s="375">
        <v>-40716.709730000002</v>
      </c>
      <c r="M1551" s="375">
        <v>29672.159879999999</v>
      </c>
      <c r="N1551" s="372">
        <v>0.47099999999999997</v>
      </c>
      <c r="O1551" s="704">
        <v>192.71836841885926</v>
      </c>
      <c r="P1551" s="375" t="s">
        <v>622</v>
      </c>
      <c r="Q1551" s="375" t="s">
        <v>622</v>
      </c>
      <c r="R1551" s="696">
        <v>19951110</v>
      </c>
      <c r="S1551" s="375" t="s">
        <v>10278</v>
      </c>
      <c r="T1551" s="697" t="s">
        <v>771</v>
      </c>
      <c r="U1551" s="372" t="s">
        <v>10279</v>
      </c>
      <c r="V1551" s="723" t="s">
        <v>773</v>
      </c>
      <c r="W1551" s="723">
        <v>1.49</v>
      </c>
      <c r="X1551" s="723">
        <v>2.69</v>
      </c>
      <c r="Y1551" s="723" t="s">
        <v>773</v>
      </c>
      <c r="Z1551" s="382" t="s">
        <v>927</v>
      </c>
      <c r="AA1551" s="372">
        <v>1280.2196328</v>
      </c>
      <c r="AB1551" s="372">
        <v>788.86125570000002</v>
      </c>
      <c r="AC1551" s="372">
        <v>525.21836610000003</v>
      </c>
      <c r="AD1551" s="372">
        <v>337.8950969</v>
      </c>
      <c r="AE1551" s="372">
        <v>0</v>
      </c>
      <c r="AF1551" s="372">
        <v>0</v>
      </c>
      <c r="AG1551" s="372">
        <v>0</v>
      </c>
      <c r="AH1551" s="372">
        <v>0</v>
      </c>
    </row>
    <row r="1552" spans="1:34">
      <c r="A1552" s="372" t="s">
        <v>10280</v>
      </c>
      <c r="B1552" s="373" t="s">
        <v>10281</v>
      </c>
      <c r="C1552" s="372" t="s">
        <v>10282</v>
      </c>
      <c r="D1552" s="374">
        <v>1545110012907</v>
      </c>
      <c r="E1552" s="372" t="s">
        <v>10283</v>
      </c>
      <c r="F1552" s="372" t="s">
        <v>16101</v>
      </c>
      <c r="G1552" s="375" t="s">
        <v>16101</v>
      </c>
      <c r="H1552" s="375" t="s">
        <v>861</v>
      </c>
      <c r="I1552" s="375" t="s">
        <v>862</v>
      </c>
      <c r="J1552" s="375">
        <v>81558.031839999996</v>
      </c>
      <c r="K1552" s="375">
        <v>18578.748530000001</v>
      </c>
      <c r="L1552" s="375">
        <v>18042.07458</v>
      </c>
      <c r="M1552" s="375">
        <v>116320.94560000001</v>
      </c>
      <c r="N1552" s="372">
        <v>0.44800000000000001</v>
      </c>
      <c r="O1552" s="704">
        <v>7.8917957201737972</v>
      </c>
      <c r="P1552" s="375" t="s">
        <v>622</v>
      </c>
      <c r="Q1552" s="375" t="s">
        <v>622</v>
      </c>
      <c r="R1552" s="696">
        <v>20100728</v>
      </c>
      <c r="S1552" s="375" t="s">
        <v>10284</v>
      </c>
      <c r="T1552" s="697">
        <v>0.20900000000000002</v>
      </c>
      <c r="U1552" s="372" t="s">
        <v>10285</v>
      </c>
      <c r="V1552" s="723">
        <v>0</v>
      </c>
      <c r="W1552" s="723">
        <v>0</v>
      </c>
      <c r="X1552" s="723">
        <v>0</v>
      </c>
      <c r="Y1552" s="723">
        <v>0</v>
      </c>
      <c r="Z1552" s="382" t="s">
        <v>927</v>
      </c>
      <c r="AA1552" s="372">
        <v>744.62269700000002</v>
      </c>
      <c r="AB1552" s="372">
        <v>732.87282219999997</v>
      </c>
      <c r="AC1552" s="372">
        <v>1029.4720933000001</v>
      </c>
      <c r="AD1552" s="372">
        <v>767.72140709999996</v>
      </c>
      <c r="AE1552" s="372">
        <v>0</v>
      </c>
      <c r="AF1552" s="372">
        <v>0</v>
      </c>
      <c r="AG1552" s="372">
        <v>0</v>
      </c>
      <c r="AH1552" s="372">
        <v>0</v>
      </c>
    </row>
    <row r="1553" spans="1:34">
      <c r="A1553" s="372" t="s">
        <v>10286</v>
      </c>
      <c r="B1553" s="373" t="s">
        <v>10287</v>
      </c>
      <c r="C1553" s="372" t="s">
        <v>10288</v>
      </c>
      <c r="D1553" s="374">
        <v>1101112629347</v>
      </c>
      <c r="E1553" s="372" t="s">
        <v>10289</v>
      </c>
      <c r="F1553" s="375" t="s">
        <v>4223</v>
      </c>
      <c r="G1553" s="375" t="s">
        <v>4224</v>
      </c>
      <c r="H1553" s="375" t="s">
        <v>1337</v>
      </c>
      <c r="I1553" s="375" t="s">
        <v>862</v>
      </c>
      <c r="J1553" s="375">
        <v>87372.817009999999</v>
      </c>
      <c r="K1553" s="375">
        <v>15619.575210000001</v>
      </c>
      <c r="L1553" s="375">
        <v>15028.977800000001</v>
      </c>
      <c r="M1553" s="375">
        <v>100075.72209</v>
      </c>
      <c r="N1553" s="372">
        <v>0.54400000000000004</v>
      </c>
      <c r="O1553" s="704">
        <v>7.6282543162719634</v>
      </c>
      <c r="P1553" s="375" t="s">
        <v>622</v>
      </c>
      <c r="Q1553" s="375" t="s">
        <v>622</v>
      </c>
      <c r="R1553" s="696">
        <v>20111222</v>
      </c>
      <c r="S1553" s="375" t="s">
        <v>10290</v>
      </c>
      <c r="T1553" s="697">
        <v>0.20900000000000002</v>
      </c>
      <c r="U1553" s="372" t="s">
        <v>10291</v>
      </c>
      <c r="V1553" s="723">
        <v>4.07</v>
      </c>
      <c r="W1553" s="723">
        <v>0.8</v>
      </c>
      <c r="X1553" s="723">
        <v>0.92</v>
      </c>
      <c r="Y1553" s="723">
        <v>7.09</v>
      </c>
      <c r="Z1553" s="382">
        <v>1.0606507752135119E-2</v>
      </c>
      <c r="AA1553" s="372">
        <v>821.96200009999995</v>
      </c>
      <c r="AB1553" s="372">
        <v>886.8439085</v>
      </c>
      <c r="AC1553" s="372">
        <v>921.89888719999999</v>
      </c>
      <c r="AD1553" s="372">
        <v>879.10545219999995</v>
      </c>
      <c r="AE1553" s="372">
        <v>880</v>
      </c>
      <c r="AF1553" s="372">
        <v>899</v>
      </c>
      <c r="AG1553" s="372">
        <v>917</v>
      </c>
      <c r="AH1553" s="372">
        <v>935</v>
      </c>
    </row>
    <row r="1554" spans="1:34">
      <c r="A1554" s="372" t="s">
        <v>10292</v>
      </c>
      <c r="B1554" s="373" t="s">
        <v>10293</v>
      </c>
      <c r="C1554" s="372" t="s">
        <v>10294</v>
      </c>
      <c r="D1554" s="374">
        <v>1201110009268</v>
      </c>
      <c r="E1554" s="372" t="s">
        <v>10295</v>
      </c>
      <c r="F1554" s="372" t="s">
        <v>2014</v>
      </c>
      <c r="G1554" s="375" t="s">
        <v>2014</v>
      </c>
      <c r="H1554" s="375" t="s">
        <v>861</v>
      </c>
      <c r="I1554" s="375" t="s">
        <v>862</v>
      </c>
      <c r="J1554" s="375">
        <v>92093.027100000007</v>
      </c>
      <c r="K1554" s="375">
        <v>6952.1386499999999</v>
      </c>
      <c r="L1554" s="375">
        <v>-21044.329369999999</v>
      </c>
      <c r="M1554" s="375">
        <v>151001.32589000001</v>
      </c>
      <c r="N1554" s="372">
        <v>0.49299999999999999</v>
      </c>
      <c r="O1554" s="704">
        <v>0.45491219168378866</v>
      </c>
      <c r="P1554" s="375" t="s">
        <v>16115</v>
      </c>
      <c r="Q1554" s="375" t="s">
        <v>16116</v>
      </c>
      <c r="R1554" s="696">
        <v>19930630</v>
      </c>
      <c r="S1554" s="375" t="s">
        <v>10296</v>
      </c>
      <c r="T1554" s="697" t="s">
        <v>771</v>
      </c>
      <c r="U1554" s="372" t="s">
        <v>10297</v>
      </c>
      <c r="V1554" s="723">
        <v>0</v>
      </c>
      <c r="W1554" s="723">
        <v>0</v>
      </c>
      <c r="X1554" s="723">
        <v>0</v>
      </c>
      <c r="Y1554" s="723">
        <v>0</v>
      </c>
      <c r="Z1554" s="382" t="s">
        <v>927</v>
      </c>
      <c r="AA1554" s="372">
        <v>1612.2031022000001</v>
      </c>
      <c r="AB1554" s="372">
        <v>1884.3498396</v>
      </c>
      <c r="AC1554" s="372">
        <v>2069.5746961999998</v>
      </c>
      <c r="AD1554" s="372">
        <v>1821.4166705</v>
      </c>
      <c r="AE1554" s="372">
        <v>0</v>
      </c>
      <c r="AF1554" s="372">
        <v>0</v>
      </c>
      <c r="AG1554" s="372">
        <v>0</v>
      </c>
      <c r="AH1554" s="372">
        <v>0</v>
      </c>
    </row>
    <row r="1555" spans="1:34">
      <c r="A1555" s="372" t="s">
        <v>10298</v>
      </c>
      <c r="B1555" s="373" t="s">
        <v>10299</v>
      </c>
      <c r="C1555" s="372" t="s">
        <v>10300</v>
      </c>
      <c r="D1555" s="374">
        <v>1101110529820</v>
      </c>
      <c r="E1555" s="372" t="s">
        <v>10301</v>
      </c>
      <c r="F1555" s="375" t="s">
        <v>1414</v>
      </c>
      <c r="G1555" s="375" t="s">
        <v>1414</v>
      </c>
      <c r="H1555" s="375" t="s">
        <v>861</v>
      </c>
      <c r="I1555" s="375" t="s">
        <v>862</v>
      </c>
      <c r="J1555" s="375">
        <v>201316.29678999999</v>
      </c>
      <c r="K1555" s="375">
        <v>9491.2793500000007</v>
      </c>
      <c r="L1555" s="375">
        <v>17357.733629999999</v>
      </c>
      <c r="M1555" s="375">
        <v>142172.30846999999</v>
      </c>
      <c r="N1555" s="372">
        <v>0.78900000000000003</v>
      </c>
      <c r="O1555" s="704">
        <v>0</v>
      </c>
      <c r="P1555" s="375" t="s">
        <v>622</v>
      </c>
      <c r="Q1555" s="375" t="s">
        <v>622</v>
      </c>
      <c r="R1555" s="696">
        <v>20010109</v>
      </c>
      <c r="S1555" s="375" t="s">
        <v>10302</v>
      </c>
      <c r="T1555" s="697">
        <v>0.20900000000000002</v>
      </c>
      <c r="U1555" s="372" t="s">
        <v>10303</v>
      </c>
      <c r="V1555" s="723">
        <v>6.09</v>
      </c>
      <c r="W1555" s="723">
        <v>0.56000000000000005</v>
      </c>
      <c r="X1555" s="723">
        <v>0.39</v>
      </c>
      <c r="Y1555" s="723">
        <v>6.01</v>
      </c>
      <c r="Z1555" s="382" t="s">
        <v>927</v>
      </c>
      <c r="AA1555" s="372">
        <v>1804.0163845</v>
      </c>
      <c r="AB1555" s="372">
        <v>1842.6881939</v>
      </c>
      <c r="AC1555" s="372">
        <v>1900.720282</v>
      </c>
      <c r="AD1555" s="372">
        <v>2097.040708</v>
      </c>
      <c r="AE1555" s="372">
        <v>0</v>
      </c>
      <c r="AF1555" s="372">
        <v>0</v>
      </c>
      <c r="AG1555" s="372">
        <v>0</v>
      </c>
      <c r="AH1555" s="372">
        <v>0</v>
      </c>
    </row>
    <row r="1556" spans="1:34">
      <c r="A1556" s="372" t="s">
        <v>10304</v>
      </c>
      <c r="B1556" s="373" t="s">
        <v>10305</v>
      </c>
      <c r="C1556" s="372" t="s">
        <v>10306</v>
      </c>
      <c r="D1556" s="374">
        <v>1101111051137</v>
      </c>
      <c r="E1556" s="372" t="s">
        <v>10307</v>
      </c>
      <c r="F1556" s="375" t="s">
        <v>6364</v>
      </c>
      <c r="G1556" s="375" t="s">
        <v>6364</v>
      </c>
      <c r="H1556" s="375" t="s">
        <v>861</v>
      </c>
      <c r="I1556" s="375" t="s">
        <v>862</v>
      </c>
      <c r="J1556" s="375">
        <v>67185.405530000004</v>
      </c>
      <c r="K1556" s="375">
        <v>-739.85631000000001</v>
      </c>
      <c r="L1556" s="375">
        <v>-3829.7137499999999</v>
      </c>
      <c r="M1556" s="375">
        <v>79363.66992</v>
      </c>
      <c r="N1556" s="372">
        <v>0.75700000000000001</v>
      </c>
      <c r="O1556" s="704">
        <v>3.7995150208327404</v>
      </c>
      <c r="P1556" s="375" t="s">
        <v>622</v>
      </c>
      <c r="Q1556" s="375" t="s">
        <v>622</v>
      </c>
      <c r="R1556" s="696">
        <v>20021206</v>
      </c>
      <c r="S1556" s="375" t="s">
        <v>10308</v>
      </c>
      <c r="T1556" s="697" t="s">
        <v>771</v>
      </c>
      <c r="U1556" s="372" t="s">
        <v>10309</v>
      </c>
      <c r="V1556" s="723">
        <v>0</v>
      </c>
      <c r="W1556" s="723">
        <v>0</v>
      </c>
      <c r="X1556" s="723">
        <v>0</v>
      </c>
      <c r="Y1556" s="723">
        <v>0</v>
      </c>
      <c r="Z1556" s="382" t="s">
        <v>927</v>
      </c>
      <c r="AA1556" s="372">
        <v>753.63857069999995</v>
      </c>
      <c r="AB1556" s="372">
        <v>778.24167009999996</v>
      </c>
      <c r="AC1556" s="372">
        <v>802.29930790000003</v>
      </c>
      <c r="AD1556" s="372">
        <v>791.98082669999997</v>
      </c>
      <c r="AE1556" s="372">
        <v>0</v>
      </c>
      <c r="AF1556" s="372">
        <v>0</v>
      </c>
      <c r="AG1556" s="372">
        <v>0</v>
      </c>
      <c r="AH1556" s="372">
        <v>0</v>
      </c>
    </row>
    <row r="1557" spans="1:34">
      <c r="A1557" s="372" t="s">
        <v>10310</v>
      </c>
      <c r="B1557" s="373" t="s">
        <v>10311</v>
      </c>
      <c r="C1557" s="372" t="s">
        <v>10312</v>
      </c>
      <c r="D1557" s="374">
        <v>1101113691973</v>
      </c>
      <c r="E1557" s="372" t="s">
        <v>10313</v>
      </c>
      <c r="F1557" s="372" t="s">
        <v>6690</v>
      </c>
      <c r="G1557" s="375" t="s">
        <v>6691</v>
      </c>
      <c r="H1557" s="375" t="s">
        <v>855</v>
      </c>
      <c r="I1557" s="375" t="s">
        <v>754</v>
      </c>
      <c r="J1557" s="375">
        <v>468419.96944000002</v>
      </c>
      <c r="K1557" s="375">
        <v>21308.314719999998</v>
      </c>
      <c r="L1557" s="375">
        <v>5316.7747499999996</v>
      </c>
      <c r="M1557" s="375">
        <v>236015.48441</v>
      </c>
      <c r="N1557" s="372">
        <v>0.59</v>
      </c>
      <c r="O1557" s="704">
        <v>63.214775278403664</v>
      </c>
      <c r="P1557" s="375" t="s">
        <v>622</v>
      </c>
      <c r="Q1557" s="372" t="s">
        <v>622</v>
      </c>
      <c r="R1557" s="696">
        <v>20201120</v>
      </c>
      <c r="S1557" s="372" t="s">
        <v>10314</v>
      </c>
      <c r="T1557" s="697">
        <v>0.20900000000000002</v>
      </c>
      <c r="U1557" s="372" t="s">
        <v>10315</v>
      </c>
      <c r="V1557" s="723">
        <v>4.3499999999999996</v>
      </c>
      <c r="W1557" s="723">
        <v>0.66</v>
      </c>
      <c r="X1557" s="723">
        <v>0.2</v>
      </c>
      <c r="Y1557" s="723" t="s">
        <v>773</v>
      </c>
      <c r="Z1557" s="382" t="s">
        <v>927</v>
      </c>
      <c r="AA1557" s="372">
        <v>2851.4449639999998</v>
      </c>
      <c r="AB1557" s="372">
        <v>2580.2039356999999</v>
      </c>
      <c r="AC1557" s="372">
        <v>2707.2351804999998</v>
      </c>
      <c r="AD1557" s="372">
        <v>3546.0775266000001</v>
      </c>
      <c r="AE1557" s="372">
        <v>4531</v>
      </c>
      <c r="AF1557" s="372">
        <v>3590</v>
      </c>
      <c r="AG1557" s="372">
        <v>0</v>
      </c>
      <c r="AH1557" s="372">
        <v>0</v>
      </c>
    </row>
    <row r="1558" spans="1:34">
      <c r="A1558" s="372" t="s">
        <v>10316</v>
      </c>
      <c r="B1558" s="373" t="s">
        <v>10317</v>
      </c>
      <c r="C1558" s="372" t="s">
        <v>10318</v>
      </c>
      <c r="D1558" s="374">
        <v>1352110022823</v>
      </c>
      <c r="E1558" s="372" t="s">
        <v>10319</v>
      </c>
      <c r="F1558" s="375" t="s">
        <v>1055</v>
      </c>
      <c r="G1558" s="375" t="s">
        <v>16104</v>
      </c>
      <c r="H1558" s="375" t="s">
        <v>861</v>
      </c>
      <c r="I1558" s="375" t="s">
        <v>862</v>
      </c>
      <c r="J1558" s="375">
        <v>8494.3555699999997</v>
      </c>
      <c r="K1558" s="375">
        <v>-14712.086139999999</v>
      </c>
      <c r="L1558" s="375">
        <v>-13141.63385</v>
      </c>
      <c r="M1558" s="375">
        <v>51946.305310000003</v>
      </c>
      <c r="N1558" s="372">
        <v>0.93500000000000005</v>
      </c>
      <c r="O1558" s="704">
        <v>20.694851957485447</v>
      </c>
      <c r="P1558" s="375" t="s">
        <v>622</v>
      </c>
      <c r="Q1558" s="372" t="s">
        <v>622</v>
      </c>
      <c r="R1558" s="696">
        <v>20170223</v>
      </c>
      <c r="S1558" s="372" t="s">
        <v>10320</v>
      </c>
      <c r="T1558" s="697" t="s">
        <v>771</v>
      </c>
      <c r="U1558" s="372" t="s">
        <v>10321</v>
      </c>
      <c r="V1558" s="723" t="s">
        <v>773</v>
      </c>
      <c r="W1558" s="723">
        <v>1.45</v>
      </c>
      <c r="X1558" s="723">
        <v>7.79</v>
      </c>
      <c r="Y1558" s="723" t="s">
        <v>773</v>
      </c>
      <c r="Z1558" s="382" t="s">
        <v>927</v>
      </c>
      <c r="AA1558" s="372">
        <v>536.8266959</v>
      </c>
      <c r="AB1558" s="372">
        <v>461.47521829999999</v>
      </c>
      <c r="AC1558" s="372">
        <v>372.1722666</v>
      </c>
      <c r="AD1558" s="372">
        <v>84.295322999999996</v>
      </c>
      <c r="AE1558" s="372">
        <v>0</v>
      </c>
      <c r="AF1558" s="372">
        <v>0</v>
      </c>
      <c r="AG1558" s="372">
        <v>0</v>
      </c>
      <c r="AH1558" s="372">
        <v>0</v>
      </c>
    </row>
    <row r="1559" spans="1:34">
      <c r="A1559" s="372" t="s">
        <v>10322</v>
      </c>
      <c r="B1559" s="373" t="s">
        <v>10323</v>
      </c>
      <c r="C1559" s="372" t="s">
        <v>10324</v>
      </c>
      <c r="D1559" s="374">
        <v>1615110003619</v>
      </c>
      <c r="E1559" s="372" t="s">
        <v>10325</v>
      </c>
      <c r="F1559" s="375" t="s">
        <v>1303</v>
      </c>
      <c r="G1559" s="375" t="s">
        <v>1303</v>
      </c>
      <c r="H1559" s="375" t="s">
        <v>861</v>
      </c>
      <c r="I1559" s="375" t="s">
        <v>862</v>
      </c>
      <c r="J1559" s="375">
        <v>58043.680890000003</v>
      </c>
      <c r="K1559" s="375">
        <v>-8148.3164699999998</v>
      </c>
      <c r="L1559" s="375">
        <v>-15152.9362</v>
      </c>
      <c r="M1559" s="375">
        <v>24260.815159999998</v>
      </c>
      <c r="N1559" s="372">
        <v>1.101</v>
      </c>
      <c r="O1559" s="704">
        <v>173.34155752789104</v>
      </c>
      <c r="P1559" s="375" t="s">
        <v>622</v>
      </c>
      <c r="Q1559" s="372" t="s">
        <v>622</v>
      </c>
      <c r="R1559" s="696">
        <v>20000107</v>
      </c>
      <c r="S1559" s="372" t="s">
        <v>10326</v>
      </c>
      <c r="T1559" s="697" t="s">
        <v>771</v>
      </c>
      <c r="U1559" s="372" t="s">
        <v>10327</v>
      </c>
      <c r="V1559" s="723" t="s">
        <v>773</v>
      </c>
      <c r="W1559" s="723">
        <v>1.17</v>
      </c>
      <c r="X1559" s="723">
        <v>1.08</v>
      </c>
      <c r="Y1559" s="723" t="s">
        <v>773</v>
      </c>
      <c r="Z1559" s="382" t="s">
        <v>927</v>
      </c>
      <c r="AA1559" s="372">
        <v>450.57857730000001</v>
      </c>
      <c r="AB1559" s="372">
        <v>956.93333640000003</v>
      </c>
      <c r="AC1559" s="372">
        <v>701.89076820000002</v>
      </c>
      <c r="AD1559" s="372">
        <v>617.97981909999999</v>
      </c>
      <c r="AE1559" s="372">
        <v>0</v>
      </c>
      <c r="AF1559" s="372">
        <v>0</v>
      </c>
      <c r="AG1559" s="372">
        <v>0</v>
      </c>
      <c r="AH1559" s="372">
        <v>0</v>
      </c>
    </row>
    <row r="1560" spans="1:34">
      <c r="A1560" s="372" t="s">
        <v>10328</v>
      </c>
      <c r="B1560" s="373" t="s">
        <v>10329</v>
      </c>
      <c r="C1560" s="372" t="s">
        <v>10330</v>
      </c>
      <c r="D1560" s="374">
        <v>1101117196523</v>
      </c>
      <c r="E1560" s="372" t="s">
        <v>10331</v>
      </c>
      <c r="F1560" s="372" t="s">
        <v>1013</v>
      </c>
      <c r="G1560" s="375" t="s">
        <v>1013</v>
      </c>
      <c r="H1560" s="375" t="s">
        <v>861</v>
      </c>
      <c r="I1560" s="375" t="s">
        <v>862</v>
      </c>
      <c r="J1560" s="375">
        <v>48880.419500000004</v>
      </c>
      <c r="K1560" s="375">
        <v>7477.4122200000002</v>
      </c>
      <c r="L1560" s="375">
        <v>8255.8927600000006</v>
      </c>
      <c r="M1560" s="375">
        <v>72246.03138</v>
      </c>
      <c r="N1560" s="372">
        <v>0.77100000000000002</v>
      </c>
      <c r="O1560" s="704">
        <v>32.660070483121658</v>
      </c>
      <c r="P1560" s="375" t="s">
        <v>622</v>
      </c>
      <c r="Q1560" s="372" t="s">
        <v>622</v>
      </c>
      <c r="R1560" s="696">
        <v>20191106</v>
      </c>
      <c r="S1560" s="372" t="s">
        <v>10332</v>
      </c>
      <c r="T1560" s="697">
        <v>0.20900000000000002</v>
      </c>
      <c r="U1560" s="372" t="s">
        <v>10333</v>
      </c>
      <c r="V1560" s="723">
        <v>15.01</v>
      </c>
      <c r="W1560" s="723">
        <v>2.4300000000000002</v>
      </c>
      <c r="X1560" s="723">
        <v>1.84</v>
      </c>
      <c r="Y1560" s="723">
        <v>32.950000000000003</v>
      </c>
      <c r="Z1560" s="382" t="s">
        <v>927</v>
      </c>
      <c r="AA1560" s="372">
        <v>371.08660600000002</v>
      </c>
      <c r="AB1560" s="372">
        <v>418.95287919999998</v>
      </c>
      <c r="AC1560" s="372">
        <v>650.37011299999995</v>
      </c>
      <c r="AD1560" s="372">
        <v>529.71603870000001</v>
      </c>
      <c r="AE1560" s="372">
        <v>0</v>
      </c>
      <c r="AF1560" s="372">
        <v>0</v>
      </c>
      <c r="AG1560" s="372">
        <v>0</v>
      </c>
      <c r="AH1560" s="372">
        <v>0</v>
      </c>
    </row>
    <row r="1561" spans="1:34">
      <c r="A1561" s="372" t="s">
        <v>10334</v>
      </c>
      <c r="B1561" s="373" t="s">
        <v>10335</v>
      </c>
      <c r="C1561" s="372" t="s">
        <v>10336</v>
      </c>
      <c r="D1561" s="374">
        <v>1101110753734</v>
      </c>
      <c r="E1561" s="372" t="s">
        <v>10337</v>
      </c>
      <c r="F1561" s="375" t="s">
        <v>10338</v>
      </c>
      <c r="G1561" s="375" t="s">
        <v>10338</v>
      </c>
      <c r="H1561" s="375" t="s">
        <v>1337</v>
      </c>
      <c r="I1561" s="375" t="s">
        <v>862</v>
      </c>
      <c r="J1561" s="375">
        <v>71485.220480000004</v>
      </c>
      <c r="K1561" s="375">
        <v>1686.20805</v>
      </c>
      <c r="L1561" s="375">
        <v>-1843.10365</v>
      </c>
      <c r="M1561" s="375">
        <v>58580.681680000002</v>
      </c>
      <c r="N1561" s="372">
        <v>0.997</v>
      </c>
      <c r="O1561" s="704">
        <v>54.804142795035595</v>
      </c>
      <c r="P1561" s="375" t="s">
        <v>622</v>
      </c>
      <c r="Q1561" s="375" t="s">
        <v>622</v>
      </c>
      <c r="R1561" s="696">
        <v>20100615</v>
      </c>
      <c r="S1561" s="375" t="s">
        <v>10339</v>
      </c>
      <c r="T1561" s="697" t="s">
        <v>771</v>
      </c>
      <c r="U1561" s="372" t="s">
        <v>10340</v>
      </c>
      <c r="V1561" s="723">
        <v>15.73</v>
      </c>
      <c r="W1561" s="723">
        <v>1.08</v>
      </c>
      <c r="X1561" s="723">
        <v>0.89</v>
      </c>
      <c r="Y1561" s="723" t="s">
        <v>773</v>
      </c>
      <c r="Z1561" s="382" t="s">
        <v>927</v>
      </c>
      <c r="AA1561" s="372">
        <v>533.95113749999996</v>
      </c>
      <c r="AB1561" s="372">
        <v>781.76335979999999</v>
      </c>
      <c r="AC1561" s="372">
        <v>592.20236560000001</v>
      </c>
      <c r="AD1561" s="372">
        <v>640.1093171</v>
      </c>
      <c r="AE1561" s="372">
        <v>0</v>
      </c>
      <c r="AF1561" s="372">
        <v>0</v>
      </c>
      <c r="AG1561" s="372">
        <v>0</v>
      </c>
      <c r="AH1561" s="372">
        <v>0</v>
      </c>
    </row>
    <row r="1562" spans="1:34">
      <c r="A1562" s="372" t="s">
        <v>10341</v>
      </c>
      <c r="B1562" s="373" t="s">
        <v>10342</v>
      </c>
      <c r="C1562" s="372" t="s">
        <v>10343</v>
      </c>
      <c r="D1562" s="374">
        <v>1201110002056</v>
      </c>
      <c r="E1562" s="372" t="s">
        <v>10344</v>
      </c>
      <c r="F1562" s="375" t="s">
        <v>2485</v>
      </c>
      <c r="G1562" s="375" t="s">
        <v>2486</v>
      </c>
      <c r="H1562" s="375" t="s">
        <v>812</v>
      </c>
      <c r="I1562" s="375" t="s">
        <v>754</v>
      </c>
      <c r="J1562" s="375">
        <v>275632.18611000001</v>
      </c>
      <c r="K1562" s="375">
        <v>7323.19398</v>
      </c>
      <c r="L1562" s="375">
        <v>-18138.573909999999</v>
      </c>
      <c r="M1562" s="375">
        <v>109164.72302</v>
      </c>
      <c r="N1562" s="372">
        <v>1.222</v>
      </c>
      <c r="O1562" s="704">
        <v>45.196754009674819</v>
      </c>
      <c r="P1562" s="375" t="s">
        <v>622</v>
      </c>
      <c r="Q1562" s="372" t="s">
        <v>622</v>
      </c>
      <c r="R1562" s="696">
        <v>19770305</v>
      </c>
      <c r="S1562" s="372" t="s">
        <v>10345</v>
      </c>
      <c r="T1562" s="697" t="s">
        <v>771</v>
      </c>
      <c r="U1562" s="372" t="s">
        <v>10346</v>
      </c>
      <c r="V1562" s="723">
        <v>11.28</v>
      </c>
      <c r="W1562" s="723">
        <v>1.28</v>
      </c>
      <c r="X1562" s="723">
        <v>0.51</v>
      </c>
      <c r="Y1562" s="723" t="s">
        <v>773</v>
      </c>
      <c r="Z1562" s="382" t="s">
        <v>927</v>
      </c>
      <c r="AA1562" s="372">
        <v>1738.2245925</v>
      </c>
      <c r="AB1562" s="372">
        <v>1820.2120525</v>
      </c>
      <c r="AC1562" s="372">
        <v>2661.7167929000002</v>
      </c>
      <c r="AD1562" s="372">
        <v>2783.0020193</v>
      </c>
      <c r="AE1562" s="372">
        <v>0</v>
      </c>
      <c r="AF1562" s="372">
        <v>0</v>
      </c>
      <c r="AG1562" s="372">
        <v>0</v>
      </c>
      <c r="AH1562" s="372">
        <v>0</v>
      </c>
    </row>
    <row r="1563" spans="1:34">
      <c r="A1563" s="372" t="s">
        <v>10347</v>
      </c>
      <c r="B1563" s="373" t="s">
        <v>10348</v>
      </c>
      <c r="C1563" s="372" t="s">
        <v>10349</v>
      </c>
      <c r="D1563" s="374">
        <v>1760110008737</v>
      </c>
      <c r="E1563" s="372" t="s">
        <v>10350</v>
      </c>
      <c r="F1563" s="375" t="s">
        <v>1276</v>
      </c>
      <c r="G1563" s="375" t="s">
        <v>1452</v>
      </c>
      <c r="H1563" s="375" t="s">
        <v>861</v>
      </c>
      <c r="I1563" s="375" t="s">
        <v>862</v>
      </c>
      <c r="J1563" s="375">
        <v>403480.28459</v>
      </c>
      <c r="K1563" s="375">
        <v>19142.4094</v>
      </c>
      <c r="L1563" s="375">
        <v>19064.076939999999</v>
      </c>
      <c r="M1563" s="375">
        <v>145378.62510999999</v>
      </c>
      <c r="N1563" s="372">
        <v>0.64600000000000002</v>
      </c>
      <c r="O1563" s="704">
        <v>0.45004294963612579</v>
      </c>
      <c r="P1563" s="375" t="s">
        <v>622</v>
      </c>
      <c r="Q1563" s="372" t="s">
        <v>622</v>
      </c>
      <c r="R1563" s="696">
        <v>20020111</v>
      </c>
      <c r="S1563" s="375" t="s">
        <v>10351</v>
      </c>
      <c r="T1563" s="697">
        <v>0.20900000000000002</v>
      </c>
      <c r="U1563" s="372" t="s">
        <v>10352</v>
      </c>
      <c r="V1563" s="723">
        <v>3.22</v>
      </c>
      <c r="W1563" s="723">
        <v>0.56000000000000005</v>
      </c>
      <c r="X1563" s="723">
        <v>0.21</v>
      </c>
      <c r="Y1563" s="723">
        <v>5.22</v>
      </c>
      <c r="Z1563" s="382" t="s">
        <v>927</v>
      </c>
      <c r="AA1563" s="372">
        <v>1336.8685323</v>
      </c>
      <c r="AB1563" s="372">
        <v>1945.288699</v>
      </c>
      <c r="AC1563" s="372">
        <v>4236.6037023999997</v>
      </c>
      <c r="AD1563" s="372">
        <v>3717.4290145999998</v>
      </c>
      <c r="AE1563" s="372">
        <v>4070</v>
      </c>
      <c r="AF1563" s="372">
        <v>4675</v>
      </c>
      <c r="AG1563" s="372">
        <v>0</v>
      </c>
      <c r="AH1563" s="372">
        <v>0</v>
      </c>
    </row>
    <row r="1564" spans="1:34">
      <c r="A1564" s="372" t="s">
        <v>10353</v>
      </c>
      <c r="B1564" s="373" t="s">
        <v>10354</v>
      </c>
      <c r="C1564" s="372" t="s">
        <v>10355</v>
      </c>
      <c r="D1564" s="374">
        <v>1101110179659</v>
      </c>
      <c r="E1564" s="372" t="s">
        <v>10356</v>
      </c>
      <c r="F1564" s="375" t="s">
        <v>1069</v>
      </c>
      <c r="G1564" s="375" t="s">
        <v>1069</v>
      </c>
      <c r="H1564" s="375" t="s">
        <v>846</v>
      </c>
      <c r="I1564" s="375" t="s">
        <v>754</v>
      </c>
      <c r="J1564" s="375">
        <v>68534.02781</v>
      </c>
      <c r="K1564" s="375">
        <v>-14205.79933</v>
      </c>
      <c r="L1564" s="375">
        <v>-75939.58971</v>
      </c>
      <c r="M1564" s="375">
        <v>28340.244879999998</v>
      </c>
      <c r="N1564" s="372">
        <v>1.0820000000000001</v>
      </c>
      <c r="O1564" s="704">
        <v>3.8169915116564384</v>
      </c>
      <c r="P1564" s="375" t="s">
        <v>16115</v>
      </c>
      <c r="Q1564" s="375" t="s">
        <v>16116</v>
      </c>
      <c r="R1564" s="696">
        <v>19970718</v>
      </c>
      <c r="S1564" s="375" t="s">
        <v>10357</v>
      </c>
      <c r="T1564" s="697" t="s">
        <v>771</v>
      </c>
      <c r="U1564" s="372" t="s">
        <v>10358</v>
      </c>
      <c r="V1564" s="723" t="s">
        <v>773</v>
      </c>
      <c r="W1564" s="723">
        <v>1.75</v>
      </c>
      <c r="X1564" s="723">
        <v>0.72</v>
      </c>
      <c r="Y1564" s="723" t="s">
        <v>773</v>
      </c>
      <c r="Z1564" s="382" t="s">
        <v>927</v>
      </c>
      <c r="AA1564" s="372">
        <v>604.31404729999997</v>
      </c>
      <c r="AB1564" s="372">
        <v>1083.7693747999999</v>
      </c>
      <c r="AC1564" s="372">
        <v>1581.1604944999999</v>
      </c>
      <c r="AD1564" s="372">
        <v>721.32464140000002</v>
      </c>
      <c r="AE1564" s="372">
        <v>0</v>
      </c>
      <c r="AF1564" s="372">
        <v>0</v>
      </c>
      <c r="AG1564" s="372">
        <v>0</v>
      </c>
      <c r="AH1564" s="372">
        <v>0</v>
      </c>
    </row>
    <row r="1565" spans="1:34">
      <c r="A1565" s="372" t="s">
        <v>10359</v>
      </c>
      <c r="B1565" s="373" t="s">
        <v>10360</v>
      </c>
      <c r="C1565" s="372" t="s">
        <v>16023</v>
      </c>
      <c r="D1565" s="374">
        <v>1101115970961</v>
      </c>
      <c r="E1565" s="372" t="s">
        <v>16024</v>
      </c>
      <c r="F1565" s="372" t="s">
        <v>2518</v>
      </c>
      <c r="G1565" s="375" t="s">
        <v>2518</v>
      </c>
      <c r="H1565" s="375" t="s">
        <v>1337</v>
      </c>
      <c r="I1565" s="375" t="s">
        <v>862</v>
      </c>
      <c r="J1565" s="375">
        <v>15860.689469999999</v>
      </c>
      <c r="K1565" s="375">
        <v>-4393.0152099999996</v>
      </c>
      <c r="L1565" s="375">
        <v>-5937.9384700000001</v>
      </c>
      <c r="M1565" s="375">
        <v>23911.233509999998</v>
      </c>
      <c r="N1565" s="372">
        <v>1.0069999999999999</v>
      </c>
      <c r="O1565" s="704">
        <v>1.2786776503295894</v>
      </c>
      <c r="P1565" s="375" t="s">
        <v>622</v>
      </c>
      <c r="Q1565" s="372" t="s">
        <v>622</v>
      </c>
      <c r="R1565" s="696">
        <v>20160609</v>
      </c>
      <c r="S1565" s="372" t="s">
        <v>10361</v>
      </c>
      <c r="T1565" s="697" t="s">
        <v>771</v>
      </c>
      <c r="U1565" s="372" t="s">
        <v>10362</v>
      </c>
      <c r="V1565" s="723" t="s">
        <v>773</v>
      </c>
      <c r="W1565" s="723">
        <v>2.13</v>
      </c>
      <c r="X1565" s="723">
        <v>3.13</v>
      </c>
      <c r="Y1565" s="723" t="s">
        <v>773</v>
      </c>
      <c r="Z1565" s="382" t="s">
        <v>927</v>
      </c>
      <c r="AA1565" s="372">
        <v>238.1421909</v>
      </c>
      <c r="AB1565" s="372">
        <v>287.80386700000003</v>
      </c>
      <c r="AC1565" s="372">
        <v>229.21900439999999</v>
      </c>
      <c r="AD1565" s="372">
        <v>138.37382500000001</v>
      </c>
      <c r="AE1565" s="372">
        <v>0</v>
      </c>
      <c r="AF1565" s="372">
        <v>0</v>
      </c>
      <c r="AG1565" s="372">
        <v>0</v>
      </c>
      <c r="AH1565" s="372">
        <v>0</v>
      </c>
    </row>
    <row r="1566" spans="1:34">
      <c r="A1566" s="372" t="s">
        <v>10363</v>
      </c>
      <c r="B1566" s="373" t="s">
        <v>10364</v>
      </c>
      <c r="C1566" s="372" t="s">
        <v>10365</v>
      </c>
      <c r="D1566" s="374">
        <v>1311110100021</v>
      </c>
      <c r="E1566" s="372" t="s">
        <v>10366</v>
      </c>
      <c r="F1566" s="375" t="s">
        <v>2124</v>
      </c>
      <c r="G1566" s="375" t="s">
        <v>4231</v>
      </c>
      <c r="H1566" s="375" t="s">
        <v>861</v>
      </c>
      <c r="I1566" s="375" t="s">
        <v>862</v>
      </c>
      <c r="J1566" s="375">
        <v>23423.028699999999</v>
      </c>
      <c r="K1566" s="375">
        <v>453.30248</v>
      </c>
      <c r="L1566" s="375">
        <v>5051.7702499999996</v>
      </c>
      <c r="M1566" s="375">
        <v>37525.594279999998</v>
      </c>
      <c r="N1566" s="372">
        <v>0.73399999999999999</v>
      </c>
      <c r="O1566" s="704">
        <v>16.398878682009347</v>
      </c>
      <c r="P1566" s="375" t="s">
        <v>622</v>
      </c>
      <c r="Q1566" s="372" t="s">
        <v>622</v>
      </c>
      <c r="R1566" s="696">
        <v>20180814</v>
      </c>
      <c r="S1566" s="372" t="s">
        <v>10367</v>
      </c>
      <c r="T1566" s="697">
        <v>0.20900000000000002</v>
      </c>
      <c r="U1566" s="372" t="s">
        <v>10368</v>
      </c>
      <c r="V1566" s="723">
        <v>54.45</v>
      </c>
      <c r="W1566" s="723">
        <v>2.41</v>
      </c>
      <c r="X1566" s="723">
        <v>3.92</v>
      </c>
      <c r="Y1566" s="723">
        <v>18.87</v>
      </c>
      <c r="Z1566" s="382" t="s">
        <v>927</v>
      </c>
      <c r="AA1566" s="372">
        <v>166.33018680000001</v>
      </c>
      <c r="AB1566" s="372">
        <v>201.95049</v>
      </c>
      <c r="AC1566" s="372">
        <v>213.63454110000001</v>
      </c>
      <c r="AD1566" s="372">
        <v>185.3613464</v>
      </c>
      <c r="AE1566" s="372">
        <v>0</v>
      </c>
      <c r="AF1566" s="372">
        <v>0</v>
      </c>
      <c r="AG1566" s="372">
        <v>0</v>
      </c>
      <c r="AH1566" s="372">
        <v>0</v>
      </c>
    </row>
    <row r="1567" spans="1:34">
      <c r="A1567" s="372" t="s">
        <v>10369</v>
      </c>
      <c r="B1567" s="373" t="s">
        <v>10370</v>
      </c>
      <c r="C1567" s="372" t="s">
        <v>10371</v>
      </c>
      <c r="D1567" s="374">
        <v>1911110000782</v>
      </c>
      <c r="E1567" s="372" t="s">
        <v>10372</v>
      </c>
      <c r="F1567" s="375" t="s">
        <v>7212</v>
      </c>
      <c r="G1567" s="375" t="s">
        <v>5362</v>
      </c>
      <c r="H1567" s="375" t="s">
        <v>3957</v>
      </c>
      <c r="I1567" s="375" t="s">
        <v>754</v>
      </c>
      <c r="J1567" s="375">
        <v>1393610.74649</v>
      </c>
      <c r="K1567" s="375">
        <v>108986.67925</v>
      </c>
      <c r="L1567" s="375">
        <v>48896.871460000002</v>
      </c>
      <c r="M1567" s="375">
        <v>720719.59392000001</v>
      </c>
      <c r="N1567" s="372">
        <v>0.86199999999999999</v>
      </c>
      <c r="O1567" s="704">
        <v>1601.612726384009</v>
      </c>
      <c r="P1567" s="375" t="s">
        <v>622</v>
      </c>
      <c r="Q1567" s="375" t="s">
        <v>622</v>
      </c>
      <c r="R1567" s="696">
        <v>19900609</v>
      </c>
      <c r="S1567" s="375" t="s">
        <v>10373</v>
      </c>
      <c r="T1567" s="697">
        <v>0.23100000000000001</v>
      </c>
      <c r="U1567" s="372" t="s">
        <v>6494</v>
      </c>
      <c r="V1567" s="723">
        <v>7.18</v>
      </c>
      <c r="W1567" s="723">
        <v>0.2</v>
      </c>
      <c r="X1567" s="723">
        <v>0.06</v>
      </c>
      <c r="Y1567" s="723">
        <v>2.34</v>
      </c>
      <c r="Z1567" s="382" t="s">
        <v>927</v>
      </c>
      <c r="AA1567" s="372">
        <v>9496.5484809000009</v>
      </c>
      <c r="AB1567" s="372">
        <v>10552.7325482</v>
      </c>
      <c r="AC1567" s="372">
        <v>13991.392669299999</v>
      </c>
      <c r="AD1567" s="372">
        <v>13218.8502009</v>
      </c>
      <c r="AE1567" s="372">
        <v>0</v>
      </c>
      <c r="AF1567" s="372">
        <v>0</v>
      </c>
      <c r="AG1567" s="372">
        <v>0</v>
      </c>
      <c r="AH1567" s="372">
        <v>0</v>
      </c>
    </row>
    <row r="1568" spans="1:34">
      <c r="A1568" s="372" t="s">
        <v>10374</v>
      </c>
      <c r="B1568" s="373" t="s">
        <v>10375</v>
      </c>
      <c r="C1568" s="372" t="s">
        <v>10376</v>
      </c>
      <c r="D1568" s="374">
        <v>1760110078920</v>
      </c>
      <c r="E1568" s="372" t="s">
        <v>10377</v>
      </c>
      <c r="F1568" s="375" t="s">
        <v>1947</v>
      </c>
      <c r="G1568" s="375" t="s">
        <v>2498</v>
      </c>
      <c r="H1568" s="375" t="s">
        <v>861</v>
      </c>
      <c r="I1568" s="375" t="s">
        <v>862</v>
      </c>
      <c r="J1568" s="375">
        <v>7955.8378599999996</v>
      </c>
      <c r="K1568" s="375">
        <v>-7640.93948</v>
      </c>
      <c r="L1568" s="375">
        <v>-3991.7480300000002</v>
      </c>
      <c r="M1568" s="375">
        <v>13665.589749999999</v>
      </c>
      <c r="N1568" s="372">
        <v>1.079</v>
      </c>
      <c r="O1568" s="704">
        <v>5.6383578778577741</v>
      </c>
      <c r="P1568" s="375" t="s">
        <v>622</v>
      </c>
      <c r="Q1568" s="375" t="s">
        <v>622</v>
      </c>
      <c r="R1568" s="696">
        <v>20200228</v>
      </c>
      <c r="S1568" s="375" t="s">
        <v>10378</v>
      </c>
      <c r="T1568" s="697" t="s">
        <v>771</v>
      </c>
      <c r="U1568" s="372" t="s">
        <v>10379</v>
      </c>
      <c r="V1568" s="723">
        <v>0</v>
      </c>
      <c r="W1568" s="723">
        <v>0</v>
      </c>
      <c r="X1568" s="723">
        <v>0</v>
      </c>
      <c r="Y1568" s="723">
        <v>0</v>
      </c>
      <c r="Z1568" s="382" t="s">
        <v>927</v>
      </c>
      <c r="AA1568" s="372">
        <v>801.46793290000005</v>
      </c>
      <c r="AB1568" s="372">
        <v>334.16382809999999</v>
      </c>
      <c r="AC1568" s="372">
        <v>397.6923673</v>
      </c>
      <c r="AD1568" s="372">
        <v>104.7707341</v>
      </c>
      <c r="AE1568" s="372">
        <v>0</v>
      </c>
      <c r="AF1568" s="372">
        <v>0</v>
      </c>
      <c r="AG1568" s="372">
        <v>0</v>
      </c>
      <c r="AH1568" s="372">
        <v>0</v>
      </c>
    </row>
    <row r="1569" spans="1:34">
      <c r="A1569" s="372" t="s">
        <v>10380</v>
      </c>
      <c r="B1569" s="373" t="s">
        <v>10381</v>
      </c>
      <c r="C1569" s="372" t="s">
        <v>10382</v>
      </c>
      <c r="D1569" s="374">
        <v>1101111665350</v>
      </c>
      <c r="E1569" s="372" t="s">
        <v>10383</v>
      </c>
      <c r="F1569" s="372" t="s">
        <v>1796</v>
      </c>
      <c r="G1569" s="375" t="s">
        <v>2797</v>
      </c>
      <c r="H1569" s="375" t="s">
        <v>861</v>
      </c>
      <c r="I1569" s="375" t="s">
        <v>862</v>
      </c>
      <c r="J1569" s="375">
        <v>37306.593719999997</v>
      </c>
      <c r="K1569" s="375">
        <v>2719.7278900000001</v>
      </c>
      <c r="L1569" s="375">
        <v>2581.4539500000001</v>
      </c>
      <c r="M1569" s="375">
        <v>54177.424919999998</v>
      </c>
      <c r="N1569" s="372">
        <v>0.91300000000000003</v>
      </c>
      <c r="O1569" s="704">
        <v>0.73410722268656226</v>
      </c>
      <c r="P1569" s="375" t="s">
        <v>622</v>
      </c>
      <c r="Q1569" s="375" t="s">
        <v>622</v>
      </c>
      <c r="R1569" s="696">
        <v>20101119</v>
      </c>
      <c r="S1569" s="375" t="s">
        <v>10384</v>
      </c>
      <c r="T1569" s="697">
        <v>0.20900000000000002</v>
      </c>
      <c r="U1569" s="375" t="s">
        <v>10385</v>
      </c>
      <c r="V1569" s="723">
        <v>17.8</v>
      </c>
      <c r="W1569" s="723">
        <v>1.23</v>
      </c>
      <c r="X1569" s="723">
        <v>1.79</v>
      </c>
      <c r="Y1569" s="723">
        <v>36.44</v>
      </c>
      <c r="Z1569" s="382" t="s">
        <v>927</v>
      </c>
      <c r="AA1569" s="372">
        <v>327.87602750000002</v>
      </c>
      <c r="AB1569" s="372">
        <v>346.64171670000002</v>
      </c>
      <c r="AC1569" s="372">
        <v>385.22794759999999</v>
      </c>
      <c r="AD1569" s="372">
        <v>383.40871019999997</v>
      </c>
      <c r="AE1569" s="372">
        <v>0</v>
      </c>
      <c r="AF1569" s="372">
        <v>0</v>
      </c>
      <c r="AG1569" s="372">
        <v>0</v>
      </c>
      <c r="AH1569" s="372">
        <v>0</v>
      </c>
    </row>
    <row r="1570" spans="1:34">
      <c r="A1570" s="372" t="s">
        <v>10386</v>
      </c>
      <c r="B1570" s="373" t="s">
        <v>10387</v>
      </c>
      <c r="C1570" s="372" t="s">
        <v>10388</v>
      </c>
      <c r="D1570" s="374">
        <v>1601110095821</v>
      </c>
      <c r="E1570" s="372" t="s">
        <v>10389</v>
      </c>
      <c r="F1570" s="375" t="s">
        <v>16101</v>
      </c>
      <c r="G1570" s="375" t="s">
        <v>16101</v>
      </c>
      <c r="H1570" s="375" t="s">
        <v>861</v>
      </c>
      <c r="I1570" s="375" t="s">
        <v>862</v>
      </c>
      <c r="J1570" s="375">
        <v>34833.811659999999</v>
      </c>
      <c r="K1570" s="375">
        <v>-1168.8615199999999</v>
      </c>
      <c r="L1570" s="375">
        <v>4378.5182299999997</v>
      </c>
      <c r="M1570" s="375">
        <v>29155.695489999998</v>
      </c>
      <c r="N1570" s="372">
        <v>0.79200000000000004</v>
      </c>
      <c r="O1570" s="704">
        <v>39.034872333831522</v>
      </c>
      <c r="P1570" s="375" t="s">
        <v>622</v>
      </c>
      <c r="Q1570" s="372" t="s">
        <v>622</v>
      </c>
      <c r="R1570" s="696">
        <v>20150529</v>
      </c>
      <c r="S1570" s="372" t="s">
        <v>10390</v>
      </c>
      <c r="T1570" s="697">
        <v>0.20900000000000002</v>
      </c>
      <c r="U1570" s="372" t="s">
        <v>10391</v>
      </c>
      <c r="V1570" s="723">
        <v>31.24</v>
      </c>
      <c r="W1570" s="723">
        <v>2.9</v>
      </c>
      <c r="X1570" s="723">
        <v>2.06</v>
      </c>
      <c r="Y1570" s="723">
        <v>68.64</v>
      </c>
      <c r="Z1570" s="382" t="s">
        <v>927</v>
      </c>
      <c r="AA1570" s="372">
        <v>187.69177909999999</v>
      </c>
      <c r="AB1570" s="372">
        <v>258.73630100000003</v>
      </c>
      <c r="AC1570" s="372">
        <v>278.01755539999999</v>
      </c>
      <c r="AD1570" s="372">
        <v>270.08338279999998</v>
      </c>
      <c r="AE1570" s="372">
        <v>0</v>
      </c>
      <c r="AF1570" s="372">
        <v>0</v>
      </c>
      <c r="AG1570" s="372">
        <v>0</v>
      </c>
      <c r="AH1570" s="372">
        <v>0</v>
      </c>
    </row>
    <row r="1571" spans="1:34">
      <c r="A1571" s="372" t="s">
        <v>10392</v>
      </c>
      <c r="B1571" s="373" t="s">
        <v>10393</v>
      </c>
      <c r="C1571" s="372" t="s">
        <v>10394</v>
      </c>
      <c r="D1571" s="374">
        <v>1201110019225</v>
      </c>
      <c r="E1571" s="372" t="s">
        <v>10395</v>
      </c>
      <c r="F1571" s="375" t="s">
        <v>16101</v>
      </c>
      <c r="G1571" s="375" t="s">
        <v>16101</v>
      </c>
      <c r="H1571" s="375" t="s">
        <v>861</v>
      </c>
      <c r="I1571" s="375" t="s">
        <v>862</v>
      </c>
      <c r="J1571" s="375">
        <v>119644.98963</v>
      </c>
      <c r="K1571" s="375">
        <v>-3770.8426899999999</v>
      </c>
      <c r="L1571" s="375">
        <v>-31981.192190000002</v>
      </c>
      <c r="M1571" s="375">
        <v>32902.137569999999</v>
      </c>
      <c r="N1571" s="372">
        <v>-0.14699999999999999</v>
      </c>
      <c r="O1571" s="704">
        <v>7.4213386639549945</v>
      </c>
      <c r="P1571" s="375" t="s">
        <v>622</v>
      </c>
      <c r="Q1571" s="372" t="s">
        <v>622</v>
      </c>
      <c r="R1571" s="696">
        <v>20020521</v>
      </c>
      <c r="S1571" s="372" t="s">
        <v>10396</v>
      </c>
      <c r="T1571" s="697" t="s">
        <v>771</v>
      </c>
      <c r="U1571" s="372" t="s">
        <v>10397</v>
      </c>
      <c r="V1571" s="723" t="s">
        <v>773</v>
      </c>
      <c r="W1571" s="723">
        <v>4.66</v>
      </c>
      <c r="X1571" s="723">
        <v>1.18</v>
      </c>
      <c r="Y1571" s="723" t="s">
        <v>773</v>
      </c>
      <c r="Z1571" s="382" t="s">
        <v>927</v>
      </c>
      <c r="AA1571" s="372">
        <v>731.87704020000001</v>
      </c>
      <c r="AB1571" s="372">
        <v>999.17911289999995</v>
      </c>
      <c r="AC1571" s="372">
        <v>1220.8526307</v>
      </c>
      <c r="AD1571" s="372">
        <v>955.52959599999997</v>
      </c>
      <c r="AE1571" s="372">
        <v>0</v>
      </c>
      <c r="AF1571" s="372">
        <v>0</v>
      </c>
      <c r="AG1571" s="372">
        <v>0</v>
      </c>
      <c r="AH1571" s="372">
        <v>0</v>
      </c>
    </row>
    <row r="1572" spans="1:34">
      <c r="A1572" s="372" t="s">
        <v>10398</v>
      </c>
      <c r="B1572" s="373" t="s">
        <v>10399</v>
      </c>
      <c r="C1572" s="372" t="s">
        <v>10400</v>
      </c>
      <c r="D1572" s="374">
        <v>1348110033605</v>
      </c>
      <c r="E1572" s="372" t="s">
        <v>10401</v>
      </c>
      <c r="F1572" s="372" t="s">
        <v>2116</v>
      </c>
      <c r="G1572" s="375" t="s">
        <v>2117</v>
      </c>
      <c r="H1572" s="375" t="s">
        <v>861</v>
      </c>
      <c r="I1572" s="375" t="s">
        <v>862</v>
      </c>
      <c r="J1572" s="375">
        <v>73702.524050000007</v>
      </c>
      <c r="K1572" s="375">
        <v>-7563.0654299999997</v>
      </c>
      <c r="L1572" s="375">
        <v>-15173.655549999999</v>
      </c>
      <c r="M1572" s="375">
        <v>43126.716370000002</v>
      </c>
      <c r="N1572" s="372">
        <v>0.871</v>
      </c>
      <c r="O1572" s="704">
        <v>44.368294982157302</v>
      </c>
      <c r="P1572" s="375" t="s">
        <v>622</v>
      </c>
      <c r="Q1572" s="375" t="s">
        <v>622</v>
      </c>
      <c r="R1572" s="696">
        <v>20131220</v>
      </c>
      <c r="S1572" s="375" t="s">
        <v>10402</v>
      </c>
      <c r="T1572" s="697" t="s">
        <v>771</v>
      </c>
      <c r="U1572" s="372" t="s">
        <v>10403</v>
      </c>
      <c r="V1572" s="723" t="s">
        <v>773</v>
      </c>
      <c r="W1572" s="723">
        <v>2.82</v>
      </c>
      <c r="X1572" s="723">
        <v>1.72</v>
      </c>
      <c r="Y1572" s="723" t="s">
        <v>773</v>
      </c>
      <c r="Z1572" s="382">
        <v>0.2068667038807519</v>
      </c>
      <c r="AA1572" s="372">
        <v>626.76118799999995</v>
      </c>
      <c r="AB1572" s="372">
        <v>832.37751430000003</v>
      </c>
      <c r="AC1572" s="372">
        <v>830.07100949999995</v>
      </c>
      <c r="AD1572" s="372">
        <v>588.74226639999995</v>
      </c>
      <c r="AE1572" s="372">
        <v>850.33</v>
      </c>
      <c r="AF1572" s="372">
        <v>1322.33</v>
      </c>
      <c r="AG1572" s="372">
        <v>1249</v>
      </c>
      <c r="AH1572" s="372">
        <v>0</v>
      </c>
    </row>
    <row r="1573" spans="1:34">
      <c r="A1573" s="372" t="s">
        <v>10404</v>
      </c>
      <c r="B1573" s="373" t="s">
        <v>10405</v>
      </c>
      <c r="C1573" s="372" t="s">
        <v>10406</v>
      </c>
      <c r="D1573" s="374">
        <v>1845110000147</v>
      </c>
      <c r="E1573" s="372" t="s">
        <v>10407</v>
      </c>
      <c r="F1573" s="375" t="s">
        <v>2222</v>
      </c>
      <c r="G1573" s="375" t="s">
        <v>2222</v>
      </c>
      <c r="H1573" s="375" t="s">
        <v>861</v>
      </c>
      <c r="I1573" s="375" t="s">
        <v>862</v>
      </c>
      <c r="J1573" s="375">
        <v>183864.16279</v>
      </c>
      <c r="K1573" s="375">
        <v>24766.821250000001</v>
      </c>
      <c r="L1573" s="375">
        <v>23834.751540000001</v>
      </c>
      <c r="M1573" s="375">
        <v>164141.36606</v>
      </c>
      <c r="N1573" s="372">
        <v>0.52500000000000002</v>
      </c>
      <c r="O1573" s="704">
        <v>59.734283078202274</v>
      </c>
      <c r="P1573" s="375" t="s">
        <v>622</v>
      </c>
      <c r="Q1573" s="375" t="s">
        <v>622</v>
      </c>
      <c r="R1573" s="696">
        <v>19931005</v>
      </c>
      <c r="S1573" s="372" t="s">
        <v>10408</v>
      </c>
      <c r="T1573" s="697">
        <v>0.23100000000000001</v>
      </c>
      <c r="U1573" s="372" t="s">
        <v>10409</v>
      </c>
      <c r="V1573" s="723">
        <v>3.82</v>
      </c>
      <c r="W1573" s="723">
        <v>0.55000000000000004</v>
      </c>
      <c r="X1573" s="723">
        <v>0.49</v>
      </c>
      <c r="Y1573" s="723">
        <v>4.76</v>
      </c>
      <c r="Z1573" s="382" t="s">
        <v>927</v>
      </c>
      <c r="AA1573" s="372">
        <v>1463.7055022</v>
      </c>
      <c r="AB1573" s="372">
        <v>1620.489053</v>
      </c>
      <c r="AC1573" s="372">
        <v>2042.9899921000001</v>
      </c>
      <c r="AD1573" s="372">
        <v>1890.482968</v>
      </c>
      <c r="AE1573" s="372">
        <v>2363</v>
      </c>
      <c r="AF1573" s="372">
        <v>0</v>
      </c>
      <c r="AG1573" s="372">
        <v>0</v>
      </c>
      <c r="AH1573" s="372">
        <v>0</v>
      </c>
    </row>
    <row r="1574" spans="1:34">
      <c r="A1574" s="372" t="s">
        <v>10410</v>
      </c>
      <c r="B1574" s="373" t="s">
        <v>10411</v>
      </c>
      <c r="C1574" s="372" t="s">
        <v>10412</v>
      </c>
      <c r="D1574" s="374">
        <v>1101113940221</v>
      </c>
      <c r="E1574" s="372" t="s">
        <v>10413</v>
      </c>
      <c r="F1574" s="375" t="s">
        <v>1796</v>
      </c>
      <c r="G1574" s="375" t="s">
        <v>1797</v>
      </c>
      <c r="H1574" s="375" t="s">
        <v>861</v>
      </c>
      <c r="I1574" s="375" t="s">
        <v>862</v>
      </c>
      <c r="J1574" s="375">
        <v>30647.973870000002</v>
      </c>
      <c r="K1574" s="375">
        <v>5281.8369599999996</v>
      </c>
      <c r="L1574" s="375">
        <v>5984.9132399999999</v>
      </c>
      <c r="M1574" s="375">
        <v>74157.728780000005</v>
      </c>
      <c r="N1574" s="372">
        <v>0.27800000000000002</v>
      </c>
      <c r="O1574" s="704">
        <v>0</v>
      </c>
      <c r="P1574" s="375" t="s">
        <v>622</v>
      </c>
      <c r="Q1574" s="372" t="s">
        <v>622</v>
      </c>
      <c r="R1574" s="696">
        <v>20150211</v>
      </c>
      <c r="S1574" s="372" t="s">
        <v>10414</v>
      </c>
      <c r="T1574" s="697">
        <v>0.20900000000000002</v>
      </c>
      <c r="U1574" s="372" t="s">
        <v>10415</v>
      </c>
      <c r="V1574" s="723">
        <v>13.88</v>
      </c>
      <c r="W1574" s="723">
        <v>1.1000000000000001</v>
      </c>
      <c r="X1574" s="723">
        <v>2.65</v>
      </c>
      <c r="Y1574" s="723">
        <v>14.68</v>
      </c>
      <c r="Z1574" s="382" t="s">
        <v>927</v>
      </c>
      <c r="AA1574" s="372">
        <v>216.99494709999999</v>
      </c>
      <c r="AB1574" s="372">
        <v>237.0477722</v>
      </c>
      <c r="AC1574" s="372">
        <v>296.13557709999998</v>
      </c>
      <c r="AD1574" s="372">
        <v>332.47383810000002</v>
      </c>
      <c r="AE1574" s="372">
        <v>0</v>
      </c>
      <c r="AF1574" s="372">
        <v>0</v>
      </c>
      <c r="AG1574" s="372">
        <v>0</v>
      </c>
      <c r="AH1574" s="372">
        <v>0</v>
      </c>
    </row>
    <row r="1575" spans="1:34">
      <c r="A1575" s="372" t="s">
        <v>10416</v>
      </c>
      <c r="B1575" s="373" t="s">
        <v>10417</v>
      </c>
      <c r="C1575" s="372" t="s">
        <v>10418</v>
      </c>
      <c r="D1575" s="374">
        <v>1101110124969</v>
      </c>
      <c r="E1575" s="372" t="s">
        <v>10419</v>
      </c>
      <c r="F1575" s="372" t="s">
        <v>16123</v>
      </c>
      <c r="G1575" s="375" t="s">
        <v>16123</v>
      </c>
      <c r="H1575" s="375" t="s">
        <v>826</v>
      </c>
      <c r="I1575" s="375" t="s">
        <v>754</v>
      </c>
      <c r="J1575" s="375">
        <v>171409.75039</v>
      </c>
      <c r="K1575" s="375">
        <v>10833.453519999999</v>
      </c>
      <c r="L1575" s="375">
        <v>11917.84762</v>
      </c>
      <c r="M1575" s="375">
        <v>170635.43676000001</v>
      </c>
      <c r="N1575" s="372">
        <v>0.53700000000000003</v>
      </c>
      <c r="O1575" s="704">
        <v>34.414135116056919</v>
      </c>
      <c r="P1575" s="375" t="s">
        <v>622</v>
      </c>
      <c r="Q1575" s="372" t="s">
        <v>622</v>
      </c>
      <c r="R1575" s="696">
        <v>19770629</v>
      </c>
      <c r="S1575" s="372" t="s">
        <v>10420</v>
      </c>
      <c r="T1575" s="697">
        <v>0.20900000000000002</v>
      </c>
      <c r="U1575" s="372" t="s">
        <v>10421</v>
      </c>
      <c r="V1575" s="723">
        <v>6.97</v>
      </c>
      <c r="W1575" s="723">
        <v>0.48</v>
      </c>
      <c r="X1575" s="723">
        <v>0.49</v>
      </c>
      <c r="Y1575" s="723">
        <v>8.3699999999999992</v>
      </c>
      <c r="Z1575" s="382" t="s">
        <v>927</v>
      </c>
      <c r="AA1575" s="372">
        <v>1295.2168509000001</v>
      </c>
      <c r="AB1575" s="372">
        <v>1340.6593413999999</v>
      </c>
      <c r="AC1575" s="372">
        <v>1467.228486</v>
      </c>
      <c r="AD1575" s="372">
        <v>1642.7532610000001</v>
      </c>
      <c r="AE1575" s="372">
        <v>0</v>
      </c>
      <c r="AF1575" s="372">
        <v>0</v>
      </c>
      <c r="AG1575" s="372">
        <v>0</v>
      </c>
      <c r="AH1575" s="372">
        <v>0</v>
      </c>
    </row>
    <row r="1576" spans="1:34">
      <c r="A1576" s="372" t="s">
        <v>10422</v>
      </c>
      <c r="B1576" s="373" t="s">
        <v>10423</v>
      </c>
      <c r="C1576" s="372" t="s">
        <v>10424</v>
      </c>
      <c r="D1576" s="374">
        <v>1101110153273</v>
      </c>
      <c r="E1576" s="372" t="s">
        <v>10425</v>
      </c>
      <c r="F1576" s="375" t="s">
        <v>10426</v>
      </c>
      <c r="G1576" s="375" t="s">
        <v>10426</v>
      </c>
      <c r="H1576" s="375" t="s">
        <v>846</v>
      </c>
      <c r="I1576" s="375" t="s">
        <v>754</v>
      </c>
      <c r="J1576" s="375">
        <v>78445.230899999995</v>
      </c>
      <c r="K1576" s="375">
        <v>5717.2365399999999</v>
      </c>
      <c r="L1576" s="375">
        <v>3656.1639799999998</v>
      </c>
      <c r="M1576" s="375">
        <v>58004.521630000003</v>
      </c>
      <c r="N1576" s="372">
        <v>0.77400000000000002</v>
      </c>
      <c r="O1576" s="704">
        <v>12.596399913619221</v>
      </c>
      <c r="P1576" s="375" t="s">
        <v>622</v>
      </c>
      <c r="Q1576" s="375" t="s">
        <v>622</v>
      </c>
      <c r="R1576" s="696">
        <v>19860304</v>
      </c>
      <c r="S1576" s="375" t="s">
        <v>10427</v>
      </c>
      <c r="T1576" s="697">
        <v>0.20900000000000002</v>
      </c>
      <c r="U1576" s="372" t="s">
        <v>10428</v>
      </c>
      <c r="V1576" s="723">
        <v>0</v>
      </c>
      <c r="W1576" s="723">
        <v>0</v>
      </c>
      <c r="X1576" s="723">
        <v>0</v>
      </c>
      <c r="Y1576" s="723">
        <v>0</v>
      </c>
      <c r="Z1576" s="382" t="s">
        <v>927</v>
      </c>
      <c r="AA1576" s="372">
        <v>587.42051909999998</v>
      </c>
      <c r="AB1576" s="372">
        <v>747.42972569999995</v>
      </c>
      <c r="AC1576" s="372">
        <v>1376.7099074</v>
      </c>
      <c r="AD1576" s="372">
        <v>1012.3741680000001</v>
      </c>
      <c r="AE1576" s="372">
        <v>0</v>
      </c>
      <c r="AF1576" s="372">
        <v>0</v>
      </c>
      <c r="AG1576" s="372">
        <v>0</v>
      </c>
      <c r="AH1576" s="372">
        <v>0</v>
      </c>
    </row>
    <row r="1577" spans="1:34">
      <c r="A1577" s="372" t="s">
        <v>10429</v>
      </c>
      <c r="B1577" s="373" t="s">
        <v>10430</v>
      </c>
      <c r="C1577" s="372" t="s">
        <v>10431</v>
      </c>
      <c r="D1577" s="374">
        <v>1201110046476</v>
      </c>
      <c r="E1577" s="372" t="s">
        <v>10432</v>
      </c>
      <c r="F1577" s="372" t="s">
        <v>2426</v>
      </c>
      <c r="G1577" s="375" t="s">
        <v>6074</v>
      </c>
      <c r="H1577" s="375" t="s">
        <v>1043</v>
      </c>
      <c r="I1577" s="375" t="s">
        <v>754</v>
      </c>
      <c r="J1577" s="375">
        <v>0</v>
      </c>
      <c r="K1577" s="375">
        <v>0</v>
      </c>
      <c r="L1577" s="375">
        <v>0</v>
      </c>
      <c r="M1577" s="375">
        <v>0</v>
      </c>
      <c r="N1577" s="372">
        <v>0.46300000000000002</v>
      </c>
      <c r="O1577" s="704" t="s">
        <v>16301</v>
      </c>
      <c r="P1577" s="375" t="s">
        <v>622</v>
      </c>
      <c r="Q1577" s="375" t="s">
        <v>622</v>
      </c>
      <c r="R1577" s="696">
        <v>20071030</v>
      </c>
      <c r="S1577" s="375" t="s">
        <v>10433</v>
      </c>
      <c r="T1577" s="697" t="s">
        <v>771</v>
      </c>
      <c r="U1577" s="372" t="s">
        <v>10434</v>
      </c>
      <c r="V1577" s="723">
        <v>0</v>
      </c>
      <c r="W1577" s="723">
        <v>0</v>
      </c>
      <c r="X1577" s="723">
        <v>0</v>
      </c>
      <c r="Y1577" s="723">
        <v>0</v>
      </c>
      <c r="Z1577" s="382" t="s">
        <v>927</v>
      </c>
      <c r="AA1577" s="372">
        <v>1284.5966642999999</v>
      </c>
      <c r="AB1577" s="372">
        <v>1313.2989249</v>
      </c>
      <c r="AC1577" s="372">
        <v>1444.408574</v>
      </c>
      <c r="AD1577" s="372">
        <v>1378.6048867</v>
      </c>
      <c r="AE1577" s="372">
        <v>0</v>
      </c>
      <c r="AF1577" s="372">
        <v>0</v>
      </c>
      <c r="AG1577" s="372">
        <v>0</v>
      </c>
      <c r="AH1577" s="372">
        <v>0</v>
      </c>
    </row>
    <row r="1578" spans="1:34">
      <c r="A1578" s="372" t="s">
        <v>10435</v>
      </c>
      <c r="B1578" s="373" t="s">
        <v>10436</v>
      </c>
      <c r="C1578" s="372" t="s">
        <v>10437</v>
      </c>
      <c r="D1578" s="374">
        <v>1348110001181</v>
      </c>
      <c r="E1578" s="372" t="s">
        <v>10438</v>
      </c>
      <c r="F1578" s="375" t="s">
        <v>1820</v>
      </c>
      <c r="G1578" s="375" t="s">
        <v>1821</v>
      </c>
      <c r="H1578" s="375" t="s">
        <v>753</v>
      </c>
      <c r="I1578" s="375" t="s">
        <v>754</v>
      </c>
      <c r="J1578" s="375">
        <v>544753.62763999996</v>
      </c>
      <c r="K1578" s="375">
        <v>16937.718649999999</v>
      </c>
      <c r="L1578" s="375">
        <v>11706.25153</v>
      </c>
      <c r="M1578" s="375">
        <v>114740.87014</v>
      </c>
      <c r="N1578" s="372">
        <v>0.97699999999999998</v>
      </c>
      <c r="O1578" s="704">
        <v>13.483062312783932</v>
      </c>
      <c r="P1578" s="375" t="s">
        <v>622</v>
      </c>
      <c r="Q1578" s="372" t="s">
        <v>622</v>
      </c>
      <c r="R1578" s="696">
        <v>19880504</v>
      </c>
      <c r="S1578" s="372" t="s">
        <v>10439</v>
      </c>
      <c r="T1578" s="697">
        <v>0.20900000000000002</v>
      </c>
      <c r="U1578" s="372" t="s">
        <v>10440</v>
      </c>
      <c r="V1578" s="723">
        <v>12.53</v>
      </c>
      <c r="W1578" s="723">
        <v>2.04</v>
      </c>
      <c r="X1578" s="723">
        <v>0.43</v>
      </c>
      <c r="Y1578" s="723">
        <v>25.14</v>
      </c>
      <c r="Z1578" s="382" t="s">
        <v>927</v>
      </c>
      <c r="AA1578" s="372">
        <v>3673.1310991</v>
      </c>
      <c r="AB1578" s="372">
        <v>4749.7848670000003</v>
      </c>
      <c r="AC1578" s="372">
        <v>5624.2805827000002</v>
      </c>
      <c r="AD1578" s="372">
        <v>5154.0190838999997</v>
      </c>
      <c r="AE1578" s="372">
        <v>0</v>
      </c>
      <c r="AF1578" s="372">
        <v>0</v>
      </c>
      <c r="AG1578" s="372">
        <v>0</v>
      </c>
      <c r="AH1578" s="372">
        <v>0</v>
      </c>
    </row>
    <row r="1579" spans="1:34">
      <c r="A1579" s="372" t="s">
        <v>10441</v>
      </c>
      <c r="B1579" s="373" t="s">
        <v>10442</v>
      </c>
      <c r="C1579" s="372" t="s">
        <v>10443</v>
      </c>
      <c r="D1579" s="374">
        <v>1101112059031</v>
      </c>
      <c r="E1579" s="372" t="s">
        <v>10444</v>
      </c>
      <c r="F1579" s="375" t="s">
        <v>3236</v>
      </c>
      <c r="G1579" s="375" t="s">
        <v>3236</v>
      </c>
      <c r="H1579" s="375" t="s">
        <v>861</v>
      </c>
      <c r="I1579" s="375" t="s">
        <v>862</v>
      </c>
      <c r="J1579" s="375">
        <v>8266.8912500000006</v>
      </c>
      <c r="K1579" s="375">
        <v>-11942.897220000001</v>
      </c>
      <c r="L1579" s="375">
        <v>-11511.72523</v>
      </c>
      <c r="M1579" s="375">
        <v>33030.636129999999</v>
      </c>
      <c r="N1579" s="372" t="s">
        <v>1026</v>
      </c>
      <c r="O1579" s="704">
        <v>26.445929347362039</v>
      </c>
      <c r="P1579" s="375" t="s">
        <v>622</v>
      </c>
      <c r="Q1579" s="375" t="s">
        <v>622</v>
      </c>
      <c r="R1579" s="696">
        <v>20230426</v>
      </c>
      <c r="S1579" s="375" t="s">
        <v>10445</v>
      </c>
      <c r="T1579" s="697" t="s">
        <v>771</v>
      </c>
      <c r="U1579" s="372" t="s">
        <v>10446</v>
      </c>
      <c r="V1579" s="723">
        <v>0</v>
      </c>
      <c r="W1579" s="723">
        <v>0</v>
      </c>
      <c r="X1579" s="723">
        <v>0</v>
      </c>
      <c r="Y1579" s="723">
        <v>0</v>
      </c>
      <c r="Z1579" s="382" t="s">
        <v>927</v>
      </c>
      <c r="AA1579" s="372">
        <v>238.9596502</v>
      </c>
      <c r="AB1579" s="372">
        <v>317.06906780000003</v>
      </c>
      <c r="AC1579" s="372">
        <v>414.2495065</v>
      </c>
      <c r="AD1579" s="372">
        <v>93.702167399999993</v>
      </c>
      <c r="AE1579" s="372">
        <v>0</v>
      </c>
      <c r="AF1579" s="372">
        <v>0</v>
      </c>
      <c r="AG1579" s="372">
        <v>0</v>
      </c>
      <c r="AH1579" s="372">
        <v>0</v>
      </c>
    </row>
    <row r="1580" spans="1:34">
      <c r="A1580" s="372" t="s">
        <v>10447</v>
      </c>
      <c r="B1580" s="373" t="s">
        <v>10448</v>
      </c>
      <c r="C1580" s="372" t="s">
        <v>10449</v>
      </c>
      <c r="D1580" s="374">
        <v>1101113516105</v>
      </c>
      <c r="E1580" s="372" t="s">
        <v>10450</v>
      </c>
      <c r="F1580" s="375" t="s">
        <v>1370</v>
      </c>
      <c r="G1580" s="375" t="s">
        <v>1370</v>
      </c>
      <c r="H1580" s="375" t="s">
        <v>861</v>
      </c>
      <c r="I1580" s="375" t="s">
        <v>862</v>
      </c>
      <c r="J1580" s="375">
        <v>57202.422079999997</v>
      </c>
      <c r="K1580" s="375">
        <v>-7368.2849800000004</v>
      </c>
      <c r="L1580" s="375">
        <v>-13495.194310000001</v>
      </c>
      <c r="M1580" s="375">
        <v>7112.4946200000004</v>
      </c>
      <c r="N1580" s="372">
        <v>0.92900000000000005</v>
      </c>
      <c r="O1580" s="704">
        <v>22.203748990646975</v>
      </c>
      <c r="P1580" s="375" t="s">
        <v>622</v>
      </c>
      <c r="Q1580" s="375" t="s">
        <v>622</v>
      </c>
      <c r="R1580" s="696">
        <v>20191031</v>
      </c>
      <c r="S1580" s="375" t="s">
        <v>10451</v>
      </c>
      <c r="T1580" s="697" t="s">
        <v>771</v>
      </c>
      <c r="U1580" s="372" t="s">
        <v>10452</v>
      </c>
      <c r="V1580" s="723" t="s">
        <v>773</v>
      </c>
      <c r="W1580" s="723">
        <v>10.95</v>
      </c>
      <c r="X1580" s="723">
        <v>1.63</v>
      </c>
      <c r="Y1580" s="723" t="s">
        <v>773</v>
      </c>
      <c r="Z1580" s="382" t="s">
        <v>927</v>
      </c>
      <c r="AA1580" s="372">
        <v>346.23053429999999</v>
      </c>
      <c r="AB1580" s="372">
        <v>393.26882180000001</v>
      </c>
      <c r="AC1580" s="372">
        <v>359.42703340000003</v>
      </c>
      <c r="AD1580" s="372">
        <v>543.59306570000001</v>
      </c>
      <c r="AE1580" s="372">
        <v>773</v>
      </c>
      <c r="AF1580" s="372">
        <v>884</v>
      </c>
      <c r="AG1580" s="372">
        <v>0</v>
      </c>
      <c r="AH1580" s="372">
        <v>0</v>
      </c>
    </row>
    <row r="1581" spans="1:34">
      <c r="A1581" s="372" t="s">
        <v>10453</v>
      </c>
      <c r="B1581" s="373" t="s">
        <v>10454</v>
      </c>
      <c r="C1581" s="372" t="s">
        <v>10455</v>
      </c>
      <c r="D1581" s="374">
        <v>1601110247141</v>
      </c>
      <c r="E1581" s="372" t="s">
        <v>10456</v>
      </c>
      <c r="F1581" s="375" t="s">
        <v>1249</v>
      </c>
      <c r="G1581" s="375" t="s">
        <v>1249</v>
      </c>
      <c r="H1581" s="375" t="s">
        <v>861</v>
      </c>
      <c r="I1581" s="375" t="s">
        <v>862</v>
      </c>
      <c r="J1581" s="375">
        <v>744.17619999999999</v>
      </c>
      <c r="K1581" s="375">
        <v>-8165.6718600000004</v>
      </c>
      <c r="L1581" s="375">
        <v>-6095.13022</v>
      </c>
      <c r="M1581" s="375">
        <v>44826.431629999999</v>
      </c>
      <c r="N1581" s="372">
        <v>1.0449999999999999</v>
      </c>
      <c r="O1581" s="704">
        <v>1.4400662765367738</v>
      </c>
      <c r="P1581" s="375" t="s">
        <v>16115</v>
      </c>
      <c r="Q1581" s="372" t="s">
        <v>16116</v>
      </c>
      <c r="R1581" s="696">
        <v>20181121</v>
      </c>
      <c r="S1581" s="372" t="s">
        <v>10457</v>
      </c>
      <c r="T1581" s="697" t="s">
        <v>771</v>
      </c>
      <c r="U1581" s="372" t="s">
        <v>10458</v>
      </c>
      <c r="V1581" s="723" t="s">
        <v>773</v>
      </c>
      <c r="W1581" s="723">
        <v>5.21</v>
      </c>
      <c r="X1581" s="723">
        <v>153.63</v>
      </c>
      <c r="Y1581" s="723" t="s">
        <v>773</v>
      </c>
      <c r="Z1581" s="382" t="s">
        <v>927</v>
      </c>
      <c r="AA1581" s="372">
        <v>0.59818179999999999</v>
      </c>
      <c r="AB1581" s="372">
        <v>0.67698000000000003</v>
      </c>
      <c r="AC1581" s="372">
        <v>2.0659817999999999</v>
      </c>
      <c r="AD1581" s="372">
        <v>0.74963630000000003</v>
      </c>
      <c r="AE1581" s="372">
        <v>0</v>
      </c>
      <c r="AF1581" s="372">
        <v>0</v>
      </c>
      <c r="AG1581" s="372">
        <v>0</v>
      </c>
      <c r="AH1581" s="372">
        <v>0</v>
      </c>
    </row>
    <row r="1582" spans="1:34">
      <c r="A1582" s="372" t="s">
        <v>10459</v>
      </c>
      <c r="B1582" s="373" t="s">
        <v>10460</v>
      </c>
      <c r="C1582" s="372" t="s">
        <v>10461</v>
      </c>
      <c r="D1582" s="374">
        <v>1901110021119</v>
      </c>
      <c r="E1582" s="372" t="s">
        <v>10462</v>
      </c>
      <c r="F1582" s="372" t="s">
        <v>10463</v>
      </c>
      <c r="G1582" s="375" t="s">
        <v>10464</v>
      </c>
      <c r="H1582" s="375" t="s">
        <v>861</v>
      </c>
      <c r="I1582" s="375" t="s">
        <v>862</v>
      </c>
      <c r="J1582" s="375">
        <v>19383.338909999999</v>
      </c>
      <c r="K1582" s="375">
        <v>-9225.9242300000005</v>
      </c>
      <c r="L1582" s="375">
        <v>-4575.07852</v>
      </c>
      <c r="M1582" s="375">
        <v>66015.432419999997</v>
      </c>
      <c r="N1582" s="372">
        <v>1.629</v>
      </c>
      <c r="O1582" s="704">
        <v>7.4582060889388613</v>
      </c>
      <c r="P1582" s="375" t="s">
        <v>16115</v>
      </c>
      <c r="Q1582" s="372" t="s">
        <v>16116</v>
      </c>
      <c r="R1582" s="696">
        <v>20040102</v>
      </c>
      <c r="S1582" s="372" t="s">
        <v>10465</v>
      </c>
      <c r="T1582" s="697" t="s">
        <v>771</v>
      </c>
      <c r="U1582" s="372" t="s">
        <v>10466</v>
      </c>
      <c r="V1582" s="723" t="s">
        <v>773</v>
      </c>
      <c r="W1582" s="723">
        <v>0.83</v>
      </c>
      <c r="X1582" s="723">
        <v>3.22</v>
      </c>
      <c r="Y1582" s="723" t="s">
        <v>773</v>
      </c>
      <c r="Z1582" s="382" t="s">
        <v>927</v>
      </c>
      <c r="AA1582" s="372">
        <v>160.87225230000001</v>
      </c>
      <c r="AB1582" s="372">
        <v>219.90446539999999</v>
      </c>
      <c r="AC1582" s="372">
        <v>228.09072879999999</v>
      </c>
      <c r="AD1582" s="372">
        <v>230.7647662</v>
      </c>
      <c r="AE1582" s="372">
        <v>0</v>
      </c>
      <c r="AF1582" s="372">
        <v>0</v>
      </c>
      <c r="AG1582" s="372">
        <v>0</v>
      </c>
      <c r="AH1582" s="372">
        <v>0</v>
      </c>
    </row>
    <row r="1583" spans="1:34">
      <c r="A1583" s="372" t="s">
        <v>10467</v>
      </c>
      <c r="B1583" s="373" t="s">
        <v>10468</v>
      </c>
      <c r="C1583" s="372" t="s">
        <v>10469</v>
      </c>
      <c r="D1583" s="374">
        <v>1101110236590</v>
      </c>
      <c r="E1583" s="372" t="s">
        <v>10470</v>
      </c>
      <c r="F1583" s="372" t="s">
        <v>5119</v>
      </c>
      <c r="G1583" s="375" t="s">
        <v>10471</v>
      </c>
      <c r="H1583" s="375" t="s">
        <v>4847</v>
      </c>
      <c r="I1583" s="375" t="s">
        <v>862</v>
      </c>
      <c r="J1583" s="375">
        <v>866153.26018999994</v>
      </c>
      <c r="K1583" s="375">
        <v>39118.477140000003</v>
      </c>
      <c r="L1583" s="375">
        <v>46326.927089999997</v>
      </c>
      <c r="M1583" s="375">
        <v>231052.57712999999</v>
      </c>
      <c r="N1583" s="372">
        <v>0.66900000000000004</v>
      </c>
      <c r="O1583" s="704">
        <v>4.8503987925128644</v>
      </c>
      <c r="P1583" s="375" t="s">
        <v>622</v>
      </c>
      <c r="Q1583" s="372" t="s">
        <v>622</v>
      </c>
      <c r="R1583" s="696">
        <v>19961223</v>
      </c>
      <c r="S1583" s="372" t="s">
        <v>10472</v>
      </c>
      <c r="T1583" s="697">
        <v>0.23100000000000001</v>
      </c>
      <c r="U1583" s="372" t="s">
        <v>10473</v>
      </c>
      <c r="V1583" s="723">
        <v>2.2400000000000002</v>
      </c>
      <c r="W1583" s="723">
        <v>0.43</v>
      </c>
      <c r="X1583" s="723">
        <v>0.12</v>
      </c>
      <c r="Y1583" s="723">
        <v>2.78</v>
      </c>
      <c r="Z1583" s="382" t="s">
        <v>927</v>
      </c>
      <c r="AA1583" s="372">
        <v>6412.2806578</v>
      </c>
      <c r="AB1583" s="372">
        <v>4326.4612155000004</v>
      </c>
      <c r="AC1583" s="372">
        <v>10319.694655900001</v>
      </c>
      <c r="AD1583" s="372">
        <v>8717.2499513999992</v>
      </c>
      <c r="AE1583" s="372">
        <v>0</v>
      </c>
      <c r="AF1583" s="372">
        <v>0</v>
      </c>
      <c r="AG1583" s="372">
        <v>0</v>
      </c>
      <c r="AH1583" s="372">
        <v>0</v>
      </c>
    </row>
    <row r="1584" spans="1:34">
      <c r="A1584" s="372" t="s">
        <v>10474</v>
      </c>
      <c r="B1584" s="373" t="s">
        <v>10475</v>
      </c>
      <c r="C1584" s="372" t="s">
        <v>10476</v>
      </c>
      <c r="D1584" s="374">
        <v>1101113489154</v>
      </c>
      <c r="E1584" s="372" t="s">
        <v>10477</v>
      </c>
      <c r="F1584" s="375" t="s">
        <v>3885</v>
      </c>
      <c r="G1584" s="375" t="s">
        <v>7794</v>
      </c>
      <c r="H1584" s="375" t="s">
        <v>895</v>
      </c>
      <c r="I1584" s="375" t="s">
        <v>862</v>
      </c>
      <c r="J1584" s="375">
        <v>8654.6059999999998</v>
      </c>
      <c r="K1584" s="375">
        <v>2279.0494600000002</v>
      </c>
      <c r="L1584" s="375">
        <v>3424.1458200000002</v>
      </c>
      <c r="M1584" s="375">
        <v>56841.059050000003</v>
      </c>
      <c r="N1584" s="372">
        <v>0.67700000000000005</v>
      </c>
      <c r="O1584" s="704">
        <v>0</v>
      </c>
      <c r="P1584" s="375" t="s">
        <v>622</v>
      </c>
      <c r="Q1584" s="372" t="s">
        <v>622</v>
      </c>
      <c r="R1584" s="696">
        <v>20180314</v>
      </c>
      <c r="S1584" s="372" t="s">
        <v>9538</v>
      </c>
      <c r="T1584" s="697">
        <v>0.20900000000000002</v>
      </c>
      <c r="U1584" s="372" t="s">
        <v>10478</v>
      </c>
      <c r="V1584" s="723">
        <v>0</v>
      </c>
      <c r="W1584" s="723">
        <v>0.97</v>
      </c>
      <c r="X1584" s="723">
        <v>6.99</v>
      </c>
      <c r="Y1584" s="723">
        <v>21.86</v>
      </c>
      <c r="Z1584" s="382" t="s">
        <v>927</v>
      </c>
      <c r="AA1584" s="372">
        <v>115.5134456</v>
      </c>
      <c r="AB1584" s="372">
        <v>161.9284519</v>
      </c>
      <c r="AC1584" s="372">
        <v>97.782981100000001</v>
      </c>
      <c r="AD1584" s="372">
        <v>96.675033499999998</v>
      </c>
      <c r="AE1584" s="372">
        <v>0</v>
      </c>
      <c r="AF1584" s="372">
        <v>0</v>
      </c>
      <c r="AG1584" s="372">
        <v>0</v>
      </c>
      <c r="AH1584" s="372">
        <v>0</v>
      </c>
    </row>
    <row r="1585" spans="1:34">
      <c r="A1585" s="372" t="s">
        <v>10479</v>
      </c>
      <c r="B1585" s="373" t="s">
        <v>10480</v>
      </c>
      <c r="C1585" s="372" t="s">
        <v>10481</v>
      </c>
      <c r="D1585" s="374">
        <v>1101110061666</v>
      </c>
      <c r="E1585" s="372" t="s">
        <v>10482</v>
      </c>
      <c r="F1585" s="375" t="s">
        <v>6273</v>
      </c>
      <c r="G1585" s="375" t="s">
        <v>6274</v>
      </c>
      <c r="H1585" s="375" t="s">
        <v>1337</v>
      </c>
      <c r="I1585" s="375" t="s">
        <v>862</v>
      </c>
      <c r="J1585" s="375">
        <v>324577.08367999998</v>
      </c>
      <c r="K1585" s="375">
        <v>5544.55303</v>
      </c>
      <c r="L1585" s="375">
        <v>13786.165059999999</v>
      </c>
      <c r="M1585" s="375">
        <v>129838.32892</v>
      </c>
      <c r="N1585" s="372">
        <v>1.0029999999999999</v>
      </c>
      <c r="O1585" s="704">
        <v>59.877803612334802</v>
      </c>
      <c r="P1585" s="375" t="s">
        <v>622</v>
      </c>
      <c r="Q1585" s="372" t="s">
        <v>622</v>
      </c>
      <c r="R1585" s="696">
        <v>20020111</v>
      </c>
      <c r="S1585" s="375" t="s">
        <v>10483</v>
      </c>
      <c r="T1585" s="697">
        <v>0.20900000000000002</v>
      </c>
      <c r="U1585" s="372" t="s">
        <v>10484</v>
      </c>
      <c r="V1585" s="723">
        <v>0</v>
      </c>
      <c r="W1585" s="723">
        <v>0</v>
      </c>
      <c r="X1585" s="723">
        <v>0</v>
      </c>
      <c r="Y1585" s="723">
        <v>0</v>
      </c>
      <c r="Z1585" s="382" t="s">
        <v>927</v>
      </c>
      <c r="AA1585" s="372">
        <v>2122.5892491999998</v>
      </c>
      <c r="AB1585" s="372">
        <v>2622.3568197</v>
      </c>
      <c r="AC1585" s="372">
        <v>3039.6130143</v>
      </c>
      <c r="AD1585" s="372">
        <v>3410.5530884</v>
      </c>
      <c r="AE1585" s="372">
        <v>0</v>
      </c>
      <c r="AF1585" s="372">
        <v>0</v>
      </c>
      <c r="AG1585" s="372">
        <v>0</v>
      </c>
      <c r="AH1585" s="372">
        <v>0</v>
      </c>
    </row>
    <row r="1586" spans="1:34">
      <c r="A1586" s="372" t="s">
        <v>10485</v>
      </c>
      <c r="B1586" s="373" t="s">
        <v>10486</v>
      </c>
      <c r="C1586" s="372" t="s">
        <v>10487</v>
      </c>
      <c r="D1586" s="374">
        <v>1101110319320</v>
      </c>
      <c r="E1586" s="372" t="s">
        <v>10488</v>
      </c>
      <c r="F1586" s="375" t="s">
        <v>1537</v>
      </c>
      <c r="G1586" s="375" t="s">
        <v>3641</v>
      </c>
      <c r="H1586" s="375" t="s">
        <v>1539</v>
      </c>
      <c r="I1586" s="375" t="s">
        <v>754</v>
      </c>
      <c r="J1586" s="375">
        <v>269999.94316999998</v>
      </c>
      <c r="K1586" s="375">
        <v>21197.816449999998</v>
      </c>
      <c r="L1586" s="375">
        <v>27010.487580000001</v>
      </c>
      <c r="M1586" s="375">
        <v>267656.98518999998</v>
      </c>
      <c r="N1586" s="372">
        <v>0.65200000000000002</v>
      </c>
      <c r="O1586" s="704">
        <v>3.3024269975778884</v>
      </c>
      <c r="P1586" s="375" t="s">
        <v>622</v>
      </c>
      <c r="Q1586" s="375" t="s">
        <v>622</v>
      </c>
      <c r="R1586" s="696">
        <v>19900920</v>
      </c>
      <c r="S1586" s="375" t="s">
        <v>10489</v>
      </c>
      <c r="T1586" s="697">
        <v>0.23100000000000001</v>
      </c>
      <c r="U1586" s="375" t="s">
        <v>10490</v>
      </c>
      <c r="V1586" s="723">
        <v>0</v>
      </c>
      <c r="W1586" s="723">
        <v>0</v>
      </c>
      <c r="X1586" s="723">
        <v>0</v>
      </c>
      <c r="Y1586" s="723">
        <v>0</v>
      </c>
      <c r="Z1586" s="382" t="s">
        <v>927</v>
      </c>
      <c r="AA1586" s="372">
        <v>2531.9894561999999</v>
      </c>
      <c r="AB1586" s="372">
        <v>2878.9644105000002</v>
      </c>
      <c r="AC1586" s="372">
        <v>3193.0527959000001</v>
      </c>
      <c r="AD1586" s="372">
        <v>2953.0351108999998</v>
      </c>
      <c r="AE1586" s="372">
        <v>0</v>
      </c>
      <c r="AF1586" s="372">
        <v>0</v>
      </c>
      <c r="AG1586" s="372">
        <v>0</v>
      </c>
      <c r="AH1586" s="372">
        <v>0</v>
      </c>
    </row>
    <row r="1587" spans="1:34">
      <c r="A1587" s="372" t="s">
        <v>10491</v>
      </c>
      <c r="B1587" s="373" t="s">
        <v>10492</v>
      </c>
      <c r="C1587" s="372" t="s">
        <v>10493</v>
      </c>
      <c r="D1587" s="374">
        <v>1101112463654</v>
      </c>
      <c r="E1587" s="372" t="s">
        <v>10494</v>
      </c>
      <c r="F1587" s="375" t="s">
        <v>5514</v>
      </c>
      <c r="G1587" s="375" t="s">
        <v>5514</v>
      </c>
      <c r="H1587" s="375" t="s">
        <v>861</v>
      </c>
      <c r="I1587" s="375" t="s">
        <v>862</v>
      </c>
      <c r="J1587" s="375">
        <v>29623.211480000002</v>
      </c>
      <c r="K1587" s="375">
        <v>2283.4323899999999</v>
      </c>
      <c r="L1587" s="375">
        <v>6977.5205100000003</v>
      </c>
      <c r="M1587" s="375">
        <v>38726.490949999999</v>
      </c>
      <c r="N1587" s="372">
        <v>1.069</v>
      </c>
      <c r="O1587" s="704">
        <v>42.470446481453429</v>
      </c>
      <c r="P1587" s="375" t="s">
        <v>622</v>
      </c>
      <c r="Q1587" s="375" t="s">
        <v>622</v>
      </c>
      <c r="R1587" s="696">
        <v>20211103</v>
      </c>
      <c r="S1587" s="375" t="s">
        <v>10495</v>
      </c>
      <c r="T1587" s="697">
        <v>0.20900000000000002</v>
      </c>
      <c r="U1587" s="372" t="s">
        <v>10496</v>
      </c>
      <c r="V1587" s="723">
        <v>0</v>
      </c>
      <c r="W1587" s="723">
        <v>0</v>
      </c>
      <c r="X1587" s="723">
        <v>0</v>
      </c>
      <c r="Y1587" s="723">
        <v>0</v>
      </c>
      <c r="Z1587" s="382" t="s">
        <v>927</v>
      </c>
      <c r="AA1587" s="372">
        <v>242.7273442</v>
      </c>
      <c r="AB1587" s="372">
        <v>264.31821050000002</v>
      </c>
      <c r="AC1587" s="372">
        <v>293.74438989999999</v>
      </c>
      <c r="AD1587" s="372">
        <v>277.0893001</v>
      </c>
      <c r="AE1587" s="372">
        <v>0</v>
      </c>
      <c r="AF1587" s="372">
        <v>0</v>
      </c>
      <c r="AG1587" s="372">
        <v>0</v>
      </c>
      <c r="AH1587" s="372">
        <v>0</v>
      </c>
    </row>
    <row r="1588" spans="1:34">
      <c r="A1588" s="372" t="s">
        <v>10497</v>
      </c>
      <c r="B1588" s="373" t="s">
        <v>10498</v>
      </c>
      <c r="C1588" s="372" t="s">
        <v>10499</v>
      </c>
      <c r="D1588" s="374">
        <v>1345110031382</v>
      </c>
      <c r="E1588" s="372" t="s">
        <v>10500</v>
      </c>
      <c r="F1588" s="375" t="s">
        <v>1249</v>
      </c>
      <c r="G1588" s="375" t="s">
        <v>1249</v>
      </c>
      <c r="H1588" s="375" t="s">
        <v>861</v>
      </c>
      <c r="I1588" s="375" t="s">
        <v>862</v>
      </c>
      <c r="J1588" s="375">
        <v>36951.429369999998</v>
      </c>
      <c r="K1588" s="375">
        <v>-708.57622000000003</v>
      </c>
      <c r="L1588" s="375">
        <v>-10089.29405</v>
      </c>
      <c r="M1588" s="375">
        <v>95528.806320000003</v>
      </c>
      <c r="N1588" s="372">
        <v>1.0780000000000001</v>
      </c>
      <c r="O1588" s="704">
        <v>58.587072694217248</v>
      </c>
      <c r="P1588" s="375" t="s">
        <v>622</v>
      </c>
      <c r="Q1588" s="375" t="s">
        <v>622</v>
      </c>
      <c r="R1588" s="696">
        <v>20141124</v>
      </c>
      <c r="S1588" s="375" t="s">
        <v>10501</v>
      </c>
      <c r="T1588" s="697" t="s">
        <v>771</v>
      </c>
      <c r="U1588" s="372" t="s">
        <v>10502</v>
      </c>
      <c r="V1588" s="723">
        <v>28.76</v>
      </c>
      <c r="W1588" s="723">
        <v>0.75</v>
      </c>
      <c r="X1588" s="723">
        <v>1.93</v>
      </c>
      <c r="Y1588" s="723" t="s">
        <v>773</v>
      </c>
      <c r="Z1588" s="382" t="s">
        <v>927</v>
      </c>
      <c r="AA1588" s="372">
        <v>331.41153910000003</v>
      </c>
      <c r="AB1588" s="372">
        <v>378.4115031</v>
      </c>
      <c r="AC1588" s="372">
        <v>278.2999916</v>
      </c>
      <c r="AD1588" s="372">
        <v>363.07203779999998</v>
      </c>
      <c r="AE1588" s="372">
        <v>0</v>
      </c>
      <c r="AF1588" s="372">
        <v>0</v>
      </c>
      <c r="AG1588" s="372">
        <v>0</v>
      </c>
      <c r="AH1588" s="372">
        <v>0</v>
      </c>
    </row>
    <row r="1589" spans="1:34">
      <c r="A1589" s="372" t="s">
        <v>10503</v>
      </c>
      <c r="B1589" s="373" t="s">
        <v>10504</v>
      </c>
      <c r="C1589" s="372" t="s">
        <v>10505</v>
      </c>
      <c r="D1589" s="374">
        <v>1341110002307</v>
      </c>
      <c r="E1589" s="372" t="s">
        <v>10506</v>
      </c>
      <c r="F1589" s="375" t="s">
        <v>1323</v>
      </c>
      <c r="G1589" s="375" t="s">
        <v>16106</v>
      </c>
      <c r="H1589" s="375" t="s">
        <v>784</v>
      </c>
      <c r="I1589" s="375" t="s">
        <v>754</v>
      </c>
      <c r="J1589" s="375">
        <v>134789.93177</v>
      </c>
      <c r="K1589" s="375">
        <v>12247.76463</v>
      </c>
      <c r="L1589" s="375">
        <v>10801.225130000001</v>
      </c>
      <c r="M1589" s="375">
        <v>131251.29665999999</v>
      </c>
      <c r="N1589" s="372">
        <v>0.623</v>
      </c>
      <c r="O1589" s="704">
        <v>49.830898599404243</v>
      </c>
      <c r="P1589" s="375" t="s">
        <v>622</v>
      </c>
      <c r="Q1589" s="372" t="s">
        <v>622</v>
      </c>
      <c r="R1589" s="696">
        <v>19751118</v>
      </c>
      <c r="S1589" s="372" t="s">
        <v>10507</v>
      </c>
      <c r="T1589" s="697">
        <v>0.20900000000000002</v>
      </c>
      <c r="U1589" s="372" t="s">
        <v>10508</v>
      </c>
      <c r="V1589" s="723">
        <v>5.75</v>
      </c>
      <c r="W1589" s="723">
        <v>0.71</v>
      </c>
      <c r="X1589" s="723">
        <v>0.67</v>
      </c>
      <c r="Y1589" s="723">
        <v>10.79</v>
      </c>
      <c r="Z1589" s="382" t="s">
        <v>927</v>
      </c>
      <c r="AA1589" s="372">
        <v>981.19846399999994</v>
      </c>
      <c r="AB1589" s="372">
        <v>1156.5548498999999</v>
      </c>
      <c r="AC1589" s="372">
        <v>1388.8105634000001</v>
      </c>
      <c r="AD1589" s="372">
        <v>1372.0958866999999</v>
      </c>
      <c r="AE1589" s="372">
        <v>0</v>
      </c>
      <c r="AF1589" s="372">
        <v>0</v>
      </c>
      <c r="AG1589" s="372">
        <v>0</v>
      </c>
      <c r="AH1589" s="372">
        <v>0</v>
      </c>
    </row>
    <row r="1590" spans="1:34">
      <c r="A1590" s="372" t="s">
        <v>10509</v>
      </c>
      <c r="B1590" s="373" t="s">
        <v>10510</v>
      </c>
      <c r="C1590" s="372" t="s">
        <v>10511</v>
      </c>
      <c r="D1590" s="374">
        <v>2850110153481</v>
      </c>
      <c r="E1590" s="372" t="s">
        <v>10512</v>
      </c>
      <c r="F1590" s="375" t="s">
        <v>1710</v>
      </c>
      <c r="G1590" s="375" t="s">
        <v>3269</v>
      </c>
      <c r="H1590" s="375" t="s">
        <v>861</v>
      </c>
      <c r="I1590" s="375" t="s">
        <v>862</v>
      </c>
      <c r="J1590" s="375">
        <v>9808.2169699999995</v>
      </c>
      <c r="K1590" s="375">
        <v>-5721.8715199999997</v>
      </c>
      <c r="L1590" s="375">
        <v>-25964.874070000002</v>
      </c>
      <c r="M1590" s="375">
        <v>27776.41373</v>
      </c>
      <c r="N1590" s="372">
        <v>1.0820000000000001</v>
      </c>
      <c r="O1590" s="704">
        <v>68.052780353628862</v>
      </c>
      <c r="P1590" s="375" t="s">
        <v>622</v>
      </c>
      <c r="Q1590" s="375" t="s">
        <v>622</v>
      </c>
      <c r="R1590" s="696">
        <v>20160906</v>
      </c>
      <c r="S1590" s="375" t="s">
        <v>10513</v>
      </c>
      <c r="T1590" s="697" t="s">
        <v>771</v>
      </c>
      <c r="U1590" s="372" t="s">
        <v>10514</v>
      </c>
      <c r="V1590" s="723">
        <v>0</v>
      </c>
      <c r="W1590" s="723">
        <v>0</v>
      </c>
      <c r="X1590" s="723">
        <v>0</v>
      </c>
      <c r="Y1590" s="723">
        <v>0</v>
      </c>
      <c r="Z1590" s="382" t="s">
        <v>927</v>
      </c>
      <c r="AA1590" s="372">
        <v>180.4064817</v>
      </c>
      <c r="AB1590" s="372">
        <v>202.4558978</v>
      </c>
      <c r="AC1590" s="372">
        <v>149.93012300000001</v>
      </c>
      <c r="AD1590" s="372">
        <v>41.442923</v>
      </c>
      <c r="AE1590" s="372">
        <v>0</v>
      </c>
      <c r="AF1590" s="372">
        <v>0</v>
      </c>
      <c r="AG1590" s="372">
        <v>0</v>
      </c>
      <c r="AH1590" s="372">
        <v>0</v>
      </c>
    </row>
    <row r="1591" spans="1:34">
      <c r="A1591" s="372" t="s">
        <v>10515</v>
      </c>
      <c r="B1591" s="373" t="s">
        <v>10516</v>
      </c>
      <c r="C1591" s="372" t="s">
        <v>10517</v>
      </c>
      <c r="D1591" s="374">
        <v>1101111955008</v>
      </c>
      <c r="E1591" s="372" t="s">
        <v>10518</v>
      </c>
      <c r="F1591" s="375" t="s">
        <v>1796</v>
      </c>
      <c r="G1591" s="375" t="s">
        <v>1797</v>
      </c>
      <c r="H1591" s="375" t="s">
        <v>861</v>
      </c>
      <c r="I1591" s="375" t="s">
        <v>862</v>
      </c>
      <c r="J1591" s="375">
        <v>15024.83152</v>
      </c>
      <c r="K1591" s="375">
        <v>-4447.9431599999998</v>
      </c>
      <c r="L1591" s="375">
        <v>-4048.5295000000001</v>
      </c>
      <c r="M1591" s="375">
        <v>10013.939350000001</v>
      </c>
      <c r="N1591" s="372">
        <v>0.13800000000000001</v>
      </c>
      <c r="O1591" s="704">
        <v>6.1300339162968323</v>
      </c>
      <c r="P1591" s="375" t="s">
        <v>622</v>
      </c>
      <c r="Q1591" s="372" t="s">
        <v>622</v>
      </c>
      <c r="R1591" s="696">
        <v>20230130</v>
      </c>
      <c r="S1591" s="372" t="s">
        <v>10519</v>
      </c>
      <c r="T1591" s="697" t="s">
        <v>771</v>
      </c>
      <c r="U1591" s="372" t="s">
        <v>10520</v>
      </c>
      <c r="V1591" s="723">
        <v>0</v>
      </c>
      <c r="W1591" s="723">
        <v>0</v>
      </c>
      <c r="X1591" s="723">
        <v>0</v>
      </c>
      <c r="Y1591" s="723">
        <v>0</v>
      </c>
      <c r="Z1591" s="382" t="s">
        <v>927</v>
      </c>
      <c r="AA1591" s="372">
        <v>151.06974399999999</v>
      </c>
      <c r="AB1591" s="372">
        <v>200.7498641</v>
      </c>
      <c r="AC1591" s="372">
        <v>259.33381120000001</v>
      </c>
      <c r="AD1591" s="372">
        <v>169.863169</v>
      </c>
      <c r="AE1591" s="372">
        <v>0</v>
      </c>
      <c r="AF1591" s="372">
        <v>0</v>
      </c>
      <c r="AG1591" s="372">
        <v>0</v>
      </c>
      <c r="AH1591" s="372">
        <v>0</v>
      </c>
    </row>
    <row r="1592" spans="1:34">
      <c r="A1592" s="372" t="s">
        <v>10521</v>
      </c>
      <c r="B1592" s="373" t="s">
        <v>10522</v>
      </c>
      <c r="C1592" s="372" t="s">
        <v>10523</v>
      </c>
      <c r="D1592" s="374">
        <v>1101110660830</v>
      </c>
      <c r="E1592" s="372" t="s">
        <v>10524</v>
      </c>
      <c r="F1592" s="372" t="s">
        <v>1756</v>
      </c>
      <c r="G1592" s="375" t="s">
        <v>6499</v>
      </c>
      <c r="H1592" s="375" t="s">
        <v>861</v>
      </c>
      <c r="I1592" s="375" t="s">
        <v>862</v>
      </c>
      <c r="J1592" s="375">
        <v>18418.78846</v>
      </c>
      <c r="K1592" s="375">
        <v>-1941.94877</v>
      </c>
      <c r="L1592" s="375">
        <v>-663.38088000000005</v>
      </c>
      <c r="M1592" s="375">
        <v>57178.772279999997</v>
      </c>
      <c r="N1592" s="372">
        <v>0.29499999999999998</v>
      </c>
      <c r="O1592" s="704">
        <v>1.3689385035688548</v>
      </c>
      <c r="P1592" s="375" t="s">
        <v>622</v>
      </c>
      <c r="Q1592" s="375" t="s">
        <v>622</v>
      </c>
      <c r="R1592" s="696">
        <v>20011026</v>
      </c>
      <c r="S1592" s="375" t="s">
        <v>10525</v>
      </c>
      <c r="T1592" s="697" t="s">
        <v>771</v>
      </c>
      <c r="U1592" s="372" t="s">
        <v>10526</v>
      </c>
      <c r="V1592" s="723" t="s">
        <v>773</v>
      </c>
      <c r="W1592" s="723">
        <v>1.04</v>
      </c>
      <c r="X1592" s="723">
        <v>3.34</v>
      </c>
      <c r="Y1592" s="723" t="s">
        <v>773</v>
      </c>
      <c r="Z1592" s="382" t="s">
        <v>927</v>
      </c>
      <c r="AA1592" s="372">
        <v>183.91439080000001</v>
      </c>
      <c r="AB1592" s="372">
        <v>251.96719419999999</v>
      </c>
      <c r="AC1592" s="372">
        <v>296.31566509999999</v>
      </c>
      <c r="AD1592" s="372">
        <v>229.43695629999999</v>
      </c>
      <c r="AE1592" s="372">
        <v>0</v>
      </c>
      <c r="AF1592" s="372">
        <v>0</v>
      </c>
      <c r="AG1592" s="372">
        <v>0</v>
      </c>
      <c r="AH1592" s="372">
        <v>0</v>
      </c>
    </row>
    <row r="1593" spans="1:34">
      <c r="A1593" s="372" t="s">
        <v>10527</v>
      </c>
      <c r="B1593" s="373" t="s">
        <v>10528</v>
      </c>
      <c r="C1593" s="372" t="s">
        <v>10529</v>
      </c>
      <c r="D1593" s="374">
        <v>1701110205600</v>
      </c>
      <c r="E1593" s="372" t="s">
        <v>10530</v>
      </c>
      <c r="F1593" s="375" t="s">
        <v>1871</v>
      </c>
      <c r="G1593" s="375" t="s">
        <v>7530</v>
      </c>
      <c r="H1593" s="375" t="s">
        <v>861</v>
      </c>
      <c r="I1593" s="375" t="s">
        <v>862</v>
      </c>
      <c r="J1593" s="375">
        <v>93380.868109999996</v>
      </c>
      <c r="K1593" s="375">
        <v>-8543.18138</v>
      </c>
      <c r="L1593" s="375">
        <v>-13226.15424</v>
      </c>
      <c r="M1593" s="375">
        <v>69547.259739999994</v>
      </c>
      <c r="N1593" s="372">
        <v>0.95299999999999996</v>
      </c>
      <c r="O1593" s="704">
        <v>187.79997870152764</v>
      </c>
      <c r="P1593" s="375" t="s">
        <v>622</v>
      </c>
      <c r="Q1593" s="372" t="s">
        <v>622</v>
      </c>
      <c r="R1593" s="696">
        <v>20220822</v>
      </c>
      <c r="S1593" s="372" t="s">
        <v>10531</v>
      </c>
      <c r="T1593" s="697" t="s">
        <v>771</v>
      </c>
      <c r="U1593" s="372" t="s">
        <v>10532</v>
      </c>
      <c r="V1593" s="723" t="s">
        <v>773</v>
      </c>
      <c r="W1593" s="723">
        <v>0.92</v>
      </c>
      <c r="X1593" s="723">
        <v>0.69</v>
      </c>
      <c r="Y1593" s="723" t="s">
        <v>773</v>
      </c>
      <c r="Z1593" s="382">
        <v>9.3330820736100772E-2</v>
      </c>
      <c r="AA1593" s="372">
        <v>719.36377070000003</v>
      </c>
      <c r="AB1593" s="372">
        <v>1125.785995</v>
      </c>
      <c r="AC1593" s="372">
        <v>1283.7224234</v>
      </c>
      <c r="AD1593" s="372">
        <v>927.97688889999995</v>
      </c>
      <c r="AE1593" s="372">
        <v>1023</v>
      </c>
      <c r="AF1593" s="372">
        <v>1183</v>
      </c>
      <c r="AG1593" s="372">
        <v>1326</v>
      </c>
      <c r="AH1593" s="372">
        <v>0</v>
      </c>
    </row>
    <row r="1594" spans="1:34">
      <c r="A1594" s="372" t="s">
        <v>10533</v>
      </c>
      <c r="B1594" s="373" t="s">
        <v>10534</v>
      </c>
      <c r="C1594" s="372" t="s">
        <v>16025</v>
      </c>
      <c r="D1594" s="374">
        <v>1101113200360</v>
      </c>
      <c r="E1594" s="372" t="s">
        <v>10535</v>
      </c>
      <c r="F1594" s="375" t="s">
        <v>1796</v>
      </c>
      <c r="G1594" s="375" t="s">
        <v>1796</v>
      </c>
      <c r="H1594" s="375" t="s">
        <v>861</v>
      </c>
      <c r="I1594" s="375" t="s">
        <v>862</v>
      </c>
      <c r="J1594" s="375">
        <v>30571.966410000001</v>
      </c>
      <c r="K1594" s="375">
        <v>1234.96965</v>
      </c>
      <c r="L1594" s="375">
        <v>2017.3222000000001</v>
      </c>
      <c r="M1594" s="375">
        <v>29064.732110000001</v>
      </c>
      <c r="N1594" s="372" t="s">
        <v>1026</v>
      </c>
      <c r="O1594" s="704">
        <v>1.8979098192667871</v>
      </c>
      <c r="P1594" s="375" t="s">
        <v>622</v>
      </c>
      <c r="Q1594" s="375" t="s">
        <v>622</v>
      </c>
      <c r="R1594" s="696">
        <v>20231109</v>
      </c>
      <c r="S1594" s="375" t="s">
        <v>10536</v>
      </c>
      <c r="T1594" s="697">
        <v>0.20900000000000002</v>
      </c>
      <c r="U1594" s="375" t="s">
        <v>10537</v>
      </c>
      <c r="V1594" s="723">
        <v>0</v>
      </c>
      <c r="W1594" s="723">
        <v>0</v>
      </c>
      <c r="X1594" s="723">
        <v>0</v>
      </c>
      <c r="Y1594" s="723">
        <v>0</v>
      </c>
      <c r="Z1594" s="382" t="s">
        <v>927</v>
      </c>
      <c r="AA1594" s="372">
        <v>175.54483830000001</v>
      </c>
      <c r="AB1594" s="372">
        <v>209.24262809999999</v>
      </c>
      <c r="AC1594" s="372">
        <v>276.59091740000002</v>
      </c>
      <c r="AD1594" s="372">
        <v>258.55874319999998</v>
      </c>
      <c r="AE1594" s="372">
        <v>0</v>
      </c>
      <c r="AF1594" s="372">
        <v>0</v>
      </c>
      <c r="AG1594" s="372">
        <v>0</v>
      </c>
      <c r="AH1594" s="372">
        <v>0</v>
      </c>
    </row>
    <row r="1595" spans="1:34">
      <c r="A1595" s="372" t="s">
        <v>10538</v>
      </c>
      <c r="B1595" s="373" t="s">
        <v>10539</v>
      </c>
      <c r="C1595" s="372" t="s">
        <v>10540</v>
      </c>
      <c r="D1595" s="374">
        <v>1101116416683</v>
      </c>
      <c r="E1595" s="372" t="s">
        <v>10541</v>
      </c>
      <c r="F1595" s="375" t="s">
        <v>2103</v>
      </c>
      <c r="G1595" s="375" t="s">
        <v>2103</v>
      </c>
      <c r="H1595" s="375" t="s">
        <v>895</v>
      </c>
      <c r="I1595" s="375" t="s">
        <v>862</v>
      </c>
      <c r="J1595" s="375">
        <v>0</v>
      </c>
      <c r="K1595" s="375">
        <v>0</v>
      </c>
      <c r="L1595" s="375">
        <v>0</v>
      </c>
      <c r="M1595" s="375">
        <v>0</v>
      </c>
      <c r="N1595" s="372">
        <v>0.92</v>
      </c>
      <c r="O1595" s="704" t="s">
        <v>16301</v>
      </c>
      <c r="P1595" s="375" t="s">
        <v>622</v>
      </c>
      <c r="Q1595" s="375" t="s">
        <v>622</v>
      </c>
      <c r="R1595" s="696">
        <v>20220225</v>
      </c>
      <c r="S1595" s="375" t="s">
        <v>10542</v>
      </c>
      <c r="T1595" s="697" t="s">
        <v>771</v>
      </c>
      <c r="U1595" s="372" t="s">
        <v>15918</v>
      </c>
      <c r="V1595" s="723">
        <v>0</v>
      </c>
      <c r="W1595" s="723">
        <v>0</v>
      </c>
      <c r="X1595" s="723">
        <v>0</v>
      </c>
      <c r="Y1595" s="723">
        <v>0</v>
      </c>
      <c r="Z1595" s="382" t="s">
        <v>927</v>
      </c>
      <c r="AA1595" s="372">
        <v>245.08612310000001</v>
      </c>
      <c r="AB1595" s="372">
        <v>424.11460410000001</v>
      </c>
      <c r="AC1595" s="372">
        <v>295.80726670000001</v>
      </c>
      <c r="AD1595" s="372">
        <v>190.02056580000001</v>
      </c>
      <c r="AE1595" s="372">
        <v>0</v>
      </c>
      <c r="AF1595" s="372">
        <v>0</v>
      </c>
      <c r="AG1595" s="372">
        <v>0</v>
      </c>
      <c r="AH1595" s="372">
        <v>0</v>
      </c>
    </row>
    <row r="1596" spans="1:34">
      <c r="A1596" s="372" t="s">
        <v>10543</v>
      </c>
      <c r="B1596" s="373" t="s">
        <v>10544</v>
      </c>
      <c r="C1596" s="372" t="s">
        <v>10545</v>
      </c>
      <c r="D1596" s="374">
        <v>1801110828129</v>
      </c>
      <c r="E1596" s="372" t="s">
        <v>10546</v>
      </c>
      <c r="F1596" s="375" t="s">
        <v>8814</v>
      </c>
      <c r="G1596" s="375" t="s">
        <v>8815</v>
      </c>
      <c r="H1596" s="375" t="s">
        <v>826</v>
      </c>
      <c r="I1596" s="375" t="s">
        <v>754</v>
      </c>
      <c r="J1596" s="375">
        <v>343576.55343000003</v>
      </c>
      <c r="K1596" s="375">
        <v>8284.9737999999998</v>
      </c>
      <c r="L1596" s="375">
        <v>4023.2248500000001</v>
      </c>
      <c r="M1596" s="375">
        <v>225012.94558</v>
      </c>
      <c r="N1596" s="372">
        <v>0.61899999999999999</v>
      </c>
      <c r="O1596" s="704">
        <v>52.968020332768532</v>
      </c>
      <c r="P1596" s="375" t="s">
        <v>622</v>
      </c>
      <c r="Q1596" s="372" t="s">
        <v>622</v>
      </c>
      <c r="R1596" s="696">
        <v>20121019</v>
      </c>
      <c r="S1596" s="372" t="s">
        <v>10547</v>
      </c>
      <c r="T1596" s="697">
        <v>0.20900000000000002</v>
      </c>
      <c r="U1596" s="372" t="s">
        <v>15919</v>
      </c>
      <c r="V1596" s="723">
        <v>8.17</v>
      </c>
      <c r="W1596" s="723">
        <v>0.48</v>
      </c>
      <c r="X1596" s="723">
        <v>0.31</v>
      </c>
      <c r="Y1596" s="723">
        <v>32.159999999999997</v>
      </c>
      <c r="Z1596" s="382" t="s">
        <v>927</v>
      </c>
      <c r="AA1596" s="372">
        <v>2431.8180170999999</v>
      </c>
      <c r="AB1596" s="372">
        <v>2775.1253326000001</v>
      </c>
      <c r="AC1596" s="372">
        <v>3904.3984980999999</v>
      </c>
      <c r="AD1596" s="372">
        <v>3577.7640642000001</v>
      </c>
      <c r="AE1596" s="372">
        <v>0</v>
      </c>
      <c r="AF1596" s="372">
        <v>0</v>
      </c>
      <c r="AG1596" s="372">
        <v>0</v>
      </c>
      <c r="AH1596" s="372">
        <v>0</v>
      </c>
    </row>
    <row r="1597" spans="1:34">
      <c r="A1597" s="372" t="s">
        <v>10548</v>
      </c>
      <c r="B1597" s="373" t="s">
        <v>10549</v>
      </c>
      <c r="C1597" s="372" t="s">
        <v>10550</v>
      </c>
      <c r="D1597" s="374">
        <v>1101117588506</v>
      </c>
      <c r="E1597" s="372" t="s">
        <v>10551</v>
      </c>
      <c r="F1597" s="375" t="s">
        <v>7030</v>
      </c>
      <c r="G1597" s="375" t="s">
        <v>7030</v>
      </c>
      <c r="H1597" s="375" t="s">
        <v>1337</v>
      </c>
      <c r="I1597" s="375" t="s">
        <v>862</v>
      </c>
      <c r="J1597" s="375">
        <v>36383.957739999998</v>
      </c>
      <c r="K1597" s="375">
        <v>-1339.1835000000001</v>
      </c>
      <c r="L1597" s="375">
        <v>-2837.1226799999999</v>
      </c>
      <c r="M1597" s="375">
        <v>46961.26801</v>
      </c>
      <c r="N1597" s="372">
        <v>1.161</v>
      </c>
      <c r="O1597" s="704">
        <v>22.758059600884657</v>
      </c>
      <c r="P1597" s="375" t="s">
        <v>622</v>
      </c>
      <c r="Q1597" s="375" t="s">
        <v>622</v>
      </c>
      <c r="R1597" s="696">
        <v>20210210</v>
      </c>
      <c r="S1597" s="375" t="s">
        <v>9018</v>
      </c>
      <c r="T1597" s="697" t="s">
        <v>771</v>
      </c>
      <c r="U1597" s="372" t="s">
        <v>10552</v>
      </c>
      <c r="V1597" s="723" t="s">
        <v>773</v>
      </c>
      <c r="W1597" s="723">
        <v>1.5</v>
      </c>
      <c r="X1597" s="723">
        <v>1.59</v>
      </c>
      <c r="Y1597" s="723" t="s">
        <v>773</v>
      </c>
      <c r="Z1597" s="382" t="s">
        <v>927</v>
      </c>
      <c r="AA1597" s="372">
        <v>146.41150930000001</v>
      </c>
      <c r="AB1597" s="372">
        <v>186.85209810000001</v>
      </c>
      <c r="AC1597" s="372">
        <v>160.5040362</v>
      </c>
      <c r="AD1597" s="372">
        <v>238.90581879999999</v>
      </c>
      <c r="AE1597" s="372">
        <v>0</v>
      </c>
      <c r="AF1597" s="372">
        <v>0</v>
      </c>
      <c r="AG1597" s="372">
        <v>0</v>
      </c>
      <c r="AH1597" s="372">
        <v>0</v>
      </c>
    </row>
    <row r="1598" spans="1:34">
      <c r="A1598" s="372" t="s">
        <v>10553</v>
      </c>
      <c r="B1598" s="373" t="s">
        <v>10554</v>
      </c>
      <c r="C1598" s="372" t="s">
        <v>10555</v>
      </c>
      <c r="D1598" s="374">
        <v>2801110086726</v>
      </c>
      <c r="E1598" s="372" t="s">
        <v>10556</v>
      </c>
      <c r="F1598" s="375" t="s">
        <v>2162</v>
      </c>
      <c r="G1598" s="375" t="s">
        <v>2163</v>
      </c>
      <c r="H1598" s="375" t="s">
        <v>861</v>
      </c>
      <c r="I1598" s="375" t="s">
        <v>862</v>
      </c>
      <c r="J1598" s="375">
        <v>96879.093420000005</v>
      </c>
      <c r="K1598" s="375">
        <v>8625.4882400000006</v>
      </c>
      <c r="L1598" s="375">
        <v>8074.5477199999996</v>
      </c>
      <c r="M1598" s="375">
        <v>99575.364199999996</v>
      </c>
      <c r="N1598" s="372">
        <v>0.82099999999999995</v>
      </c>
      <c r="O1598" s="704">
        <v>143.96297313605788</v>
      </c>
      <c r="P1598" s="375" t="s">
        <v>622</v>
      </c>
      <c r="Q1598" s="372" t="s">
        <v>622</v>
      </c>
      <c r="R1598" s="696">
        <v>20150807</v>
      </c>
      <c r="S1598" s="372" t="s">
        <v>10557</v>
      </c>
      <c r="T1598" s="697">
        <v>0.20900000000000002</v>
      </c>
      <c r="U1598" s="372" t="s">
        <v>10558</v>
      </c>
      <c r="V1598" s="723">
        <v>9.57</v>
      </c>
      <c r="W1598" s="723">
        <v>0.69</v>
      </c>
      <c r="X1598" s="723">
        <v>0.76</v>
      </c>
      <c r="Y1598" s="723">
        <v>10.71</v>
      </c>
      <c r="Z1598" s="382" t="s">
        <v>927</v>
      </c>
      <c r="AA1598" s="372">
        <v>504.14008860000001</v>
      </c>
      <c r="AB1598" s="372">
        <v>715.31049299999995</v>
      </c>
      <c r="AC1598" s="372">
        <v>972.51566939999998</v>
      </c>
      <c r="AD1598" s="372">
        <v>1011.210121</v>
      </c>
      <c r="AE1598" s="372">
        <v>1049.5</v>
      </c>
      <c r="AF1598" s="372">
        <v>1120</v>
      </c>
      <c r="AG1598" s="372">
        <v>0</v>
      </c>
      <c r="AH1598" s="372">
        <v>0</v>
      </c>
    </row>
    <row r="1599" spans="1:34">
      <c r="A1599" s="372" t="s">
        <v>10559</v>
      </c>
      <c r="B1599" s="373" t="s">
        <v>10560</v>
      </c>
      <c r="C1599" s="372" t="s">
        <v>16026</v>
      </c>
      <c r="D1599" s="374">
        <v>1101110730732</v>
      </c>
      <c r="E1599" s="372" t="s">
        <v>15920</v>
      </c>
      <c r="F1599" s="375" t="s">
        <v>1576</v>
      </c>
      <c r="G1599" s="375" t="s">
        <v>6316</v>
      </c>
      <c r="H1599" s="375" t="s">
        <v>861</v>
      </c>
      <c r="I1599" s="375" t="s">
        <v>862</v>
      </c>
      <c r="J1599" s="375">
        <v>169343.08504000001</v>
      </c>
      <c r="K1599" s="375">
        <v>21108.70577</v>
      </c>
      <c r="L1599" s="375">
        <v>22385.25777</v>
      </c>
      <c r="M1599" s="375">
        <v>125630.30376</v>
      </c>
      <c r="N1599" s="372">
        <v>0.70299999999999996</v>
      </c>
      <c r="O1599" s="704">
        <v>17.243912177944992</v>
      </c>
      <c r="P1599" s="375" t="s">
        <v>622</v>
      </c>
      <c r="Q1599" s="375" t="s">
        <v>622</v>
      </c>
      <c r="R1599" s="696">
        <v>20140801</v>
      </c>
      <c r="S1599" s="375" t="s">
        <v>10561</v>
      </c>
      <c r="T1599" s="697">
        <v>0.23100000000000001</v>
      </c>
      <c r="U1599" s="372" t="s">
        <v>10562</v>
      </c>
      <c r="V1599" s="723">
        <v>2.69</v>
      </c>
      <c r="W1599" s="723">
        <v>0.53</v>
      </c>
      <c r="X1599" s="723">
        <v>0.39</v>
      </c>
      <c r="Y1599" s="723">
        <v>3.6</v>
      </c>
      <c r="Z1599" s="382" t="s">
        <v>927</v>
      </c>
      <c r="AA1599" s="372">
        <v>1231.8222269</v>
      </c>
      <c r="AB1599" s="372">
        <v>1528.8386765</v>
      </c>
      <c r="AC1599" s="372">
        <v>2016.0820022</v>
      </c>
      <c r="AD1599" s="372">
        <v>2180.784944</v>
      </c>
      <c r="AE1599" s="372">
        <v>0</v>
      </c>
      <c r="AF1599" s="372">
        <v>0</v>
      </c>
      <c r="AG1599" s="372">
        <v>0</v>
      </c>
      <c r="AH1599" s="372">
        <v>0</v>
      </c>
    </row>
    <row r="1600" spans="1:34">
      <c r="A1600" s="372" t="s">
        <v>10563</v>
      </c>
      <c r="B1600" s="373" t="s">
        <v>10564</v>
      </c>
      <c r="C1600" s="372" t="s">
        <v>10565</v>
      </c>
      <c r="D1600" s="374">
        <v>1352110032202</v>
      </c>
      <c r="E1600" s="372" t="s">
        <v>10566</v>
      </c>
      <c r="F1600" s="375" t="s">
        <v>10567</v>
      </c>
      <c r="G1600" s="375" t="s">
        <v>10567</v>
      </c>
      <c r="H1600" s="375" t="s">
        <v>3099</v>
      </c>
      <c r="I1600" s="375" t="s">
        <v>862</v>
      </c>
      <c r="J1600" s="375">
        <v>58605.295539999999</v>
      </c>
      <c r="K1600" s="375">
        <v>-2407.9606100000001</v>
      </c>
      <c r="L1600" s="375">
        <v>-1715.0444600000001</v>
      </c>
      <c r="M1600" s="375">
        <v>27375.959510000001</v>
      </c>
      <c r="N1600" s="372">
        <v>0.502</v>
      </c>
      <c r="O1600" s="704">
        <v>28.52886457867308</v>
      </c>
      <c r="P1600" s="375" t="s">
        <v>622</v>
      </c>
      <c r="Q1600" s="372" t="s">
        <v>622</v>
      </c>
      <c r="R1600" s="696">
        <v>20220120</v>
      </c>
      <c r="S1600" s="372" t="s">
        <v>10568</v>
      </c>
      <c r="T1600" s="697" t="s">
        <v>771</v>
      </c>
      <c r="U1600" s="372" t="s">
        <v>10569</v>
      </c>
      <c r="V1600" s="723" t="s">
        <v>773</v>
      </c>
      <c r="W1600" s="723">
        <v>2.82</v>
      </c>
      <c r="X1600" s="723">
        <v>1.32</v>
      </c>
      <c r="Y1600" s="723" t="s">
        <v>773</v>
      </c>
      <c r="Z1600" s="382" t="s">
        <v>927</v>
      </c>
      <c r="AA1600" s="372">
        <v>494.4494244</v>
      </c>
      <c r="AB1600" s="372">
        <v>503.41205170000001</v>
      </c>
      <c r="AC1600" s="372">
        <v>478.43108269999999</v>
      </c>
      <c r="AD1600" s="372">
        <v>603.55291290000002</v>
      </c>
      <c r="AE1600" s="372">
        <v>0</v>
      </c>
      <c r="AF1600" s="372">
        <v>0</v>
      </c>
      <c r="AG1600" s="372">
        <v>0</v>
      </c>
      <c r="AH1600" s="372">
        <v>0</v>
      </c>
    </row>
    <row r="1601" spans="1:34">
      <c r="A1601" s="372" t="s">
        <v>10570</v>
      </c>
      <c r="B1601" s="373" t="s">
        <v>10571</v>
      </c>
      <c r="C1601" s="372" t="s">
        <v>10572</v>
      </c>
      <c r="D1601" s="374">
        <v>1101113856618</v>
      </c>
      <c r="E1601" s="372" t="s">
        <v>10573</v>
      </c>
      <c r="F1601" s="375" t="s">
        <v>5478</v>
      </c>
      <c r="G1601" s="375" t="s">
        <v>10574</v>
      </c>
      <c r="H1601" s="375" t="s">
        <v>861</v>
      </c>
      <c r="I1601" s="375" t="s">
        <v>862</v>
      </c>
      <c r="J1601" s="375">
        <v>187562.55280999999</v>
      </c>
      <c r="K1601" s="375">
        <v>1727.8215</v>
      </c>
      <c r="L1601" s="375">
        <v>717.00174000000004</v>
      </c>
      <c r="M1601" s="375">
        <v>135220.61395999999</v>
      </c>
      <c r="N1601" s="372">
        <v>0.77300000000000002</v>
      </c>
      <c r="O1601" s="704">
        <v>91.892479079381971</v>
      </c>
      <c r="P1601" s="375" t="s">
        <v>622</v>
      </c>
      <c r="Q1601" s="372" t="s">
        <v>622</v>
      </c>
      <c r="R1601" s="696">
        <v>20191118</v>
      </c>
      <c r="S1601" s="372" t="s">
        <v>10575</v>
      </c>
      <c r="T1601" s="697">
        <v>0.20900000000000002</v>
      </c>
      <c r="U1601" s="372" t="s">
        <v>10576</v>
      </c>
      <c r="V1601" s="723">
        <v>6.73</v>
      </c>
      <c r="W1601" s="723">
        <v>0.48</v>
      </c>
      <c r="X1601" s="723">
        <v>0.36</v>
      </c>
      <c r="Y1601" s="723">
        <v>88.33</v>
      </c>
      <c r="Z1601" s="382" t="s">
        <v>927</v>
      </c>
      <c r="AA1601" s="372">
        <v>1071.0673351</v>
      </c>
      <c r="AB1601" s="372">
        <v>1497.307395</v>
      </c>
      <c r="AC1601" s="372">
        <v>1978.6279681999999</v>
      </c>
      <c r="AD1601" s="372">
        <v>2037.1008268999999</v>
      </c>
      <c r="AE1601" s="372">
        <v>2460</v>
      </c>
      <c r="AF1601" s="372">
        <v>0</v>
      </c>
      <c r="AG1601" s="372">
        <v>0</v>
      </c>
      <c r="AH1601" s="372">
        <v>0</v>
      </c>
    </row>
    <row r="1602" spans="1:34">
      <c r="A1602" s="372" t="s">
        <v>10577</v>
      </c>
      <c r="B1602" s="373" t="s">
        <v>10578</v>
      </c>
      <c r="C1602" s="372" t="s">
        <v>10579</v>
      </c>
      <c r="D1602" s="374">
        <v>1101110217607</v>
      </c>
      <c r="E1602" s="372" t="s">
        <v>10580</v>
      </c>
      <c r="F1602" s="375" t="s">
        <v>10581</v>
      </c>
      <c r="G1602" s="375" t="s">
        <v>10581</v>
      </c>
      <c r="H1602" s="375" t="s">
        <v>8018</v>
      </c>
      <c r="I1602" s="375" t="s">
        <v>862</v>
      </c>
      <c r="J1602" s="375">
        <v>186706.82511000001</v>
      </c>
      <c r="K1602" s="375">
        <v>2822.5001699999998</v>
      </c>
      <c r="L1602" s="375">
        <v>90189.749939999994</v>
      </c>
      <c r="M1602" s="375">
        <v>524081.35911000002</v>
      </c>
      <c r="N1602" s="372">
        <v>0.68400000000000005</v>
      </c>
      <c r="O1602" s="704">
        <v>125.40273011205822</v>
      </c>
      <c r="P1602" s="375" t="s">
        <v>622</v>
      </c>
      <c r="Q1602" s="375" t="s">
        <v>622</v>
      </c>
      <c r="R1602" s="696">
        <v>19991208</v>
      </c>
      <c r="S1602" s="375" t="s">
        <v>10582</v>
      </c>
      <c r="T1602" s="697">
        <v>0.23100000000000001</v>
      </c>
      <c r="U1602" s="372" t="s">
        <v>10583</v>
      </c>
      <c r="V1602" s="723">
        <v>44.61</v>
      </c>
      <c r="W1602" s="723">
        <v>0.15</v>
      </c>
      <c r="X1602" s="723">
        <v>0.39</v>
      </c>
      <c r="Y1602" s="723">
        <v>1.1499999999999999</v>
      </c>
      <c r="Z1602" s="382" t="s">
        <v>927</v>
      </c>
      <c r="AA1602" s="372">
        <v>2940.9330455999998</v>
      </c>
      <c r="AB1602" s="372">
        <v>2805.3901993999998</v>
      </c>
      <c r="AC1602" s="372">
        <v>2767.7097551000002</v>
      </c>
      <c r="AD1602" s="372">
        <v>2373.2279545000001</v>
      </c>
      <c r="AE1602" s="372">
        <v>0</v>
      </c>
      <c r="AF1602" s="372">
        <v>0</v>
      </c>
      <c r="AG1602" s="372">
        <v>0</v>
      </c>
      <c r="AH1602" s="372">
        <v>0</v>
      </c>
    </row>
    <row r="1603" spans="1:34">
      <c r="A1603" s="372" t="s">
        <v>10584</v>
      </c>
      <c r="B1603" s="373" t="s">
        <v>10585</v>
      </c>
      <c r="C1603" s="372" t="s">
        <v>10586</v>
      </c>
      <c r="D1603" s="374">
        <v>1101114361161</v>
      </c>
      <c r="E1603" s="372" t="s">
        <v>10587</v>
      </c>
      <c r="F1603" s="375" t="s">
        <v>1796</v>
      </c>
      <c r="G1603" s="375" t="s">
        <v>2797</v>
      </c>
      <c r="H1603" s="375" t="s">
        <v>861</v>
      </c>
      <c r="I1603" s="375" t="s">
        <v>862</v>
      </c>
      <c r="J1603" s="375">
        <v>14682.491749999999</v>
      </c>
      <c r="K1603" s="375">
        <v>-11583.22741</v>
      </c>
      <c r="L1603" s="375">
        <v>-6566.5167700000002</v>
      </c>
      <c r="M1603" s="375">
        <v>12786.78558</v>
      </c>
      <c r="N1603" s="372" t="s">
        <v>1026</v>
      </c>
      <c r="O1603" s="704">
        <v>32.721341524615674</v>
      </c>
      <c r="P1603" s="375" t="s">
        <v>622</v>
      </c>
      <c r="Q1603" s="375" t="s">
        <v>622</v>
      </c>
      <c r="R1603" s="696">
        <v>20230519</v>
      </c>
      <c r="S1603" s="375" t="s">
        <v>10588</v>
      </c>
      <c r="T1603" s="697" t="s">
        <v>771</v>
      </c>
      <c r="U1603" s="372" t="s">
        <v>10589</v>
      </c>
      <c r="V1603" s="723" t="s">
        <v>773</v>
      </c>
      <c r="W1603" s="723">
        <v>2.79</v>
      </c>
      <c r="X1603" s="723">
        <v>2.39</v>
      </c>
      <c r="Y1603" s="723" t="s">
        <v>773</v>
      </c>
      <c r="Z1603" s="382" t="s">
        <v>927</v>
      </c>
      <c r="AA1603" s="372">
        <v>100.6771952</v>
      </c>
      <c r="AB1603" s="372">
        <v>122.7315701</v>
      </c>
      <c r="AC1603" s="372">
        <v>168.0702034</v>
      </c>
      <c r="AD1603" s="372">
        <v>141.00761170000001</v>
      </c>
      <c r="AE1603" s="372">
        <v>0</v>
      </c>
      <c r="AF1603" s="372">
        <v>0</v>
      </c>
      <c r="AG1603" s="372">
        <v>0</v>
      </c>
      <c r="AH1603" s="372">
        <v>0</v>
      </c>
    </row>
    <row r="1604" spans="1:34">
      <c r="A1604" s="372" t="s">
        <v>10590</v>
      </c>
      <c r="B1604" s="373" t="s">
        <v>10591</v>
      </c>
      <c r="C1604" s="372" t="s">
        <v>10592</v>
      </c>
      <c r="D1604" s="374">
        <v>1101110200579</v>
      </c>
      <c r="E1604" s="372" t="s">
        <v>10593</v>
      </c>
      <c r="F1604" s="372" t="s">
        <v>1466</v>
      </c>
      <c r="G1604" s="375" t="s">
        <v>1467</v>
      </c>
      <c r="H1604" s="375" t="s">
        <v>1468</v>
      </c>
      <c r="I1604" s="375" t="s">
        <v>754</v>
      </c>
      <c r="J1604" s="375">
        <v>220793.01209999999</v>
      </c>
      <c r="K1604" s="375">
        <v>-3732.9284699999998</v>
      </c>
      <c r="L1604" s="375">
        <v>-39948.107479999999</v>
      </c>
      <c r="M1604" s="375">
        <v>151908.39426999999</v>
      </c>
      <c r="N1604" s="372">
        <v>0.58199999999999996</v>
      </c>
      <c r="O1604" s="704">
        <v>197.26642554419209</v>
      </c>
      <c r="P1604" s="375" t="s">
        <v>622</v>
      </c>
      <c r="Q1604" s="372" t="s">
        <v>622</v>
      </c>
      <c r="R1604" s="696">
        <v>19960703</v>
      </c>
      <c r="S1604" s="372" t="s">
        <v>10594</v>
      </c>
      <c r="T1604" s="697" t="s">
        <v>771</v>
      </c>
      <c r="U1604" s="372" t="s">
        <v>10595</v>
      </c>
      <c r="V1604" s="723">
        <v>32.11</v>
      </c>
      <c r="W1604" s="723">
        <v>0.59</v>
      </c>
      <c r="X1604" s="723">
        <v>0.28999999999999998</v>
      </c>
      <c r="Y1604" s="723" t="s">
        <v>773</v>
      </c>
      <c r="Z1604" s="382" t="s">
        <v>927</v>
      </c>
      <c r="AA1604" s="372">
        <v>1891.9265301</v>
      </c>
      <c r="AB1604" s="372">
        <v>2159.2262590999999</v>
      </c>
      <c r="AC1604" s="372">
        <v>2349.8117677999999</v>
      </c>
      <c r="AD1604" s="372">
        <v>2246.4975555999999</v>
      </c>
      <c r="AE1604" s="372">
        <v>0</v>
      </c>
      <c r="AF1604" s="372">
        <v>0</v>
      </c>
      <c r="AG1604" s="372">
        <v>0</v>
      </c>
      <c r="AH1604" s="372">
        <v>0</v>
      </c>
    </row>
    <row r="1605" spans="1:34">
      <c r="A1605" s="372" t="s">
        <v>10596</v>
      </c>
      <c r="B1605" s="373" t="s">
        <v>10597</v>
      </c>
      <c r="C1605" s="372" t="s">
        <v>10598</v>
      </c>
      <c r="D1605" s="374">
        <v>1101117471470</v>
      </c>
      <c r="E1605" s="372" t="s">
        <v>10599</v>
      </c>
      <c r="F1605" s="375" t="s">
        <v>3236</v>
      </c>
      <c r="G1605" s="375" t="s">
        <v>3236</v>
      </c>
      <c r="H1605" s="375" t="s">
        <v>861</v>
      </c>
      <c r="I1605" s="375" t="s">
        <v>862</v>
      </c>
      <c r="J1605" s="375">
        <v>14242.13478</v>
      </c>
      <c r="K1605" s="375">
        <v>-926.08870000000002</v>
      </c>
      <c r="L1605" s="375">
        <v>-1454.93469</v>
      </c>
      <c r="M1605" s="375">
        <v>24397.641729999999</v>
      </c>
      <c r="N1605" s="372">
        <v>0.63900000000000001</v>
      </c>
      <c r="O1605" s="704">
        <v>20.55259771782486</v>
      </c>
      <c r="P1605" s="375" t="s">
        <v>622</v>
      </c>
      <c r="Q1605" s="372" t="s">
        <v>622</v>
      </c>
      <c r="R1605" s="696">
        <v>20200918</v>
      </c>
      <c r="S1605" s="372" t="s">
        <v>10600</v>
      </c>
      <c r="T1605" s="697" t="s">
        <v>771</v>
      </c>
      <c r="U1605" s="372" t="s">
        <v>10601</v>
      </c>
      <c r="V1605" s="723">
        <v>0</v>
      </c>
      <c r="W1605" s="723">
        <v>0</v>
      </c>
      <c r="X1605" s="723">
        <v>0</v>
      </c>
      <c r="Y1605" s="723">
        <v>0</v>
      </c>
      <c r="Z1605" s="382" t="s">
        <v>927</v>
      </c>
      <c r="AA1605" s="372">
        <v>77.272818599999994</v>
      </c>
      <c r="AB1605" s="372">
        <v>103.58196580000001</v>
      </c>
      <c r="AC1605" s="372">
        <v>253.51771679999999</v>
      </c>
      <c r="AD1605" s="372">
        <v>115.49322429999999</v>
      </c>
      <c r="AE1605" s="372">
        <v>0</v>
      </c>
      <c r="AF1605" s="372">
        <v>0</v>
      </c>
      <c r="AG1605" s="372">
        <v>0</v>
      </c>
      <c r="AH1605" s="372">
        <v>0</v>
      </c>
    </row>
    <row r="1606" spans="1:34">
      <c r="A1606" s="372" t="s">
        <v>10602</v>
      </c>
      <c r="B1606" s="373" t="s">
        <v>10603</v>
      </c>
      <c r="C1606" s="372" t="s">
        <v>10604</v>
      </c>
      <c r="D1606" s="374">
        <v>1701110020397</v>
      </c>
      <c r="E1606" s="372" t="s">
        <v>10605</v>
      </c>
      <c r="F1606" s="375" t="s">
        <v>10606</v>
      </c>
      <c r="G1606" s="375" t="s">
        <v>10607</v>
      </c>
      <c r="H1606" s="375" t="s">
        <v>861</v>
      </c>
      <c r="I1606" s="375" t="s">
        <v>862</v>
      </c>
      <c r="J1606" s="375">
        <v>94766.000190000006</v>
      </c>
      <c r="K1606" s="375">
        <v>3077.13933</v>
      </c>
      <c r="L1606" s="375">
        <v>10375.062019999999</v>
      </c>
      <c r="M1606" s="375">
        <v>154856.75339999999</v>
      </c>
      <c r="N1606" s="372">
        <v>0.81100000000000005</v>
      </c>
      <c r="O1606" s="704">
        <v>14.300097459930889</v>
      </c>
      <c r="P1606" s="375" t="s">
        <v>622</v>
      </c>
      <c r="Q1606" s="375" t="s">
        <v>622</v>
      </c>
      <c r="R1606" s="696">
        <v>20090728</v>
      </c>
      <c r="S1606" s="375" t="s">
        <v>10608</v>
      </c>
      <c r="T1606" s="697">
        <v>0.20900000000000002</v>
      </c>
      <c r="U1606" s="372" t="s">
        <v>10609</v>
      </c>
      <c r="V1606" s="723">
        <v>14.14</v>
      </c>
      <c r="W1606" s="723">
        <v>0.51</v>
      </c>
      <c r="X1606" s="723">
        <v>0.87</v>
      </c>
      <c r="Y1606" s="723">
        <v>10.66</v>
      </c>
      <c r="Z1606" s="382" t="s">
        <v>927</v>
      </c>
      <c r="AA1606" s="372">
        <v>586.12069359999998</v>
      </c>
      <c r="AB1606" s="372">
        <v>693.830151</v>
      </c>
      <c r="AC1606" s="372">
        <v>1114.3911338</v>
      </c>
      <c r="AD1606" s="372">
        <v>1104.4548987000001</v>
      </c>
      <c r="AE1606" s="372">
        <v>0</v>
      </c>
      <c r="AF1606" s="372">
        <v>0</v>
      </c>
      <c r="AG1606" s="372">
        <v>0</v>
      </c>
      <c r="AH1606" s="372">
        <v>0</v>
      </c>
    </row>
    <row r="1607" spans="1:34">
      <c r="A1607" s="372" t="s">
        <v>10610</v>
      </c>
      <c r="B1607" s="373" t="s">
        <v>10611</v>
      </c>
      <c r="C1607" s="372" t="s">
        <v>10612</v>
      </c>
      <c r="D1607" s="374">
        <v>1101114097518</v>
      </c>
      <c r="E1607" s="372" t="s">
        <v>10613</v>
      </c>
      <c r="F1607" s="375" t="s">
        <v>10614</v>
      </c>
      <c r="G1607" s="375" t="s">
        <v>10614</v>
      </c>
      <c r="H1607" s="375" t="s">
        <v>861</v>
      </c>
      <c r="I1607" s="375" t="s">
        <v>862</v>
      </c>
      <c r="J1607" s="375">
        <v>86117.432920000007</v>
      </c>
      <c r="K1607" s="375">
        <v>326.70738</v>
      </c>
      <c r="L1607" s="375">
        <v>-4885.1701599999997</v>
      </c>
      <c r="M1607" s="375">
        <v>32202.211589999999</v>
      </c>
      <c r="N1607" s="372">
        <v>0.43099999999999999</v>
      </c>
      <c r="O1607" s="704">
        <v>97.881753831350466</v>
      </c>
      <c r="P1607" s="375" t="s">
        <v>622</v>
      </c>
      <c r="Q1607" s="372" t="s">
        <v>622</v>
      </c>
      <c r="R1607" s="696">
        <v>20170822</v>
      </c>
      <c r="S1607" s="372" t="s">
        <v>10615</v>
      </c>
      <c r="T1607" s="697" t="s">
        <v>771</v>
      </c>
      <c r="U1607" s="372" t="s">
        <v>10616</v>
      </c>
      <c r="V1607" s="723">
        <v>20.03</v>
      </c>
      <c r="W1607" s="723">
        <v>1.76</v>
      </c>
      <c r="X1607" s="723">
        <v>0.65</v>
      </c>
      <c r="Y1607" s="723" t="s">
        <v>773</v>
      </c>
      <c r="Z1607" s="382" t="s">
        <v>927</v>
      </c>
      <c r="AA1607" s="372">
        <v>114.908642</v>
      </c>
      <c r="AB1607" s="372">
        <v>529.23301509999999</v>
      </c>
      <c r="AC1607" s="372">
        <v>778.42947809999998</v>
      </c>
      <c r="AD1607" s="372">
        <v>845.472804</v>
      </c>
      <c r="AE1607" s="372">
        <v>0</v>
      </c>
      <c r="AF1607" s="372">
        <v>0</v>
      </c>
      <c r="AG1607" s="372">
        <v>0</v>
      </c>
      <c r="AH1607" s="372">
        <v>0</v>
      </c>
    </row>
    <row r="1608" spans="1:34">
      <c r="A1608" s="372" t="s">
        <v>10617</v>
      </c>
      <c r="B1608" s="373" t="s">
        <v>10618</v>
      </c>
      <c r="C1608" s="372" t="s">
        <v>10619</v>
      </c>
      <c r="D1608" s="374">
        <v>1311110115054</v>
      </c>
      <c r="E1608" s="372" t="s">
        <v>10620</v>
      </c>
      <c r="F1608" s="375" t="s">
        <v>1370</v>
      </c>
      <c r="G1608" s="375" t="s">
        <v>1370</v>
      </c>
      <c r="H1608" s="375" t="s">
        <v>861</v>
      </c>
      <c r="I1608" s="375" t="s">
        <v>862</v>
      </c>
      <c r="J1608" s="375">
        <v>34908.080479999997</v>
      </c>
      <c r="K1608" s="375">
        <v>615.64385000000004</v>
      </c>
      <c r="L1608" s="375">
        <v>22.337779999999999</v>
      </c>
      <c r="M1608" s="375">
        <v>47069.539949999998</v>
      </c>
      <c r="N1608" s="372">
        <v>0.81599999999999995</v>
      </c>
      <c r="O1608" s="704">
        <v>21.210672090759747</v>
      </c>
      <c r="P1608" s="375" t="s">
        <v>622</v>
      </c>
      <c r="Q1608" s="372" t="s">
        <v>622</v>
      </c>
      <c r="R1608" s="696">
        <v>20170224</v>
      </c>
      <c r="S1608" s="375" t="s">
        <v>10621</v>
      </c>
      <c r="T1608" s="697">
        <v>9.9000000000000005E-2</v>
      </c>
      <c r="U1608" s="372" t="s">
        <v>10622</v>
      </c>
      <c r="V1608" s="723">
        <v>36.85</v>
      </c>
      <c r="W1608" s="723">
        <v>1.74</v>
      </c>
      <c r="X1608" s="723">
        <v>2.35</v>
      </c>
      <c r="Y1608" s="723">
        <v>233.7</v>
      </c>
      <c r="Z1608" s="382" t="s">
        <v>927</v>
      </c>
      <c r="AA1608" s="372">
        <v>416.17745630000002</v>
      </c>
      <c r="AB1608" s="372">
        <v>477.75376069999999</v>
      </c>
      <c r="AC1608" s="372">
        <v>524.71269380000001</v>
      </c>
      <c r="AD1608" s="372">
        <v>498.04458549999998</v>
      </c>
      <c r="AE1608" s="372">
        <v>0</v>
      </c>
      <c r="AF1608" s="372">
        <v>0</v>
      </c>
      <c r="AG1608" s="372">
        <v>0</v>
      </c>
      <c r="AH1608" s="372">
        <v>0</v>
      </c>
    </row>
    <row r="1609" spans="1:34">
      <c r="A1609" s="372" t="s">
        <v>10623</v>
      </c>
      <c r="B1609" s="373" t="s">
        <v>10624</v>
      </c>
      <c r="C1609" s="372" t="s">
        <v>10625</v>
      </c>
      <c r="D1609" s="374">
        <v>1101111626063</v>
      </c>
      <c r="E1609" s="372" t="s">
        <v>10626</v>
      </c>
      <c r="F1609" s="372" t="s">
        <v>10627</v>
      </c>
      <c r="G1609" s="375" t="s">
        <v>10627</v>
      </c>
      <c r="H1609" s="375" t="s">
        <v>861</v>
      </c>
      <c r="I1609" s="375" t="s">
        <v>862</v>
      </c>
      <c r="J1609" s="375">
        <v>42317.734170000003</v>
      </c>
      <c r="K1609" s="375">
        <v>3012.8984799999998</v>
      </c>
      <c r="L1609" s="375">
        <v>5476.2154399999999</v>
      </c>
      <c r="M1609" s="375">
        <v>60678.358209999999</v>
      </c>
      <c r="N1609" s="372">
        <v>0.872</v>
      </c>
      <c r="O1609" s="704">
        <v>1.4356770184723555</v>
      </c>
      <c r="P1609" s="375" t="s">
        <v>622</v>
      </c>
      <c r="Q1609" s="372" t="s">
        <v>622</v>
      </c>
      <c r="R1609" s="696">
        <v>20020528</v>
      </c>
      <c r="S1609" s="372" t="s">
        <v>10628</v>
      </c>
      <c r="T1609" s="697">
        <v>0.20900000000000002</v>
      </c>
      <c r="U1609" s="372" t="s">
        <v>10629</v>
      </c>
      <c r="V1609" s="723">
        <v>17.489999999999998</v>
      </c>
      <c r="W1609" s="723">
        <v>1.04</v>
      </c>
      <c r="X1609" s="723">
        <v>1.49</v>
      </c>
      <c r="Y1609" s="723">
        <v>11.88</v>
      </c>
      <c r="Z1609" s="382" t="s">
        <v>927</v>
      </c>
      <c r="AA1609" s="372">
        <v>291.66372660000002</v>
      </c>
      <c r="AB1609" s="372">
        <v>451.94027690000001</v>
      </c>
      <c r="AC1609" s="372">
        <v>407.32157230000001</v>
      </c>
      <c r="AD1609" s="372">
        <v>473.18501509999999</v>
      </c>
      <c r="AE1609" s="372">
        <v>0</v>
      </c>
      <c r="AF1609" s="372">
        <v>0</v>
      </c>
      <c r="AG1609" s="372">
        <v>0</v>
      </c>
      <c r="AH1609" s="372">
        <v>0</v>
      </c>
    </row>
    <row r="1610" spans="1:34">
      <c r="A1610" s="372" t="s">
        <v>10630</v>
      </c>
      <c r="B1610" s="373" t="s">
        <v>10631</v>
      </c>
      <c r="C1610" s="372" t="s">
        <v>10632</v>
      </c>
      <c r="D1610" s="374">
        <v>1101117042271</v>
      </c>
      <c r="E1610" s="372" t="s">
        <v>10633</v>
      </c>
      <c r="F1610" s="375" t="s">
        <v>3236</v>
      </c>
      <c r="G1610" s="375" t="s">
        <v>3236</v>
      </c>
      <c r="H1610" s="375" t="s">
        <v>861</v>
      </c>
      <c r="I1610" s="375" t="s">
        <v>862</v>
      </c>
      <c r="J1610" s="375">
        <v>36952.6276</v>
      </c>
      <c r="K1610" s="375">
        <v>1028.4997599999999</v>
      </c>
      <c r="L1610" s="375">
        <v>2338.5573899999999</v>
      </c>
      <c r="M1610" s="375">
        <v>39629.195590000003</v>
      </c>
      <c r="N1610" s="372">
        <v>0.91600000000000004</v>
      </c>
      <c r="O1610" s="704">
        <v>0.55287117308214884</v>
      </c>
      <c r="P1610" s="375" t="s">
        <v>622</v>
      </c>
      <c r="Q1610" s="372" t="s">
        <v>622</v>
      </c>
      <c r="R1610" s="696">
        <v>20190531</v>
      </c>
      <c r="S1610" s="372" t="s">
        <v>10634</v>
      </c>
      <c r="T1610" s="697">
        <v>0.20900000000000002</v>
      </c>
      <c r="U1610" s="372" t="s">
        <v>10635</v>
      </c>
      <c r="V1610" s="723">
        <v>28.68</v>
      </c>
      <c r="W1610" s="723">
        <v>1.61</v>
      </c>
      <c r="X1610" s="723">
        <v>1.74</v>
      </c>
      <c r="Y1610" s="723">
        <v>27.71</v>
      </c>
      <c r="Z1610" s="382" t="s">
        <v>927</v>
      </c>
      <c r="AA1610" s="372">
        <v>288.41106339999999</v>
      </c>
      <c r="AB1610" s="372">
        <v>347.50746629999998</v>
      </c>
      <c r="AC1610" s="372">
        <v>381.91882049999998</v>
      </c>
      <c r="AD1610" s="372">
        <v>333.6310249</v>
      </c>
      <c r="AE1610" s="372">
        <v>397</v>
      </c>
      <c r="AF1610" s="372">
        <v>427</v>
      </c>
      <c r="AG1610" s="372">
        <v>0</v>
      </c>
      <c r="AH1610" s="372">
        <v>0</v>
      </c>
    </row>
    <row r="1611" spans="1:34">
      <c r="A1611" s="372" t="s">
        <v>10636</v>
      </c>
      <c r="B1611" s="373" t="s">
        <v>10637</v>
      </c>
      <c r="C1611" s="372" t="s">
        <v>10638</v>
      </c>
      <c r="D1611" s="374">
        <v>1760110032132</v>
      </c>
      <c r="E1611" s="372" t="s">
        <v>10639</v>
      </c>
      <c r="F1611" s="375" t="s">
        <v>975</v>
      </c>
      <c r="G1611" s="375" t="s">
        <v>976</v>
      </c>
      <c r="H1611" s="375" t="s">
        <v>1337</v>
      </c>
      <c r="I1611" s="375" t="s">
        <v>862</v>
      </c>
      <c r="J1611" s="375">
        <v>25680.863379999999</v>
      </c>
      <c r="K1611" s="375">
        <v>1980.30672</v>
      </c>
      <c r="L1611" s="375">
        <v>2184.4514199999999</v>
      </c>
      <c r="M1611" s="375">
        <v>18223.807690000001</v>
      </c>
      <c r="N1611" s="372">
        <v>0.40200000000000002</v>
      </c>
      <c r="O1611" s="704">
        <v>1.8176320562770563</v>
      </c>
      <c r="P1611" s="375" t="s">
        <v>622</v>
      </c>
      <c r="Q1611" s="375" t="s">
        <v>622</v>
      </c>
      <c r="R1611" s="696">
        <v>20100414</v>
      </c>
      <c r="S1611" s="372" t="s">
        <v>10640</v>
      </c>
      <c r="T1611" s="697">
        <v>0.20900000000000002</v>
      </c>
      <c r="U1611" s="372" t="s">
        <v>10641</v>
      </c>
      <c r="V1611" s="723">
        <v>0</v>
      </c>
      <c r="W1611" s="723">
        <v>0</v>
      </c>
      <c r="X1611" s="723">
        <v>0</v>
      </c>
      <c r="Y1611" s="723">
        <v>0</v>
      </c>
      <c r="Z1611" s="382" t="s">
        <v>927</v>
      </c>
      <c r="AA1611" s="372">
        <v>305.1003801</v>
      </c>
      <c r="AB1611" s="372">
        <v>395.4897302</v>
      </c>
      <c r="AC1611" s="372">
        <v>416.88296300000002</v>
      </c>
      <c r="AD1611" s="372">
        <v>477.25941119999999</v>
      </c>
      <c r="AE1611" s="372">
        <v>0</v>
      </c>
      <c r="AF1611" s="372">
        <v>0</v>
      </c>
      <c r="AG1611" s="372">
        <v>0</v>
      </c>
      <c r="AH1611" s="372">
        <v>0</v>
      </c>
    </row>
    <row r="1612" spans="1:34">
      <c r="A1612" s="372" t="s">
        <v>10642</v>
      </c>
      <c r="B1612" s="373" t="s">
        <v>10643</v>
      </c>
      <c r="C1612" s="372" t="s">
        <v>10644</v>
      </c>
      <c r="D1612" s="374">
        <v>1101110250136</v>
      </c>
      <c r="E1612" s="372" t="s">
        <v>10645</v>
      </c>
      <c r="F1612" s="375" t="s">
        <v>10646</v>
      </c>
      <c r="G1612" s="375" t="s">
        <v>10647</v>
      </c>
      <c r="H1612" s="375" t="s">
        <v>3099</v>
      </c>
      <c r="I1612" s="375" t="s">
        <v>862</v>
      </c>
      <c r="J1612" s="375">
        <v>165375.29568000001</v>
      </c>
      <c r="K1612" s="375">
        <v>-1362.6244300000001</v>
      </c>
      <c r="L1612" s="375">
        <v>-2596.7814800000001</v>
      </c>
      <c r="M1612" s="375">
        <v>157170.76650999999</v>
      </c>
      <c r="N1612" s="372">
        <v>0.71899999999999997</v>
      </c>
      <c r="O1612" s="704">
        <v>95.411929242730537</v>
      </c>
      <c r="P1612" s="375" t="s">
        <v>622</v>
      </c>
      <c r="Q1612" s="375" t="s">
        <v>622</v>
      </c>
      <c r="R1612" s="696">
        <v>19941228</v>
      </c>
      <c r="S1612" s="372" t="s">
        <v>10648</v>
      </c>
      <c r="T1612" s="697" t="s">
        <v>771</v>
      </c>
      <c r="U1612" s="372" t="s">
        <v>10649</v>
      </c>
      <c r="V1612" s="723">
        <v>45.36</v>
      </c>
      <c r="W1612" s="723">
        <v>0.53</v>
      </c>
      <c r="X1612" s="723">
        <v>0.34</v>
      </c>
      <c r="Y1612" s="723" t="s">
        <v>773</v>
      </c>
      <c r="Z1612" s="382" t="s">
        <v>927</v>
      </c>
      <c r="AA1612" s="372">
        <v>1208.4993724000001</v>
      </c>
      <c r="AB1612" s="372">
        <v>1272.6843196</v>
      </c>
      <c r="AC1612" s="372">
        <v>1131.0390424</v>
      </c>
      <c r="AD1612" s="372">
        <v>1067.8329752</v>
      </c>
      <c r="AE1612" s="372">
        <v>0</v>
      </c>
      <c r="AF1612" s="372">
        <v>0</v>
      </c>
      <c r="AG1612" s="372">
        <v>0</v>
      </c>
      <c r="AH1612" s="372">
        <v>0</v>
      </c>
    </row>
    <row r="1613" spans="1:34">
      <c r="A1613" s="372" t="s">
        <v>10650</v>
      </c>
      <c r="B1613" s="373" t="s">
        <v>10651</v>
      </c>
      <c r="C1613" s="372" t="s">
        <v>10652</v>
      </c>
      <c r="D1613" s="374">
        <v>1644110000820</v>
      </c>
      <c r="E1613" s="372" t="s">
        <v>10653</v>
      </c>
      <c r="F1613" s="375" t="s">
        <v>9242</v>
      </c>
      <c r="G1613" s="375" t="s">
        <v>9242</v>
      </c>
      <c r="H1613" s="375" t="s">
        <v>861</v>
      </c>
      <c r="I1613" s="375" t="s">
        <v>862</v>
      </c>
      <c r="J1613" s="375">
        <v>182786.15153999999</v>
      </c>
      <c r="K1613" s="375">
        <v>-403.64069999999998</v>
      </c>
      <c r="L1613" s="375">
        <v>-4209.9512599999998</v>
      </c>
      <c r="M1613" s="375">
        <v>42722.161070000002</v>
      </c>
      <c r="N1613" s="372">
        <v>0.996</v>
      </c>
      <c r="O1613" s="704">
        <v>106.08101104997007</v>
      </c>
      <c r="P1613" s="375" t="s">
        <v>622</v>
      </c>
      <c r="Q1613" s="375" t="s">
        <v>622</v>
      </c>
      <c r="R1613" s="696">
        <v>20191120</v>
      </c>
      <c r="S1613" s="375" t="s">
        <v>10654</v>
      </c>
      <c r="T1613" s="697" t="s">
        <v>771</v>
      </c>
      <c r="U1613" s="372" t="s">
        <v>10655</v>
      </c>
      <c r="V1613" s="723">
        <v>0</v>
      </c>
      <c r="W1613" s="723">
        <v>0</v>
      </c>
      <c r="X1613" s="723">
        <v>0</v>
      </c>
      <c r="Y1613" s="723">
        <v>0</v>
      </c>
      <c r="Z1613" s="382" t="s">
        <v>927</v>
      </c>
      <c r="AA1613" s="372">
        <v>1330.5933520999999</v>
      </c>
      <c r="AB1613" s="372">
        <v>1391.6826581</v>
      </c>
      <c r="AC1613" s="372">
        <v>1634.1292702999999</v>
      </c>
      <c r="AD1613" s="372">
        <v>1912.9481401</v>
      </c>
      <c r="AE1613" s="372">
        <v>0</v>
      </c>
      <c r="AF1613" s="372">
        <v>0</v>
      </c>
      <c r="AG1613" s="372">
        <v>0</v>
      </c>
      <c r="AH1613" s="372">
        <v>0</v>
      </c>
    </row>
    <row r="1614" spans="1:34">
      <c r="A1614" s="372" t="s">
        <v>10656</v>
      </c>
      <c r="B1614" s="373" t="s">
        <v>10657</v>
      </c>
      <c r="C1614" s="372" t="s">
        <v>10658</v>
      </c>
      <c r="D1614" s="374">
        <v>1101110094964</v>
      </c>
      <c r="E1614" s="372" t="s">
        <v>10659</v>
      </c>
      <c r="F1614" s="375" t="s">
        <v>5278</v>
      </c>
      <c r="G1614" s="375" t="s">
        <v>5278</v>
      </c>
      <c r="H1614" s="375" t="s">
        <v>1539</v>
      </c>
      <c r="I1614" s="375" t="s">
        <v>754</v>
      </c>
      <c r="J1614" s="375">
        <v>198594.50492000001</v>
      </c>
      <c r="K1614" s="375">
        <v>1255.96786</v>
      </c>
      <c r="L1614" s="375">
        <v>4055.7108199999998</v>
      </c>
      <c r="M1614" s="375">
        <v>370217.94892</v>
      </c>
      <c r="N1614" s="372">
        <v>0.45900000000000002</v>
      </c>
      <c r="O1614" s="704">
        <v>5.6890727539420611</v>
      </c>
      <c r="P1614" s="375" t="s">
        <v>622</v>
      </c>
      <c r="Q1614" s="372" t="s">
        <v>622</v>
      </c>
      <c r="R1614" s="696">
        <v>19761228</v>
      </c>
      <c r="S1614" s="372" t="s">
        <v>10660</v>
      </c>
      <c r="T1614" s="697">
        <v>0.20900000000000002</v>
      </c>
      <c r="U1614" s="372" t="s">
        <v>10661</v>
      </c>
      <c r="V1614" s="723">
        <v>15.13</v>
      </c>
      <c r="W1614" s="723">
        <v>0.23</v>
      </c>
      <c r="X1614" s="723">
        <v>0.42</v>
      </c>
      <c r="Y1614" s="723">
        <v>31.33</v>
      </c>
      <c r="Z1614" s="382" t="s">
        <v>927</v>
      </c>
      <c r="AA1614" s="372">
        <v>1779.8140727</v>
      </c>
      <c r="AB1614" s="372">
        <v>1894.1282675</v>
      </c>
      <c r="AC1614" s="372">
        <v>2014.4394494000001</v>
      </c>
      <c r="AD1614" s="372">
        <v>2027.7516874999999</v>
      </c>
      <c r="AE1614" s="372">
        <v>0</v>
      </c>
      <c r="AF1614" s="372">
        <v>0</v>
      </c>
      <c r="AG1614" s="372">
        <v>0</v>
      </c>
      <c r="AH1614" s="372">
        <v>0</v>
      </c>
    </row>
    <row r="1615" spans="1:34">
      <c r="A1615" s="372" t="s">
        <v>10662</v>
      </c>
      <c r="B1615" s="373" t="s">
        <v>10663</v>
      </c>
      <c r="C1615" s="372" t="s">
        <v>10664</v>
      </c>
      <c r="D1615" s="374">
        <v>1201110780818</v>
      </c>
      <c r="E1615" s="372" t="s">
        <v>10665</v>
      </c>
      <c r="F1615" s="375" t="s">
        <v>1796</v>
      </c>
      <c r="G1615" s="375" t="s">
        <v>2797</v>
      </c>
      <c r="H1615" s="375" t="s">
        <v>861</v>
      </c>
      <c r="I1615" s="375" t="s">
        <v>862</v>
      </c>
      <c r="J1615" s="375">
        <v>1493.45063</v>
      </c>
      <c r="K1615" s="375">
        <v>-7401.7695599999997</v>
      </c>
      <c r="L1615" s="375">
        <v>-7099.8629799999999</v>
      </c>
      <c r="M1615" s="375">
        <v>11685.605610000001</v>
      </c>
      <c r="N1615" s="372" t="s">
        <v>1026</v>
      </c>
      <c r="O1615" s="704">
        <v>2.4361608320798158</v>
      </c>
      <c r="P1615" s="375" t="s">
        <v>16115</v>
      </c>
      <c r="Q1615" s="372" t="s">
        <v>16116</v>
      </c>
      <c r="R1615" s="696">
        <v>20230824</v>
      </c>
      <c r="S1615" s="372" t="s">
        <v>10666</v>
      </c>
      <c r="T1615" s="697" t="s">
        <v>771</v>
      </c>
      <c r="U1615" s="372" t="s">
        <v>10667</v>
      </c>
      <c r="V1615" s="723">
        <v>0</v>
      </c>
      <c r="W1615" s="723">
        <v>0</v>
      </c>
      <c r="X1615" s="723">
        <v>0</v>
      </c>
      <c r="Y1615" s="723">
        <v>0</v>
      </c>
      <c r="Z1615" s="382" t="s">
        <v>927</v>
      </c>
      <c r="AA1615" s="372">
        <v>11.8814259</v>
      </c>
      <c r="AB1615" s="372">
        <v>19.1884823</v>
      </c>
      <c r="AC1615" s="372">
        <v>27.703825500000001</v>
      </c>
      <c r="AD1615" s="372">
        <v>25.8266572</v>
      </c>
      <c r="AE1615" s="372">
        <v>0</v>
      </c>
      <c r="AF1615" s="372">
        <v>0</v>
      </c>
      <c r="AG1615" s="372">
        <v>0</v>
      </c>
      <c r="AH1615" s="372">
        <v>0</v>
      </c>
    </row>
    <row r="1616" spans="1:34">
      <c r="A1616" s="372" t="s">
        <v>10668</v>
      </c>
      <c r="B1616" s="373" t="s">
        <v>10669</v>
      </c>
      <c r="C1616" s="372" t="s">
        <v>10670</v>
      </c>
      <c r="D1616" s="374">
        <v>1101113820738</v>
      </c>
      <c r="E1616" s="372" t="s">
        <v>10671</v>
      </c>
      <c r="F1616" s="372" t="s">
        <v>1370</v>
      </c>
      <c r="G1616" s="375" t="s">
        <v>1370</v>
      </c>
      <c r="H1616" s="375" t="s">
        <v>861</v>
      </c>
      <c r="I1616" s="375" t="s">
        <v>862</v>
      </c>
      <c r="J1616" s="375">
        <v>82436.596309999994</v>
      </c>
      <c r="K1616" s="375">
        <v>-2164.88256</v>
      </c>
      <c r="L1616" s="375">
        <v>-1804.03512</v>
      </c>
      <c r="M1616" s="375">
        <v>31723.42958</v>
      </c>
      <c r="N1616" s="372">
        <v>0.97099999999999997</v>
      </c>
      <c r="O1616" s="704">
        <v>7.703366131764608</v>
      </c>
      <c r="P1616" s="375" t="s">
        <v>622</v>
      </c>
      <c r="Q1616" s="375" t="s">
        <v>622</v>
      </c>
      <c r="R1616" s="696">
        <v>20210618</v>
      </c>
      <c r="S1616" s="375" t="s">
        <v>10672</v>
      </c>
      <c r="T1616" s="697" t="s">
        <v>771</v>
      </c>
      <c r="U1616" s="372" t="s">
        <v>10673</v>
      </c>
      <c r="V1616" s="723">
        <v>114.5</v>
      </c>
      <c r="W1616" s="723">
        <v>1.65</v>
      </c>
      <c r="X1616" s="723">
        <v>0.7</v>
      </c>
      <c r="Y1616" s="723" t="s">
        <v>773</v>
      </c>
      <c r="Z1616" s="382" t="s">
        <v>927</v>
      </c>
      <c r="AA1616" s="372">
        <v>667.29679550000003</v>
      </c>
      <c r="AB1616" s="372">
        <v>600.38612320000004</v>
      </c>
      <c r="AC1616" s="372">
        <v>764.16490550000003</v>
      </c>
      <c r="AD1616" s="372">
        <v>840.32973549999997</v>
      </c>
      <c r="AE1616" s="372">
        <v>0</v>
      </c>
      <c r="AF1616" s="372">
        <v>0</v>
      </c>
      <c r="AG1616" s="372">
        <v>0</v>
      </c>
      <c r="AH1616" s="372">
        <v>0</v>
      </c>
    </row>
    <row r="1617" spans="1:34">
      <c r="A1617" s="372" t="s">
        <v>10674</v>
      </c>
      <c r="B1617" s="373" t="s">
        <v>10675</v>
      </c>
      <c r="C1617" s="372" t="s">
        <v>10676</v>
      </c>
      <c r="D1617" s="374">
        <v>1152110000790</v>
      </c>
      <c r="E1617" s="372" t="s">
        <v>10677</v>
      </c>
      <c r="F1617" s="375" t="s">
        <v>1323</v>
      </c>
      <c r="G1617" s="375" t="s">
        <v>16106</v>
      </c>
      <c r="H1617" s="375" t="s">
        <v>861</v>
      </c>
      <c r="I1617" s="375" t="s">
        <v>862</v>
      </c>
      <c r="J1617" s="375">
        <v>91699.141369999998</v>
      </c>
      <c r="K1617" s="375">
        <v>15085.71492</v>
      </c>
      <c r="L1617" s="375">
        <v>17395.182400000002</v>
      </c>
      <c r="M1617" s="375">
        <v>143317.13706000001</v>
      </c>
      <c r="N1617" s="372">
        <v>0.68400000000000005</v>
      </c>
      <c r="O1617" s="704">
        <v>0.56486157264584314</v>
      </c>
      <c r="P1617" s="375" t="s">
        <v>622</v>
      </c>
      <c r="Q1617" s="375" t="s">
        <v>622</v>
      </c>
      <c r="R1617" s="696">
        <v>19990811</v>
      </c>
      <c r="S1617" s="372" t="s">
        <v>10678</v>
      </c>
      <c r="T1617" s="697">
        <v>0.20900000000000002</v>
      </c>
      <c r="U1617" s="372" t="s">
        <v>10679</v>
      </c>
      <c r="V1617" s="723">
        <v>0</v>
      </c>
      <c r="W1617" s="723">
        <v>0</v>
      </c>
      <c r="X1617" s="723">
        <v>0</v>
      </c>
      <c r="Y1617" s="723">
        <v>0</v>
      </c>
      <c r="Z1617" s="382" t="s">
        <v>927</v>
      </c>
      <c r="AA1617" s="372">
        <v>614.38037699999995</v>
      </c>
      <c r="AB1617" s="372">
        <v>617.54169300000001</v>
      </c>
      <c r="AC1617" s="372">
        <v>800.07072040000003</v>
      </c>
      <c r="AD1617" s="372">
        <v>891.35208839999996</v>
      </c>
      <c r="AE1617" s="372">
        <v>0</v>
      </c>
      <c r="AF1617" s="372">
        <v>0</v>
      </c>
      <c r="AG1617" s="372">
        <v>0</v>
      </c>
      <c r="AH1617" s="372">
        <v>0</v>
      </c>
    </row>
    <row r="1618" spans="1:34">
      <c r="A1618" s="372" t="s">
        <v>10680</v>
      </c>
      <c r="B1618" s="373" t="s">
        <v>10681</v>
      </c>
      <c r="C1618" s="372" t="s">
        <v>10682</v>
      </c>
      <c r="D1618" s="374">
        <v>1201110230277</v>
      </c>
      <c r="E1618" s="372" t="s">
        <v>10683</v>
      </c>
      <c r="F1618" s="375" t="s">
        <v>2834</v>
      </c>
      <c r="G1618" s="375" t="s">
        <v>2834</v>
      </c>
      <c r="H1618" s="375" t="s">
        <v>861</v>
      </c>
      <c r="I1618" s="375" t="s">
        <v>862</v>
      </c>
      <c r="J1618" s="375">
        <v>139635.27235000001</v>
      </c>
      <c r="K1618" s="375">
        <v>815.24645999999996</v>
      </c>
      <c r="L1618" s="375">
        <v>4282.0802000000003</v>
      </c>
      <c r="M1618" s="375">
        <v>103205.60073000001</v>
      </c>
      <c r="N1618" s="372">
        <v>0.93500000000000005</v>
      </c>
      <c r="O1618" s="704">
        <v>22.439098423400232</v>
      </c>
      <c r="P1618" s="375" t="s">
        <v>622</v>
      </c>
      <c r="Q1618" s="375" t="s">
        <v>622</v>
      </c>
      <c r="R1618" s="696">
        <v>20181214</v>
      </c>
      <c r="S1618" s="372" t="s">
        <v>10684</v>
      </c>
      <c r="T1618" s="697">
        <v>0.20900000000000002</v>
      </c>
      <c r="U1618" s="372" t="s">
        <v>10685</v>
      </c>
      <c r="V1618" s="723">
        <v>15.91</v>
      </c>
      <c r="W1618" s="723">
        <v>0.54</v>
      </c>
      <c r="X1618" s="723">
        <v>0.39</v>
      </c>
      <c r="Y1618" s="723">
        <v>13.63</v>
      </c>
      <c r="Z1618" s="382" t="s">
        <v>927</v>
      </c>
      <c r="AA1618" s="372">
        <v>1178.1000927</v>
      </c>
      <c r="AB1618" s="372">
        <v>1216.0410351</v>
      </c>
      <c r="AC1618" s="372">
        <v>1630.7422799000001</v>
      </c>
      <c r="AD1618" s="372">
        <v>1536.2711842000001</v>
      </c>
      <c r="AE1618" s="372">
        <v>0</v>
      </c>
      <c r="AF1618" s="372">
        <v>0</v>
      </c>
      <c r="AG1618" s="372">
        <v>0</v>
      </c>
      <c r="AH1618" s="372">
        <v>0</v>
      </c>
    </row>
    <row r="1619" spans="1:34">
      <c r="A1619" s="372" t="s">
        <v>10686</v>
      </c>
      <c r="B1619" s="373" t="s">
        <v>10687</v>
      </c>
      <c r="C1619" s="372" t="s">
        <v>10688</v>
      </c>
      <c r="D1619" s="374">
        <v>1101110075683</v>
      </c>
      <c r="E1619" s="372" t="s">
        <v>10689</v>
      </c>
      <c r="F1619" s="375" t="s">
        <v>1849</v>
      </c>
      <c r="G1619" s="375" t="s">
        <v>1850</v>
      </c>
      <c r="H1619" s="375" t="s">
        <v>1386</v>
      </c>
      <c r="I1619" s="375" t="s">
        <v>754</v>
      </c>
      <c r="J1619" s="375">
        <v>1327495.8953499999</v>
      </c>
      <c r="K1619" s="375">
        <v>41376.930840000001</v>
      </c>
      <c r="L1619" s="375">
        <v>48170.138229999997</v>
      </c>
      <c r="M1619" s="375">
        <v>778606.86805000005</v>
      </c>
      <c r="N1619" s="372">
        <v>0.85199999999999998</v>
      </c>
      <c r="O1619" s="704">
        <v>1237.3765065261218</v>
      </c>
      <c r="P1619" s="375" t="s">
        <v>622</v>
      </c>
      <c r="Q1619" s="372" t="s">
        <v>622</v>
      </c>
      <c r="R1619" s="696">
        <v>19760707</v>
      </c>
      <c r="S1619" s="372" t="s">
        <v>10690</v>
      </c>
      <c r="T1619" s="697">
        <v>0.23100000000000001</v>
      </c>
      <c r="U1619" s="372" t="s">
        <v>10691</v>
      </c>
      <c r="V1619" s="723">
        <v>13.06</v>
      </c>
      <c r="W1619" s="723">
        <v>0.1</v>
      </c>
      <c r="X1619" s="723">
        <v>0.06</v>
      </c>
      <c r="Y1619" s="723">
        <v>1.65</v>
      </c>
      <c r="Z1619" s="382" t="s">
        <v>927</v>
      </c>
      <c r="AA1619" s="372">
        <v>15568.7096177</v>
      </c>
      <c r="AB1619" s="372">
        <v>13111.447622199999</v>
      </c>
      <c r="AC1619" s="372">
        <v>12215.5353153</v>
      </c>
      <c r="AD1619" s="372">
        <v>13090.0852301</v>
      </c>
      <c r="AE1619" s="372">
        <v>15610</v>
      </c>
      <c r="AF1619" s="372">
        <v>13250</v>
      </c>
      <c r="AG1619" s="372">
        <v>0</v>
      </c>
      <c r="AH1619" s="372">
        <v>0</v>
      </c>
    </row>
    <row r="1620" spans="1:34">
      <c r="A1620" s="372" t="s">
        <v>10692</v>
      </c>
      <c r="B1620" s="373" t="s">
        <v>10693</v>
      </c>
      <c r="C1620" s="372" t="s">
        <v>10694</v>
      </c>
      <c r="D1620" s="374">
        <v>1101110889836</v>
      </c>
      <c r="E1620" s="372" t="s">
        <v>10695</v>
      </c>
      <c r="F1620" s="375" t="s">
        <v>975</v>
      </c>
      <c r="G1620" s="375" t="s">
        <v>976</v>
      </c>
      <c r="H1620" s="375" t="s">
        <v>1337</v>
      </c>
      <c r="I1620" s="375" t="s">
        <v>862</v>
      </c>
      <c r="J1620" s="375">
        <v>215427.93887000001</v>
      </c>
      <c r="K1620" s="375">
        <v>5913.0875299999998</v>
      </c>
      <c r="L1620" s="375">
        <v>4668.6666999999998</v>
      </c>
      <c r="M1620" s="375">
        <v>89688.974279999995</v>
      </c>
      <c r="N1620" s="372">
        <v>0.751</v>
      </c>
      <c r="O1620" s="704">
        <v>37.240322804747805</v>
      </c>
      <c r="P1620" s="375" t="s">
        <v>622</v>
      </c>
      <c r="Q1620" s="372" t="s">
        <v>622</v>
      </c>
      <c r="R1620" s="696">
        <v>20010105</v>
      </c>
      <c r="S1620" s="372" t="s">
        <v>10696</v>
      </c>
      <c r="T1620" s="697">
        <v>0.20900000000000002</v>
      </c>
      <c r="U1620" s="372" t="s">
        <v>10697</v>
      </c>
      <c r="V1620" s="723">
        <v>8.59</v>
      </c>
      <c r="W1620" s="723">
        <v>0.9</v>
      </c>
      <c r="X1620" s="723">
        <v>0.33</v>
      </c>
      <c r="Y1620" s="723">
        <v>26.77</v>
      </c>
      <c r="Z1620" s="382" t="s">
        <v>927</v>
      </c>
      <c r="AA1620" s="372">
        <v>1556.2461542999999</v>
      </c>
      <c r="AB1620" s="372">
        <v>1759.0004747999999</v>
      </c>
      <c r="AC1620" s="372">
        <v>1930.9451045999999</v>
      </c>
      <c r="AD1620" s="372">
        <v>2040.4657895</v>
      </c>
      <c r="AE1620" s="372">
        <v>0</v>
      </c>
      <c r="AF1620" s="372">
        <v>0</v>
      </c>
      <c r="AG1620" s="372">
        <v>0</v>
      </c>
      <c r="AH1620" s="372">
        <v>0</v>
      </c>
    </row>
    <row r="1621" spans="1:34">
      <c r="A1621" s="372" t="s">
        <v>10698</v>
      </c>
      <c r="B1621" s="373" t="s">
        <v>10699</v>
      </c>
      <c r="C1621" s="372" t="s">
        <v>10700</v>
      </c>
      <c r="D1621" s="374">
        <v>1101112005018</v>
      </c>
      <c r="E1621" s="372" t="s">
        <v>10701</v>
      </c>
      <c r="F1621" s="375" t="s">
        <v>1116</v>
      </c>
      <c r="G1621" s="375" t="s">
        <v>1336</v>
      </c>
      <c r="H1621" s="375" t="s">
        <v>1337</v>
      </c>
      <c r="I1621" s="375" t="s">
        <v>862</v>
      </c>
      <c r="J1621" s="375">
        <v>3257.8398699999998</v>
      </c>
      <c r="K1621" s="375">
        <v>-14617.466560000001</v>
      </c>
      <c r="L1621" s="375">
        <v>-15229.60845</v>
      </c>
      <c r="M1621" s="375">
        <v>53401.018949999998</v>
      </c>
      <c r="N1621" s="372">
        <v>1.0489999999999999</v>
      </c>
      <c r="O1621" s="704">
        <v>5.0476652617758164</v>
      </c>
      <c r="P1621" s="375" t="s">
        <v>622</v>
      </c>
      <c r="Q1621" s="372" t="s">
        <v>622</v>
      </c>
      <c r="R1621" s="696">
        <v>20131128</v>
      </c>
      <c r="S1621" s="372" t="s">
        <v>10702</v>
      </c>
      <c r="T1621" s="697" t="s">
        <v>771</v>
      </c>
      <c r="U1621" s="372" t="s">
        <v>10703</v>
      </c>
      <c r="V1621" s="723" t="s">
        <v>773</v>
      </c>
      <c r="W1621" s="723">
        <v>1.55</v>
      </c>
      <c r="X1621" s="723">
        <v>24.1</v>
      </c>
      <c r="Y1621" s="723" t="s">
        <v>773</v>
      </c>
      <c r="Z1621" s="382" t="s">
        <v>927</v>
      </c>
      <c r="AA1621" s="372">
        <v>33.634236899999998</v>
      </c>
      <c r="AB1621" s="372">
        <v>32.421161900000001</v>
      </c>
      <c r="AC1621" s="372">
        <v>52.9345359</v>
      </c>
      <c r="AD1621" s="372">
        <v>31.2539406</v>
      </c>
      <c r="AE1621" s="372">
        <v>0</v>
      </c>
      <c r="AF1621" s="372">
        <v>0</v>
      </c>
      <c r="AG1621" s="372">
        <v>0</v>
      </c>
      <c r="AH1621" s="372">
        <v>0</v>
      </c>
    </row>
    <row r="1622" spans="1:34">
      <c r="A1622" s="372" t="s">
        <v>10704</v>
      </c>
      <c r="B1622" s="373" t="s">
        <v>10705</v>
      </c>
      <c r="C1622" s="372" t="s">
        <v>10706</v>
      </c>
      <c r="D1622" s="374">
        <v>1101115542497</v>
      </c>
      <c r="E1622" s="372" t="s">
        <v>10707</v>
      </c>
      <c r="F1622" s="375" t="s">
        <v>9519</v>
      </c>
      <c r="G1622" s="375" t="s">
        <v>9519</v>
      </c>
      <c r="H1622" s="375" t="s">
        <v>861</v>
      </c>
      <c r="I1622" s="375" t="s">
        <v>862</v>
      </c>
      <c r="J1622" s="375">
        <v>186640.16083000001</v>
      </c>
      <c r="K1622" s="375">
        <v>17962.478790000001</v>
      </c>
      <c r="L1622" s="375">
        <v>19750.948670000002</v>
      </c>
      <c r="M1622" s="375">
        <v>123904.03711999999</v>
      </c>
      <c r="N1622" s="372">
        <v>0.64700000000000002</v>
      </c>
      <c r="O1622" s="704">
        <v>76.837797458692719</v>
      </c>
      <c r="P1622" s="375" t="s">
        <v>622</v>
      </c>
      <c r="Q1622" s="372" t="s">
        <v>622</v>
      </c>
      <c r="R1622" s="696">
        <v>20141217</v>
      </c>
      <c r="S1622" s="375" t="s">
        <v>10708</v>
      </c>
      <c r="T1622" s="697">
        <v>0.20900000000000002</v>
      </c>
      <c r="U1622" s="375" t="s">
        <v>10709</v>
      </c>
      <c r="V1622" s="723">
        <v>3.33</v>
      </c>
      <c r="W1622" s="723">
        <v>0.67</v>
      </c>
      <c r="X1622" s="723">
        <v>0.44</v>
      </c>
      <c r="Y1622" s="723">
        <v>4.47</v>
      </c>
      <c r="Z1622" s="382" t="s">
        <v>927</v>
      </c>
      <c r="AA1622" s="372">
        <v>1240.2950642000001</v>
      </c>
      <c r="AB1622" s="372">
        <v>1536.2086044</v>
      </c>
      <c r="AC1622" s="372">
        <v>1826.490742</v>
      </c>
      <c r="AD1622" s="372">
        <v>1854.9175600000001</v>
      </c>
      <c r="AE1622" s="372">
        <v>2000</v>
      </c>
      <c r="AF1622" s="372">
        <v>2090</v>
      </c>
      <c r="AG1622" s="372">
        <v>0</v>
      </c>
      <c r="AH1622" s="372">
        <v>0</v>
      </c>
    </row>
    <row r="1623" spans="1:34">
      <c r="A1623" s="372" t="s">
        <v>10710</v>
      </c>
      <c r="B1623" s="373" t="s">
        <v>10711</v>
      </c>
      <c r="C1623" s="372" t="s">
        <v>10712</v>
      </c>
      <c r="D1623" s="374">
        <v>1244110001008</v>
      </c>
      <c r="E1623" s="372" t="s">
        <v>10713</v>
      </c>
      <c r="F1623" s="375" t="s">
        <v>2281</v>
      </c>
      <c r="G1623" s="375" t="s">
        <v>16280</v>
      </c>
      <c r="H1623" s="375" t="s">
        <v>861</v>
      </c>
      <c r="I1623" s="375" t="s">
        <v>862</v>
      </c>
      <c r="J1623" s="375">
        <v>80354.141199999998</v>
      </c>
      <c r="K1623" s="375">
        <v>15243.831190000001</v>
      </c>
      <c r="L1623" s="375">
        <v>17844.342499999999</v>
      </c>
      <c r="M1623" s="375">
        <v>122176.71997999999</v>
      </c>
      <c r="N1623" s="372">
        <v>0.77800000000000002</v>
      </c>
      <c r="O1623" s="704">
        <v>2.6039032869148793</v>
      </c>
      <c r="P1623" s="375" t="s">
        <v>622</v>
      </c>
      <c r="Q1623" s="375" t="s">
        <v>622</v>
      </c>
      <c r="R1623" s="696">
        <v>20000526</v>
      </c>
      <c r="S1623" s="375" t="s">
        <v>10714</v>
      </c>
      <c r="T1623" s="697">
        <v>0.20900000000000002</v>
      </c>
      <c r="U1623" s="372" t="s">
        <v>10715</v>
      </c>
      <c r="V1623" s="723">
        <v>5.23</v>
      </c>
      <c r="W1623" s="723">
        <v>0.71</v>
      </c>
      <c r="X1623" s="723">
        <v>1.08</v>
      </c>
      <c r="Y1623" s="723">
        <v>6.01</v>
      </c>
      <c r="Z1623" s="382">
        <v>4.6627259839528978E-2</v>
      </c>
      <c r="AA1623" s="372">
        <v>674.05345539999996</v>
      </c>
      <c r="AB1623" s="372">
        <v>840.61099639999998</v>
      </c>
      <c r="AC1623" s="372">
        <v>860.95840510000005</v>
      </c>
      <c r="AD1623" s="372">
        <v>781.69020609999995</v>
      </c>
      <c r="AE1623" s="372">
        <v>845</v>
      </c>
      <c r="AF1623" s="372">
        <v>892</v>
      </c>
      <c r="AG1623" s="372">
        <v>938</v>
      </c>
      <c r="AH1623" s="372">
        <v>0</v>
      </c>
    </row>
    <row r="1624" spans="1:34">
      <c r="A1624" s="372" t="s">
        <v>10716</v>
      </c>
      <c r="B1624" s="373" t="s">
        <v>10717</v>
      </c>
      <c r="C1624" s="372" t="s">
        <v>10718</v>
      </c>
      <c r="D1624" s="374">
        <v>1201110607278</v>
      </c>
      <c r="E1624" s="372" t="s">
        <v>10719</v>
      </c>
      <c r="F1624" s="372" t="s">
        <v>7030</v>
      </c>
      <c r="G1624" s="375" t="s">
        <v>7030</v>
      </c>
      <c r="H1624" s="375" t="s">
        <v>1337</v>
      </c>
      <c r="I1624" s="375" t="s">
        <v>862</v>
      </c>
      <c r="J1624" s="375">
        <v>81299.961580000003</v>
      </c>
      <c r="K1624" s="375">
        <v>-4323.7801099999997</v>
      </c>
      <c r="L1624" s="375">
        <v>-15788.678529999999</v>
      </c>
      <c r="M1624" s="375">
        <v>66664.036760000003</v>
      </c>
      <c r="N1624" s="372">
        <v>1.415</v>
      </c>
      <c r="O1624" s="704">
        <v>98.471919683861216</v>
      </c>
      <c r="P1624" s="375" t="s">
        <v>622</v>
      </c>
      <c r="Q1624" s="372" t="s">
        <v>622</v>
      </c>
      <c r="R1624" s="696">
        <v>20180328</v>
      </c>
      <c r="S1624" s="372" t="s">
        <v>10720</v>
      </c>
      <c r="T1624" s="697" t="s">
        <v>771</v>
      </c>
      <c r="U1624" s="372" t="s">
        <v>10721</v>
      </c>
      <c r="V1624" s="723" t="s">
        <v>773</v>
      </c>
      <c r="W1624" s="723">
        <v>1.02</v>
      </c>
      <c r="X1624" s="723">
        <v>0.75</v>
      </c>
      <c r="Y1624" s="723" t="s">
        <v>773</v>
      </c>
      <c r="Z1624" s="382" t="s">
        <v>927</v>
      </c>
      <c r="AA1624" s="372">
        <v>766.66400969999995</v>
      </c>
      <c r="AB1624" s="372">
        <v>939.33959359999994</v>
      </c>
      <c r="AC1624" s="372">
        <v>876.07189510000001</v>
      </c>
      <c r="AD1624" s="372">
        <v>818.27462249999996</v>
      </c>
      <c r="AE1624" s="372">
        <v>0</v>
      </c>
      <c r="AF1624" s="372">
        <v>0</v>
      </c>
      <c r="AG1624" s="372">
        <v>0</v>
      </c>
      <c r="AH1624" s="372">
        <v>0</v>
      </c>
    </row>
    <row r="1625" spans="1:34">
      <c r="A1625" s="372" t="s">
        <v>10722</v>
      </c>
      <c r="B1625" s="373" t="s">
        <v>10723</v>
      </c>
      <c r="C1625" s="372" t="s">
        <v>10724</v>
      </c>
      <c r="D1625" s="374">
        <v>1101114382878</v>
      </c>
      <c r="E1625" s="372" t="s">
        <v>10725</v>
      </c>
      <c r="F1625" s="375" t="s">
        <v>8719</v>
      </c>
      <c r="G1625" s="375" t="s">
        <v>8719</v>
      </c>
      <c r="H1625" s="375" t="s">
        <v>861</v>
      </c>
      <c r="I1625" s="375" t="s">
        <v>862</v>
      </c>
      <c r="J1625" s="375">
        <v>239055.28878</v>
      </c>
      <c r="K1625" s="375">
        <v>8596.4316199999994</v>
      </c>
      <c r="L1625" s="375">
        <v>8786.6716799999995</v>
      </c>
      <c r="M1625" s="375">
        <v>74024.729869999996</v>
      </c>
      <c r="N1625" s="372">
        <v>0.70399999999999996</v>
      </c>
      <c r="O1625" s="704">
        <v>56.379608922150013</v>
      </c>
      <c r="P1625" s="375" t="s">
        <v>622</v>
      </c>
      <c r="Q1625" s="372" t="s">
        <v>622</v>
      </c>
      <c r="R1625" s="696">
        <v>20101213</v>
      </c>
      <c r="S1625" s="372" t="s">
        <v>10726</v>
      </c>
      <c r="T1625" s="697">
        <v>0.20900000000000002</v>
      </c>
      <c r="U1625" s="372" t="s">
        <v>10727</v>
      </c>
      <c r="V1625" s="723">
        <v>10.43</v>
      </c>
      <c r="W1625" s="723">
        <v>1.0900000000000001</v>
      </c>
      <c r="X1625" s="723">
        <v>0.32</v>
      </c>
      <c r="Y1625" s="723">
        <v>10.31</v>
      </c>
      <c r="Z1625" s="382" t="s">
        <v>927</v>
      </c>
      <c r="AA1625" s="372">
        <v>1281.4412658000001</v>
      </c>
      <c r="AB1625" s="372">
        <v>2461.7206709000002</v>
      </c>
      <c r="AC1625" s="372">
        <v>2690.4859864999999</v>
      </c>
      <c r="AD1625" s="372">
        <v>2293.4931799000001</v>
      </c>
      <c r="AE1625" s="372">
        <v>0</v>
      </c>
      <c r="AF1625" s="372">
        <v>0</v>
      </c>
      <c r="AG1625" s="372">
        <v>0</v>
      </c>
      <c r="AH1625" s="372">
        <v>0</v>
      </c>
    </row>
    <row r="1626" spans="1:34">
      <c r="A1626" s="372" t="s">
        <v>10728</v>
      </c>
      <c r="B1626" s="373" t="s">
        <v>10729</v>
      </c>
      <c r="C1626" s="372" t="s">
        <v>10730</v>
      </c>
      <c r="D1626" s="374">
        <v>1801110102359</v>
      </c>
      <c r="E1626" s="372" t="s">
        <v>10731</v>
      </c>
      <c r="F1626" s="375" t="s">
        <v>2747</v>
      </c>
      <c r="G1626" s="375" t="s">
        <v>6512</v>
      </c>
      <c r="H1626" s="375" t="s">
        <v>861</v>
      </c>
      <c r="I1626" s="375" t="s">
        <v>862</v>
      </c>
      <c r="J1626" s="375">
        <v>227267.13192000001</v>
      </c>
      <c r="K1626" s="375">
        <v>2608.41527</v>
      </c>
      <c r="L1626" s="375">
        <v>-4306.9318400000002</v>
      </c>
      <c r="M1626" s="375">
        <v>145987.26665999999</v>
      </c>
      <c r="N1626" s="372">
        <v>1.095</v>
      </c>
      <c r="O1626" s="704">
        <v>140.51595942906602</v>
      </c>
      <c r="P1626" s="375" t="s">
        <v>622</v>
      </c>
      <c r="Q1626" s="372" t="s">
        <v>622</v>
      </c>
      <c r="R1626" s="696">
        <v>19950612</v>
      </c>
      <c r="S1626" s="372" t="s">
        <v>10732</v>
      </c>
      <c r="T1626" s="697" t="s">
        <v>771</v>
      </c>
      <c r="U1626" s="372" t="s">
        <v>8280</v>
      </c>
      <c r="V1626" s="723">
        <v>22.6</v>
      </c>
      <c r="W1626" s="723">
        <v>0.56000000000000005</v>
      </c>
      <c r="X1626" s="723">
        <v>0.31</v>
      </c>
      <c r="Y1626" s="723" t="s">
        <v>773</v>
      </c>
      <c r="Z1626" s="382" t="s">
        <v>927</v>
      </c>
      <c r="AA1626" s="372">
        <v>1871.5790849</v>
      </c>
      <c r="AB1626" s="372">
        <v>2141.5634593</v>
      </c>
      <c r="AC1626" s="372">
        <v>2454.8556106000001</v>
      </c>
      <c r="AD1626" s="372">
        <v>2484.4783748999998</v>
      </c>
      <c r="AE1626" s="372">
        <v>0</v>
      </c>
      <c r="AF1626" s="372">
        <v>0</v>
      </c>
      <c r="AG1626" s="372">
        <v>0</v>
      </c>
      <c r="AH1626" s="372">
        <v>0</v>
      </c>
    </row>
    <row r="1627" spans="1:34">
      <c r="A1627" s="372" t="s">
        <v>10733</v>
      </c>
      <c r="B1627" s="373" t="s">
        <v>10734</v>
      </c>
      <c r="C1627" s="372" t="s">
        <v>10735</v>
      </c>
      <c r="D1627" s="374">
        <v>1101110093552</v>
      </c>
      <c r="E1627" s="372" t="s">
        <v>10736</v>
      </c>
      <c r="F1627" s="375" t="s">
        <v>893</v>
      </c>
      <c r="G1627" s="375" t="s">
        <v>894</v>
      </c>
      <c r="H1627" s="375" t="s">
        <v>855</v>
      </c>
      <c r="I1627" s="375" t="s">
        <v>754</v>
      </c>
      <c r="J1627" s="375">
        <v>1046979.7143</v>
      </c>
      <c r="K1627" s="375">
        <v>75127.931410000005</v>
      </c>
      <c r="L1627" s="375">
        <v>58399.223839999999</v>
      </c>
      <c r="M1627" s="375">
        <v>573917.27266999998</v>
      </c>
      <c r="N1627" s="372">
        <v>0.76200000000000001</v>
      </c>
      <c r="O1627" s="704">
        <v>328.40421030825496</v>
      </c>
      <c r="P1627" s="375" t="s">
        <v>622</v>
      </c>
      <c r="Q1627" s="372" t="s">
        <v>622</v>
      </c>
      <c r="R1627" s="696">
        <v>19760630</v>
      </c>
      <c r="S1627" s="372" t="s">
        <v>10737</v>
      </c>
      <c r="T1627" s="697">
        <v>0.23100000000000001</v>
      </c>
      <c r="U1627" s="372" t="s">
        <v>9562</v>
      </c>
      <c r="V1627" s="723">
        <v>4.7699999999999996</v>
      </c>
      <c r="W1627" s="723">
        <v>0.28000000000000003</v>
      </c>
      <c r="X1627" s="723">
        <v>0.09</v>
      </c>
      <c r="Y1627" s="723">
        <v>4.13</v>
      </c>
      <c r="Z1627" s="382" t="s">
        <v>927</v>
      </c>
      <c r="AA1627" s="372">
        <v>9232.2251968</v>
      </c>
      <c r="AB1627" s="372">
        <v>9281.7793197999999</v>
      </c>
      <c r="AC1627" s="372">
        <v>9790.7145455999998</v>
      </c>
      <c r="AD1627" s="372">
        <v>10355.410745900001</v>
      </c>
      <c r="AE1627" s="372">
        <v>0</v>
      </c>
      <c r="AF1627" s="372">
        <v>0</v>
      </c>
      <c r="AG1627" s="372">
        <v>0</v>
      </c>
      <c r="AH1627" s="372">
        <v>0</v>
      </c>
    </row>
    <row r="1628" spans="1:34">
      <c r="A1628" s="372" t="s">
        <v>10738</v>
      </c>
      <c r="B1628" s="373" t="s">
        <v>10739</v>
      </c>
      <c r="C1628" s="372" t="s">
        <v>10740</v>
      </c>
      <c r="D1628" s="374">
        <v>2013110000107</v>
      </c>
      <c r="E1628" s="372" t="s">
        <v>10741</v>
      </c>
      <c r="F1628" s="375" t="s">
        <v>1954</v>
      </c>
      <c r="G1628" s="375" t="s">
        <v>7834</v>
      </c>
      <c r="H1628" s="375" t="s">
        <v>861</v>
      </c>
      <c r="I1628" s="375" t="s">
        <v>862</v>
      </c>
      <c r="J1628" s="375">
        <v>137697.88198999999</v>
      </c>
      <c r="K1628" s="375">
        <v>18488.159319999999</v>
      </c>
      <c r="L1628" s="375">
        <v>15155.453740000001</v>
      </c>
      <c r="M1628" s="375">
        <v>135022.08861999999</v>
      </c>
      <c r="N1628" s="372">
        <v>0.65700000000000003</v>
      </c>
      <c r="O1628" s="704">
        <v>53.539565104372343</v>
      </c>
      <c r="P1628" s="375" t="s">
        <v>622</v>
      </c>
      <c r="Q1628" s="375" t="s">
        <v>622</v>
      </c>
      <c r="R1628" s="696">
        <v>20140730</v>
      </c>
      <c r="S1628" s="375" t="s">
        <v>10742</v>
      </c>
      <c r="T1628" s="697">
        <v>0.20900000000000002</v>
      </c>
      <c r="U1628" s="372" t="s">
        <v>10743</v>
      </c>
      <c r="V1628" s="723">
        <v>5.03</v>
      </c>
      <c r="W1628" s="723">
        <v>0.6</v>
      </c>
      <c r="X1628" s="723">
        <v>0.63</v>
      </c>
      <c r="Y1628" s="723">
        <v>7.66</v>
      </c>
      <c r="Z1628" s="382" t="s">
        <v>927</v>
      </c>
      <c r="AA1628" s="372">
        <v>1146.5976316000001</v>
      </c>
      <c r="AB1628" s="372">
        <v>969.90829289999999</v>
      </c>
      <c r="AC1628" s="372">
        <v>1094.2969574000001</v>
      </c>
      <c r="AD1628" s="372">
        <v>1164.2274844999999</v>
      </c>
      <c r="AE1628" s="372">
        <v>0</v>
      </c>
      <c r="AF1628" s="372">
        <v>0</v>
      </c>
      <c r="AG1628" s="372">
        <v>0</v>
      </c>
      <c r="AH1628" s="372">
        <v>0</v>
      </c>
    </row>
    <row r="1629" spans="1:34">
      <c r="A1629" s="372" t="s">
        <v>10744</v>
      </c>
      <c r="B1629" s="373" t="s">
        <v>10745</v>
      </c>
      <c r="C1629" s="372" t="s">
        <v>10746</v>
      </c>
      <c r="D1629" s="374">
        <v>1101111727853</v>
      </c>
      <c r="E1629" s="372" t="s">
        <v>10747</v>
      </c>
      <c r="F1629" s="375" t="s">
        <v>2650</v>
      </c>
      <c r="G1629" s="375" t="s">
        <v>2650</v>
      </c>
      <c r="H1629" s="375" t="s">
        <v>861</v>
      </c>
      <c r="I1629" s="375" t="s">
        <v>862</v>
      </c>
      <c r="J1629" s="375">
        <v>57053.245730000002</v>
      </c>
      <c r="K1629" s="375">
        <v>2605.0340200000001</v>
      </c>
      <c r="L1629" s="375">
        <v>1412.1790100000001</v>
      </c>
      <c r="M1629" s="375">
        <v>97247.333029999994</v>
      </c>
      <c r="N1629" s="372">
        <v>0.96399999999999997</v>
      </c>
      <c r="O1629" s="704">
        <v>38.6494630565725</v>
      </c>
      <c r="P1629" s="375" t="s">
        <v>622</v>
      </c>
      <c r="Q1629" s="372" t="s">
        <v>622</v>
      </c>
      <c r="R1629" s="696">
        <v>20051118</v>
      </c>
      <c r="S1629" s="372" t="s">
        <v>10748</v>
      </c>
      <c r="T1629" s="697">
        <v>0.20900000000000002</v>
      </c>
      <c r="U1629" s="372" t="s">
        <v>10749</v>
      </c>
      <c r="V1629" s="723">
        <v>16.63</v>
      </c>
      <c r="W1629" s="723">
        <v>0.84</v>
      </c>
      <c r="X1629" s="723">
        <v>1.0900000000000001</v>
      </c>
      <c r="Y1629" s="723">
        <v>34.68</v>
      </c>
      <c r="Z1629" s="382" t="s">
        <v>927</v>
      </c>
      <c r="AA1629" s="372">
        <v>291.4850629</v>
      </c>
      <c r="AB1629" s="372">
        <v>550.56210209999995</v>
      </c>
      <c r="AC1629" s="372">
        <v>738.6581443</v>
      </c>
      <c r="AD1629" s="372">
        <v>697.12373560000003</v>
      </c>
      <c r="AE1629" s="372">
        <v>0</v>
      </c>
      <c r="AF1629" s="372">
        <v>0</v>
      </c>
      <c r="AG1629" s="372">
        <v>0</v>
      </c>
      <c r="AH1629" s="372">
        <v>0</v>
      </c>
    </row>
    <row r="1630" spans="1:34">
      <c r="A1630" s="372" t="s">
        <v>10750</v>
      </c>
      <c r="B1630" s="373" t="s">
        <v>10751</v>
      </c>
      <c r="C1630" s="372" t="s">
        <v>15921</v>
      </c>
      <c r="D1630" s="374">
        <v>1101110313728</v>
      </c>
      <c r="E1630" s="372" t="s">
        <v>15922</v>
      </c>
      <c r="F1630" s="375" t="s">
        <v>1903</v>
      </c>
      <c r="G1630" s="375" t="s">
        <v>9649</v>
      </c>
      <c r="H1630" s="375" t="s">
        <v>861</v>
      </c>
      <c r="I1630" s="375" t="s">
        <v>862</v>
      </c>
      <c r="J1630" s="375">
        <v>51497.275690000002</v>
      </c>
      <c r="K1630" s="375">
        <v>-3188</v>
      </c>
      <c r="L1630" s="375">
        <v>6655.9393499999996</v>
      </c>
      <c r="M1630" s="375">
        <v>81742.380120000002</v>
      </c>
      <c r="N1630" s="372">
        <v>0.626</v>
      </c>
      <c r="O1630" s="704">
        <v>55.485455759223122</v>
      </c>
      <c r="P1630" s="375" t="s">
        <v>622</v>
      </c>
      <c r="Q1630" s="372" t="s">
        <v>622</v>
      </c>
      <c r="R1630" s="696">
        <v>20051216</v>
      </c>
      <c r="S1630" s="372" t="s">
        <v>10752</v>
      </c>
      <c r="T1630" s="697">
        <v>0.20900000000000002</v>
      </c>
      <c r="U1630" s="372" t="s">
        <v>10753</v>
      </c>
      <c r="V1630" s="723" t="s">
        <v>773</v>
      </c>
      <c r="W1630" s="723">
        <v>0.9</v>
      </c>
      <c r="X1630" s="723">
        <v>1.35</v>
      </c>
      <c r="Y1630" s="723">
        <v>8.8800000000000008</v>
      </c>
      <c r="Z1630" s="382" t="s">
        <v>927</v>
      </c>
      <c r="AA1630" s="372">
        <v>206.51323500000001</v>
      </c>
      <c r="AB1630" s="372">
        <v>370.26545160000001</v>
      </c>
      <c r="AC1630" s="372">
        <v>523.44332240000006</v>
      </c>
      <c r="AD1630" s="372">
        <v>412.76921119999997</v>
      </c>
      <c r="AE1630" s="372">
        <v>0</v>
      </c>
      <c r="AF1630" s="372">
        <v>0</v>
      </c>
      <c r="AG1630" s="372">
        <v>0</v>
      </c>
      <c r="AH1630" s="372">
        <v>0</v>
      </c>
    </row>
    <row r="1631" spans="1:34">
      <c r="A1631" s="372" t="s">
        <v>10754</v>
      </c>
      <c r="B1631" s="373" t="s">
        <v>10755</v>
      </c>
      <c r="C1631" s="372" t="s">
        <v>10756</v>
      </c>
      <c r="D1631" s="374">
        <v>1345110005858</v>
      </c>
      <c r="E1631" s="372" t="s">
        <v>10757</v>
      </c>
      <c r="F1631" s="375" t="s">
        <v>1710</v>
      </c>
      <c r="G1631" s="375" t="s">
        <v>1711</v>
      </c>
      <c r="H1631" s="375" t="s">
        <v>861</v>
      </c>
      <c r="I1631" s="375" t="s">
        <v>862</v>
      </c>
      <c r="J1631" s="375">
        <v>209668.91458000001</v>
      </c>
      <c r="K1631" s="375">
        <v>10369.75099</v>
      </c>
      <c r="L1631" s="375">
        <v>13656.757659999999</v>
      </c>
      <c r="M1631" s="375">
        <v>129512.51753</v>
      </c>
      <c r="N1631" s="372">
        <v>0.50600000000000001</v>
      </c>
      <c r="O1631" s="704">
        <v>0.37938853147785839</v>
      </c>
      <c r="P1631" s="375" t="s">
        <v>622</v>
      </c>
      <c r="Q1631" s="372" t="s">
        <v>622</v>
      </c>
      <c r="R1631" s="696">
        <v>20000711</v>
      </c>
      <c r="S1631" s="372" t="s">
        <v>10758</v>
      </c>
      <c r="T1631" s="697">
        <v>0.20900000000000002</v>
      </c>
      <c r="U1631" s="372" t="s">
        <v>10759</v>
      </c>
      <c r="V1631" s="723">
        <v>5.61</v>
      </c>
      <c r="W1631" s="723">
        <v>0.56000000000000005</v>
      </c>
      <c r="X1631" s="723">
        <v>0.34</v>
      </c>
      <c r="Y1631" s="723">
        <v>7.44</v>
      </c>
      <c r="Z1631" s="382" t="s">
        <v>927</v>
      </c>
      <c r="AA1631" s="372">
        <v>1908.4183049000001</v>
      </c>
      <c r="AB1631" s="372">
        <v>2021.7038637000001</v>
      </c>
      <c r="AC1631" s="372">
        <v>2189.0871388</v>
      </c>
      <c r="AD1631" s="372">
        <v>1939.9318998000001</v>
      </c>
      <c r="AE1631" s="372">
        <v>0</v>
      </c>
      <c r="AF1631" s="372">
        <v>0</v>
      </c>
      <c r="AG1631" s="372">
        <v>0</v>
      </c>
      <c r="AH1631" s="372">
        <v>0</v>
      </c>
    </row>
    <row r="1632" spans="1:34">
      <c r="A1632" s="372" t="s">
        <v>10760</v>
      </c>
      <c r="B1632" s="373" t="s">
        <v>10761</v>
      </c>
      <c r="C1632" s="372" t="s">
        <v>10762</v>
      </c>
      <c r="D1632" s="374">
        <v>1101110562896</v>
      </c>
      <c r="E1632" s="372" t="s">
        <v>10763</v>
      </c>
      <c r="F1632" s="375" t="s">
        <v>10764</v>
      </c>
      <c r="G1632" s="375" t="s">
        <v>10764</v>
      </c>
      <c r="H1632" s="375" t="s">
        <v>1337</v>
      </c>
      <c r="I1632" s="375" t="s">
        <v>862</v>
      </c>
      <c r="J1632" s="375">
        <v>119831.60327000001</v>
      </c>
      <c r="K1632" s="375">
        <v>340.55754000000002</v>
      </c>
      <c r="L1632" s="375">
        <v>21624.29853</v>
      </c>
      <c r="M1632" s="375">
        <v>144025.19197000001</v>
      </c>
      <c r="N1632" s="372">
        <v>0.64500000000000002</v>
      </c>
      <c r="O1632" s="704">
        <v>12.577516455215967</v>
      </c>
      <c r="P1632" s="375" t="s">
        <v>622</v>
      </c>
      <c r="Q1632" s="372" t="s">
        <v>622</v>
      </c>
      <c r="R1632" s="696">
        <v>19990811</v>
      </c>
      <c r="S1632" s="372" t="s">
        <v>10765</v>
      </c>
      <c r="T1632" s="697">
        <v>0.23100000000000001</v>
      </c>
      <c r="U1632" s="372" t="s">
        <v>10766</v>
      </c>
      <c r="V1632" s="723">
        <v>24.65</v>
      </c>
      <c r="W1632" s="723">
        <v>0.52</v>
      </c>
      <c r="X1632" s="723">
        <v>0.65</v>
      </c>
      <c r="Y1632" s="723">
        <v>4.3899999999999997</v>
      </c>
      <c r="Z1632" s="382" t="s">
        <v>927</v>
      </c>
      <c r="AA1632" s="372">
        <v>1037.0676140999999</v>
      </c>
      <c r="AB1632" s="372">
        <v>925.91768730000001</v>
      </c>
      <c r="AC1632" s="372">
        <v>1002.0750067</v>
      </c>
      <c r="AD1632" s="372">
        <v>1348.7139221</v>
      </c>
      <c r="AE1632" s="372">
        <v>1374</v>
      </c>
      <c r="AF1632" s="372">
        <v>1489</v>
      </c>
      <c r="AG1632" s="372">
        <v>0</v>
      </c>
      <c r="AH1632" s="372">
        <v>0</v>
      </c>
    </row>
    <row r="1633" spans="1:34">
      <c r="A1633" s="372" t="s">
        <v>10767</v>
      </c>
      <c r="B1633" s="373" t="s">
        <v>10768</v>
      </c>
      <c r="C1633" s="372" t="s">
        <v>10769</v>
      </c>
      <c r="D1633" s="374">
        <v>1355110186996</v>
      </c>
      <c r="E1633" s="372" t="s">
        <v>10770</v>
      </c>
      <c r="F1633" s="375" t="s">
        <v>1276</v>
      </c>
      <c r="G1633" s="375" t="s">
        <v>1452</v>
      </c>
      <c r="H1633" s="375" t="s">
        <v>861</v>
      </c>
      <c r="I1633" s="375" t="s">
        <v>862</v>
      </c>
      <c r="J1633" s="375">
        <v>43329.585800000001</v>
      </c>
      <c r="K1633" s="375">
        <v>-1120.9242099999999</v>
      </c>
      <c r="L1633" s="375">
        <v>-866.19451000000004</v>
      </c>
      <c r="M1633" s="375">
        <v>58898.51657</v>
      </c>
      <c r="N1633" s="372">
        <v>0.71899999999999997</v>
      </c>
      <c r="O1633" s="704">
        <v>30.25571490801136</v>
      </c>
      <c r="P1633" s="375" t="s">
        <v>622</v>
      </c>
      <c r="Q1633" s="372" t="s">
        <v>622</v>
      </c>
      <c r="R1633" s="696">
        <v>20191224</v>
      </c>
      <c r="S1633" s="372" t="s">
        <v>10771</v>
      </c>
      <c r="T1633" s="697" t="s">
        <v>771</v>
      </c>
      <c r="U1633" s="372" t="s">
        <v>15923</v>
      </c>
      <c r="V1633" s="723">
        <v>36.25</v>
      </c>
      <c r="W1633" s="723">
        <v>1.34</v>
      </c>
      <c r="X1633" s="723">
        <v>1.32</v>
      </c>
      <c r="Y1633" s="723" t="s">
        <v>773</v>
      </c>
      <c r="Z1633" s="382" t="s">
        <v>927</v>
      </c>
      <c r="AA1633" s="372">
        <v>182.1348433</v>
      </c>
      <c r="AB1633" s="372">
        <v>377.71227709999999</v>
      </c>
      <c r="AC1633" s="372">
        <v>504.42251579999999</v>
      </c>
      <c r="AD1633" s="372">
        <v>479.11985390000001</v>
      </c>
      <c r="AE1633" s="372">
        <v>681</v>
      </c>
      <c r="AF1633" s="372">
        <v>0</v>
      </c>
      <c r="AG1633" s="372">
        <v>0</v>
      </c>
      <c r="AH1633" s="372">
        <v>0</v>
      </c>
    </row>
    <row r="1634" spans="1:34">
      <c r="A1634" s="372" t="s">
        <v>10772</v>
      </c>
      <c r="B1634" s="373" t="s">
        <v>10773</v>
      </c>
      <c r="C1634" s="372" t="s">
        <v>10774</v>
      </c>
      <c r="D1634" s="374">
        <v>1801110021806</v>
      </c>
      <c r="E1634" s="372" t="s">
        <v>10775</v>
      </c>
      <c r="F1634" s="372" t="s">
        <v>2170</v>
      </c>
      <c r="G1634" s="375" t="s">
        <v>10776</v>
      </c>
      <c r="H1634" s="375" t="s">
        <v>1468</v>
      </c>
      <c r="I1634" s="375" t="s">
        <v>754</v>
      </c>
      <c r="J1634" s="375">
        <v>82494.310230000003</v>
      </c>
      <c r="K1634" s="375">
        <v>6696.9683100000002</v>
      </c>
      <c r="L1634" s="375">
        <v>7851.8810599999997</v>
      </c>
      <c r="M1634" s="375">
        <v>98853.823390000005</v>
      </c>
      <c r="N1634" s="372">
        <v>0.32900000000000001</v>
      </c>
      <c r="O1634" s="704">
        <v>6.8331962283478404E-2</v>
      </c>
      <c r="P1634" s="375" t="s">
        <v>622</v>
      </c>
      <c r="Q1634" s="375" t="s">
        <v>622</v>
      </c>
      <c r="R1634" s="696">
        <v>20051209</v>
      </c>
      <c r="S1634" s="372" t="s">
        <v>10777</v>
      </c>
      <c r="T1634" s="697">
        <v>0.20900000000000002</v>
      </c>
      <c r="U1634" s="372" t="s">
        <v>10778</v>
      </c>
      <c r="V1634" s="723">
        <v>8.86</v>
      </c>
      <c r="W1634" s="723">
        <v>0.69</v>
      </c>
      <c r="X1634" s="723">
        <v>1.01</v>
      </c>
      <c r="Y1634" s="723">
        <v>13.38</v>
      </c>
      <c r="Z1634" s="382" t="s">
        <v>927</v>
      </c>
      <c r="AA1634" s="372">
        <v>731.64758080000001</v>
      </c>
      <c r="AB1634" s="372">
        <v>797.47901279999996</v>
      </c>
      <c r="AC1634" s="372">
        <v>834.35241799999994</v>
      </c>
      <c r="AD1634" s="372">
        <v>852.39048509999998</v>
      </c>
      <c r="AE1634" s="372">
        <v>0</v>
      </c>
      <c r="AF1634" s="372">
        <v>0</v>
      </c>
      <c r="AG1634" s="372">
        <v>0</v>
      </c>
      <c r="AH1634" s="372">
        <v>0</v>
      </c>
    </row>
    <row r="1635" spans="1:34">
      <c r="A1635" s="372" t="s">
        <v>10779</v>
      </c>
      <c r="B1635" s="373" t="s">
        <v>10780</v>
      </c>
      <c r="C1635" s="372" t="s">
        <v>10781</v>
      </c>
      <c r="D1635" s="374">
        <v>1101115373933</v>
      </c>
      <c r="E1635" s="372" t="s">
        <v>10782</v>
      </c>
      <c r="F1635" s="375" t="s">
        <v>1796</v>
      </c>
      <c r="G1635" s="375" t="s">
        <v>1797</v>
      </c>
      <c r="H1635" s="375" t="s">
        <v>861</v>
      </c>
      <c r="I1635" s="375" t="s">
        <v>862</v>
      </c>
      <c r="J1635" s="375">
        <v>25651.612290000001</v>
      </c>
      <c r="K1635" s="375">
        <v>-814.81901000000005</v>
      </c>
      <c r="L1635" s="375">
        <v>-882.86194</v>
      </c>
      <c r="M1635" s="375">
        <v>37868.262499999997</v>
      </c>
      <c r="N1635" s="372">
        <v>0.73399999999999999</v>
      </c>
      <c r="O1635" s="704">
        <v>63.502128409293469</v>
      </c>
      <c r="P1635" s="375" t="s">
        <v>622</v>
      </c>
      <c r="Q1635" s="375" t="s">
        <v>622</v>
      </c>
      <c r="R1635" s="696">
        <v>20220310</v>
      </c>
      <c r="S1635" s="372" t="s">
        <v>10783</v>
      </c>
      <c r="T1635" s="697" t="s">
        <v>771</v>
      </c>
      <c r="U1635" s="372" t="s">
        <v>10784</v>
      </c>
      <c r="V1635" s="723">
        <v>32.409999999999997</v>
      </c>
      <c r="W1635" s="723">
        <v>1.47</v>
      </c>
      <c r="X1635" s="723">
        <v>2.1</v>
      </c>
      <c r="Y1635" s="723" t="s">
        <v>773</v>
      </c>
      <c r="Z1635" s="382" t="s">
        <v>927</v>
      </c>
      <c r="AA1635" s="372">
        <v>137.85093889999999</v>
      </c>
      <c r="AB1635" s="372">
        <v>196.42515850000001</v>
      </c>
      <c r="AC1635" s="372">
        <v>217.1374817</v>
      </c>
      <c r="AD1635" s="372">
        <v>245.4215323</v>
      </c>
      <c r="AE1635" s="372">
        <v>0</v>
      </c>
      <c r="AF1635" s="372">
        <v>0</v>
      </c>
      <c r="AG1635" s="372">
        <v>0</v>
      </c>
      <c r="AH1635" s="372">
        <v>0</v>
      </c>
    </row>
    <row r="1636" spans="1:34">
      <c r="A1636" s="372" t="s">
        <v>10785</v>
      </c>
      <c r="B1636" s="373" t="s">
        <v>10786</v>
      </c>
      <c r="C1636" s="372" t="s">
        <v>10787</v>
      </c>
      <c r="D1636" s="374">
        <v>1101111942485</v>
      </c>
      <c r="E1636" s="372" t="s">
        <v>10788</v>
      </c>
      <c r="F1636" s="372" t="s">
        <v>1006</v>
      </c>
      <c r="G1636" s="375" t="s">
        <v>1006</v>
      </c>
      <c r="H1636" s="375" t="s">
        <v>861</v>
      </c>
      <c r="I1636" s="375" t="s">
        <v>862</v>
      </c>
      <c r="J1636" s="375">
        <v>53817.29651</v>
      </c>
      <c r="K1636" s="375">
        <v>7337.3587299999999</v>
      </c>
      <c r="L1636" s="375">
        <v>6574.2225399999998</v>
      </c>
      <c r="M1636" s="375">
        <v>103323.75683</v>
      </c>
      <c r="N1636" s="372">
        <v>0.70199999999999996</v>
      </c>
      <c r="O1636" s="704">
        <v>5.6687636894262923</v>
      </c>
      <c r="P1636" s="375" t="s">
        <v>622</v>
      </c>
      <c r="Q1636" s="372" t="s">
        <v>622</v>
      </c>
      <c r="R1636" s="696">
        <v>20221117</v>
      </c>
      <c r="S1636" s="372" t="s">
        <v>10789</v>
      </c>
      <c r="T1636" s="697">
        <v>0.20900000000000002</v>
      </c>
      <c r="U1636" s="372" t="s">
        <v>10790</v>
      </c>
      <c r="V1636" s="723">
        <v>10.81</v>
      </c>
      <c r="W1636" s="723">
        <v>0.83</v>
      </c>
      <c r="X1636" s="723">
        <v>1.62</v>
      </c>
      <c r="Y1636" s="723">
        <v>23.41</v>
      </c>
      <c r="Z1636" s="382" t="s">
        <v>927</v>
      </c>
      <c r="AA1636" s="372">
        <v>594.25954720000004</v>
      </c>
      <c r="AB1636" s="372">
        <v>686.66247350000003</v>
      </c>
      <c r="AC1636" s="372">
        <v>761.79110170000001</v>
      </c>
      <c r="AD1636" s="372">
        <v>509.640646</v>
      </c>
      <c r="AE1636" s="372">
        <v>0</v>
      </c>
      <c r="AF1636" s="372">
        <v>0</v>
      </c>
      <c r="AG1636" s="372">
        <v>0</v>
      </c>
      <c r="AH1636" s="372">
        <v>0</v>
      </c>
    </row>
    <row r="1637" spans="1:34">
      <c r="A1637" s="372" t="s">
        <v>10791</v>
      </c>
      <c r="B1637" s="373" t="s">
        <v>10792</v>
      </c>
      <c r="C1637" s="372" t="s">
        <v>10793</v>
      </c>
      <c r="D1637" s="374">
        <v>1942110039934</v>
      </c>
      <c r="E1637" s="372" t="s">
        <v>10794</v>
      </c>
      <c r="F1637" s="372" t="s">
        <v>5410</v>
      </c>
      <c r="G1637" s="375" t="s">
        <v>10795</v>
      </c>
      <c r="H1637" s="375" t="s">
        <v>861</v>
      </c>
      <c r="I1637" s="375" t="s">
        <v>862</v>
      </c>
      <c r="J1637" s="375">
        <v>73694.024839999998</v>
      </c>
      <c r="K1637" s="375">
        <v>3320.60023</v>
      </c>
      <c r="L1637" s="375">
        <v>4121.5642399999997</v>
      </c>
      <c r="M1637" s="375">
        <v>90984.269929999995</v>
      </c>
      <c r="N1637" s="372">
        <v>1.18</v>
      </c>
      <c r="O1637" s="704">
        <v>0.4569991190338305</v>
      </c>
      <c r="P1637" s="375" t="s">
        <v>622</v>
      </c>
      <c r="Q1637" s="372" t="s">
        <v>622</v>
      </c>
      <c r="R1637" s="696">
        <v>20090428</v>
      </c>
      <c r="S1637" s="375" t="s">
        <v>10796</v>
      </c>
      <c r="T1637" s="697">
        <v>0.20900000000000002</v>
      </c>
      <c r="U1637" s="372" t="s">
        <v>10797</v>
      </c>
      <c r="V1637" s="723">
        <v>10.14</v>
      </c>
      <c r="W1637" s="723">
        <v>0.82</v>
      </c>
      <c r="X1637" s="723">
        <v>1.02</v>
      </c>
      <c r="Y1637" s="723">
        <v>14.73</v>
      </c>
      <c r="Z1637" s="382" t="s">
        <v>927</v>
      </c>
      <c r="AA1637" s="372">
        <v>601.09607900000003</v>
      </c>
      <c r="AB1637" s="372">
        <v>605.44380999999998</v>
      </c>
      <c r="AC1637" s="372">
        <v>683.21538250000003</v>
      </c>
      <c r="AD1637" s="372">
        <v>573.44901359999994</v>
      </c>
      <c r="AE1637" s="372">
        <v>783</v>
      </c>
      <c r="AF1637" s="372">
        <v>870</v>
      </c>
      <c r="AG1637" s="372">
        <v>0</v>
      </c>
      <c r="AH1637" s="372">
        <v>0</v>
      </c>
    </row>
    <row r="1638" spans="1:34">
      <c r="A1638" s="372" t="s">
        <v>10798</v>
      </c>
      <c r="B1638" s="373" t="s">
        <v>10799</v>
      </c>
      <c r="C1638" s="372" t="s">
        <v>10800</v>
      </c>
      <c r="D1638" s="374">
        <v>1243110005359</v>
      </c>
      <c r="E1638" s="372" t="s">
        <v>10801</v>
      </c>
      <c r="F1638" s="372" t="s">
        <v>6610</v>
      </c>
      <c r="G1638" s="375" t="s">
        <v>6610</v>
      </c>
      <c r="H1638" s="375" t="s">
        <v>861</v>
      </c>
      <c r="I1638" s="375" t="s">
        <v>862</v>
      </c>
      <c r="J1638" s="375">
        <v>95939.420939999996</v>
      </c>
      <c r="K1638" s="375">
        <v>1027.0345500000001</v>
      </c>
      <c r="L1638" s="375">
        <v>1187.9368400000001</v>
      </c>
      <c r="M1638" s="375">
        <v>123724.42862999999</v>
      </c>
      <c r="N1638" s="372">
        <v>0.64600000000000002</v>
      </c>
      <c r="O1638" s="704">
        <v>0.28496041758520652</v>
      </c>
      <c r="P1638" s="375" t="s">
        <v>622</v>
      </c>
      <c r="Q1638" s="372" t="s">
        <v>622</v>
      </c>
      <c r="R1638" s="696">
        <v>19970930</v>
      </c>
      <c r="S1638" s="372" t="s">
        <v>10802</v>
      </c>
      <c r="T1638" s="697">
        <v>0.20900000000000002</v>
      </c>
      <c r="U1638" s="372" t="s">
        <v>10803</v>
      </c>
      <c r="V1638" s="723">
        <v>0</v>
      </c>
      <c r="W1638" s="723">
        <v>0</v>
      </c>
      <c r="X1638" s="723">
        <v>0</v>
      </c>
      <c r="Y1638" s="723">
        <v>0</v>
      </c>
      <c r="Z1638" s="382" t="s">
        <v>927</v>
      </c>
      <c r="AA1638" s="372">
        <v>1189.3033178999999</v>
      </c>
      <c r="AB1638" s="372">
        <v>926.62745470000004</v>
      </c>
      <c r="AC1638" s="372">
        <v>952.80775610000001</v>
      </c>
      <c r="AD1638" s="372">
        <v>1004.8822056</v>
      </c>
      <c r="AE1638" s="372">
        <v>0</v>
      </c>
      <c r="AF1638" s="372">
        <v>0</v>
      </c>
      <c r="AG1638" s="372">
        <v>0</v>
      </c>
      <c r="AH1638" s="372">
        <v>0</v>
      </c>
    </row>
    <row r="1639" spans="1:34">
      <c r="A1639" s="372" t="s">
        <v>10804</v>
      </c>
      <c r="B1639" s="373" t="s">
        <v>10805</v>
      </c>
      <c r="C1639" s="372" t="s">
        <v>10806</v>
      </c>
      <c r="D1639" s="374">
        <v>1101113569865</v>
      </c>
      <c r="E1639" s="372" t="s">
        <v>10807</v>
      </c>
      <c r="F1639" s="375" t="s">
        <v>975</v>
      </c>
      <c r="G1639" s="375" t="s">
        <v>976</v>
      </c>
      <c r="H1639" s="375" t="s">
        <v>1337</v>
      </c>
      <c r="I1639" s="375" t="s">
        <v>862</v>
      </c>
      <c r="J1639" s="375">
        <v>75992.921589999998</v>
      </c>
      <c r="K1639" s="375">
        <v>-3193.8781600000002</v>
      </c>
      <c r="L1639" s="375">
        <v>-3381.44794</v>
      </c>
      <c r="M1639" s="375">
        <v>45198.211479999998</v>
      </c>
      <c r="N1639" s="372">
        <v>0.88200000000000001</v>
      </c>
      <c r="O1639" s="704">
        <v>7.583354620689577</v>
      </c>
      <c r="P1639" s="375" t="s">
        <v>622</v>
      </c>
      <c r="Q1639" s="375" t="s">
        <v>622</v>
      </c>
      <c r="R1639" s="696">
        <v>20210421</v>
      </c>
      <c r="S1639" s="375" t="s">
        <v>10808</v>
      </c>
      <c r="T1639" s="697" t="s">
        <v>771</v>
      </c>
      <c r="U1639" s="372" t="s">
        <v>10809</v>
      </c>
      <c r="V1639" s="723" t="s">
        <v>773</v>
      </c>
      <c r="W1639" s="723">
        <v>1.67</v>
      </c>
      <c r="X1639" s="723">
        <v>0.99</v>
      </c>
      <c r="Y1639" s="723" t="s">
        <v>773</v>
      </c>
      <c r="Z1639" s="382" t="s">
        <v>927</v>
      </c>
      <c r="AA1639" s="372">
        <v>448.44543579999998</v>
      </c>
      <c r="AB1639" s="372">
        <v>430.47122489999998</v>
      </c>
      <c r="AC1639" s="372">
        <v>596.78363349999995</v>
      </c>
      <c r="AD1639" s="372">
        <v>1005.152372</v>
      </c>
      <c r="AE1639" s="372">
        <v>850</v>
      </c>
      <c r="AF1639" s="372">
        <v>1178</v>
      </c>
      <c r="AG1639" s="372">
        <v>0</v>
      </c>
      <c r="AH1639" s="372">
        <v>0</v>
      </c>
    </row>
    <row r="1640" spans="1:34">
      <c r="A1640" s="372" t="s">
        <v>10810</v>
      </c>
      <c r="B1640" s="373" t="s">
        <v>10811</v>
      </c>
      <c r="C1640" s="372" t="s">
        <v>10812</v>
      </c>
      <c r="D1640" s="374">
        <v>1301110050847</v>
      </c>
      <c r="E1640" s="372" t="s">
        <v>10813</v>
      </c>
      <c r="F1640" s="375" t="s">
        <v>1357</v>
      </c>
      <c r="G1640" s="375" t="s">
        <v>1357</v>
      </c>
      <c r="H1640" s="375" t="s">
        <v>861</v>
      </c>
      <c r="I1640" s="375" t="s">
        <v>862</v>
      </c>
      <c r="J1640" s="375">
        <v>78602.072029999996</v>
      </c>
      <c r="K1640" s="375">
        <v>4.4221599999999999</v>
      </c>
      <c r="L1640" s="375">
        <v>-6784.54781</v>
      </c>
      <c r="M1640" s="375">
        <v>39940.988140000001</v>
      </c>
      <c r="N1640" s="372">
        <v>0.51100000000000001</v>
      </c>
      <c r="O1640" s="704">
        <v>44.23302451888447</v>
      </c>
      <c r="P1640" s="375" t="s">
        <v>622</v>
      </c>
      <c r="Q1640" s="372" t="s">
        <v>622</v>
      </c>
      <c r="R1640" s="696">
        <v>20100105</v>
      </c>
      <c r="S1640" s="372" t="s">
        <v>15924</v>
      </c>
      <c r="T1640" s="697" t="s">
        <v>771</v>
      </c>
      <c r="U1640" s="372" t="s">
        <v>10814</v>
      </c>
      <c r="V1640" s="723">
        <v>17.22</v>
      </c>
      <c r="W1640" s="723">
        <v>1.8</v>
      </c>
      <c r="X1640" s="723">
        <v>0.81</v>
      </c>
      <c r="Y1640" s="723" t="s">
        <v>773</v>
      </c>
      <c r="Z1640" s="382" t="s">
        <v>927</v>
      </c>
      <c r="AA1640" s="372">
        <v>587.93471550000004</v>
      </c>
      <c r="AB1640" s="372">
        <v>492.50446529999999</v>
      </c>
      <c r="AC1640" s="372">
        <v>552.0019211</v>
      </c>
      <c r="AD1640" s="372">
        <v>792.43448769999998</v>
      </c>
      <c r="AE1640" s="372">
        <v>0</v>
      </c>
      <c r="AF1640" s="372">
        <v>0</v>
      </c>
      <c r="AG1640" s="372">
        <v>0</v>
      </c>
      <c r="AH1640" s="372">
        <v>0</v>
      </c>
    </row>
    <row r="1641" spans="1:34">
      <c r="A1641" s="372" t="s">
        <v>10815</v>
      </c>
      <c r="B1641" s="373" t="s">
        <v>10816</v>
      </c>
      <c r="C1641" s="372" t="s">
        <v>10817</v>
      </c>
      <c r="D1641" s="374">
        <v>1101110048002</v>
      </c>
      <c r="E1641" s="372" t="s">
        <v>10818</v>
      </c>
      <c r="F1641" s="372" t="s">
        <v>1743</v>
      </c>
      <c r="G1641" s="375" t="s">
        <v>1743</v>
      </c>
      <c r="H1641" s="375" t="s">
        <v>846</v>
      </c>
      <c r="I1641" s="375" t="s">
        <v>754</v>
      </c>
      <c r="J1641" s="375">
        <v>139630.55348999999</v>
      </c>
      <c r="K1641" s="375">
        <v>-1916.3793700000001</v>
      </c>
      <c r="L1641" s="375">
        <v>13862.737880000001</v>
      </c>
      <c r="M1641" s="375">
        <v>270785.56433000002</v>
      </c>
      <c r="N1641" s="372">
        <v>0.60499999999999998</v>
      </c>
      <c r="O1641" s="704">
        <v>28.506866084775222</v>
      </c>
      <c r="P1641" s="375" t="s">
        <v>622</v>
      </c>
      <c r="Q1641" s="372" t="s">
        <v>622</v>
      </c>
      <c r="R1641" s="696">
        <v>19760419</v>
      </c>
      <c r="S1641" s="372" t="s">
        <v>10819</v>
      </c>
      <c r="T1641" s="697">
        <v>0.20900000000000002</v>
      </c>
      <c r="U1641" s="372" t="s">
        <v>10820</v>
      </c>
      <c r="V1641" s="723">
        <v>63.31</v>
      </c>
      <c r="W1641" s="723">
        <v>0.27</v>
      </c>
      <c r="X1641" s="723">
        <v>0.53</v>
      </c>
      <c r="Y1641" s="723">
        <v>8.11</v>
      </c>
      <c r="Z1641" s="382" t="s">
        <v>927</v>
      </c>
      <c r="AA1641" s="372">
        <v>1678.0276067</v>
      </c>
      <c r="AB1641" s="372">
        <v>1357.4667945000001</v>
      </c>
      <c r="AC1641" s="372">
        <v>1613.0478427</v>
      </c>
      <c r="AD1641" s="372">
        <v>1430.8002985999999</v>
      </c>
      <c r="AE1641" s="372">
        <v>0</v>
      </c>
      <c r="AF1641" s="372">
        <v>0</v>
      </c>
      <c r="AG1641" s="372">
        <v>0</v>
      </c>
      <c r="AH1641" s="372">
        <v>0</v>
      </c>
    </row>
    <row r="1642" spans="1:34">
      <c r="A1642" s="372" t="s">
        <v>10821</v>
      </c>
      <c r="B1642" s="373" t="s">
        <v>10822</v>
      </c>
      <c r="C1642" s="372" t="s">
        <v>10823</v>
      </c>
      <c r="D1642" s="374">
        <v>1301110008052</v>
      </c>
      <c r="E1642" s="372" t="s">
        <v>10824</v>
      </c>
      <c r="F1642" s="375" t="s">
        <v>2992</v>
      </c>
      <c r="G1642" s="375" t="s">
        <v>2992</v>
      </c>
      <c r="H1642" s="375" t="s">
        <v>792</v>
      </c>
      <c r="I1642" s="375" t="s">
        <v>754</v>
      </c>
      <c r="J1642" s="375">
        <v>548650.37720999995</v>
      </c>
      <c r="K1642" s="375">
        <v>22949.990580000002</v>
      </c>
      <c r="L1642" s="375">
        <v>19603.195790000002</v>
      </c>
      <c r="M1642" s="375">
        <v>161645.78894999999</v>
      </c>
      <c r="N1642" s="372">
        <v>0.94299999999999995</v>
      </c>
      <c r="O1642" s="704">
        <v>342.90382600286529</v>
      </c>
      <c r="P1642" s="375" t="s">
        <v>622</v>
      </c>
      <c r="Q1642" s="372" t="s">
        <v>622</v>
      </c>
      <c r="R1642" s="696">
        <v>19941031</v>
      </c>
      <c r="S1642" s="372" t="s">
        <v>10825</v>
      </c>
      <c r="T1642" s="697">
        <v>0.20900000000000002</v>
      </c>
      <c r="U1642" s="372" t="s">
        <v>10826</v>
      </c>
      <c r="V1642" s="723">
        <v>7.25</v>
      </c>
      <c r="W1642" s="723">
        <v>0.63</v>
      </c>
      <c r="X1642" s="723">
        <v>0.15</v>
      </c>
      <c r="Y1642" s="723">
        <v>9.0299999999999994</v>
      </c>
      <c r="Z1642" s="382" t="s">
        <v>927</v>
      </c>
      <c r="AA1642" s="372">
        <v>3841.9015709999999</v>
      </c>
      <c r="AB1642" s="372">
        <v>4392.7448817000004</v>
      </c>
      <c r="AC1642" s="372">
        <v>5122.4048886</v>
      </c>
      <c r="AD1642" s="372">
        <v>5428.9320146999999</v>
      </c>
      <c r="AE1642" s="372">
        <v>6291</v>
      </c>
      <c r="AF1642" s="372">
        <v>7184</v>
      </c>
      <c r="AG1642" s="372">
        <v>0</v>
      </c>
      <c r="AH1642" s="372">
        <v>0</v>
      </c>
    </row>
    <row r="1643" spans="1:34">
      <c r="A1643" s="372" t="s">
        <v>10827</v>
      </c>
      <c r="B1643" s="373" t="s">
        <v>10828</v>
      </c>
      <c r="C1643" s="372" t="s">
        <v>10829</v>
      </c>
      <c r="D1643" s="374">
        <v>1341110095394</v>
      </c>
      <c r="E1643" s="372" t="s">
        <v>10830</v>
      </c>
      <c r="F1643" s="375" t="s">
        <v>10831</v>
      </c>
      <c r="G1643" s="375" t="s">
        <v>10832</v>
      </c>
      <c r="H1643" s="375" t="s">
        <v>861</v>
      </c>
      <c r="I1643" s="375" t="s">
        <v>862</v>
      </c>
      <c r="J1643" s="375">
        <v>70520.493879999995</v>
      </c>
      <c r="K1643" s="375">
        <v>-12975.605320000001</v>
      </c>
      <c r="L1643" s="375">
        <v>-39567.970509999999</v>
      </c>
      <c r="M1643" s="375">
        <v>137246.60376999999</v>
      </c>
      <c r="N1643" s="372">
        <v>0.432</v>
      </c>
      <c r="O1643" s="704">
        <v>160.19904121667415</v>
      </c>
      <c r="P1643" s="375" t="s">
        <v>622</v>
      </c>
      <c r="Q1643" s="375" t="s">
        <v>622</v>
      </c>
      <c r="R1643" s="696">
        <v>20101201</v>
      </c>
      <c r="S1643" s="375" t="s">
        <v>10833</v>
      </c>
      <c r="T1643" s="697" t="s">
        <v>771</v>
      </c>
      <c r="U1643" s="372" t="s">
        <v>10834</v>
      </c>
      <c r="V1643" s="723" t="s">
        <v>773</v>
      </c>
      <c r="W1643" s="723">
        <v>0.34</v>
      </c>
      <c r="X1643" s="723">
        <v>0.62</v>
      </c>
      <c r="Y1643" s="723" t="s">
        <v>773</v>
      </c>
      <c r="Z1643" s="382" t="s">
        <v>927</v>
      </c>
      <c r="AA1643" s="372">
        <v>346.70562339999998</v>
      </c>
      <c r="AB1643" s="372">
        <v>458.91025089999999</v>
      </c>
      <c r="AC1643" s="372">
        <v>648.87675060000004</v>
      </c>
      <c r="AD1643" s="372">
        <v>622.25691200000006</v>
      </c>
      <c r="AE1643" s="372">
        <v>0</v>
      </c>
      <c r="AF1643" s="372">
        <v>0</v>
      </c>
      <c r="AG1643" s="372">
        <v>0</v>
      </c>
      <c r="AH1643" s="372">
        <v>0</v>
      </c>
    </row>
    <row r="1644" spans="1:34">
      <c r="A1644" s="372" t="s">
        <v>10835</v>
      </c>
      <c r="B1644" s="373" t="s">
        <v>10836</v>
      </c>
      <c r="C1644" s="372" t="s">
        <v>10837</v>
      </c>
      <c r="D1644" s="374">
        <v>1350110038048</v>
      </c>
      <c r="E1644" s="372" t="s">
        <v>10838</v>
      </c>
      <c r="F1644" s="375" t="s">
        <v>1055</v>
      </c>
      <c r="G1644" s="375" t="s">
        <v>16104</v>
      </c>
      <c r="H1644" s="375" t="s">
        <v>861</v>
      </c>
      <c r="I1644" s="375" t="s">
        <v>862</v>
      </c>
      <c r="J1644" s="375">
        <v>182557.94114000001</v>
      </c>
      <c r="K1644" s="375">
        <v>-9345.2719400000005</v>
      </c>
      <c r="L1644" s="375">
        <v>-8482.9911300000003</v>
      </c>
      <c r="M1644" s="375">
        <v>83655.649789999996</v>
      </c>
      <c r="N1644" s="372">
        <v>0.63600000000000001</v>
      </c>
      <c r="O1644" s="704">
        <v>80.231450592285185</v>
      </c>
      <c r="P1644" s="375" t="s">
        <v>622</v>
      </c>
      <c r="Q1644" s="375" t="s">
        <v>622</v>
      </c>
      <c r="R1644" s="696">
        <v>20180212</v>
      </c>
      <c r="S1644" s="375" t="s">
        <v>10839</v>
      </c>
      <c r="T1644" s="697" t="s">
        <v>771</v>
      </c>
      <c r="U1644" s="372" t="s">
        <v>10840</v>
      </c>
      <c r="V1644" s="723">
        <v>0</v>
      </c>
      <c r="W1644" s="723">
        <v>0</v>
      </c>
      <c r="X1644" s="723">
        <v>0</v>
      </c>
      <c r="Y1644" s="723">
        <v>0</v>
      </c>
      <c r="Z1644" s="382" t="s">
        <v>927</v>
      </c>
      <c r="AA1644" s="372">
        <v>1248.0894403</v>
      </c>
      <c r="AB1644" s="372">
        <v>1401.5724456</v>
      </c>
      <c r="AC1644" s="372">
        <v>1677.3712178000001</v>
      </c>
      <c r="AD1644" s="372">
        <v>1871.5450757999999</v>
      </c>
      <c r="AE1644" s="372">
        <v>0</v>
      </c>
      <c r="AF1644" s="372">
        <v>0</v>
      </c>
      <c r="AG1644" s="372">
        <v>0</v>
      </c>
      <c r="AH1644" s="372">
        <v>0</v>
      </c>
    </row>
    <row r="1645" spans="1:34">
      <c r="A1645" s="372" t="s">
        <v>10841</v>
      </c>
      <c r="B1645" s="373" t="s">
        <v>10842</v>
      </c>
      <c r="C1645" s="372" t="s">
        <v>10843</v>
      </c>
      <c r="D1645" s="374">
        <v>1101114399906</v>
      </c>
      <c r="E1645" s="372" t="s">
        <v>10844</v>
      </c>
      <c r="F1645" s="375" t="s">
        <v>1323</v>
      </c>
      <c r="G1645" s="375" t="s">
        <v>16106</v>
      </c>
      <c r="H1645" s="375" t="s">
        <v>861</v>
      </c>
      <c r="I1645" s="375" t="s">
        <v>862</v>
      </c>
      <c r="J1645" s="375">
        <v>78804.343649999995</v>
      </c>
      <c r="K1645" s="375">
        <v>7469.8819700000004</v>
      </c>
      <c r="L1645" s="375">
        <v>11345.74265</v>
      </c>
      <c r="M1645" s="375">
        <v>139482.99444000001</v>
      </c>
      <c r="N1645" s="372">
        <v>0.80700000000000005</v>
      </c>
      <c r="O1645" s="704">
        <v>1.6830386222548128</v>
      </c>
      <c r="P1645" s="375" t="s">
        <v>622</v>
      </c>
      <c r="Q1645" s="372" t="s">
        <v>622</v>
      </c>
      <c r="R1645" s="696">
        <v>20101203</v>
      </c>
      <c r="S1645" s="372" t="s">
        <v>10845</v>
      </c>
      <c r="T1645" s="697">
        <v>0.20900000000000002</v>
      </c>
      <c r="U1645" s="372" t="s">
        <v>15925</v>
      </c>
      <c r="V1645" s="723">
        <v>0</v>
      </c>
      <c r="W1645" s="723">
        <v>0</v>
      </c>
      <c r="X1645" s="723">
        <v>0</v>
      </c>
      <c r="Y1645" s="723">
        <v>0</v>
      </c>
      <c r="Z1645" s="382" t="s">
        <v>927</v>
      </c>
      <c r="AA1645" s="372">
        <v>608.26955329999998</v>
      </c>
      <c r="AB1645" s="372">
        <v>573.16372200000001</v>
      </c>
      <c r="AC1645" s="372">
        <v>586.57537969999998</v>
      </c>
      <c r="AD1645" s="372">
        <v>724.26447150000001</v>
      </c>
      <c r="AE1645" s="372">
        <v>0</v>
      </c>
      <c r="AF1645" s="372">
        <v>0</v>
      </c>
      <c r="AG1645" s="372">
        <v>0</v>
      </c>
      <c r="AH1645" s="372">
        <v>0</v>
      </c>
    </row>
    <row r="1646" spans="1:34">
      <c r="A1646" s="372" t="s">
        <v>10846</v>
      </c>
      <c r="B1646" s="373" t="s">
        <v>10847</v>
      </c>
      <c r="C1646" s="372" t="s">
        <v>10848</v>
      </c>
      <c r="D1646" s="374">
        <v>1101111628928</v>
      </c>
      <c r="E1646" s="372" t="s">
        <v>10849</v>
      </c>
      <c r="F1646" s="375" t="s">
        <v>1006</v>
      </c>
      <c r="G1646" s="375" t="s">
        <v>1215</v>
      </c>
      <c r="H1646" s="375" t="s">
        <v>861</v>
      </c>
      <c r="I1646" s="375" t="s">
        <v>862</v>
      </c>
      <c r="J1646" s="375">
        <v>29461.121520000001</v>
      </c>
      <c r="K1646" s="375">
        <v>-2281.19121</v>
      </c>
      <c r="L1646" s="375">
        <v>-460.44747999999998</v>
      </c>
      <c r="M1646" s="375">
        <v>18576.274939999999</v>
      </c>
      <c r="N1646" s="372">
        <v>0.97</v>
      </c>
      <c r="O1646" s="704">
        <v>15.626578958200238</v>
      </c>
      <c r="P1646" s="375" t="s">
        <v>622</v>
      </c>
      <c r="Q1646" s="372" t="s">
        <v>622</v>
      </c>
      <c r="R1646" s="696">
        <v>20020108</v>
      </c>
      <c r="S1646" s="372" t="s">
        <v>10850</v>
      </c>
      <c r="T1646" s="697" t="s">
        <v>771</v>
      </c>
      <c r="U1646" s="372" t="s">
        <v>10851</v>
      </c>
      <c r="V1646" s="723" t="s">
        <v>773</v>
      </c>
      <c r="W1646" s="723">
        <v>2.95</v>
      </c>
      <c r="X1646" s="723">
        <v>1.3</v>
      </c>
      <c r="Y1646" s="723" t="s">
        <v>773</v>
      </c>
      <c r="Z1646" s="382" t="s">
        <v>927</v>
      </c>
      <c r="AA1646" s="372">
        <v>571.88810650000005</v>
      </c>
      <c r="AB1646" s="372">
        <v>641.22054779999996</v>
      </c>
      <c r="AC1646" s="372">
        <v>563.13132380000002</v>
      </c>
      <c r="AD1646" s="372">
        <v>259.2844255</v>
      </c>
      <c r="AE1646" s="372">
        <v>0</v>
      </c>
      <c r="AF1646" s="372">
        <v>0</v>
      </c>
      <c r="AG1646" s="372">
        <v>0</v>
      </c>
      <c r="AH1646" s="372">
        <v>0</v>
      </c>
    </row>
    <row r="1647" spans="1:34">
      <c r="A1647" s="372" t="s">
        <v>10852</v>
      </c>
      <c r="B1647" s="373" t="s">
        <v>10853</v>
      </c>
      <c r="C1647" s="372" t="s">
        <v>10854</v>
      </c>
      <c r="D1647" s="374">
        <v>1101110070881</v>
      </c>
      <c r="E1647" s="372" t="s">
        <v>10855</v>
      </c>
      <c r="F1647" s="375" t="s">
        <v>1275</v>
      </c>
      <c r="G1647" s="375" t="s">
        <v>1275</v>
      </c>
      <c r="H1647" s="375" t="s">
        <v>753</v>
      </c>
      <c r="I1647" s="375" t="s">
        <v>754</v>
      </c>
      <c r="J1647" s="375">
        <v>11820.35598</v>
      </c>
      <c r="K1647" s="375">
        <v>1708.0173500000001</v>
      </c>
      <c r="L1647" s="375">
        <v>4479.9684699999998</v>
      </c>
      <c r="M1647" s="375">
        <v>82605.966639999999</v>
      </c>
      <c r="N1647" s="372">
        <v>0.79200000000000004</v>
      </c>
      <c r="O1647" s="704">
        <v>0.75595084519446132</v>
      </c>
      <c r="P1647" s="375" t="s">
        <v>622</v>
      </c>
      <c r="Q1647" s="372" t="s">
        <v>622</v>
      </c>
      <c r="R1647" s="696">
        <v>19870422</v>
      </c>
      <c r="S1647" s="372" t="s">
        <v>10856</v>
      </c>
      <c r="T1647" s="697">
        <v>0.20900000000000002</v>
      </c>
      <c r="U1647" s="372" t="s">
        <v>10857</v>
      </c>
      <c r="V1647" s="723">
        <v>0</v>
      </c>
      <c r="W1647" s="723">
        <v>0</v>
      </c>
      <c r="X1647" s="723">
        <v>0</v>
      </c>
      <c r="Y1647" s="723">
        <v>0</v>
      </c>
      <c r="Z1647" s="382" t="s">
        <v>927</v>
      </c>
      <c r="AA1647" s="372">
        <v>164.2312384</v>
      </c>
      <c r="AB1647" s="372">
        <v>158.9746432</v>
      </c>
      <c r="AC1647" s="372">
        <v>174.4106348</v>
      </c>
      <c r="AD1647" s="372">
        <v>127.5984234</v>
      </c>
      <c r="AE1647" s="372">
        <v>0</v>
      </c>
      <c r="AF1647" s="372">
        <v>0</v>
      </c>
      <c r="AG1647" s="372">
        <v>0</v>
      </c>
      <c r="AH1647" s="372">
        <v>0</v>
      </c>
    </row>
    <row r="1648" spans="1:34">
      <c r="A1648" s="372" t="s">
        <v>10858</v>
      </c>
      <c r="B1648" s="373" t="s">
        <v>10859</v>
      </c>
      <c r="C1648" s="372" t="s">
        <v>10860</v>
      </c>
      <c r="D1648" s="374">
        <v>1101113173351</v>
      </c>
      <c r="E1648" s="372" t="s">
        <v>10861</v>
      </c>
      <c r="F1648" s="375" t="s">
        <v>1796</v>
      </c>
      <c r="G1648" s="375" t="s">
        <v>2797</v>
      </c>
      <c r="H1648" s="375" t="s">
        <v>861</v>
      </c>
      <c r="I1648" s="375" t="s">
        <v>862</v>
      </c>
      <c r="J1648" s="375">
        <v>14215.24186</v>
      </c>
      <c r="K1648" s="375">
        <v>-551.90395999999998</v>
      </c>
      <c r="L1648" s="375">
        <v>678.06025999999997</v>
      </c>
      <c r="M1648" s="375">
        <v>36053.634899999997</v>
      </c>
      <c r="N1648" s="372" t="s">
        <v>1026</v>
      </c>
      <c r="O1648" s="704">
        <v>4.5300278962188312</v>
      </c>
      <c r="P1648" s="375" t="s">
        <v>622</v>
      </c>
      <c r="Q1648" s="375" t="s">
        <v>622</v>
      </c>
      <c r="R1648" s="696">
        <v>20230519</v>
      </c>
      <c r="S1648" s="375" t="s">
        <v>10862</v>
      </c>
      <c r="T1648" s="697">
        <v>0.20900000000000002</v>
      </c>
      <c r="U1648" s="372" t="s">
        <v>10863</v>
      </c>
      <c r="V1648" s="723">
        <v>2491</v>
      </c>
      <c r="W1648" s="723">
        <v>1.64</v>
      </c>
      <c r="X1648" s="723">
        <v>4.1900000000000004</v>
      </c>
      <c r="Y1648" s="723">
        <v>49.96</v>
      </c>
      <c r="Z1648" s="382" t="s">
        <v>927</v>
      </c>
      <c r="AA1648" s="372">
        <v>107.3043244</v>
      </c>
      <c r="AB1648" s="372">
        <v>121.1675578</v>
      </c>
      <c r="AC1648" s="372">
        <v>141.3454002</v>
      </c>
      <c r="AD1648" s="372">
        <v>141.86630550000001</v>
      </c>
      <c r="AE1648" s="372">
        <v>0</v>
      </c>
      <c r="AF1648" s="372">
        <v>0</v>
      </c>
      <c r="AG1648" s="372">
        <v>0</v>
      </c>
      <c r="AH1648" s="372">
        <v>0</v>
      </c>
    </row>
    <row r="1649" spans="1:34">
      <c r="A1649" s="372" t="s">
        <v>10864</v>
      </c>
      <c r="B1649" s="373" t="s">
        <v>10865</v>
      </c>
      <c r="C1649" s="372" t="s">
        <v>10866</v>
      </c>
      <c r="D1649" s="374">
        <v>1101116908870</v>
      </c>
      <c r="E1649" s="372" t="s">
        <v>10867</v>
      </c>
      <c r="F1649" s="375" t="s">
        <v>1796</v>
      </c>
      <c r="G1649" s="375" t="s">
        <v>1797</v>
      </c>
      <c r="H1649" s="375" t="s">
        <v>861</v>
      </c>
      <c r="I1649" s="375" t="s">
        <v>862</v>
      </c>
      <c r="J1649" s="375">
        <v>15035.52349</v>
      </c>
      <c r="K1649" s="375">
        <v>1701.6238000000001</v>
      </c>
      <c r="L1649" s="375">
        <v>2118.7769600000001</v>
      </c>
      <c r="M1649" s="375">
        <v>53067.227449999998</v>
      </c>
      <c r="N1649" s="372">
        <v>0.55800000000000005</v>
      </c>
      <c r="O1649" s="704">
        <v>25.791453054095818</v>
      </c>
      <c r="P1649" s="375" t="s">
        <v>622</v>
      </c>
      <c r="Q1649" s="375" t="s">
        <v>622</v>
      </c>
      <c r="R1649" s="696">
        <v>20221027</v>
      </c>
      <c r="S1649" s="375" t="s">
        <v>10868</v>
      </c>
      <c r="T1649" s="697">
        <v>0.20900000000000002</v>
      </c>
      <c r="U1649" s="372" t="s">
        <v>10869</v>
      </c>
      <c r="V1649" s="723">
        <v>19.32</v>
      </c>
      <c r="W1649" s="723">
        <v>0.92</v>
      </c>
      <c r="X1649" s="723">
        <v>3.53</v>
      </c>
      <c r="Y1649" s="723">
        <v>22.72</v>
      </c>
      <c r="Z1649" s="382" t="s">
        <v>927</v>
      </c>
      <c r="AA1649" s="372">
        <v>102.76463320000001</v>
      </c>
      <c r="AB1649" s="372">
        <v>120.2452557</v>
      </c>
      <c r="AC1649" s="372">
        <v>183.50443770000001</v>
      </c>
      <c r="AD1649" s="372">
        <v>141.86687029999999</v>
      </c>
      <c r="AE1649" s="372">
        <v>0</v>
      </c>
      <c r="AF1649" s="372">
        <v>0</v>
      </c>
      <c r="AG1649" s="372">
        <v>0</v>
      </c>
      <c r="AH1649" s="372">
        <v>0</v>
      </c>
    </row>
    <row r="1650" spans="1:34">
      <c r="A1650" s="372" t="s">
        <v>10870</v>
      </c>
      <c r="B1650" s="373" t="s">
        <v>10871</v>
      </c>
      <c r="C1650" s="372" t="s">
        <v>10872</v>
      </c>
      <c r="D1650" s="374">
        <v>1101111448128</v>
      </c>
      <c r="E1650" s="372" t="s">
        <v>10873</v>
      </c>
      <c r="F1650" s="375" t="s">
        <v>16127</v>
      </c>
      <c r="G1650" s="375" t="s">
        <v>16127</v>
      </c>
      <c r="H1650" s="375" t="s">
        <v>1337</v>
      </c>
      <c r="I1650" s="375" t="s">
        <v>862</v>
      </c>
      <c r="J1650" s="375">
        <v>16189.852730000001</v>
      </c>
      <c r="K1650" s="375">
        <v>-4565.0891099999999</v>
      </c>
      <c r="L1650" s="375">
        <v>2856.7540800000002</v>
      </c>
      <c r="M1650" s="375">
        <v>86003.448730000004</v>
      </c>
      <c r="N1650" s="372">
        <v>1.151</v>
      </c>
      <c r="O1650" s="704">
        <v>54.069502744527334</v>
      </c>
      <c r="P1650" s="375" t="s">
        <v>622</v>
      </c>
      <c r="Q1650" s="372" t="s">
        <v>622</v>
      </c>
      <c r="R1650" s="696">
        <v>20010525</v>
      </c>
      <c r="S1650" s="372" t="s">
        <v>10874</v>
      </c>
      <c r="T1650" s="697">
        <v>0.20900000000000002</v>
      </c>
      <c r="U1650" s="372" t="s">
        <v>10875</v>
      </c>
      <c r="V1650" s="723" t="s">
        <v>773</v>
      </c>
      <c r="W1650" s="723">
        <v>0.69</v>
      </c>
      <c r="X1650" s="723">
        <v>3.56</v>
      </c>
      <c r="Y1650" s="723">
        <v>13.12</v>
      </c>
      <c r="Z1650" s="382" t="s">
        <v>927</v>
      </c>
      <c r="AA1650" s="372">
        <v>181.77903689999999</v>
      </c>
      <c r="AB1650" s="372">
        <v>161.16313160000001</v>
      </c>
      <c r="AC1650" s="372">
        <v>167.83759219999999</v>
      </c>
      <c r="AD1650" s="372">
        <v>157.90408540000001</v>
      </c>
      <c r="AE1650" s="372">
        <v>0</v>
      </c>
      <c r="AF1650" s="372">
        <v>0</v>
      </c>
      <c r="AG1650" s="372">
        <v>0</v>
      </c>
      <c r="AH1650" s="372">
        <v>0</v>
      </c>
    </row>
    <row r="1651" spans="1:34">
      <c r="A1651" s="372" t="s">
        <v>10876</v>
      </c>
      <c r="B1651" s="373" t="s">
        <v>10877</v>
      </c>
      <c r="C1651" s="372" t="s">
        <v>10878</v>
      </c>
      <c r="D1651" s="374">
        <v>1101110038061</v>
      </c>
      <c r="E1651" s="372" t="s">
        <v>10879</v>
      </c>
      <c r="F1651" s="375" t="s">
        <v>16128</v>
      </c>
      <c r="G1651" s="375" t="s">
        <v>10880</v>
      </c>
      <c r="H1651" s="375" t="s">
        <v>846</v>
      </c>
      <c r="I1651" s="375" t="s">
        <v>754</v>
      </c>
      <c r="J1651" s="375">
        <v>164914.49137</v>
      </c>
      <c r="K1651" s="375">
        <v>7782.8068400000002</v>
      </c>
      <c r="L1651" s="375">
        <v>9786.4387800000004</v>
      </c>
      <c r="M1651" s="375">
        <v>102720.264</v>
      </c>
      <c r="N1651" s="372">
        <v>0.88500000000000001</v>
      </c>
      <c r="O1651" s="704">
        <v>112.68430370081342</v>
      </c>
      <c r="P1651" s="375" t="s">
        <v>622</v>
      </c>
      <c r="Q1651" s="372" t="s">
        <v>622</v>
      </c>
      <c r="R1651" s="696">
        <v>20131121</v>
      </c>
      <c r="S1651" s="372" t="s">
        <v>10881</v>
      </c>
      <c r="T1651" s="697">
        <v>0.20900000000000002</v>
      </c>
      <c r="U1651" s="372" t="s">
        <v>10882</v>
      </c>
      <c r="V1651" s="723">
        <v>16.5</v>
      </c>
      <c r="W1651" s="723">
        <v>0.78</v>
      </c>
      <c r="X1651" s="723">
        <v>0.5</v>
      </c>
      <c r="Y1651" s="723">
        <v>9.2200000000000006</v>
      </c>
      <c r="Z1651" s="382" t="s">
        <v>927</v>
      </c>
      <c r="AA1651" s="372">
        <v>2058.8174006999998</v>
      </c>
      <c r="AB1651" s="372">
        <v>1864.4426625999999</v>
      </c>
      <c r="AC1651" s="372">
        <v>2094.0382808999998</v>
      </c>
      <c r="AD1651" s="372">
        <v>1934.1965471999999</v>
      </c>
      <c r="AE1651" s="372">
        <v>0</v>
      </c>
      <c r="AF1651" s="372">
        <v>0</v>
      </c>
      <c r="AG1651" s="372">
        <v>0</v>
      </c>
      <c r="AH1651" s="372">
        <v>0</v>
      </c>
    </row>
    <row r="1652" spans="1:34">
      <c r="A1652" s="372" t="s">
        <v>10883</v>
      </c>
      <c r="B1652" s="373" t="s">
        <v>10884</v>
      </c>
      <c r="C1652" s="372" t="s">
        <v>10885</v>
      </c>
      <c r="D1652" s="374">
        <v>1101110998124</v>
      </c>
      <c r="E1652" s="372" t="s">
        <v>10886</v>
      </c>
      <c r="F1652" s="375" t="s">
        <v>845</v>
      </c>
      <c r="G1652" s="375" t="s">
        <v>845</v>
      </c>
      <c r="H1652" s="375" t="s">
        <v>3099</v>
      </c>
      <c r="I1652" s="375" t="s">
        <v>862</v>
      </c>
      <c r="J1652" s="375">
        <v>82093.027979999999</v>
      </c>
      <c r="K1652" s="375">
        <v>737.12611000000004</v>
      </c>
      <c r="L1652" s="375">
        <v>-2614.53071</v>
      </c>
      <c r="M1652" s="375">
        <v>84883.948839999997</v>
      </c>
      <c r="N1652" s="372">
        <v>0.78700000000000003</v>
      </c>
      <c r="O1652" s="704">
        <v>2.8872045280455132</v>
      </c>
      <c r="P1652" s="375" t="s">
        <v>622</v>
      </c>
      <c r="Q1652" s="375" t="s">
        <v>622</v>
      </c>
      <c r="R1652" s="696">
        <v>20051025</v>
      </c>
      <c r="S1652" s="375" t="s">
        <v>10887</v>
      </c>
      <c r="T1652" s="697" t="s">
        <v>771</v>
      </c>
      <c r="U1652" s="372" t="s">
        <v>10888</v>
      </c>
      <c r="V1652" s="723">
        <v>33.799999999999997</v>
      </c>
      <c r="W1652" s="723">
        <v>0.77</v>
      </c>
      <c r="X1652" s="723">
        <v>0.83</v>
      </c>
      <c r="Y1652" s="723" t="s">
        <v>773</v>
      </c>
      <c r="Z1652" s="382" t="s">
        <v>927</v>
      </c>
      <c r="AA1652" s="372">
        <v>650.85175979999997</v>
      </c>
      <c r="AB1652" s="372">
        <v>805.38785010000004</v>
      </c>
      <c r="AC1652" s="372">
        <v>1047.0836013999999</v>
      </c>
      <c r="AD1652" s="372">
        <v>895.69472299999995</v>
      </c>
      <c r="AE1652" s="372">
        <v>0</v>
      </c>
      <c r="AF1652" s="372">
        <v>0</v>
      </c>
      <c r="AG1652" s="372">
        <v>0</v>
      </c>
      <c r="AH1652" s="372">
        <v>0</v>
      </c>
    </row>
    <row r="1653" spans="1:34">
      <c r="A1653" s="372" t="s">
        <v>10889</v>
      </c>
      <c r="B1653" s="373" t="s">
        <v>10890</v>
      </c>
      <c r="C1653" s="372" t="s">
        <v>10891</v>
      </c>
      <c r="D1653" s="374">
        <v>1101115972652</v>
      </c>
      <c r="E1653" s="372" t="s">
        <v>10892</v>
      </c>
      <c r="F1653" s="375" t="s">
        <v>1275</v>
      </c>
      <c r="G1653" s="375" t="s">
        <v>1275</v>
      </c>
      <c r="H1653" s="375" t="s">
        <v>861</v>
      </c>
      <c r="I1653" s="375" t="s">
        <v>862</v>
      </c>
      <c r="J1653" s="375">
        <v>43285.537270000001</v>
      </c>
      <c r="K1653" s="375">
        <v>-7432.7818600000001</v>
      </c>
      <c r="L1653" s="375">
        <v>-10095.22899</v>
      </c>
      <c r="M1653" s="375">
        <v>15208.125179999999</v>
      </c>
      <c r="N1653" s="372" t="s">
        <v>1026</v>
      </c>
      <c r="O1653" s="704">
        <v>53.205094341539116</v>
      </c>
      <c r="P1653" s="375" t="s">
        <v>622</v>
      </c>
      <c r="Q1653" s="372" t="s">
        <v>622</v>
      </c>
      <c r="R1653" s="696">
        <v>20231201</v>
      </c>
      <c r="S1653" s="372" t="s">
        <v>10893</v>
      </c>
      <c r="T1653" s="697" t="s">
        <v>771</v>
      </c>
      <c r="U1653" s="372" t="s">
        <v>10894</v>
      </c>
      <c r="V1653" s="723" t="s">
        <v>773</v>
      </c>
      <c r="W1653" s="723">
        <v>4.4800000000000004</v>
      </c>
      <c r="X1653" s="723">
        <v>1.34</v>
      </c>
      <c r="Y1653" s="723" t="s">
        <v>773</v>
      </c>
      <c r="Z1653" s="382" t="s">
        <v>927</v>
      </c>
      <c r="AA1653" s="372">
        <v>234.55791009999999</v>
      </c>
      <c r="AB1653" s="372">
        <v>558.09022170000003</v>
      </c>
      <c r="AC1653" s="372">
        <v>536.33878230000005</v>
      </c>
      <c r="AD1653" s="372">
        <v>479.71262130000002</v>
      </c>
      <c r="AE1653" s="372">
        <v>0</v>
      </c>
      <c r="AF1653" s="372">
        <v>0</v>
      </c>
      <c r="AG1653" s="372">
        <v>0</v>
      </c>
      <c r="AH1653" s="372">
        <v>0</v>
      </c>
    </row>
    <row r="1654" spans="1:34">
      <c r="A1654" s="372" t="s">
        <v>10895</v>
      </c>
      <c r="B1654" s="373" t="s">
        <v>10896</v>
      </c>
      <c r="C1654" s="372" t="s">
        <v>10897</v>
      </c>
      <c r="D1654" s="374">
        <v>1358110127754</v>
      </c>
      <c r="E1654" s="372" t="s">
        <v>10898</v>
      </c>
      <c r="F1654" s="375" t="s">
        <v>2222</v>
      </c>
      <c r="G1654" s="375" t="s">
        <v>2222</v>
      </c>
      <c r="H1654" s="375" t="s">
        <v>861</v>
      </c>
      <c r="I1654" s="375" t="s">
        <v>862</v>
      </c>
      <c r="J1654" s="375">
        <v>66832.480729999996</v>
      </c>
      <c r="K1654" s="375">
        <v>-22537.233199999999</v>
      </c>
      <c r="L1654" s="375">
        <v>-23023.778610000001</v>
      </c>
      <c r="M1654" s="375">
        <v>61113.527049999997</v>
      </c>
      <c r="N1654" s="372">
        <v>0.55400000000000005</v>
      </c>
      <c r="O1654" s="704">
        <v>44.166452784234487</v>
      </c>
      <c r="P1654" s="375" t="s">
        <v>622</v>
      </c>
      <c r="Q1654" s="375" t="s">
        <v>622</v>
      </c>
      <c r="R1654" s="696">
        <v>20210928</v>
      </c>
      <c r="S1654" s="375" t="s">
        <v>10899</v>
      </c>
      <c r="T1654" s="697" t="s">
        <v>771</v>
      </c>
      <c r="U1654" s="372" t="s">
        <v>15926</v>
      </c>
      <c r="V1654" s="723" t="s">
        <v>773</v>
      </c>
      <c r="W1654" s="723">
        <v>1.05</v>
      </c>
      <c r="X1654" s="723">
        <v>0.98</v>
      </c>
      <c r="Y1654" s="723" t="s">
        <v>773</v>
      </c>
      <c r="Z1654" s="382" t="s">
        <v>927</v>
      </c>
      <c r="AA1654" s="372">
        <v>1080.4458056000001</v>
      </c>
      <c r="AB1654" s="372">
        <v>1351.0327242000001</v>
      </c>
      <c r="AC1654" s="372">
        <v>993.3039589</v>
      </c>
      <c r="AD1654" s="372">
        <v>667.23974520000002</v>
      </c>
      <c r="AE1654" s="372">
        <v>1297</v>
      </c>
      <c r="AF1654" s="372">
        <v>0</v>
      </c>
      <c r="AG1654" s="372">
        <v>0</v>
      </c>
      <c r="AH1654" s="372">
        <v>0</v>
      </c>
    </row>
    <row r="1655" spans="1:34">
      <c r="A1655" s="372" t="s">
        <v>10900</v>
      </c>
      <c r="B1655" s="373" t="s">
        <v>10901</v>
      </c>
      <c r="C1655" s="372" t="s">
        <v>10902</v>
      </c>
      <c r="D1655" s="374">
        <v>1101116859099</v>
      </c>
      <c r="E1655" s="372" t="s">
        <v>10903</v>
      </c>
      <c r="F1655" s="372" t="s">
        <v>10904</v>
      </c>
      <c r="G1655" s="375" t="s">
        <v>10904</v>
      </c>
      <c r="H1655" s="375" t="s">
        <v>861</v>
      </c>
      <c r="I1655" s="375" t="s">
        <v>862</v>
      </c>
      <c r="J1655" s="375">
        <v>74194.101219999997</v>
      </c>
      <c r="K1655" s="375">
        <v>-6674.0394100000003</v>
      </c>
      <c r="L1655" s="375">
        <v>-5939.3362699999998</v>
      </c>
      <c r="M1655" s="375">
        <v>20183.550309999999</v>
      </c>
      <c r="N1655" s="372">
        <v>0.88</v>
      </c>
      <c r="O1655" s="704">
        <v>99.861800962048946</v>
      </c>
      <c r="P1655" s="375" t="s">
        <v>622</v>
      </c>
      <c r="Q1655" s="372" t="s">
        <v>622</v>
      </c>
      <c r="R1655" s="696">
        <v>20181221</v>
      </c>
      <c r="S1655" s="372" t="s">
        <v>10905</v>
      </c>
      <c r="T1655" s="697" t="s">
        <v>771</v>
      </c>
      <c r="U1655" s="372" t="s">
        <v>10906</v>
      </c>
      <c r="V1655" s="723" t="s">
        <v>773</v>
      </c>
      <c r="W1655" s="723">
        <v>6.41</v>
      </c>
      <c r="X1655" s="723">
        <v>1.2</v>
      </c>
      <c r="Y1655" s="723" t="s">
        <v>773</v>
      </c>
      <c r="Z1655" s="382" t="s">
        <v>927</v>
      </c>
      <c r="AA1655" s="372">
        <v>175.52541650000001</v>
      </c>
      <c r="AB1655" s="372">
        <v>486.34791589999998</v>
      </c>
      <c r="AC1655" s="372">
        <v>491.64956230000001</v>
      </c>
      <c r="AD1655" s="372">
        <v>390.78135179999998</v>
      </c>
      <c r="AE1655" s="372">
        <v>0</v>
      </c>
      <c r="AF1655" s="372">
        <v>0</v>
      </c>
      <c r="AG1655" s="372">
        <v>0</v>
      </c>
      <c r="AH1655" s="372">
        <v>0</v>
      </c>
    </row>
    <row r="1656" spans="1:34">
      <c r="A1656" s="372" t="s">
        <v>10907</v>
      </c>
      <c r="B1656" s="373" t="s">
        <v>10908</v>
      </c>
      <c r="C1656" s="372" t="s">
        <v>10909</v>
      </c>
      <c r="D1656" s="374">
        <v>1545110045488</v>
      </c>
      <c r="E1656" s="372" t="s">
        <v>10910</v>
      </c>
      <c r="F1656" s="372" t="s">
        <v>2511</v>
      </c>
      <c r="G1656" s="375" t="s">
        <v>2511</v>
      </c>
      <c r="H1656" s="375" t="s">
        <v>861</v>
      </c>
      <c r="I1656" s="375" t="s">
        <v>862</v>
      </c>
      <c r="J1656" s="375">
        <v>50092.242030000001</v>
      </c>
      <c r="K1656" s="375">
        <v>-5598.9662500000004</v>
      </c>
      <c r="L1656" s="375">
        <v>-17138.523430000001</v>
      </c>
      <c r="M1656" s="375">
        <v>110784.25328</v>
      </c>
      <c r="N1656" s="372">
        <v>0.874</v>
      </c>
      <c r="O1656" s="704">
        <v>8.2041360710280209</v>
      </c>
      <c r="P1656" s="375" t="s">
        <v>622</v>
      </c>
      <c r="Q1656" s="372" t="s">
        <v>622</v>
      </c>
      <c r="R1656" s="696">
        <v>20161012</v>
      </c>
      <c r="S1656" s="375" t="s">
        <v>10911</v>
      </c>
      <c r="T1656" s="697" t="s">
        <v>771</v>
      </c>
      <c r="U1656" s="372" t="s">
        <v>10912</v>
      </c>
      <c r="V1656" s="723" t="s">
        <v>773</v>
      </c>
      <c r="W1656" s="723">
        <v>0.96</v>
      </c>
      <c r="X1656" s="723">
        <v>2.19</v>
      </c>
      <c r="Y1656" s="723" t="s">
        <v>773</v>
      </c>
      <c r="Z1656" s="382" t="s">
        <v>927</v>
      </c>
      <c r="AA1656" s="372">
        <v>627.53469299999995</v>
      </c>
      <c r="AB1656" s="372">
        <v>633.14538440000001</v>
      </c>
      <c r="AC1656" s="372">
        <v>893.15793389999999</v>
      </c>
      <c r="AD1656" s="372">
        <v>488.66901799999999</v>
      </c>
      <c r="AE1656" s="372">
        <v>0</v>
      </c>
      <c r="AF1656" s="372">
        <v>0</v>
      </c>
      <c r="AG1656" s="372">
        <v>0</v>
      </c>
      <c r="AH1656" s="372">
        <v>0</v>
      </c>
    </row>
    <row r="1657" spans="1:34">
      <c r="A1657" s="372" t="s">
        <v>10913</v>
      </c>
      <c r="B1657" s="373" t="s">
        <v>10914</v>
      </c>
      <c r="C1657" s="372" t="s">
        <v>10915</v>
      </c>
      <c r="D1657" s="374">
        <v>1701110007733</v>
      </c>
      <c r="E1657" s="372" t="s">
        <v>10916</v>
      </c>
      <c r="F1657" s="375" t="s">
        <v>9198</v>
      </c>
      <c r="G1657" s="375" t="s">
        <v>9199</v>
      </c>
      <c r="H1657" s="375" t="s">
        <v>861</v>
      </c>
      <c r="I1657" s="375" t="s">
        <v>862</v>
      </c>
      <c r="J1657" s="375">
        <v>658895.72294000001</v>
      </c>
      <c r="K1657" s="375">
        <v>12603.432559999999</v>
      </c>
      <c r="L1657" s="375">
        <v>3136.0299</v>
      </c>
      <c r="M1657" s="375">
        <v>138112.49562999999</v>
      </c>
      <c r="N1657" s="372">
        <v>1.038</v>
      </c>
      <c r="O1657" s="704">
        <v>270.10123007745563</v>
      </c>
      <c r="P1657" s="375" t="s">
        <v>622</v>
      </c>
      <c r="Q1657" s="372" t="s">
        <v>622</v>
      </c>
      <c r="R1657" s="696">
        <v>19941222</v>
      </c>
      <c r="S1657" s="372" t="s">
        <v>10917</v>
      </c>
      <c r="T1657" s="697">
        <v>0.20900000000000002</v>
      </c>
      <c r="U1657" s="372" t="s">
        <v>10918</v>
      </c>
      <c r="V1657" s="723">
        <v>6.6</v>
      </c>
      <c r="W1657" s="723">
        <v>0.65</v>
      </c>
      <c r="X1657" s="723">
        <v>0.13</v>
      </c>
      <c r="Y1657" s="723">
        <v>146.97999999999999</v>
      </c>
      <c r="Z1657" s="382" t="s">
        <v>927</v>
      </c>
      <c r="AA1657" s="372">
        <v>4864.2582233000003</v>
      </c>
      <c r="AB1657" s="372">
        <v>5636.6319781000002</v>
      </c>
      <c r="AC1657" s="372">
        <v>6155.7962681999998</v>
      </c>
      <c r="AD1657" s="372">
        <v>6672.5396381</v>
      </c>
      <c r="AE1657" s="372">
        <v>0</v>
      </c>
      <c r="AF1657" s="372">
        <v>0</v>
      </c>
      <c r="AG1657" s="372">
        <v>0</v>
      </c>
      <c r="AH1657" s="372">
        <v>0</v>
      </c>
    </row>
    <row r="1658" spans="1:34">
      <c r="A1658" s="372" t="s">
        <v>10919</v>
      </c>
      <c r="B1658" s="373" t="s">
        <v>10920</v>
      </c>
      <c r="C1658" s="372" t="s">
        <v>10921</v>
      </c>
      <c r="D1658" s="374">
        <v>1942110006090</v>
      </c>
      <c r="E1658" s="372" t="s">
        <v>10922</v>
      </c>
      <c r="F1658" s="375" t="s">
        <v>2089</v>
      </c>
      <c r="G1658" s="375" t="s">
        <v>2434</v>
      </c>
      <c r="H1658" s="375" t="s">
        <v>861</v>
      </c>
      <c r="I1658" s="375" t="s">
        <v>862</v>
      </c>
      <c r="J1658" s="375">
        <v>387599.56471000001</v>
      </c>
      <c r="K1658" s="375">
        <v>6170.7055200000004</v>
      </c>
      <c r="L1658" s="375">
        <v>5756.4607999999998</v>
      </c>
      <c r="M1658" s="375">
        <v>108201.75949</v>
      </c>
      <c r="N1658" s="372">
        <v>0.80500000000000005</v>
      </c>
      <c r="O1658" s="704">
        <v>38.467545874485573</v>
      </c>
      <c r="P1658" s="375" t="s">
        <v>622</v>
      </c>
      <c r="Q1658" s="372" t="s">
        <v>622</v>
      </c>
      <c r="R1658" s="696">
        <v>20000303</v>
      </c>
      <c r="S1658" s="372" t="s">
        <v>10923</v>
      </c>
      <c r="T1658" s="697">
        <v>0.20900000000000002</v>
      </c>
      <c r="U1658" s="372" t="s">
        <v>10924</v>
      </c>
      <c r="V1658" s="723">
        <v>0</v>
      </c>
      <c r="W1658" s="723">
        <v>0</v>
      </c>
      <c r="X1658" s="723">
        <v>0</v>
      </c>
      <c r="Y1658" s="723">
        <v>0</v>
      </c>
      <c r="Z1658" s="382" t="s">
        <v>927</v>
      </c>
      <c r="AA1658" s="372">
        <v>2975.2476360000001</v>
      </c>
      <c r="AB1658" s="372">
        <v>3422.9129090000001</v>
      </c>
      <c r="AC1658" s="372">
        <v>4153.1278453000004</v>
      </c>
      <c r="AD1658" s="372">
        <v>3903.0628891000001</v>
      </c>
      <c r="AE1658" s="372">
        <v>0</v>
      </c>
      <c r="AF1658" s="372">
        <v>0</v>
      </c>
      <c r="AG1658" s="372">
        <v>0</v>
      </c>
      <c r="AH1658" s="372">
        <v>0</v>
      </c>
    </row>
    <row r="1659" spans="1:34">
      <c r="A1659" s="372" t="s">
        <v>10925</v>
      </c>
      <c r="B1659" s="373" t="s">
        <v>10926</v>
      </c>
      <c r="C1659" s="372" t="s">
        <v>10927</v>
      </c>
      <c r="D1659" s="374">
        <v>1341110077704</v>
      </c>
      <c r="E1659" s="372" t="s">
        <v>10928</v>
      </c>
      <c r="F1659" s="375" t="s">
        <v>2222</v>
      </c>
      <c r="G1659" s="375" t="s">
        <v>2222</v>
      </c>
      <c r="H1659" s="375" t="s">
        <v>861</v>
      </c>
      <c r="I1659" s="375" t="s">
        <v>862</v>
      </c>
      <c r="J1659" s="375">
        <v>19695.410100000001</v>
      </c>
      <c r="K1659" s="375">
        <v>-7258.6122599999999</v>
      </c>
      <c r="L1659" s="375">
        <v>-5664.9187599999996</v>
      </c>
      <c r="M1659" s="375">
        <v>98614.073810000002</v>
      </c>
      <c r="N1659" s="372">
        <v>0.89400000000000002</v>
      </c>
      <c r="O1659" s="704">
        <v>0.58360249622993632</v>
      </c>
      <c r="P1659" s="375" t="s">
        <v>622</v>
      </c>
      <c r="Q1659" s="375" t="s">
        <v>622</v>
      </c>
      <c r="R1659" s="696">
        <v>20161028</v>
      </c>
      <c r="S1659" s="375" t="s">
        <v>10929</v>
      </c>
      <c r="T1659" s="697" t="s">
        <v>771</v>
      </c>
      <c r="U1659" s="372" t="s">
        <v>10930</v>
      </c>
      <c r="V1659" s="723" t="s">
        <v>773</v>
      </c>
      <c r="W1659" s="723">
        <v>0.97</v>
      </c>
      <c r="X1659" s="723">
        <v>5.26</v>
      </c>
      <c r="Y1659" s="723" t="s">
        <v>773</v>
      </c>
      <c r="Z1659" s="382" t="s">
        <v>927</v>
      </c>
      <c r="AA1659" s="372">
        <v>1430.3598457999999</v>
      </c>
      <c r="AB1659" s="372">
        <v>1043.7540409000001</v>
      </c>
      <c r="AC1659" s="372">
        <v>527.5820496</v>
      </c>
      <c r="AD1659" s="372">
        <v>255.8745701</v>
      </c>
      <c r="AE1659" s="372">
        <v>0</v>
      </c>
      <c r="AF1659" s="372">
        <v>0</v>
      </c>
      <c r="AG1659" s="372">
        <v>0</v>
      </c>
      <c r="AH1659" s="372">
        <v>0</v>
      </c>
    </row>
    <row r="1660" spans="1:34">
      <c r="A1660" s="372" t="s">
        <v>10931</v>
      </c>
      <c r="B1660" s="373" t="s">
        <v>10932</v>
      </c>
      <c r="C1660" s="372" t="s">
        <v>10933</v>
      </c>
      <c r="D1660" s="374">
        <v>1101110145860</v>
      </c>
      <c r="E1660" s="372" t="s">
        <v>10934</v>
      </c>
      <c r="F1660" s="375" t="s">
        <v>1276</v>
      </c>
      <c r="G1660" s="375" t="s">
        <v>1718</v>
      </c>
      <c r="H1660" s="375" t="s">
        <v>861</v>
      </c>
      <c r="I1660" s="375" t="s">
        <v>862</v>
      </c>
      <c r="J1660" s="375">
        <v>243341.15659</v>
      </c>
      <c r="K1660" s="375">
        <v>35910.09274</v>
      </c>
      <c r="L1660" s="375">
        <v>33455.314749999998</v>
      </c>
      <c r="M1660" s="375">
        <v>142355.57074</v>
      </c>
      <c r="N1660" s="372">
        <v>0.79200000000000004</v>
      </c>
      <c r="O1660" s="704">
        <v>132.01658517231095</v>
      </c>
      <c r="P1660" s="375" t="s">
        <v>622</v>
      </c>
      <c r="Q1660" s="372" t="s">
        <v>622</v>
      </c>
      <c r="R1660" s="696">
        <v>20011127</v>
      </c>
      <c r="S1660" s="372" t="s">
        <v>10935</v>
      </c>
      <c r="T1660" s="697">
        <v>0.23100000000000001</v>
      </c>
      <c r="U1660" s="372" t="s">
        <v>10936</v>
      </c>
      <c r="V1660" s="723">
        <v>4.1900000000000004</v>
      </c>
      <c r="W1660" s="723">
        <v>0.69</v>
      </c>
      <c r="X1660" s="723">
        <v>0.4</v>
      </c>
      <c r="Y1660" s="723">
        <v>3.59</v>
      </c>
      <c r="Z1660" s="382" t="s">
        <v>927</v>
      </c>
      <c r="AA1660" s="372">
        <v>1071.9478598000001</v>
      </c>
      <c r="AB1660" s="372">
        <v>1332.1750661999999</v>
      </c>
      <c r="AC1660" s="372">
        <v>1535.7564926</v>
      </c>
      <c r="AD1660" s="372">
        <v>2080.6147901999998</v>
      </c>
      <c r="AE1660" s="372">
        <v>0</v>
      </c>
      <c r="AF1660" s="372">
        <v>0</v>
      </c>
      <c r="AG1660" s="372">
        <v>0</v>
      </c>
      <c r="AH1660" s="372">
        <v>0</v>
      </c>
    </row>
    <row r="1661" spans="1:34">
      <c r="A1661" s="372" t="s">
        <v>10937</v>
      </c>
      <c r="B1661" s="373" t="s">
        <v>10938</v>
      </c>
      <c r="C1661" s="372" t="s">
        <v>10939</v>
      </c>
      <c r="D1661" s="374">
        <v>1801110121507</v>
      </c>
      <c r="E1661" s="372" t="s">
        <v>10940</v>
      </c>
      <c r="F1661" s="375" t="s">
        <v>7044</v>
      </c>
      <c r="G1661" s="375" t="s">
        <v>8267</v>
      </c>
      <c r="H1661" s="375" t="s">
        <v>861</v>
      </c>
      <c r="I1661" s="375" t="s">
        <v>862</v>
      </c>
      <c r="J1661" s="375">
        <v>97663.672200000001</v>
      </c>
      <c r="K1661" s="375">
        <v>529.34590000000003</v>
      </c>
      <c r="L1661" s="375">
        <v>-1607.07583</v>
      </c>
      <c r="M1661" s="375">
        <v>129547.96348000001</v>
      </c>
      <c r="N1661" s="372">
        <v>0.747</v>
      </c>
      <c r="O1661" s="704">
        <v>48.34922755706512</v>
      </c>
      <c r="P1661" s="375" t="s">
        <v>622</v>
      </c>
      <c r="Q1661" s="375" t="s">
        <v>622</v>
      </c>
      <c r="R1661" s="696">
        <v>20101112</v>
      </c>
      <c r="S1661" s="375" t="s">
        <v>10941</v>
      </c>
      <c r="T1661" s="697" t="s">
        <v>771</v>
      </c>
      <c r="U1661" s="372" t="s">
        <v>10942</v>
      </c>
      <c r="V1661" s="723">
        <v>24.05</v>
      </c>
      <c r="W1661" s="723">
        <v>0.64</v>
      </c>
      <c r="X1661" s="723">
        <v>0.85</v>
      </c>
      <c r="Y1661" s="723" t="s">
        <v>773</v>
      </c>
      <c r="Z1661" s="382" t="s">
        <v>927</v>
      </c>
      <c r="AA1661" s="372">
        <v>711.90955350000002</v>
      </c>
      <c r="AB1661" s="372">
        <v>855.47048240000004</v>
      </c>
      <c r="AC1661" s="372">
        <v>1099.3820310000001</v>
      </c>
      <c r="AD1661" s="372">
        <v>1114.4939156</v>
      </c>
      <c r="AE1661" s="372">
        <v>1311</v>
      </c>
      <c r="AF1661" s="372">
        <v>0</v>
      </c>
      <c r="AG1661" s="372">
        <v>0</v>
      </c>
      <c r="AH1661" s="372">
        <v>0</v>
      </c>
    </row>
    <row r="1662" spans="1:34">
      <c r="A1662" s="372" t="s">
        <v>10943</v>
      </c>
      <c r="B1662" s="373" t="s">
        <v>10944</v>
      </c>
      <c r="C1662" s="372" t="s">
        <v>10945</v>
      </c>
      <c r="D1662" s="374">
        <v>1101110190340</v>
      </c>
      <c r="E1662" s="372" t="s">
        <v>10946</v>
      </c>
      <c r="F1662" s="375" t="s">
        <v>6235</v>
      </c>
      <c r="G1662" s="375" t="s">
        <v>10947</v>
      </c>
      <c r="H1662" s="375" t="s">
        <v>1386</v>
      </c>
      <c r="I1662" s="375" t="s">
        <v>754</v>
      </c>
      <c r="J1662" s="375">
        <v>392244.78233999998</v>
      </c>
      <c r="K1662" s="375">
        <v>330.10831999999999</v>
      </c>
      <c r="L1662" s="375">
        <v>8058.9012899999998</v>
      </c>
      <c r="M1662" s="375">
        <v>228235.37195999999</v>
      </c>
      <c r="N1662" s="372">
        <v>0.58599999999999997</v>
      </c>
      <c r="O1662" s="704">
        <v>14.508774896596519</v>
      </c>
      <c r="P1662" s="375" t="s">
        <v>622</v>
      </c>
      <c r="Q1662" s="372" t="s">
        <v>622</v>
      </c>
      <c r="R1662" s="696">
        <v>20020712</v>
      </c>
      <c r="S1662" s="372" t="s">
        <v>10948</v>
      </c>
      <c r="T1662" s="697">
        <v>0.20900000000000002</v>
      </c>
      <c r="U1662" s="372" t="s">
        <v>10949</v>
      </c>
      <c r="V1662" s="723">
        <v>35.43</v>
      </c>
      <c r="W1662" s="723">
        <v>0.34</v>
      </c>
      <c r="X1662" s="723">
        <v>0.21</v>
      </c>
      <c r="Y1662" s="723">
        <v>12.84</v>
      </c>
      <c r="Z1662" s="382" t="s">
        <v>927</v>
      </c>
      <c r="AA1662" s="372">
        <v>3633.7954743999999</v>
      </c>
      <c r="AB1662" s="372">
        <v>3172.5907060999998</v>
      </c>
      <c r="AC1662" s="372">
        <v>3075.2211416999999</v>
      </c>
      <c r="AD1662" s="372">
        <v>3619.1714142999999</v>
      </c>
      <c r="AE1662" s="372">
        <v>0</v>
      </c>
      <c r="AF1662" s="372">
        <v>0</v>
      </c>
      <c r="AG1662" s="372">
        <v>0</v>
      </c>
      <c r="AH1662" s="372">
        <v>0</v>
      </c>
    </row>
    <row r="1663" spans="1:34">
      <c r="A1663" s="372" t="s">
        <v>10950</v>
      </c>
      <c r="B1663" s="373" t="s">
        <v>10951</v>
      </c>
      <c r="C1663" s="372" t="s">
        <v>10952</v>
      </c>
      <c r="D1663" s="374">
        <v>1244110011884</v>
      </c>
      <c r="E1663" s="372" t="s">
        <v>10953</v>
      </c>
      <c r="F1663" s="375" t="s">
        <v>1096</v>
      </c>
      <c r="G1663" s="375" t="s">
        <v>5854</v>
      </c>
      <c r="H1663" s="375" t="s">
        <v>861</v>
      </c>
      <c r="I1663" s="375" t="s">
        <v>862</v>
      </c>
      <c r="J1663" s="375">
        <v>109319.48161</v>
      </c>
      <c r="K1663" s="375">
        <v>15275.2284</v>
      </c>
      <c r="L1663" s="375">
        <v>16451.809740000001</v>
      </c>
      <c r="M1663" s="375">
        <v>115263.53835</v>
      </c>
      <c r="N1663" s="372">
        <v>0.62</v>
      </c>
      <c r="O1663" s="704">
        <v>1.398284338115783</v>
      </c>
      <c r="P1663" s="375" t="s">
        <v>622</v>
      </c>
      <c r="Q1663" s="372" t="s">
        <v>622</v>
      </c>
      <c r="R1663" s="696">
        <v>20001229</v>
      </c>
      <c r="S1663" s="372" t="s">
        <v>10954</v>
      </c>
      <c r="T1663" s="697">
        <v>0.20900000000000002</v>
      </c>
      <c r="U1663" s="372" t="s">
        <v>10955</v>
      </c>
      <c r="V1663" s="723">
        <v>0</v>
      </c>
      <c r="W1663" s="723">
        <v>0</v>
      </c>
      <c r="X1663" s="723">
        <v>0</v>
      </c>
      <c r="Y1663" s="723">
        <v>0</v>
      </c>
      <c r="Z1663" s="382" t="s">
        <v>927</v>
      </c>
      <c r="AA1663" s="372">
        <v>732.51256890000002</v>
      </c>
      <c r="AB1663" s="372">
        <v>815.01152539999998</v>
      </c>
      <c r="AC1663" s="372">
        <v>1096.0502722000001</v>
      </c>
      <c r="AD1663" s="372">
        <v>1099.461076</v>
      </c>
      <c r="AE1663" s="372">
        <v>0</v>
      </c>
      <c r="AF1663" s="372">
        <v>0</v>
      </c>
      <c r="AG1663" s="372">
        <v>0</v>
      </c>
      <c r="AH1663" s="372">
        <v>0</v>
      </c>
    </row>
    <row r="1664" spans="1:34">
      <c r="A1664" s="372" t="s">
        <v>10956</v>
      </c>
      <c r="B1664" s="373" t="s">
        <v>10957</v>
      </c>
      <c r="C1664" s="372" t="s">
        <v>10958</v>
      </c>
      <c r="D1664" s="374">
        <v>1350110036315</v>
      </c>
      <c r="E1664" s="372" t="s">
        <v>10959</v>
      </c>
      <c r="F1664" s="375" t="s">
        <v>1177</v>
      </c>
      <c r="G1664" s="375" t="s">
        <v>1178</v>
      </c>
      <c r="H1664" s="375" t="s">
        <v>861</v>
      </c>
      <c r="I1664" s="375" t="s">
        <v>862</v>
      </c>
      <c r="J1664" s="375">
        <v>718333.52677999996</v>
      </c>
      <c r="K1664" s="375">
        <v>4791.7816599999996</v>
      </c>
      <c r="L1664" s="375">
        <v>-4575.1026599999996</v>
      </c>
      <c r="M1664" s="375">
        <v>219654.68264000001</v>
      </c>
      <c r="N1664" s="372">
        <v>0.6</v>
      </c>
      <c r="O1664" s="704">
        <v>278.67405854508303</v>
      </c>
      <c r="P1664" s="375" t="s">
        <v>622</v>
      </c>
      <c r="Q1664" s="372" t="s">
        <v>622</v>
      </c>
      <c r="R1664" s="696">
        <v>19991211</v>
      </c>
      <c r="S1664" s="372" t="s">
        <v>10960</v>
      </c>
      <c r="T1664" s="697" t="s">
        <v>771</v>
      </c>
      <c r="U1664" s="372" t="s">
        <v>10961</v>
      </c>
      <c r="V1664" s="723">
        <v>6.03</v>
      </c>
      <c r="W1664" s="723">
        <v>0.35</v>
      </c>
      <c r="X1664" s="723">
        <v>0.1</v>
      </c>
      <c r="Y1664" s="723">
        <v>84.56</v>
      </c>
      <c r="Z1664" s="382" t="s">
        <v>927</v>
      </c>
      <c r="AA1664" s="372">
        <v>5966.1268200000004</v>
      </c>
      <c r="AB1664" s="372">
        <v>6172.0405308999998</v>
      </c>
      <c r="AC1664" s="372">
        <v>7009.5562790000004</v>
      </c>
      <c r="AD1664" s="372">
        <v>6872.6908063999999</v>
      </c>
      <c r="AE1664" s="372">
        <v>0</v>
      </c>
      <c r="AF1664" s="372">
        <v>0</v>
      </c>
      <c r="AG1664" s="372">
        <v>0</v>
      </c>
      <c r="AH1664" s="372">
        <v>0</v>
      </c>
    </row>
    <row r="1665" spans="1:34">
      <c r="A1665" s="372" t="s">
        <v>10962</v>
      </c>
      <c r="B1665" s="373" t="s">
        <v>10963</v>
      </c>
      <c r="C1665" s="372" t="s">
        <v>10964</v>
      </c>
      <c r="D1665" s="374">
        <v>1101110031560</v>
      </c>
      <c r="E1665" s="372" t="s">
        <v>10965</v>
      </c>
      <c r="F1665" s="375" t="s">
        <v>1262</v>
      </c>
      <c r="G1665" s="375" t="s">
        <v>1263</v>
      </c>
      <c r="H1665" s="375" t="s">
        <v>1264</v>
      </c>
      <c r="I1665" s="375" t="s">
        <v>754</v>
      </c>
      <c r="J1665" s="375">
        <v>0</v>
      </c>
      <c r="K1665" s="375">
        <v>0</v>
      </c>
      <c r="L1665" s="375">
        <v>0</v>
      </c>
      <c r="M1665" s="375">
        <v>0</v>
      </c>
      <c r="N1665" s="372">
        <v>0.55700000000000005</v>
      </c>
      <c r="O1665" s="704" t="s">
        <v>16301</v>
      </c>
      <c r="P1665" s="375" t="s">
        <v>622</v>
      </c>
      <c r="Q1665" s="375" t="s">
        <v>622</v>
      </c>
      <c r="R1665" s="696">
        <v>19880923</v>
      </c>
      <c r="S1665" s="375" t="s">
        <v>10966</v>
      </c>
      <c r="T1665" s="697" t="s">
        <v>771</v>
      </c>
      <c r="U1665" s="375" t="s">
        <v>10967</v>
      </c>
      <c r="V1665" s="723">
        <v>0</v>
      </c>
      <c r="W1665" s="723">
        <v>0</v>
      </c>
      <c r="X1665" s="723">
        <v>0</v>
      </c>
      <c r="Y1665" s="723">
        <v>0</v>
      </c>
      <c r="Z1665" s="382" t="s">
        <v>927</v>
      </c>
      <c r="AA1665" s="372">
        <v>267.29402820000001</v>
      </c>
      <c r="AB1665" s="372">
        <v>398.95553389999998</v>
      </c>
      <c r="AC1665" s="372">
        <v>321.99088920000003</v>
      </c>
      <c r="AD1665" s="372">
        <v>541.45162500000004</v>
      </c>
      <c r="AE1665" s="372">
        <v>0</v>
      </c>
      <c r="AF1665" s="372">
        <v>0</v>
      </c>
      <c r="AG1665" s="372">
        <v>0</v>
      </c>
      <c r="AH1665" s="372">
        <v>0</v>
      </c>
    </row>
    <row r="1666" spans="1:34">
      <c r="A1666" s="372" t="s">
        <v>10968</v>
      </c>
      <c r="B1666" s="373" t="s">
        <v>10969</v>
      </c>
      <c r="C1666" s="372" t="s">
        <v>10970</v>
      </c>
      <c r="D1666" s="374">
        <v>1350110089265</v>
      </c>
      <c r="E1666" s="372" t="s">
        <v>10971</v>
      </c>
      <c r="F1666" s="375" t="s">
        <v>9168</v>
      </c>
      <c r="G1666" s="375" t="s">
        <v>9168</v>
      </c>
      <c r="H1666" s="375" t="s">
        <v>861</v>
      </c>
      <c r="I1666" s="375" t="s">
        <v>862</v>
      </c>
      <c r="J1666" s="375">
        <v>60480.006220000003</v>
      </c>
      <c r="K1666" s="375">
        <v>8780.2430499999991</v>
      </c>
      <c r="L1666" s="375">
        <v>9143.2296299999998</v>
      </c>
      <c r="M1666" s="375">
        <v>42495.514799999997</v>
      </c>
      <c r="N1666" s="372" t="s">
        <v>1026</v>
      </c>
      <c r="O1666" s="704">
        <v>3.1429278141530292</v>
      </c>
      <c r="P1666" s="375" t="s">
        <v>622</v>
      </c>
      <c r="Q1666" s="372" t="s">
        <v>622</v>
      </c>
      <c r="R1666" s="696">
        <v>20230810</v>
      </c>
      <c r="S1666" s="375" t="s">
        <v>10972</v>
      </c>
      <c r="T1666" s="697">
        <v>0.20900000000000002</v>
      </c>
      <c r="U1666" s="372" t="s">
        <v>10973</v>
      </c>
      <c r="V1666" s="723">
        <v>0</v>
      </c>
      <c r="W1666" s="723">
        <v>0</v>
      </c>
      <c r="X1666" s="723">
        <v>0</v>
      </c>
      <c r="Y1666" s="723">
        <v>0</v>
      </c>
      <c r="Z1666" s="382" t="s">
        <v>927</v>
      </c>
      <c r="AA1666" s="372">
        <v>247.39845</v>
      </c>
      <c r="AB1666" s="372">
        <v>318.98973539999997</v>
      </c>
      <c r="AC1666" s="372">
        <v>418.3550237</v>
      </c>
      <c r="AD1666" s="372">
        <v>512.99936149999996</v>
      </c>
      <c r="AE1666" s="372">
        <v>0</v>
      </c>
      <c r="AF1666" s="372">
        <v>0</v>
      </c>
      <c r="AG1666" s="372">
        <v>0</v>
      </c>
      <c r="AH1666" s="372">
        <v>0</v>
      </c>
    </row>
    <row r="1667" spans="1:34">
      <c r="A1667" s="372" t="s">
        <v>10974</v>
      </c>
      <c r="B1667" s="373" t="s">
        <v>10975</v>
      </c>
      <c r="C1667" s="372" t="s">
        <v>10976</v>
      </c>
      <c r="D1667" s="374">
        <v>1101110809595</v>
      </c>
      <c r="E1667" s="372" t="s">
        <v>10977</v>
      </c>
      <c r="F1667" s="375" t="s">
        <v>3316</v>
      </c>
      <c r="G1667" s="375" t="s">
        <v>3316</v>
      </c>
      <c r="H1667" s="375" t="s">
        <v>1531</v>
      </c>
      <c r="I1667" s="375" t="s">
        <v>862</v>
      </c>
      <c r="J1667" s="375">
        <v>46756.597800000003</v>
      </c>
      <c r="K1667" s="375">
        <v>657.72393999999997</v>
      </c>
      <c r="L1667" s="375">
        <v>1214.72315</v>
      </c>
      <c r="M1667" s="375">
        <v>60117.283730000003</v>
      </c>
      <c r="N1667" s="372">
        <v>0.68600000000000005</v>
      </c>
      <c r="O1667" s="704">
        <v>1.5056400819689528</v>
      </c>
      <c r="P1667" s="375" t="s">
        <v>622</v>
      </c>
      <c r="Q1667" s="372" t="s">
        <v>622</v>
      </c>
      <c r="R1667" s="696">
        <v>20010109</v>
      </c>
      <c r="S1667" s="372" t="s">
        <v>16307</v>
      </c>
      <c r="T1667" s="697">
        <v>0.20900000000000002</v>
      </c>
      <c r="U1667" s="372" t="s">
        <v>10978</v>
      </c>
      <c r="V1667" s="723">
        <v>41.17</v>
      </c>
      <c r="W1667" s="723">
        <v>0.96</v>
      </c>
      <c r="X1667" s="723">
        <v>1.33</v>
      </c>
      <c r="Y1667" s="723">
        <v>188.26</v>
      </c>
      <c r="Z1667" s="382" t="s">
        <v>927</v>
      </c>
      <c r="AA1667" s="372">
        <v>292.96600230000001</v>
      </c>
      <c r="AB1667" s="372">
        <v>329.24849510000001</v>
      </c>
      <c r="AC1667" s="372">
        <v>823.11425329999997</v>
      </c>
      <c r="AD1667" s="372">
        <v>623.68852030000005</v>
      </c>
      <c r="AE1667" s="372">
        <v>468</v>
      </c>
      <c r="AF1667" s="372">
        <v>350</v>
      </c>
      <c r="AG1667" s="372">
        <v>0</v>
      </c>
      <c r="AH1667" s="372">
        <v>0</v>
      </c>
    </row>
    <row r="1668" spans="1:34">
      <c r="A1668" s="372" t="s">
        <v>10979</v>
      </c>
      <c r="B1668" s="373" t="s">
        <v>10980</v>
      </c>
      <c r="C1668" s="372" t="s">
        <v>10981</v>
      </c>
      <c r="D1668" s="374">
        <v>1801110043610</v>
      </c>
      <c r="E1668" s="372" t="s">
        <v>10982</v>
      </c>
      <c r="F1668" s="375" t="s">
        <v>10983</v>
      </c>
      <c r="G1668" s="375" t="s">
        <v>10983</v>
      </c>
      <c r="H1668" s="375" t="s">
        <v>826</v>
      </c>
      <c r="I1668" s="375" t="s">
        <v>754</v>
      </c>
      <c r="J1668" s="375">
        <v>85387.793820000006</v>
      </c>
      <c r="K1668" s="375">
        <v>7840.9081100000003</v>
      </c>
      <c r="L1668" s="375">
        <v>12653.358270000001</v>
      </c>
      <c r="M1668" s="375">
        <v>62435.207620000001</v>
      </c>
      <c r="N1668" s="372">
        <v>0.749</v>
      </c>
      <c r="O1668" s="704">
        <v>19.166551364042935</v>
      </c>
      <c r="P1668" s="375" t="s">
        <v>622</v>
      </c>
      <c r="Q1668" s="372" t="s">
        <v>622</v>
      </c>
      <c r="R1668" s="696">
        <v>19730626</v>
      </c>
      <c r="S1668" s="372" t="s">
        <v>10984</v>
      </c>
      <c r="T1668" s="697">
        <v>0.20900000000000002</v>
      </c>
      <c r="U1668" s="372" t="s">
        <v>10985</v>
      </c>
      <c r="V1668" s="723">
        <v>8.35</v>
      </c>
      <c r="W1668" s="723">
        <v>1.39</v>
      </c>
      <c r="X1668" s="723">
        <v>1.02</v>
      </c>
      <c r="Y1668" s="723">
        <v>7.75</v>
      </c>
      <c r="Z1668" s="382" t="s">
        <v>927</v>
      </c>
      <c r="AA1668" s="372">
        <v>643.14340749999997</v>
      </c>
      <c r="AB1668" s="372">
        <v>763.50428629999999</v>
      </c>
      <c r="AC1668" s="372">
        <v>836.73211019999997</v>
      </c>
      <c r="AD1668" s="372">
        <v>868.71531570000002</v>
      </c>
      <c r="AE1668" s="372">
        <v>0</v>
      </c>
      <c r="AF1668" s="372">
        <v>0</v>
      </c>
      <c r="AG1668" s="372">
        <v>0</v>
      </c>
      <c r="AH1668" s="372">
        <v>0</v>
      </c>
    </row>
    <row r="1669" spans="1:34">
      <c r="A1669" s="372" t="s">
        <v>10986</v>
      </c>
      <c r="B1669" s="373" t="s">
        <v>10987</v>
      </c>
      <c r="C1669" s="372" t="s">
        <v>10988</v>
      </c>
      <c r="D1669" s="374">
        <v>1350110111703</v>
      </c>
      <c r="E1669" s="372" t="s">
        <v>10989</v>
      </c>
      <c r="F1669" s="375" t="s">
        <v>1276</v>
      </c>
      <c r="G1669" s="375" t="s">
        <v>1452</v>
      </c>
      <c r="H1669" s="375" t="s">
        <v>861</v>
      </c>
      <c r="I1669" s="375" t="s">
        <v>862</v>
      </c>
      <c r="J1669" s="375">
        <v>14040.53801</v>
      </c>
      <c r="K1669" s="375">
        <v>-5473.9843499999997</v>
      </c>
      <c r="L1669" s="375">
        <v>-8677.34087</v>
      </c>
      <c r="M1669" s="375">
        <v>8007.9189800000004</v>
      </c>
      <c r="N1669" s="372" t="s">
        <v>1026</v>
      </c>
      <c r="O1669" s="704">
        <v>13.576780226090818</v>
      </c>
      <c r="P1669" s="375" t="s">
        <v>622</v>
      </c>
      <c r="Q1669" s="372" t="s">
        <v>622</v>
      </c>
      <c r="R1669" s="696">
        <v>20100209</v>
      </c>
      <c r="S1669" s="372" t="s">
        <v>10990</v>
      </c>
      <c r="T1669" s="697" t="s">
        <v>771</v>
      </c>
      <c r="U1669" s="372" t="s">
        <v>10991</v>
      </c>
      <c r="V1669" s="723" t="s">
        <v>773</v>
      </c>
      <c r="W1669" s="723">
        <v>7.64</v>
      </c>
      <c r="X1669" s="723">
        <v>4.34</v>
      </c>
      <c r="Y1669" s="723" t="s">
        <v>773</v>
      </c>
      <c r="Z1669" s="382" t="s">
        <v>927</v>
      </c>
      <c r="AA1669" s="372">
        <v>70.572648799999996</v>
      </c>
      <c r="AB1669" s="372">
        <v>42.695126799999997</v>
      </c>
      <c r="AC1669" s="372">
        <v>168.2821639</v>
      </c>
      <c r="AD1669" s="372">
        <v>49.941943500000001</v>
      </c>
      <c r="AE1669" s="372">
        <v>0</v>
      </c>
      <c r="AF1669" s="372">
        <v>0</v>
      </c>
      <c r="AG1669" s="372">
        <v>0</v>
      </c>
      <c r="AH1669" s="372">
        <v>0</v>
      </c>
    </row>
    <row r="1670" spans="1:34">
      <c r="A1670" s="372" t="s">
        <v>10992</v>
      </c>
      <c r="B1670" s="373" t="s">
        <v>10993</v>
      </c>
      <c r="C1670" s="372" t="s">
        <v>10994</v>
      </c>
      <c r="D1670" s="374">
        <v>1301110057124</v>
      </c>
      <c r="E1670" s="372" t="s">
        <v>10995</v>
      </c>
      <c r="F1670" s="372" t="s">
        <v>6610</v>
      </c>
      <c r="G1670" s="375" t="s">
        <v>6610</v>
      </c>
      <c r="H1670" s="375" t="s">
        <v>861</v>
      </c>
      <c r="I1670" s="375" t="s">
        <v>862</v>
      </c>
      <c r="J1670" s="375">
        <v>164283.1275</v>
      </c>
      <c r="K1670" s="375">
        <v>33593.471510000003</v>
      </c>
      <c r="L1670" s="375">
        <v>30286.036690000001</v>
      </c>
      <c r="M1670" s="375">
        <v>92064.649659999995</v>
      </c>
      <c r="N1670" s="372">
        <v>0.58299999999999996</v>
      </c>
      <c r="O1670" s="704">
        <v>34.941669867401437</v>
      </c>
      <c r="P1670" s="375" t="s">
        <v>622</v>
      </c>
      <c r="Q1670" s="372" t="s">
        <v>622</v>
      </c>
      <c r="R1670" s="696">
        <v>20100127</v>
      </c>
      <c r="S1670" s="372" t="s">
        <v>10996</v>
      </c>
      <c r="T1670" s="697">
        <v>0.23100000000000001</v>
      </c>
      <c r="U1670" s="372" t="s">
        <v>10997</v>
      </c>
      <c r="V1670" s="723">
        <v>1.97</v>
      </c>
      <c r="W1670" s="723">
        <v>0.76</v>
      </c>
      <c r="X1670" s="723">
        <v>0.44</v>
      </c>
      <c r="Y1670" s="723">
        <v>2.4700000000000002</v>
      </c>
      <c r="Z1670" s="382" t="s">
        <v>927</v>
      </c>
      <c r="AA1670" s="372">
        <v>523.5139097</v>
      </c>
      <c r="AB1670" s="372">
        <v>604.1028847</v>
      </c>
      <c r="AC1670" s="372">
        <v>622.65973510000003</v>
      </c>
      <c r="AD1670" s="372">
        <v>1190.6964404</v>
      </c>
      <c r="AE1670" s="372">
        <v>0</v>
      </c>
      <c r="AF1670" s="372">
        <v>0</v>
      </c>
      <c r="AG1670" s="372">
        <v>0</v>
      </c>
      <c r="AH1670" s="372">
        <v>0</v>
      </c>
    </row>
    <row r="1671" spans="1:34">
      <c r="A1671" s="372" t="s">
        <v>10998</v>
      </c>
      <c r="B1671" s="373" t="s">
        <v>10999</v>
      </c>
      <c r="C1671" s="372" t="s">
        <v>11000</v>
      </c>
      <c r="D1671" s="374">
        <v>1101112914459</v>
      </c>
      <c r="E1671" s="372" t="s">
        <v>11001</v>
      </c>
      <c r="F1671" s="375" t="s">
        <v>1796</v>
      </c>
      <c r="G1671" s="375" t="s">
        <v>1797</v>
      </c>
      <c r="H1671" s="375" t="s">
        <v>861</v>
      </c>
      <c r="I1671" s="375" t="s">
        <v>862</v>
      </c>
      <c r="J1671" s="375">
        <v>13131.0484</v>
      </c>
      <c r="K1671" s="375">
        <v>65.644490000000005</v>
      </c>
      <c r="L1671" s="375">
        <v>248.37876</v>
      </c>
      <c r="M1671" s="375">
        <v>46577.530749999998</v>
      </c>
      <c r="N1671" s="372">
        <v>1.1659999999999999</v>
      </c>
      <c r="O1671" s="704">
        <v>0.47373808228313269</v>
      </c>
      <c r="P1671" s="375" t="s">
        <v>622</v>
      </c>
      <c r="Q1671" s="372" t="s">
        <v>622</v>
      </c>
      <c r="R1671" s="696">
        <v>20160729</v>
      </c>
      <c r="S1671" s="372" t="s">
        <v>11002</v>
      </c>
      <c r="T1671" s="697">
        <v>0.20900000000000002</v>
      </c>
      <c r="U1671" s="372" t="s">
        <v>11003</v>
      </c>
      <c r="V1671" s="723">
        <v>79.489999999999995</v>
      </c>
      <c r="W1671" s="723">
        <v>1.24</v>
      </c>
      <c r="X1671" s="723">
        <v>4.33</v>
      </c>
      <c r="Y1671" s="723">
        <v>404.95</v>
      </c>
      <c r="Z1671" s="382" t="s">
        <v>927</v>
      </c>
      <c r="AA1671" s="372">
        <v>128.7650089</v>
      </c>
      <c r="AB1671" s="372">
        <v>160.30334529999999</v>
      </c>
      <c r="AC1671" s="372">
        <v>172.67914379999999</v>
      </c>
      <c r="AD1671" s="372">
        <v>141.93832029999999</v>
      </c>
      <c r="AE1671" s="372">
        <v>0</v>
      </c>
      <c r="AF1671" s="372">
        <v>0</v>
      </c>
      <c r="AG1671" s="372">
        <v>0</v>
      </c>
      <c r="AH1671" s="372">
        <v>0</v>
      </c>
    </row>
    <row r="1672" spans="1:34">
      <c r="A1672" s="372" t="s">
        <v>11004</v>
      </c>
      <c r="B1672" s="373" t="s">
        <v>11005</v>
      </c>
      <c r="C1672" s="372" t="s">
        <v>11006</v>
      </c>
      <c r="D1672" s="374">
        <v>1341110065470</v>
      </c>
      <c r="E1672" s="372" t="s">
        <v>11007</v>
      </c>
      <c r="F1672" s="375" t="s">
        <v>1962</v>
      </c>
      <c r="G1672" s="375" t="s">
        <v>1962</v>
      </c>
      <c r="H1672" s="375" t="s">
        <v>861</v>
      </c>
      <c r="I1672" s="375" t="s">
        <v>862</v>
      </c>
      <c r="J1672" s="375">
        <v>169114.35461000001</v>
      </c>
      <c r="K1672" s="375">
        <v>18742.599480000001</v>
      </c>
      <c r="L1672" s="375">
        <v>24633.75174</v>
      </c>
      <c r="M1672" s="375">
        <v>195958.94198</v>
      </c>
      <c r="N1672" s="372">
        <v>0.98399999999999999</v>
      </c>
      <c r="O1672" s="704">
        <v>109.59649113350727</v>
      </c>
      <c r="P1672" s="375" t="s">
        <v>622</v>
      </c>
      <c r="Q1672" s="372" t="s">
        <v>622</v>
      </c>
      <c r="R1672" s="696">
        <v>20070103</v>
      </c>
      <c r="S1672" s="372" t="s">
        <v>11008</v>
      </c>
      <c r="T1672" s="697">
        <v>0.23100000000000001</v>
      </c>
      <c r="U1672" s="372" t="s">
        <v>11009</v>
      </c>
      <c r="V1672" s="723">
        <v>5.45</v>
      </c>
      <c r="W1672" s="723">
        <v>0.49</v>
      </c>
      <c r="X1672" s="723">
        <v>0.56000000000000005</v>
      </c>
      <c r="Y1672" s="723">
        <v>5.29</v>
      </c>
      <c r="Z1672" s="382">
        <v>0.14711054982181304</v>
      </c>
      <c r="AA1672" s="372">
        <v>1620.072682</v>
      </c>
      <c r="AB1672" s="372">
        <v>1736.8131080000001</v>
      </c>
      <c r="AC1672" s="372">
        <v>2137.7371773</v>
      </c>
      <c r="AD1672" s="372">
        <v>1651.1748296000001</v>
      </c>
      <c r="AE1672" s="372">
        <v>2250</v>
      </c>
      <c r="AF1672" s="372">
        <v>2544</v>
      </c>
      <c r="AG1672" s="372">
        <v>2859</v>
      </c>
      <c r="AH1672" s="372">
        <v>0</v>
      </c>
    </row>
    <row r="1673" spans="1:34">
      <c r="A1673" s="372" t="s">
        <v>11010</v>
      </c>
      <c r="B1673" s="373" t="s">
        <v>11011</v>
      </c>
      <c r="C1673" s="372" t="s">
        <v>16308</v>
      </c>
      <c r="D1673" s="374">
        <v>1954110007985</v>
      </c>
      <c r="E1673" s="372" t="s">
        <v>11012</v>
      </c>
      <c r="F1673" s="375" t="s">
        <v>1128</v>
      </c>
      <c r="G1673" s="375" t="s">
        <v>7422</v>
      </c>
      <c r="H1673" s="375" t="s">
        <v>861</v>
      </c>
      <c r="I1673" s="375" t="s">
        <v>862</v>
      </c>
      <c r="J1673" s="375">
        <v>0</v>
      </c>
      <c r="K1673" s="375">
        <v>0</v>
      </c>
      <c r="L1673" s="375">
        <v>0</v>
      </c>
      <c r="M1673" s="375">
        <v>0</v>
      </c>
      <c r="N1673" s="372" t="s">
        <v>1026</v>
      </c>
      <c r="O1673" s="704" t="s">
        <v>16301</v>
      </c>
      <c r="P1673" s="375" t="s">
        <v>622</v>
      </c>
      <c r="Q1673" s="375" t="s">
        <v>16116</v>
      </c>
      <c r="R1673" s="696">
        <v>20170915</v>
      </c>
      <c r="S1673" s="375" t="e">
        <v>#N/A</v>
      </c>
      <c r="T1673" s="697" t="s">
        <v>771</v>
      </c>
      <c r="U1673" s="375" t="s">
        <v>11013</v>
      </c>
      <c r="V1673" s="723">
        <v>0</v>
      </c>
      <c r="W1673" s="723">
        <v>0</v>
      </c>
      <c r="X1673" s="723">
        <v>0</v>
      </c>
      <c r="Y1673" s="723">
        <v>0</v>
      </c>
      <c r="Z1673" s="382" t="s">
        <v>927</v>
      </c>
      <c r="AA1673" s="372">
        <v>168.01151849999999</v>
      </c>
      <c r="AB1673" s="372">
        <v>202.74726200000001</v>
      </c>
      <c r="AC1673" s="372">
        <v>337.56124840000001</v>
      </c>
      <c r="AD1673" s="372">
        <v>66.887831700000007</v>
      </c>
      <c r="AE1673" s="372">
        <v>0</v>
      </c>
      <c r="AF1673" s="372">
        <v>0</v>
      </c>
      <c r="AG1673" s="372">
        <v>0</v>
      </c>
      <c r="AH1673" s="372">
        <v>0</v>
      </c>
    </row>
    <row r="1674" spans="1:34">
      <c r="A1674" s="372" t="s">
        <v>11014</v>
      </c>
      <c r="B1674" s="373" t="s">
        <v>11015</v>
      </c>
      <c r="C1674" s="372" t="s">
        <v>11016</v>
      </c>
      <c r="D1674" s="374">
        <v>1101116016673</v>
      </c>
      <c r="E1674" s="372" t="s">
        <v>11017</v>
      </c>
      <c r="F1674" s="375" t="s">
        <v>1370</v>
      </c>
      <c r="G1674" s="375" t="s">
        <v>1370</v>
      </c>
      <c r="H1674" s="375" t="s">
        <v>861</v>
      </c>
      <c r="I1674" s="375" t="s">
        <v>862</v>
      </c>
      <c r="J1674" s="375">
        <v>91816.118780000004</v>
      </c>
      <c r="K1674" s="375">
        <v>-1940.05087</v>
      </c>
      <c r="L1674" s="375">
        <v>-5439.1415100000004</v>
      </c>
      <c r="M1674" s="375">
        <v>40853.316959999996</v>
      </c>
      <c r="N1674" s="372">
        <v>0.88600000000000001</v>
      </c>
      <c r="O1674" s="704">
        <v>52.350759926940704</v>
      </c>
      <c r="P1674" s="375" t="s">
        <v>622</v>
      </c>
      <c r="Q1674" s="375" t="s">
        <v>622</v>
      </c>
      <c r="R1674" s="696">
        <v>20160907</v>
      </c>
      <c r="S1674" s="375" t="s">
        <v>11018</v>
      </c>
      <c r="T1674" s="697" t="s">
        <v>771</v>
      </c>
      <c r="U1674" s="372">
        <v>0</v>
      </c>
      <c r="V1674" s="723">
        <v>137.86000000000001</v>
      </c>
      <c r="W1674" s="723">
        <v>1.4</v>
      </c>
      <c r="X1674" s="723">
        <v>0.6</v>
      </c>
      <c r="Y1674" s="723" t="s">
        <v>773</v>
      </c>
      <c r="Z1674" s="382" t="s">
        <v>927</v>
      </c>
      <c r="AA1674" s="372">
        <v>1001.0803892</v>
      </c>
      <c r="AB1674" s="372">
        <v>944.6570997</v>
      </c>
      <c r="AC1674" s="372">
        <v>1062.1851426999999</v>
      </c>
      <c r="AD1674" s="372">
        <v>905.58433590000004</v>
      </c>
      <c r="AE1674" s="372">
        <v>0</v>
      </c>
      <c r="AF1674" s="372">
        <v>0</v>
      </c>
      <c r="AG1674" s="372">
        <v>0</v>
      </c>
      <c r="AH1674" s="372">
        <v>0</v>
      </c>
    </row>
    <row r="1675" spans="1:34">
      <c r="A1675" s="372" t="s">
        <v>11019</v>
      </c>
      <c r="B1675" s="373" t="s">
        <v>11020</v>
      </c>
      <c r="C1675" s="372" t="s">
        <v>11021</v>
      </c>
      <c r="D1675" s="374">
        <v>1101117257507</v>
      </c>
      <c r="E1675" s="372" t="s">
        <v>11022</v>
      </c>
      <c r="F1675" s="375" t="s">
        <v>2856</v>
      </c>
      <c r="G1675" s="375" t="s">
        <v>2857</v>
      </c>
      <c r="H1675" s="375" t="s">
        <v>1337</v>
      </c>
      <c r="I1675" s="375" t="s">
        <v>862</v>
      </c>
      <c r="J1675" s="375">
        <v>103814.01652</v>
      </c>
      <c r="K1675" s="375">
        <v>15226.07944</v>
      </c>
      <c r="L1675" s="375">
        <v>14929.97796</v>
      </c>
      <c r="M1675" s="375">
        <v>49268.046779999997</v>
      </c>
      <c r="N1675" s="372">
        <v>0.72</v>
      </c>
      <c r="O1675" s="704">
        <v>17.513485000057234</v>
      </c>
      <c r="P1675" s="375" t="s">
        <v>622</v>
      </c>
      <c r="Q1675" s="372" t="s">
        <v>622</v>
      </c>
      <c r="R1675" s="696">
        <v>20191224</v>
      </c>
      <c r="S1675" s="372" t="s">
        <v>11023</v>
      </c>
      <c r="T1675" s="697">
        <v>0.20900000000000002</v>
      </c>
      <c r="U1675" s="372" t="s">
        <v>11024</v>
      </c>
      <c r="V1675" s="723">
        <v>2.88</v>
      </c>
      <c r="W1675" s="723">
        <v>1.46</v>
      </c>
      <c r="X1675" s="723">
        <v>0.77</v>
      </c>
      <c r="Y1675" s="723">
        <v>6.63</v>
      </c>
      <c r="Z1675" s="382">
        <v>5.3614311303608275E-2</v>
      </c>
      <c r="AA1675" s="372">
        <v>598.97254539999994</v>
      </c>
      <c r="AB1675" s="372">
        <v>794.42494610000006</v>
      </c>
      <c r="AC1675" s="372">
        <v>865.09520439999994</v>
      </c>
      <c r="AD1675" s="372">
        <v>946.98742460000005</v>
      </c>
      <c r="AE1675" s="372">
        <v>1052</v>
      </c>
      <c r="AF1675" s="372">
        <v>1119</v>
      </c>
      <c r="AG1675" s="372">
        <v>1167</v>
      </c>
      <c r="AH1675" s="372">
        <v>0</v>
      </c>
    </row>
    <row r="1676" spans="1:34">
      <c r="A1676" s="372" t="s">
        <v>11025</v>
      </c>
      <c r="B1676" s="373" t="s">
        <v>11026</v>
      </c>
      <c r="C1676" s="372" t="s">
        <v>11027</v>
      </c>
      <c r="D1676" s="374">
        <v>1942110000399</v>
      </c>
      <c r="E1676" s="372" t="s">
        <v>11028</v>
      </c>
      <c r="F1676" s="375" t="s">
        <v>1863</v>
      </c>
      <c r="G1676" s="375" t="s">
        <v>1864</v>
      </c>
      <c r="H1676" s="375" t="s">
        <v>792</v>
      </c>
      <c r="I1676" s="375" t="s">
        <v>754</v>
      </c>
      <c r="J1676" s="375">
        <v>713799.15781</v>
      </c>
      <c r="K1676" s="375">
        <v>16877.140780000002</v>
      </c>
      <c r="L1676" s="375">
        <v>12352.09453</v>
      </c>
      <c r="M1676" s="375">
        <v>277280.30452000001</v>
      </c>
      <c r="N1676" s="372">
        <v>0.76100000000000001</v>
      </c>
      <c r="O1676" s="704">
        <v>285.67864713583668</v>
      </c>
      <c r="P1676" s="375" t="s">
        <v>622</v>
      </c>
      <c r="Q1676" s="372" t="s">
        <v>622</v>
      </c>
      <c r="R1676" s="696">
        <v>20121120</v>
      </c>
      <c r="S1676" s="372" t="s">
        <v>11029</v>
      </c>
      <c r="T1676" s="697">
        <v>0.20900000000000002</v>
      </c>
      <c r="U1676" s="372" t="s">
        <v>11030</v>
      </c>
      <c r="V1676" s="723">
        <v>5.82</v>
      </c>
      <c r="W1676" s="723">
        <v>0.28999999999999998</v>
      </c>
      <c r="X1676" s="723">
        <v>0.11</v>
      </c>
      <c r="Y1676" s="723">
        <v>7</v>
      </c>
      <c r="Z1676" s="382" t="s">
        <v>927</v>
      </c>
      <c r="AA1676" s="372">
        <v>4457.7042874999997</v>
      </c>
      <c r="AB1676" s="372">
        <v>5313.3218053999999</v>
      </c>
      <c r="AC1676" s="372">
        <v>6105.0610997000003</v>
      </c>
      <c r="AD1676" s="372">
        <v>6909.0579285000003</v>
      </c>
      <c r="AE1676" s="372">
        <v>0</v>
      </c>
      <c r="AF1676" s="372">
        <v>0</v>
      </c>
      <c r="AG1676" s="372">
        <v>0</v>
      </c>
      <c r="AH1676" s="372">
        <v>0</v>
      </c>
    </row>
    <row r="1677" spans="1:34">
      <c r="A1677" s="372" t="s">
        <v>11031</v>
      </c>
      <c r="B1677" s="373" t="s">
        <v>11032</v>
      </c>
      <c r="C1677" s="372" t="s">
        <v>11033</v>
      </c>
      <c r="D1677" s="374">
        <v>1211110160415</v>
      </c>
      <c r="E1677" s="372" t="s">
        <v>11034</v>
      </c>
      <c r="F1677" s="375" t="s">
        <v>1006</v>
      </c>
      <c r="G1677" s="375" t="s">
        <v>1006</v>
      </c>
      <c r="H1677" s="375" t="s">
        <v>861</v>
      </c>
      <c r="I1677" s="375" t="s">
        <v>862</v>
      </c>
      <c r="J1677" s="375">
        <v>61267.290809999999</v>
      </c>
      <c r="K1677" s="375">
        <v>-8741.6592999999993</v>
      </c>
      <c r="L1677" s="375">
        <v>-11693.27728</v>
      </c>
      <c r="M1677" s="375">
        <v>64651.677649999998</v>
      </c>
      <c r="N1677" s="372">
        <v>1.0640000000000001</v>
      </c>
      <c r="O1677" s="704">
        <v>1.6743332654516756</v>
      </c>
      <c r="P1677" s="375" t="s">
        <v>622</v>
      </c>
      <c r="Q1677" s="375" t="s">
        <v>622</v>
      </c>
      <c r="R1677" s="696">
        <v>20210128</v>
      </c>
      <c r="S1677" s="375" t="s">
        <v>11035</v>
      </c>
      <c r="T1677" s="697" t="s">
        <v>771</v>
      </c>
      <c r="U1677" s="372" t="s">
        <v>11036</v>
      </c>
      <c r="V1677" s="723" t="s">
        <v>773</v>
      </c>
      <c r="W1677" s="723">
        <v>0.72</v>
      </c>
      <c r="X1677" s="723">
        <v>0.76</v>
      </c>
      <c r="Y1677" s="723" t="s">
        <v>773</v>
      </c>
      <c r="Z1677" s="382" t="s">
        <v>927</v>
      </c>
      <c r="AA1677" s="372">
        <v>437.26831779999998</v>
      </c>
      <c r="AB1677" s="372">
        <v>567.17885750000005</v>
      </c>
      <c r="AC1677" s="372">
        <v>709.25689520000003</v>
      </c>
      <c r="AD1677" s="372">
        <v>907.94664550000005</v>
      </c>
      <c r="AE1677" s="372">
        <v>0</v>
      </c>
      <c r="AF1677" s="372">
        <v>0</v>
      </c>
      <c r="AG1677" s="372">
        <v>0</v>
      </c>
      <c r="AH1677" s="372">
        <v>0</v>
      </c>
    </row>
    <row r="1678" spans="1:34">
      <c r="A1678" s="372" t="s">
        <v>11037</v>
      </c>
      <c r="B1678" s="373" t="s">
        <v>11038</v>
      </c>
      <c r="C1678" s="372" t="s">
        <v>11039</v>
      </c>
      <c r="D1678" s="374">
        <v>1358110102649</v>
      </c>
      <c r="E1678" s="372" t="s">
        <v>11040</v>
      </c>
      <c r="F1678" s="375" t="s">
        <v>1656</v>
      </c>
      <c r="G1678" s="375" t="s">
        <v>1656</v>
      </c>
      <c r="H1678" s="375" t="s">
        <v>861</v>
      </c>
      <c r="I1678" s="375" t="s">
        <v>862</v>
      </c>
      <c r="J1678" s="375">
        <v>14868.62004</v>
      </c>
      <c r="K1678" s="375">
        <v>-2901.35869</v>
      </c>
      <c r="L1678" s="375">
        <v>-3321.57872</v>
      </c>
      <c r="M1678" s="375">
        <v>7119.3681800000004</v>
      </c>
      <c r="N1678" s="372">
        <v>0.83099999999999996</v>
      </c>
      <c r="O1678" s="704">
        <v>9.6558415235334127</v>
      </c>
      <c r="P1678" s="375" t="s">
        <v>622</v>
      </c>
      <c r="Q1678" s="372" t="s">
        <v>622</v>
      </c>
      <c r="R1678" s="696">
        <v>20100226</v>
      </c>
      <c r="S1678" s="372" t="s">
        <v>11041</v>
      </c>
      <c r="T1678" s="697" t="s">
        <v>771</v>
      </c>
      <c r="U1678" s="372" t="s">
        <v>11042</v>
      </c>
      <c r="V1678" s="723">
        <v>0</v>
      </c>
      <c r="W1678" s="723">
        <v>0</v>
      </c>
      <c r="X1678" s="723">
        <v>0</v>
      </c>
      <c r="Y1678" s="723">
        <v>0</v>
      </c>
      <c r="Z1678" s="382" t="s">
        <v>927</v>
      </c>
      <c r="AA1678" s="372">
        <v>178.56445020000001</v>
      </c>
      <c r="AB1678" s="372">
        <v>213.20668620000001</v>
      </c>
      <c r="AC1678" s="372">
        <v>219.17076900000001</v>
      </c>
      <c r="AD1678" s="372">
        <v>161.00183609999999</v>
      </c>
      <c r="AE1678" s="372">
        <v>0</v>
      </c>
      <c r="AF1678" s="372">
        <v>0</v>
      </c>
      <c r="AG1678" s="372">
        <v>0</v>
      </c>
      <c r="AH1678" s="372">
        <v>0</v>
      </c>
    </row>
    <row r="1679" spans="1:34">
      <c r="A1679" s="372" t="s">
        <v>11043</v>
      </c>
      <c r="B1679" s="373" t="s">
        <v>11044</v>
      </c>
      <c r="C1679" s="372" t="s">
        <v>11045</v>
      </c>
      <c r="D1679" s="374">
        <v>2301110096064</v>
      </c>
      <c r="E1679" s="372" t="s">
        <v>11046</v>
      </c>
      <c r="F1679" s="372" t="s">
        <v>11047</v>
      </c>
      <c r="G1679" s="375" t="s">
        <v>11047</v>
      </c>
      <c r="H1679" s="375" t="s">
        <v>861</v>
      </c>
      <c r="I1679" s="375" t="s">
        <v>862</v>
      </c>
      <c r="J1679" s="375">
        <v>71749.603510000001</v>
      </c>
      <c r="K1679" s="375">
        <v>-52.037230000000001</v>
      </c>
      <c r="L1679" s="375">
        <v>837.08784000000003</v>
      </c>
      <c r="M1679" s="375">
        <v>162214.01556</v>
      </c>
      <c r="N1679" s="372">
        <v>0.621</v>
      </c>
      <c r="O1679" s="704">
        <v>0.1801415264087825</v>
      </c>
      <c r="P1679" s="375" t="s">
        <v>622</v>
      </c>
      <c r="Q1679" s="375" t="s">
        <v>622</v>
      </c>
      <c r="R1679" s="696">
        <v>20210128</v>
      </c>
      <c r="S1679" s="375" t="s">
        <v>11048</v>
      </c>
      <c r="T1679" s="697">
        <v>0.20900000000000002</v>
      </c>
      <c r="U1679" s="372" t="s">
        <v>11049</v>
      </c>
      <c r="V1679" s="723">
        <v>17.82</v>
      </c>
      <c r="W1679" s="723">
        <v>0.48</v>
      </c>
      <c r="X1679" s="723">
        <v>1.1200000000000001</v>
      </c>
      <c r="Y1679" s="723">
        <v>33.53</v>
      </c>
      <c r="Z1679" s="382" t="s">
        <v>927</v>
      </c>
      <c r="AA1679" s="372">
        <v>1579.2606827</v>
      </c>
      <c r="AB1679" s="372">
        <v>1708.7536167000001</v>
      </c>
      <c r="AC1679" s="372">
        <v>1415.8446864</v>
      </c>
      <c r="AD1679" s="372">
        <v>780.37214129999995</v>
      </c>
      <c r="AE1679" s="372">
        <v>2112</v>
      </c>
      <c r="AF1679" s="372">
        <v>0</v>
      </c>
      <c r="AG1679" s="372">
        <v>0</v>
      </c>
      <c r="AH1679" s="372">
        <v>0</v>
      </c>
    </row>
    <row r="1680" spans="1:34">
      <c r="A1680" s="372" t="s">
        <v>11050</v>
      </c>
      <c r="B1680" s="373" t="s">
        <v>11051</v>
      </c>
      <c r="C1680" s="372" t="s">
        <v>11052</v>
      </c>
      <c r="D1680" s="374">
        <v>1101110104820</v>
      </c>
      <c r="E1680" s="372" t="s">
        <v>11053</v>
      </c>
      <c r="F1680" s="372" t="s">
        <v>11054</v>
      </c>
      <c r="G1680" s="375" t="s">
        <v>11054</v>
      </c>
      <c r="H1680" s="375" t="s">
        <v>1316</v>
      </c>
      <c r="I1680" s="375" t="s">
        <v>754</v>
      </c>
      <c r="J1680" s="375">
        <v>400394.77413999999</v>
      </c>
      <c r="K1680" s="375">
        <v>21978.51628</v>
      </c>
      <c r="L1680" s="375">
        <v>26053.72867</v>
      </c>
      <c r="M1680" s="375">
        <v>242275.76887999999</v>
      </c>
      <c r="N1680" s="372">
        <v>0.55200000000000005</v>
      </c>
      <c r="O1680" s="704">
        <v>156.73636270360564</v>
      </c>
      <c r="P1680" s="375" t="s">
        <v>622</v>
      </c>
      <c r="Q1680" s="375" t="s">
        <v>622</v>
      </c>
      <c r="R1680" s="696">
        <v>19861224</v>
      </c>
      <c r="S1680" s="375" t="s">
        <v>11055</v>
      </c>
      <c r="T1680" s="697">
        <v>0.23100000000000001</v>
      </c>
      <c r="U1680" s="372" t="s">
        <v>11056</v>
      </c>
      <c r="V1680" s="723">
        <v>0</v>
      </c>
      <c r="W1680" s="723">
        <v>0</v>
      </c>
      <c r="X1680" s="723">
        <v>0</v>
      </c>
      <c r="Y1680" s="723">
        <v>0</v>
      </c>
      <c r="Z1680" s="382" t="s">
        <v>927</v>
      </c>
      <c r="AA1680" s="372">
        <v>3276.2118549000002</v>
      </c>
      <c r="AB1680" s="372">
        <v>3288.8177856000002</v>
      </c>
      <c r="AC1680" s="372">
        <v>3691.2520721000001</v>
      </c>
      <c r="AD1680" s="372">
        <v>3915.3775132000001</v>
      </c>
      <c r="AE1680" s="372">
        <v>0</v>
      </c>
      <c r="AF1680" s="372">
        <v>0</v>
      </c>
      <c r="AG1680" s="372">
        <v>0</v>
      </c>
      <c r="AH1680" s="372">
        <v>0</v>
      </c>
    </row>
    <row r="1681" spans="1:34">
      <c r="A1681" s="372" t="s">
        <v>11057</v>
      </c>
      <c r="B1681" s="373" t="s">
        <v>11058</v>
      </c>
      <c r="C1681" s="372" t="s">
        <v>11059</v>
      </c>
      <c r="D1681" s="374">
        <v>1701110021816</v>
      </c>
      <c r="E1681" s="372" t="s">
        <v>11060</v>
      </c>
      <c r="F1681" s="375" t="s">
        <v>2992</v>
      </c>
      <c r="G1681" s="375" t="s">
        <v>2992</v>
      </c>
      <c r="H1681" s="375" t="s">
        <v>792</v>
      </c>
      <c r="I1681" s="375" t="s">
        <v>754</v>
      </c>
      <c r="J1681" s="375">
        <v>0</v>
      </c>
      <c r="K1681" s="375">
        <v>0</v>
      </c>
      <c r="L1681" s="375">
        <v>0</v>
      </c>
      <c r="M1681" s="375">
        <v>0</v>
      </c>
      <c r="N1681" s="372">
        <v>1.1579999999999999</v>
      </c>
      <c r="O1681" s="704" t="s">
        <v>16301</v>
      </c>
      <c r="P1681" s="375" t="s">
        <v>622</v>
      </c>
      <c r="Q1681" s="372" t="s">
        <v>622</v>
      </c>
      <c r="R1681" s="696">
        <v>19951110</v>
      </c>
      <c r="S1681" s="372" t="s">
        <v>11061</v>
      </c>
      <c r="T1681" s="697" t="s">
        <v>771</v>
      </c>
      <c r="U1681" s="372" t="s">
        <v>11062</v>
      </c>
      <c r="V1681" s="723">
        <v>0</v>
      </c>
      <c r="W1681" s="723">
        <v>0</v>
      </c>
      <c r="X1681" s="723">
        <v>0</v>
      </c>
      <c r="Y1681" s="723">
        <v>0</v>
      </c>
      <c r="Z1681" s="382" t="s">
        <v>927</v>
      </c>
      <c r="AA1681" s="372">
        <v>3694.9099219</v>
      </c>
      <c r="AB1681" s="372">
        <v>3873.6867980000002</v>
      </c>
      <c r="AC1681" s="372">
        <v>5386.4023942000003</v>
      </c>
      <c r="AD1681" s="372">
        <v>5682.4148027000001</v>
      </c>
      <c r="AE1681" s="372">
        <v>0</v>
      </c>
      <c r="AF1681" s="372">
        <v>0</v>
      </c>
      <c r="AG1681" s="372">
        <v>0</v>
      </c>
      <c r="AH1681" s="372">
        <v>0</v>
      </c>
    </row>
    <row r="1682" spans="1:34">
      <c r="A1682" s="372" t="s">
        <v>11063</v>
      </c>
      <c r="B1682" s="373" t="s">
        <v>11064</v>
      </c>
      <c r="C1682" s="372" t="s">
        <v>11065</v>
      </c>
      <c r="D1682" s="374">
        <v>1101110860216</v>
      </c>
      <c r="E1682" s="372" t="s">
        <v>11066</v>
      </c>
      <c r="F1682" s="375" t="s">
        <v>10276</v>
      </c>
      <c r="G1682" s="375" t="s">
        <v>11067</v>
      </c>
      <c r="H1682" s="375" t="s">
        <v>861</v>
      </c>
      <c r="I1682" s="375" t="s">
        <v>862</v>
      </c>
      <c r="J1682" s="375">
        <v>332031.90534</v>
      </c>
      <c r="K1682" s="375">
        <v>-9677.2800599999991</v>
      </c>
      <c r="L1682" s="375">
        <v>-26405.301459999999</v>
      </c>
      <c r="M1682" s="375">
        <v>106003.47912</v>
      </c>
      <c r="N1682" s="372">
        <v>0.85</v>
      </c>
      <c r="O1682" s="704">
        <v>244.61604820201183</v>
      </c>
      <c r="P1682" s="375" t="s">
        <v>622</v>
      </c>
      <c r="Q1682" s="372" t="s">
        <v>622</v>
      </c>
      <c r="R1682" s="696">
        <v>20030725</v>
      </c>
      <c r="S1682" s="372" t="s">
        <v>11068</v>
      </c>
      <c r="T1682" s="697" t="s">
        <v>771</v>
      </c>
      <c r="U1682" s="372" t="s">
        <v>11069</v>
      </c>
      <c r="V1682" s="723" t="s">
        <v>773</v>
      </c>
      <c r="W1682" s="723">
        <v>0.97</v>
      </c>
      <c r="X1682" s="723">
        <v>0.2</v>
      </c>
      <c r="Y1682" s="723" t="s">
        <v>773</v>
      </c>
      <c r="Z1682" s="382" t="s">
        <v>927</v>
      </c>
      <c r="AA1682" s="372">
        <v>3302.4350616000002</v>
      </c>
      <c r="AB1682" s="372">
        <v>3886.0588232999999</v>
      </c>
      <c r="AC1682" s="372">
        <v>4457.1010649999998</v>
      </c>
      <c r="AD1682" s="372">
        <v>4258.8397425000003</v>
      </c>
      <c r="AE1682" s="372">
        <v>0</v>
      </c>
      <c r="AF1682" s="372">
        <v>0</v>
      </c>
      <c r="AG1682" s="372">
        <v>0</v>
      </c>
      <c r="AH1682" s="372">
        <v>0</v>
      </c>
    </row>
    <row r="1683" spans="1:34">
      <c r="A1683" s="372" t="s">
        <v>11070</v>
      </c>
      <c r="B1683" s="373" t="s">
        <v>11071</v>
      </c>
      <c r="C1683" s="372" t="s">
        <v>11072</v>
      </c>
      <c r="D1683" s="374">
        <v>1101116142668</v>
      </c>
      <c r="E1683" s="372" t="s">
        <v>11073</v>
      </c>
      <c r="F1683" s="375" t="s">
        <v>1323</v>
      </c>
      <c r="G1683" s="375" t="s">
        <v>16106</v>
      </c>
      <c r="H1683" s="375" t="s">
        <v>861</v>
      </c>
      <c r="I1683" s="375" t="s">
        <v>862</v>
      </c>
      <c r="J1683" s="375">
        <v>128239.12102000001</v>
      </c>
      <c r="K1683" s="375">
        <v>-1410.71117</v>
      </c>
      <c r="L1683" s="375">
        <v>-2401.0275499999998</v>
      </c>
      <c r="M1683" s="375">
        <v>101328.50189</v>
      </c>
      <c r="N1683" s="372">
        <v>0.79600000000000004</v>
      </c>
      <c r="O1683" s="704">
        <v>57.598220587819924</v>
      </c>
      <c r="P1683" s="375" t="s">
        <v>622</v>
      </c>
      <c r="Q1683" s="375" t="s">
        <v>622</v>
      </c>
      <c r="R1683" s="696">
        <v>20220929</v>
      </c>
      <c r="S1683" s="375" t="s">
        <v>11074</v>
      </c>
      <c r="T1683" s="697" t="s">
        <v>771</v>
      </c>
      <c r="U1683" s="372" t="s">
        <v>11075</v>
      </c>
      <c r="V1683" s="723">
        <v>0</v>
      </c>
      <c r="W1683" s="723">
        <v>0</v>
      </c>
      <c r="X1683" s="723">
        <v>0</v>
      </c>
      <c r="Y1683" s="723">
        <v>0</v>
      </c>
      <c r="Z1683" s="382" t="s">
        <v>927</v>
      </c>
      <c r="AA1683" s="372">
        <v>979.22646959999997</v>
      </c>
      <c r="AB1683" s="372">
        <v>1149.6399323999999</v>
      </c>
      <c r="AC1683" s="372">
        <v>1381.0931911</v>
      </c>
      <c r="AD1683" s="372">
        <v>1510.4648434000001</v>
      </c>
      <c r="AE1683" s="372">
        <v>0</v>
      </c>
      <c r="AF1683" s="372">
        <v>0</v>
      </c>
      <c r="AG1683" s="372">
        <v>0</v>
      </c>
      <c r="AH1683" s="372">
        <v>0</v>
      </c>
    </row>
    <row r="1684" spans="1:34">
      <c r="A1684" s="372" t="s">
        <v>11076</v>
      </c>
      <c r="B1684" s="373" t="s">
        <v>11077</v>
      </c>
      <c r="C1684" s="372" t="s">
        <v>16027</v>
      </c>
      <c r="D1684" s="374">
        <v>1351110047782</v>
      </c>
      <c r="E1684" s="372" t="s">
        <v>15927</v>
      </c>
      <c r="F1684" s="375" t="s">
        <v>1249</v>
      </c>
      <c r="G1684" s="375" t="s">
        <v>1249</v>
      </c>
      <c r="H1684" s="375" t="s">
        <v>861</v>
      </c>
      <c r="I1684" s="375" t="s">
        <v>862</v>
      </c>
      <c r="J1684" s="375">
        <v>59652.297839999999</v>
      </c>
      <c r="K1684" s="375">
        <v>1958.9259199999999</v>
      </c>
      <c r="L1684" s="375">
        <v>699.65751999999998</v>
      </c>
      <c r="M1684" s="375">
        <v>122162.1096</v>
      </c>
      <c r="N1684" s="372">
        <v>0.94699999999999995</v>
      </c>
      <c r="O1684" s="704">
        <v>0.64462438265764233</v>
      </c>
      <c r="P1684" s="375" t="s">
        <v>622</v>
      </c>
      <c r="Q1684" s="372" t="s">
        <v>622</v>
      </c>
      <c r="R1684" s="696">
        <v>20040204</v>
      </c>
      <c r="S1684" s="372" t="s">
        <v>2232</v>
      </c>
      <c r="T1684" s="697">
        <v>0.20900000000000002</v>
      </c>
      <c r="U1684" s="372" t="s">
        <v>11078</v>
      </c>
      <c r="V1684" s="723">
        <v>0</v>
      </c>
      <c r="W1684" s="723">
        <v>0</v>
      </c>
      <c r="X1684" s="723">
        <v>0</v>
      </c>
      <c r="Y1684" s="723">
        <v>0</v>
      </c>
      <c r="Z1684" s="382" t="s">
        <v>927</v>
      </c>
      <c r="AA1684" s="372">
        <v>613.23524050000003</v>
      </c>
      <c r="AB1684" s="372">
        <v>604.00509529999999</v>
      </c>
      <c r="AC1684" s="372">
        <v>620.36332949999996</v>
      </c>
      <c r="AD1684" s="372">
        <v>642.14830710000001</v>
      </c>
      <c r="AE1684" s="372">
        <v>0</v>
      </c>
      <c r="AF1684" s="372">
        <v>0</v>
      </c>
      <c r="AG1684" s="372">
        <v>0</v>
      </c>
      <c r="AH1684" s="372">
        <v>0</v>
      </c>
    </row>
    <row r="1685" spans="1:34">
      <c r="A1685" s="372" t="s">
        <v>11079</v>
      </c>
      <c r="B1685" s="373" t="s">
        <v>11080</v>
      </c>
      <c r="C1685" s="372" t="s">
        <v>11081</v>
      </c>
      <c r="D1685" s="374">
        <v>1942110033580</v>
      </c>
      <c r="E1685" s="372" t="s">
        <v>11082</v>
      </c>
      <c r="F1685" s="375" t="s">
        <v>2426</v>
      </c>
      <c r="G1685" s="375" t="s">
        <v>6074</v>
      </c>
      <c r="H1685" s="375" t="s">
        <v>861</v>
      </c>
      <c r="I1685" s="375" t="s">
        <v>862</v>
      </c>
      <c r="J1685" s="375">
        <v>199887.56679000001</v>
      </c>
      <c r="K1685" s="375">
        <v>4942.2154099999998</v>
      </c>
      <c r="L1685" s="375">
        <v>2078.59087</v>
      </c>
      <c r="M1685" s="375">
        <v>103418.12198</v>
      </c>
      <c r="N1685" s="372">
        <v>0.98499999999999999</v>
      </c>
      <c r="O1685" s="704">
        <v>107.91383117980277</v>
      </c>
      <c r="P1685" s="375" t="s">
        <v>622</v>
      </c>
      <c r="Q1685" s="372" t="s">
        <v>622</v>
      </c>
      <c r="R1685" s="696">
        <v>20010608</v>
      </c>
      <c r="S1685" s="372" t="s">
        <v>11083</v>
      </c>
      <c r="T1685" s="697">
        <v>0.20900000000000002</v>
      </c>
      <c r="U1685" s="372" t="s">
        <v>11084</v>
      </c>
      <c r="V1685" s="723">
        <v>7.78</v>
      </c>
      <c r="W1685" s="723">
        <v>0.63</v>
      </c>
      <c r="X1685" s="723">
        <v>0.33</v>
      </c>
      <c r="Y1685" s="723">
        <v>30.37</v>
      </c>
      <c r="Z1685" s="382" t="s">
        <v>927</v>
      </c>
      <c r="AA1685" s="372">
        <v>1778.0623676</v>
      </c>
      <c r="AB1685" s="372">
        <v>1947.4686222</v>
      </c>
      <c r="AC1685" s="372">
        <v>2182.2244400999998</v>
      </c>
      <c r="AD1685" s="372">
        <v>2310.0054872000001</v>
      </c>
      <c r="AE1685" s="372">
        <v>0</v>
      </c>
      <c r="AF1685" s="372">
        <v>0</v>
      </c>
      <c r="AG1685" s="372">
        <v>0</v>
      </c>
      <c r="AH1685" s="372">
        <v>0</v>
      </c>
    </row>
    <row r="1686" spans="1:34">
      <c r="A1686" s="372" t="s">
        <v>11085</v>
      </c>
      <c r="B1686" s="373" t="s">
        <v>11086</v>
      </c>
      <c r="C1686" s="372" t="s">
        <v>11087</v>
      </c>
      <c r="D1686" s="374">
        <v>1801110001494</v>
      </c>
      <c r="E1686" s="372" t="s">
        <v>11088</v>
      </c>
      <c r="F1686" s="372" t="s">
        <v>4833</v>
      </c>
      <c r="G1686" s="375" t="s">
        <v>4833</v>
      </c>
      <c r="H1686" s="375" t="s">
        <v>1316</v>
      </c>
      <c r="I1686" s="375" t="s">
        <v>754</v>
      </c>
      <c r="J1686" s="375">
        <v>309969.19297999999</v>
      </c>
      <c r="K1686" s="375">
        <v>11449.63646</v>
      </c>
      <c r="L1686" s="375">
        <v>6512.0394699999997</v>
      </c>
      <c r="M1686" s="375">
        <v>107564.54626</v>
      </c>
      <c r="N1686" s="372">
        <v>1.0289999999999999</v>
      </c>
      <c r="O1686" s="704">
        <v>198.23070257555179</v>
      </c>
      <c r="P1686" s="375" t="s">
        <v>622</v>
      </c>
      <c r="Q1686" s="375" t="s">
        <v>622</v>
      </c>
      <c r="R1686" s="696">
        <v>19910114</v>
      </c>
      <c r="S1686" s="375" t="s">
        <v>11089</v>
      </c>
      <c r="T1686" s="697">
        <v>0.20900000000000002</v>
      </c>
      <c r="U1686" s="372" t="s">
        <v>11090</v>
      </c>
      <c r="V1686" s="723">
        <v>12.68</v>
      </c>
      <c r="W1686" s="723">
        <v>0.73</v>
      </c>
      <c r="X1686" s="723">
        <v>0.26</v>
      </c>
      <c r="Y1686" s="723">
        <v>13.82</v>
      </c>
      <c r="Z1686" s="382" t="s">
        <v>927</v>
      </c>
      <c r="AA1686" s="372">
        <v>1905.0455734</v>
      </c>
      <c r="AB1686" s="372">
        <v>2134.8655149000001</v>
      </c>
      <c r="AC1686" s="372">
        <v>2783.7067723999999</v>
      </c>
      <c r="AD1686" s="372">
        <v>3190.5861865000002</v>
      </c>
      <c r="AE1686" s="372">
        <v>0</v>
      </c>
      <c r="AF1686" s="372">
        <v>0</v>
      </c>
      <c r="AG1686" s="372">
        <v>0</v>
      </c>
      <c r="AH1686" s="372">
        <v>0</v>
      </c>
    </row>
    <row r="1687" spans="1:34">
      <c r="A1687" s="372" t="s">
        <v>11091</v>
      </c>
      <c r="B1687" s="373" t="s">
        <v>11092</v>
      </c>
      <c r="C1687" s="372" t="s">
        <v>11093</v>
      </c>
      <c r="D1687" s="374">
        <v>1101112017922</v>
      </c>
      <c r="E1687" s="372" t="s">
        <v>11094</v>
      </c>
      <c r="F1687" s="372" t="s">
        <v>3548</v>
      </c>
      <c r="G1687" s="375" t="s">
        <v>3548</v>
      </c>
      <c r="H1687" s="375" t="s">
        <v>1337</v>
      </c>
      <c r="I1687" s="375" t="s">
        <v>862</v>
      </c>
      <c r="J1687" s="375">
        <v>31453.634279999998</v>
      </c>
      <c r="K1687" s="375">
        <v>6922.9731400000001</v>
      </c>
      <c r="L1687" s="375">
        <v>6334.1296599999996</v>
      </c>
      <c r="M1687" s="375">
        <v>61778.743560000003</v>
      </c>
      <c r="N1687" s="372">
        <v>0.20799999999999999</v>
      </c>
      <c r="O1687" s="704">
        <v>18.508091080743817</v>
      </c>
      <c r="P1687" s="375" t="s">
        <v>622</v>
      </c>
      <c r="Q1687" s="375" t="s">
        <v>622</v>
      </c>
      <c r="R1687" s="696">
        <v>20130701</v>
      </c>
      <c r="S1687" s="372" t="s">
        <v>11095</v>
      </c>
      <c r="T1687" s="697">
        <v>0.20900000000000002</v>
      </c>
      <c r="U1687" s="372" t="s">
        <v>11096</v>
      </c>
      <c r="V1687" s="723">
        <v>21.18</v>
      </c>
      <c r="W1687" s="723">
        <v>2.82</v>
      </c>
      <c r="X1687" s="723">
        <v>5.75</v>
      </c>
      <c r="Y1687" s="723">
        <v>31.25</v>
      </c>
      <c r="Z1687" s="382" t="s">
        <v>927</v>
      </c>
      <c r="AA1687" s="372">
        <v>210.71977419999999</v>
      </c>
      <c r="AB1687" s="372">
        <v>255.24250430000001</v>
      </c>
      <c r="AC1687" s="372">
        <v>284.22917669999998</v>
      </c>
      <c r="AD1687" s="372">
        <v>295.82881170000002</v>
      </c>
      <c r="AE1687" s="372">
        <v>0</v>
      </c>
      <c r="AF1687" s="372">
        <v>0</v>
      </c>
      <c r="AG1687" s="372">
        <v>0</v>
      </c>
      <c r="AH1687" s="372">
        <v>0</v>
      </c>
    </row>
    <row r="1688" spans="1:34">
      <c r="A1688" s="372" t="s">
        <v>11097</v>
      </c>
      <c r="B1688" s="373" t="s">
        <v>11098</v>
      </c>
      <c r="C1688" s="372" t="s">
        <v>11099</v>
      </c>
      <c r="D1688" s="374">
        <v>1101111800659</v>
      </c>
      <c r="E1688" s="372" t="s">
        <v>11100</v>
      </c>
      <c r="F1688" s="375" t="s">
        <v>3548</v>
      </c>
      <c r="G1688" s="375" t="s">
        <v>3548</v>
      </c>
      <c r="H1688" s="375" t="s">
        <v>1337</v>
      </c>
      <c r="I1688" s="375" t="s">
        <v>862</v>
      </c>
      <c r="J1688" s="375">
        <v>106466.44229000001</v>
      </c>
      <c r="K1688" s="375">
        <v>3724.1989400000002</v>
      </c>
      <c r="L1688" s="375">
        <v>5470.6176400000004</v>
      </c>
      <c r="M1688" s="375">
        <v>73299.797439999995</v>
      </c>
      <c r="N1688" s="372">
        <v>0.54800000000000004</v>
      </c>
      <c r="O1688" s="704">
        <v>1.0864549771356993</v>
      </c>
      <c r="P1688" s="375" t="s">
        <v>622</v>
      </c>
      <c r="Q1688" s="372" t="s">
        <v>622</v>
      </c>
      <c r="R1688" s="696">
        <v>20100804</v>
      </c>
      <c r="S1688" s="372" t="s">
        <v>11101</v>
      </c>
      <c r="T1688" s="697">
        <v>0.20900000000000002</v>
      </c>
      <c r="U1688" s="372" t="s">
        <v>15928</v>
      </c>
      <c r="V1688" s="723">
        <v>10.28</v>
      </c>
      <c r="W1688" s="723">
        <v>0.78</v>
      </c>
      <c r="X1688" s="723">
        <v>0.54</v>
      </c>
      <c r="Y1688" s="723">
        <v>10.88</v>
      </c>
      <c r="Z1688" s="382" t="s">
        <v>927</v>
      </c>
      <c r="AA1688" s="372">
        <v>817.27314639999997</v>
      </c>
      <c r="AB1688" s="372">
        <v>920.44388909999998</v>
      </c>
      <c r="AC1688" s="372">
        <v>1030.0602458999999</v>
      </c>
      <c r="AD1688" s="372">
        <v>1069.5541949000001</v>
      </c>
      <c r="AE1688" s="372">
        <v>1283</v>
      </c>
      <c r="AF1688" s="372">
        <v>0</v>
      </c>
      <c r="AG1688" s="372">
        <v>0</v>
      </c>
      <c r="AH1688" s="372">
        <v>0</v>
      </c>
    </row>
    <row r="1689" spans="1:34">
      <c r="A1689" s="372" t="s">
        <v>11102</v>
      </c>
      <c r="B1689" s="373" t="s">
        <v>11103</v>
      </c>
      <c r="C1689" s="372" t="s">
        <v>11104</v>
      </c>
      <c r="D1689" s="374">
        <v>1101110770548</v>
      </c>
      <c r="E1689" s="372" t="s">
        <v>11105</v>
      </c>
      <c r="F1689" s="372" t="s">
        <v>5625</v>
      </c>
      <c r="G1689" s="375" t="s">
        <v>5625</v>
      </c>
      <c r="H1689" s="375" t="s">
        <v>861</v>
      </c>
      <c r="I1689" s="375" t="s">
        <v>862</v>
      </c>
      <c r="J1689" s="375">
        <v>91361.653470000005</v>
      </c>
      <c r="K1689" s="375">
        <v>5275.52243</v>
      </c>
      <c r="L1689" s="375">
        <v>3628.9082199999998</v>
      </c>
      <c r="M1689" s="375">
        <v>83998.234249999994</v>
      </c>
      <c r="N1689" s="372">
        <v>0.76</v>
      </c>
      <c r="O1689" s="704">
        <v>33.659565603781125</v>
      </c>
      <c r="P1689" s="375" t="s">
        <v>622</v>
      </c>
      <c r="Q1689" s="375" t="s">
        <v>622</v>
      </c>
      <c r="R1689" s="696">
        <v>19970416</v>
      </c>
      <c r="S1689" s="375" t="s">
        <v>11106</v>
      </c>
      <c r="T1689" s="697">
        <v>0.20900000000000002</v>
      </c>
      <c r="U1689" s="372" t="s">
        <v>11107</v>
      </c>
      <c r="V1689" s="723">
        <v>10.47</v>
      </c>
      <c r="W1689" s="723">
        <v>0.93</v>
      </c>
      <c r="X1689" s="723">
        <v>0.85</v>
      </c>
      <c r="Y1689" s="723">
        <v>23.44</v>
      </c>
      <c r="Z1689" s="382" t="s">
        <v>927</v>
      </c>
      <c r="AA1689" s="372">
        <v>556.28185710000002</v>
      </c>
      <c r="AB1689" s="372">
        <v>618.54165079999996</v>
      </c>
      <c r="AC1689" s="372">
        <v>859.11499260000005</v>
      </c>
      <c r="AD1689" s="372">
        <v>963.98616289999995</v>
      </c>
      <c r="AE1689" s="372">
        <v>1022</v>
      </c>
      <c r="AF1689" s="372">
        <v>0</v>
      </c>
      <c r="AG1689" s="372">
        <v>0</v>
      </c>
      <c r="AH1689" s="372">
        <v>0</v>
      </c>
    </row>
    <row r="1690" spans="1:34">
      <c r="A1690" s="372" t="s">
        <v>11108</v>
      </c>
      <c r="B1690" s="373" t="s">
        <v>11109</v>
      </c>
      <c r="C1690" s="372" t="s">
        <v>11110</v>
      </c>
      <c r="D1690" s="374">
        <v>1101113175969</v>
      </c>
      <c r="E1690" s="372" t="s">
        <v>11111</v>
      </c>
      <c r="F1690" s="375" t="s">
        <v>1796</v>
      </c>
      <c r="G1690" s="375" t="s">
        <v>1797</v>
      </c>
      <c r="H1690" s="375" t="s">
        <v>861</v>
      </c>
      <c r="I1690" s="375" t="s">
        <v>862</v>
      </c>
      <c r="J1690" s="375">
        <v>30517.87862</v>
      </c>
      <c r="K1690" s="375">
        <v>-6845.11492</v>
      </c>
      <c r="L1690" s="375">
        <v>-7372.7493000000004</v>
      </c>
      <c r="M1690" s="375">
        <v>38073.050840000004</v>
      </c>
      <c r="N1690" s="372">
        <v>0.73299999999999998</v>
      </c>
      <c r="O1690" s="704">
        <v>10.784468718710597</v>
      </c>
      <c r="P1690" s="375" t="s">
        <v>622</v>
      </c>
      <c r="Q1690" s="372" t="s">
        <v>622</v>
      </c>
      <c r="R1690" s="696">
        <v>20210812</v>
      </c>
      <c r="S1690" s="375" t="s">
        <v>11112</v>
      </c>
      <c r="T1690" s="697" t="s">
        <v>771</v>
      </c>
      <c r="U1690" s="372" t="s">
        <v>11113</v>
      </c>
      <c r="V1690" s="723">
        <v>0</v>
      </c>
      <c r="W1690" s="723">
        <v>0</v>
      </c>
      <c r="X1690" s="723">
        <v>0</v>
      </c>
      <c r="Y1690" s="723">
        <v>0</v>
      </c>
      <c r="Z1690" s="382" t="s">
        <v>927</v>
      </c>
      <c r="AA1690" s="372">
        <v>393.76204469999999</v>
      </c>
      <c r="AB1690" s="372">
        <v>418.9336644</v>
      </c>
      <c r="AC1690" s="372">
        <v>499.57146719999997</v>
      </c>
      <c r="AD1690" s="372">
        <v>332.9183946</v>
      </c>
      <c r="AE1690" s="372">
        <v>0</v>
      </c>
      <c r="AF1690" s="372">
        <v>0</v>
      </c>
      <c r="AG1690" s="372">
        <v>0</v>
      </c>
      <c r="AH1690" s="372">
        <v>0</v>
      </c>
    </row>
    <row r="1691" spans="1:34">
      <c r="A1691" s="372" t="s">
        <v>11114</v>
      </c>
      <c r="B1691" s="373" t="s">
        <v>11115</v>
      </c>
      <c r="C1691" s="372" t="s">
        <v>11116</v>
      </c>
      <c r="D1691" s="374">
        <v>1501110123252</v>
      </c>
      <c r="E1691" s="372" t="s">
        <v>11117</v>
      </c>
      <c r="F1691" s="375" t="s">
        <v>2124</v>
      </c>
      <c r="G1691" s="375" t="s">
        <v>4231</v>
      </c>
      <c r="H1691" s="375" t="s">
        <v>861</v>
      </c>
      <c r="I1691" s="375" t="s">
        <v>862</v>
      </c>
      <c r="J1691" s="375">
        <v>8303.0671000000002</v>
      </c>
      <c r="K1691" s="375">
        <v>-25299.744159999998</v>
      </c>
      <c r="L1691" s="375">
        <v>-30086.224050000001</v>
      </c>
      <c r="M1691" s="375">
        <v>17453.876530000001</v>
      </c>
      <c r="N1691" s="372">
        <v>1.042</v>
      </c>
      <c r="O1691" s="704">
        <v>22.153503773197393</v>
      </c>
      <c r="P1691" s="375" t="s">
        <v>622</v>
      </c>
      <c r="Q1691" s="375" t="s">
        <v>622</v>
      </c>
      <c r="R1691" s="696">
        <v>20150622</v>
      </c>
      <c r="S1691" s="375" t="s">
        <v>11118</v>
      </c>
      <c r="T1691" s="697" t="s">
        <v>771</v>
      </c>
      <c r="U1691" s="372" t="s">
        <v>11119</v>
      </c>
      <c r="V1691" s="723" t="s">
        <v>773</v>
      </c>
      <c r="W1691" s="723">
        <v>5.05</v>
      </c>
      <c r="X1691" s="723">
        <v>9.0500000000000007</v>
      </c>
      <c r="Y1691" s="723" t="s">
        <v>773</v>
      </c>
      <c r="Z1691" s="382" t="s">
        <v>927</v>
      </c>
      <c r="AA1691" s="372">
        <v>456.71908239999999</v>
      </c>
      <c r="AB1691" s="372">
        <v>303.02075600000001</v>
      </c>
      <c r="AC1691" s="372">
        <v>161.11429179999999</v>
      </c>
      <c r="AD1691" s="372">
        <v>53.674234499999997</v>
      </c>
      <c r="AE1691" s="372">
        <v>0</v>
      </c>
      <c r="AF1691" s="372">
        <v>0</v>
      </c>
      <c r="AG1691" s="372">
        <v>0</v>
      </c>
      <c r="AH1691" s="372">
        <v>0</v>
      </c>
    </row>
    <row r="1692" spans="1:34">
      <c r="A1692" s="372" t="s">
        <v>11120</v>
      </c>
      <c r="B1692" s="373" t="s">
        <v>11121</v>
      </c>
      <c r="C1692" s="372" t="s">
        <v>11122</v>
      </c>
      <c r="D1692" s="374">
        <v>1101111990335</v>
      </c>
      <c r="E1692" s="372" t="s">
        <v>11123</v>
      </c>
      <c r="F1692" s="375" t="s">
        <v>11124</v>
      </c>
      <c r="G1692" s="375" t="s">
        <v>11124</v>
      </c>
      <c r="H1692" s="375" t="s">
        <v>1337</v>
      </c>
      <c r="I1692" s="375" t="s">
        <v>862</v>
      </c>
      <c r="J1692" s="375">
        <v>58937.814290000002</v>
      </c>
      <c r="K1692" s="375">
        <v>3253.8886000000002</v>
      </c>
      <c r="L1692" s="375">
        <v>4475.0855300000003</v>
      </c>
      <c r="M1692" s="375">
        <v>51723.755190000003</v>
      </c>
      <c r="N1692" s="372">
        <v>0.59799999999999998</v>
      </c>
      <c r="O1692" s="704">
        <v>16.677699369573901</v>
      </c>
      <c r="P1692" s="375" t="s">
        <v>622</v>
      </c>
      <c r="Q1692" s="375" t="s">
        <v>622</v>
      </c>
      <c r="R1692" s="696">
        <v>20040604</v>
      </c>
      <c r="S1692" s="375" t="s">
        <v>11125</v>
      </c>
      <c r="T1692" s="697">
        <v>0.20900000000000002</v>
      </c>
      <c r="U1692" s="372" t="s">
        <v>11126</v>
      </c>
      <c r="V1692" s="723">
        <v>8.57</v>
      </c>
      <c r="W1692" s="723">
        <v>1.1299999999999999</v>
      </c>
      <c r="X1692" s="723">
        <v>1.02</v>
      </c>
      <c r="Y1692" s="723">
        <v>16.86</v>
      </c>
      <c r="Z1692" s="382" t="s">
        <v>927</v>
      </c>
      <c r="AA1692" s="372">
        <v>526.04366560000005</v>
      </c>
      <c r="AB1692" s="372">
        <v>583.31472710000003</v>
      </c>
      <c r="AC1692" s="372">
        <v>625.6252988</v>
      </c>
      <c r="AD1692" s="372">
        <v>604.80863490000002</v>
      </c>
      <c r="AE1692" s="372">
        <v>0</v>
      </c>
      <c r="AF1692" s="372">
        <v>0</v>
      </c>
      <c r="AG1692" s="372">
        <v>0</v>
      </c>
      <c r="AH1692" s="372">
        <v>0</v>
      </c>
    </row>
    <row r="1693" spans="1:34">
      <c r="A1693" s="372" t="s">
        <v>11127</v>
      </c>
      <c r="B1693" s="373" t="s">
        <v>11128</v>
      </c>
      <c r="C1693" s="372" t="s">
        <v>11129</v>
      </c>
      <c r="D1693" s="374">
        <v>1101116201737</v>
      </c>
      <c r="E1693" s="372" t="s">
        <v>11130</v>
      </c>
      <c r="F1693" s="375" t="s">
        <v>10463</v>
      </c>
      <c r="G1693" s="375" t="s">
        <v>11131</v>
      </c>
      <c r="H1693" s="375" t="s">
        <v>861</v>
      </c>
      <c r="I1693" s="375" t="s">
        <v>862</v>
      </c>
      <c r="J1693" s="375">
        <v>29125.4424</v>
      </c>
      <c r="K1693" s="375">
        <v>-3778.5034799999999</v>
      </c>
      <c r="L1693" s="375">
        <v>-3645.7520199999999</v>
      </c>
      <c r="M1693" s="375">
        <v>70768.859700000001</v>
      </c>
      <c r="N1693" s="372">
        <v>0.59299999999999997</v>
      </c>
      <c r="O1693" s="704">
        <v>33.414989056853962</v>
      </c>
      <c r="P1693" s="375" t="s">
        <v>622</v>
      </c>
      <c r="Q1693" s="375" t="s">
        <v>622</v>
      </c>
      <c r="R1693" s="696">
        <v>20170502</v>
      </c>
      <c r="S1693" s="375" t="s">
        <v>11132</v>
      </c>
      <c r="T1693" s="697" t="s">
        <v>771</v>
      </c>
      <c r="U1693" s="372" t="s">
        <v>11133</v>
      </c>
      <c r="V1693" s="723">
        <v>30.3</v>
      </c>
      <c r="W1693" s="723">
        <v>1.1200000000000001</v>
      </c>
      <c r="X1693" s="723">
        <v>2.86</v>
      </c>
      <c r="Y1693" s="723" t="s">
        <v>773</v>
      </c>
      <c r="Z1693" s="382" t="s">
        <v>927</v>
      </c>
      <c r="AA1693" s="372">
        <v>561.71445289999997</v>
      </c>
      <c r="AB1693" s="372">
        <v>453.5295443</v>
      </c>
      <c r="AC1693" s="372">
        <v>393.89905119999997</v>
      </c>
      <c r="AD1693" s="372">
        <v>261.51553510000002</v>
      </c>
      <c r="AE1693" s="372">
        <v>0</v>
      </c>
      <c r="AF1693" s="372">
        <v>0</v>
      </c>
      <c r="AG1693" s="372">
        <v>0</v>
      </c>
      <c r="AH1693" s="372">
        <v>0</v>
      </c>
    </row>
    <row r="1694" spans="1:34">
      <c r="A1694" s="372" t="s">
        <v>11134</v>
      </c>
      <c r="B1694" s="373" t="s">
        <v>11135</v>
      </c>
      <c r="C1694" s="372" t="s">
        <v>11136</v>
      </c>
      <c r="D1694" s="374">
        <v>1801110047399</v>
      </c>
      <c r="E1694" s="372" t="s">
        <v>11137</v>
      </c>
      <c r="F1694" s="375" t="s">
        <v>2184</v>
      </c>
      <c r="G1694" s="375" t="s">
        <v>2185</v>
      </c>
      <c r="H1694" s="375" t="s">
        <v>861</v>
      </c>
      <c r="I1694" s="375" t="s">
        <v>862</v>
      </c>
      <c r="J1694" s="375">
        <v>73371.546990000003</v>
      </c>
      <c r="K1694" s="375">
        <v>15734.36724</v>
      </c>
      <c r="L1694" s="375">
        <v>26724.154869999998</v>
      </c>
      <c r="M1694" s="375">
        <v>223068.59357</v>
      </c>
      <c r="N1694" s="372">
        <v>0.71799999999999997</v>
      </c>
      <c r="O1694" s="704">
        <v>0.12155425800302083</v>
      </c>
      <c r="P1694" s="375" t="s">
        <v>622</v>
      </c>
      <c r="Q1694" s="375" t="s">
        <v>622</v>
      </c>
      <c r="R1694" s="696">
        <v>20010112</v>
      </c>
      <c r="S1694" s="375" t="s">
        <v>11138</v>
      </c>
      <c r="T1694" s="697">
        <v>0.23100000000000001</v>
      </c>
      <c r="U1694" s="372" t="s">
        <v>11139</v>
      </c>
      <c r="V1694" s="723">
        <v>5.29</v>
      </c>
      <c r="W1694" s="723">
        <v>0.44</v>
      </c>
      <c r="X1694" s="723">
        <v>1.35</v>
      </c>
      <c r="Y1694" s="723">
        <v>4.6100000000000003</v>
      </c>
      <c r="Z1694" s="382">
        <v>4.5407553652947019E-2</v>
      </c>
      <c r="AA1694" s="372">
        <v>621.13395979999996</v>
      </c>
      <c r="AB1694" s="372">
        <v>778.19354639999995</v>
      </c>
      <c r="AC1694" s="372">
        <v>827.10338750000005</v>
      </c>
      <c r="AD1694" s="372">
        <v>705.80550189999997</v>
      </c>
      <c r="AE1694" s="372">
        <v>759</v>
      </c>
      <c r="AF1694" s="372">
        <v>795</v>
      </c>
      <c r="AG1694" s="372">
        <v>843</v>
      </c>
      <c r="AH1694" s="372">
        <v>0</v>
      </c>
    </row>
    <row r="1695" spans="1:34">
      <c r="A1695" s="372" t="s">
        <v>11140</v>
      </c>
      <c r="B1695" s="373" t="s">
        <v>11141</v>
      </c>
      <c r="C1695" s="372" t="s">
        <v>11142</v>
      </c>
      <c r="D1695" s="374">
        <v>1101110822159</v>
      </c>
      <c r="E1695" s="372" t="s">
        <v>11143</v>
      </c>
      <c r="F1695" s="372" t="s">
        <v>5619</v>
      </c>
      <c r="G1695" s="375" t="s">
        <v>5619</v>
      </c>
      <c r="H1695" s="375" t="s">
        <v>861</v>
      </c>
      <c r="I1695" s="375" t="s">
        <v>862</v>
      </c>
      <c r="J1695" s="375">
        <v>214209.82386</v>
      </c>
      <c r="K1695" s="375">
        <v>2428.2186900000002</v>
      </c>
      <c r="L1695" s="375">
        <v>-130.34397999999999</v>
      </c>
      <c r="M1695" s="375">
        <v>157354.40744000001</v>
      </c>
      <c r="N1695" s="372">
        <v>0.59199999999999997</v>
      </c>
      <c r="O1695" s="704">
        <v>42.336127499879169</v>
      </c>
      <c r="P1695" s="375" t="s">
        <v>622</v>
      </c>
      <c r="Q1695" s="372" t="s">
        <v>622</v>
      </c>
      <c r="R1695" s="696">
        <v>20090423</v>
      </c>
      <c r="S1695" s="372" t="s">
        <v>11144</v>
      </c>
      <c r="T1695" s="697" t="s">
        <v>771</v>
      </c>
      <c r="U1695" s="372" t="s">
        <v>11145</v>
      </c>
      <c r="V1695" s="723">
        <v>0</v>
      </c>
      <c r="W1695" s="723">
        <v>0</v>
      </c>
      <c r="X1695" s="723">
        <v>0</v>
      </c>
      <c r="Y1695" s="723">
        <v>0</v>
      </c>
      <c r="Z1695" s="382" t="s">
        <v>927</v>
      </c>
      <c r="AA1695" s="372">
        <v>1326.1658603000001</v>
      </c>
      <c r="AB1695" s="372">
        <v>1895.4418377</v>
      </c>
      <c r="AC1695" s="372">
        <v>2577.4028576000001</v>
      </c>
      <c r="AD1695" s="372">
        <v>2510.6134818999999</v>
      </c>
      <c r="AE1695" s="372">
        <v>0</v>
      </c>
      <c r="AF1695" s="372">
        <v>0</v>
      </c>
      <c r="AG1695" s="372">
        <v>0</v>
      </c>
      <c r="AH1695" s="372">
        <v>0</v>
      </c>
    </row>
    <row r="1696" spans="1:34">
      <c r="A1696" s="372" t="s">
        <v>11146</v>
      </c>
      <c r="B1696" s="373" t="s">
        <v>11147</v>
      </c>
      <c r="C1696" s="372" t="s">
        <v>11148</v>
      </c>
      <c r="D1696" s="374">
        <v>1352110033862</v>
      </c>
      <c r="E1696" s="372" t="s">
        <v>11149</v>
      </c>
      <c r="F1696" s="375" t="s">
        <v>1275</v>
      </c>
      <c r="G1696" s="375" t="s">
        <v>1275</v>
      </c>
      <c r="H1696" s="375" t="s">
        <v>861</v>
      </c>
      <c r="I1696" s="375" t="s">
        <v>862</v>
      </c>
      <c r="J1696" s="375">
        <v>199758.54762999999</v>
      </c>
      <c r="K1696" s="375">
        <v>3869.9523300000001</v>
      </c>
      <c r="L1696" s="375">
        <v>5478.4975599999998</v>
      </c>
      <c r="M1696" s="375">
        <v>70760.753859999997</v>
      </c>
      <c r="N1696" s="372">
        <v>0.624</v>
      </c>
      <c r="O1696" s="704">
        <v>0.65103727541510614</v>
      </c>
      <c r="P1696" s="375" t="s">
        <v>622</v>
      </c>
      <c r="Q1696" s="372" t="s">
        <v>622</v>
      </c>
      <c r="R1696" s="696">
        <v>20180828</v>
      </c>
      <c r="S1696" s="372" t="s">
        <v>11150</v>
      </c>
      <c r="T1696" s="697">
        <v>0.20900000000000002</v>
      </c>
      <c r="U1696" s="372" t="s">
        <v>11151</v>
      </c>
      <c r="V1696" s="723">
        <v>5.29</v>
      </c>
      <c r="W1696" s="723">
        <v>0.73</v>
      </c>
      <c r="X1696" s="723">
        <v>0.28999999999999998</v>
      </c>
      <c r="Y1696" s="723">
        <v>9.81</v>
      </c>
      <c r="Z1696" s="382" t="s">
        <v>927</v>
      </c>
      <c r="AA1696" s="372">
        <v>1322.7316217</v>
      </c>
      <c r="AB1696" s="372">
        <v>923.26395349999996</v>
      </c>
      <c r="AC1696" s="372">
        <v>1329.8043514999999</v>
      </c>
      <c r="AD1696" s="372">
        <v>1568.4610186</v>
      </c>
      <c r="AE1696" s="372">
        <v>0</v>
      </c>
      <c r="AF1696" s="372">
        <v>0</v>
      </c>
      <c r="AG1696" s="372">
        <v>0</v>
      </c>
      <c r="AH1696" s="372">
        <v>0</v>
      </c>
    </row>
    <row r="1697" spans="1:34">
      <c r="A1697" s="372" t="s">
        <v>11152</v>
      </c>
      <c r="B1697" s="373" t="s">
        <v>11153</v>
      </c>
      <c r="C1697" s="372" t="s">
        <v>11154</v>
      </c>
      <c r="D1697" s="374">
        <v>1201110140484</v>
      </c>
      <c r="E1697" s="372" t="s">
        <v>11155</v>
      </c>
      <c r="F1697" s="372" t="s">
        <v>998</v>
      </c>
      <c r="G1697" s="375" t="s">
        <v>999</v>
      </c>
      <c r="H1697" s="375" t="s">
        <v>861</v>
      </c>
      <c r="I1697" s="375" t="s">
        <v>862</v>
      </c>
      <c r="J1697" s="375">
        <v>223229.75307999999</v>
      </c>
      <c r="K1697" s="375">
        <v>11711.304529999999</v>
      </c>
      <c r="L1697" s="375">
        <v>11609.044830000001</v>
      </c>
      <c r="M1697" s="375">
        <v>104995.40832</v>
      </c>
      <c r="N1697" s="372">
        <v>0.96799999999999997</v>
      </c>
      <c r="O1697" s="704">
        <v>64.708125714934141</v>
      </c>
      <c r="P1697" s="375" t="s">
        <v>622</v>
      </c>
      <c r="Q1697" s="372" t="s">
        <v>622</v>
      </c>
      <c r="R1697" s="696">
        <v>20071024</v>
      </c>
      <c r="S1697" s="372" t="s">
        <v>11156</v>
      </c>
      <c r="T1697" s="697">
        <v>0.20900000000000002</v>
      </c>
      <c r="U1697" s="372" t="s">
        <v>11157</v>
      </c>
      <c r="V1697" s="723">
        <v>3.5</v>
      </c>
      <c r="W1697" s="723">
        <v>0.54</v>
      </c>
      <c r="X1697" s="723">
        <v>0.26</v>
      </c>
      <c r="Y1697" s="723">
        <v>5.6</v>
      </c>
      <c r="Z1697" s="382" t="s">
        <v>927</v>
      </c>
      <c r="AA1697" s="372">
        <v>1529.2763651</v>
      </c>
      <c r="AB1697" s="372">
        <v>1842.8418526999999</v>
      </c>
      <c r="AC1697" s="372">
        <v>2098.6781483999998</v>
      </c>
      <c r="AD1697" s="372">
        <v>2373.0121862000001</v>
      </c>
      <c r="AE1697" s="372">
        <v>0</v>
      </c>
      <c r="AF1697" s="372">
        <v>0</v>
      </c>
      <c r="AG1697" s="372">
        <v>0</v>
      </c>
      <c r="AH1697" s="372">
        <v>0</v>
      </c>
    </row>
    <row r="1698" spans="1:34">
      <c r="A1698" s="372" t="s">
        <v>11158</v>
      </c>
      <c r="B1698" s="373" t="s">
        <v>11159</v>
      </c>
      <c r="C1698" s="372" t="s">
        <v>11160</v>
      </c>
      <c r="D1698" s="374">
        <v>1801110515685</v>
      </c>
      <c r="E1698" s="372" t="s">
        <v>11161</v>
      </c>
      <c r="F1698" s="372" t="s">
        <v>2864</v>
      </c>
      <c r="G1698" s="375" t="s">
        <v>2865</v>
      </c>
      <c r="H1698" s="375" t="s">
        <v>861</v>
      </c>
      <c r="I1698" s="375" t="s">
        <v>862</v>
      </c>
      <c r="J1698" s="375">
        <v>54120.397349999999</v>
      </c>
      <c r="K1698" s="375">
        <v>8298.7826700000005</v>
      </c>
      <c r="L1698" s="375">
        <v>6916.3086000000003</v>
      </c>
      <c r="M1698" s="375">
        <v>65405.395570000001</v>
      </c>
      <c r="N1698" s="372">
        <v>0.87</v>
      </c>
      <c r="O1698" s="704">
        <v>34.677245170344264</v>
      </c>
      <c r="P1698" s="375" t="s">
        <v>622</v>
      </c>
      <c r="Q1698" s="372" t="s">
        <v>622</v>
      </c>
      <c r="R1698" s="696">
        <v>20220207</v>
      </c>
      <c r="S1698" s="372" t="s">
        <v>11162</v>
      </c>
      <c r="T1698" s="697">
        <v>0.20900000000000002</v>
      </c>
      <c r="U1698" s="372" t="s">
        <v>11163</v>
      </c>
      <c r="V1698" s="723">
        <v>9.68</v>
      </c>
      <c r="W1698" s="723">
        <v>1.23</v>
      </c>
      <c r="X1698" s="723">
        <v>1.5</v>
      </c>
      <c r="Y1698" s="723">
        <v>19.100000000000001</v>
      </c>
      <c r="Z1698" s="382">
        <v>0.23208240759352128</v>
      </c>
      <c r="AA1698" s="372">
        <v>340.48822200000001</v>
      </c>
      <c r="AB1698" s="372">
        <v>420.2721128</v>
      </c>
      <c r="AC1698" s="372">
        <v>530.52773969999998</v>
      </c>
      <c r="AD1698" s="372">
        <v>477.34640830000001</v>
      </c>
      <c r="AE1698" s="372">
        <v>585.5</v>
      </c>
      <c r="AF1698" s="372">
        <v>791.5</v>
      </c>
      <c r="AG1698" s="372">
        <v>1100</v>
      </c>
      <c r="AH1698" s="372">
        <v>0</v>
      </c>
    </row>
    <row r="1699" spans="1:34">
      <c r="A1699" s="372" t="s">
        <v>11164</v>
      </c>
      <c r="B1699" s="373" t="s">
        <v>11165</v>
      </c>
      <c r="C1699" s="372" t="s">
        <v>11166</v>
      </c>
      <c r="D1699" s="374">
        <v>1101110944036</v>
      </c>
      <c r="E1699" s="372" t="s">
        <v>11167</v>
      </c>
      <c r="F1699" s="375" t="s">
        <v>1796</v>
      </c>
      <c r="G1699" s="375" t="s">
        <v>2797</v>
      </c>
      <c r="H1699" s="375" t="s">
        <v>861</v>
      </c>
      <c r="I1699" s="375" t="s">
        <v>862</v>
      </c>
      <c r="J1699" s="375">
        <v>60578.703670000003</v>
      </c>
      <c r="K1699" s="375">
        <v>2532.37419</v>
      </c>
      <c r="L1699" s="375">
        <v>3661.3120199999998</v>
      </c>
      <c r="M1699" s="375">
        <v>47522.99368</v>
      </c>
      <c r="N1699" s="372">
        <v>0.71599999999999997</v>
      </c>
      <c r="O1699" s="704">
        <v>4.9859033213155399</v>
      </c>
      <c r="P1699" s="375" t="s">
        <v>622</v>
      </c>
      <c r="Q1699" s="372" t="s">
        <v>622</v>
      </c>
      <c r="R1699" s="696">
        <v>20200812</v>
      </c>
      <c r="S1699" s="372" t="s">
        <v>11168</v>
      </c>
      <c r="T1699" s="697">
        <v>0.20900000000000002</v>
      </c>
      <c r="U1699" s="372" t="s">
        <v>11169</v>
      </c>
      <c r="V1699" s="723">
        <v>16.38</v>
      </c>
      <c r="W1699" s="723">
        <v>1.22</v>
      </c>
      <c r="X1699" s="723">
        <v>0.96</v>
      </c>
      <c r="Y1699" s="723">
        <v>18.2</v>
      </c>
      <c r="Z1699" s="382" t="s">
        <v>927</v>
      </c>
      <c r="AA1699" s="372">
        <v>438.72409649999997</v>
      </c>
      <c r="AB1699" s="372">
        <v>477.05702480000002</v>
      </c>
      <c r="AC1699" s="372">
        <v>575.28932350000002</v>
      </c>
      <c r="AD1699" s="372">
        <v>555.1067031</v>
      </c>
      <c r="AE1699" s="372">
        <v>0</v>
      </c>
      <c r="AF1699" s="372">
        <v>0</v>
      </c>
      <c r="AG1699" s="372">
        <v>0</v>
      </c>
      <c r="AH1699" s="372">
        <v>0</v>
      </c>
    </row>
    <row r="1700" spans="1:34">
      <c r="A1700" s="372" t="s">
        <v>11170</v>
      </c>
      <c r="B1700" s="373" t="s">
        <v>11171</v>
      </c>
      <c r="C1700" s="372" t="s">
        <v>16281</v>
      </c>
      <c r="D1700" s="374">
        <v>1101112192493</v>
      </c>
      <c r="E1700" s="372" t="s">
        <v>16282</v>
      </c>
      <c r="F1700" s="372" t="s">
        <v>6617</v>
      </c>
      <c r="G1700" s="375" t="s">
        <v>6617</v>
      </c>
      <c r="H1700" s="375" t="s">
        <v>3099</v>
      </c>
      <c r="I1700" s="375" t="s">
        <v>862</v>
      </c>
      <c r="J1700" s="375">
        <v>0</v>
      </c>
      <c r="K1700" s="375">
        <v>0</v>
      </c>
      <c r="L1700" s="375">
        <v>0</v>
      </c>
      <c r="M1700" s="375">
        <v>47978.847459999997</v>
      </c>
      <c r="N1700" s="372">
        <v>0.44500000000000001</v>
      </c>
      <c r="O1700" s="704">
        <v>24.949923538492069</v>
      </c>
      <c r="P1700" s="375" t="s">
        <v>622</v>
      </c>
      <c r="Q1700" s="372" t="s">
        <v>622</v>
      </c>
      <c r="R1700" s="696">
        <v>20071205</v>
      </c>
      <c r="S1700" s="372" t="s">
        <v>11172</v>
      </c>
      <c r="T1700" s="697" t="s">
        <v>771</v>
      </c>
      <c r="U1700" s="372" t="s">
        <v>11173</v>
      </c>
      <c r="V1700" s="723">
        <v>0</v>
      </c>
      <c r="W1700" s="723">
        <v>1.19</v>
      </c>
      <c r="X1700" s="723">
        <v>0</v>
      </c>
      <c r="Y1700" s="723">
        <v>0</v>
      </c>
      <c r="Z1700" s="382" t="s">
        <v>927</v>
      </c>
      <c r="AA1700" s="372">
        <v>279.14131809999998</v>
      </c>
      <c r="AB1700" s="372">
        <v>215.15302869999999</v>
      </c>
      <c r="AC1700" s="372">
        <v>54.754938199999998</v>
      </c>
      <c r="AD1700" s="372">
        <v>46.467447999999997</v>
      </c>
      <c r="AE1700" s="372">
        <v>0</v>
      </c>
      <c r="AF1700" s="372">
        <v>0</v>
      </c>
      <c r="AG1700" s="372">
        <v>0</v>
      </c>
      <c r="AH1700" s="372">
        <v>0</v>
      </c>
    </row>
    <row r="1701" spans="1:34">
      <c r="A1701" s="372" t="s">
        <v>11174</v>
      </c>
      <c r="B1701" s="373" t="s">
        <v>11175</v>
      </c>
      <c r="C1701" s="372" t="s">
        <v>11176</v>
      </c>
      <c r="D1701" s="374">
        <v>1101110286412</v>
      </c>
      <c r="E1701" s="372" t="s">
        <v>11177</v>
      </c>
      <c r="F1701" s="375" t="s">
        <v>845</v>
      </c>
      <c r="G1701" s="375" t="s">
        <v>845</v>
      </c>
      <c r="H1701" s="375" t="s">
        <v>846</v>
      </c>
      <c r="I1701" s="375" t="s">
        <v>754</v>
      </c>
      <c r="J1701" s="375">
        <v>261650.23131</v>
      </c>
      <c r="K1701" s="375">
        <v>-3488.3045400000001</v>
      </c>
      <c r="L1701" s="375">
        <v>-43062.702380000002</v>
      </c>
      <c r="M1701" s="375">
        <v>182314.86958</v>
      </c>
      <c r="N1701" s="372">
        <v>0.62</v>
      </c>
      <c r="O1701" s="704">
        <v>56.705737728132789</v>
      </c>
      <c r="P1701" s="375" t="s">
        <v>622</v>
      </c>
      <c r="Q1701" s="372" t="s">
        <v>622</v>
      </c>
      <c r="R1701" s="696">
        <v>19880831</v>
      </c>
      <c r="S1701" s="372" t="s">
        <v>15929</v>
      </c>
      <c r="T1701" s="697" t="s">
        <v>771</v>
      </c>
      <c r="U1701" s="372" t="s">
        <v>15930</v>
      </c>
      <c r="V1701" s="723">
        <v>19.75</v>
      </c>
      <c r="W1701" s="723">
        <v>0.84</v>
      </c>
      <c r="X1701" s="723">
        <v>0.2</v>
      </c>
      <c r="Y1701" s="723" t="s">
        <v>773</v>
      </c>
      <c r="Z1701" s="382" t="s">
        <v>927</v>
      </c>
      <c r="AA1701" s="372">
        <v>340.87130000000002</v>
      </c>
      <c r="AB1701" s="372">
        <v>408.31807099999997</v>
      </c>
      <c r="AC1701" s="372">
        <v>1313.0168666</v>
      </c>
      <c r="AD1701" s="372">
        <v>2144.202937</v>
      </c>
      <c r="AE1701" s="372">
        <v>0</v>
      </c>
      <c r="AF1701" s="372">
        <v>0</v>
      </c>
      <c r="AG1701" s="372">
        <v>0</v>
      </c>
      <c r="AH1701" s="372">
        <v>0</v>
      </c>
    </row>
    <row r="1702" spans="1:34">
      <c r="A1702" s="372" t="s">
        <v>11178</v>
      </c>
      <c r="B1702" s="373" t="s">
        <v>11179</v>
      </c>
      <c r="C1702" s="372" t="s">
        <v>11180</v>
      </c>
      <c r="D1702" s="374">
        <v>1101110274699</v>
      </c>
      <c r="E1702" s="372" t="s">
        <v>11181</v>
      </c>
      <c r="F1702" s="375" t="s">
        <v>1384</v>
      </c>
      <c r="G1702" s="375" t="s">
        <v>1385</v>
      </c>
      <c r="H1702" s="375" t="s">
        <v>1386</v>
      </c>
      <c r="I1702" s="375" t="s">
        <v>754</v>
      </c>
      <c r="J1702" s="375">
        <v>1578308.1408500001</v>
      </c>
      <c r="K1702" s="375">
        <v>63695.291620000004</v>
      </c>
      <c r="L1702" s="375">
        <v>48049.528250000003</v>
      </c>
      <c r="M1702" s="375">
        <v>476065.87050999998</v>
      </c>
      <c r="N1702" s="372">
        <v>0.68400000000000005</v>
      </c>
      <c r="O1702" s="704">
        <v>927.89475022186014</v>
      </c>
      <c r="P1702" s="375" t="s">
        <v>622</v>
      </c>
      <c r="Q1702" s="372" t="s">
        <v>622</v>
      </c>
      <c r="R1702" s="696">
        <v>19940812</v>
      </c>
      <c r="S1702" s="372" t="s">
        <v>11182</v>
      </c>
      <c r="T1702" s="697">
        <v>0.23100000000000001</v>
      </c>
      <c r="U1702" s="372" t="s">
        <v>15931</v>
      </c>
      <c r="V1702" s="723">
        <v>10.38</v>
      </c>
      <c r="W1702" s="723">
        <v>0.24</v>
      </c>
      <c r="X1702" s="723">
        <v>7.0000000000000007E-2</v>
      </c>
      <c r="Y1702" s="723">
        <v>2.9</v>
      </c>
      <c r="Z1702" s="382">
        <v>-2.0383108635282365E-3</v>
      </c>
      <c r="AA1702" s="372">
        <v>15508.7704421</v>
      </c>
      <c r="AB1702" s="372">
        <v>14752.990615299999</v>
      </c>
      <c r="AC1702" s="372">
        <v>14720.882716800001</v>
      </c>
      <c r="AD1702" s="372">
        <v>15719.775824799999</v>
      </c>
      <c r="AE1702" s="372">
        <v>15266.2</v>
      </c>
      <c r="AF1702" s="372">
        <v>15096</v>
      </c>
      <c r="AG1702" s="372">
        <v>15592</v>
      </c>
      <c r="AH1702" s="372">
        <v>14960</v>
      </c>
    </row>
    <row r="1703" spans="1:34">
      <c r="A1703" s="372" t="s">
        <v>11183</v>
      </c>
      <c r="B1703" s="373" t="s">
        <v>11184</v>
      </c>
      <c r="C1703" s="372" t="s">
        <v>11185</v>
      </c>
      <c r="D1703" s="374">
        <v>1345110053211</v>
      </c>
      <c r="E1703" s="372" t="s">
        <v>11186</v>
      </c>
      <c r="F1703" s="375" t="s">
        <v>824</v>
      </c>
      <c r="G1703" s="375" t="s">
        <v>16108</v>
      </c>
      <c r="H1703" s="375" t="s">
        <v>861</v>
      </c>
      <c r="I1703" s="375" t="s">
        <v>862</v>
      </c>
      <c r="J1703" s="375">
        <v>44407.80631</v>
      </c>
      <c r="K1703" s="375">
        <v>-1882.2501500000001</v>
      </c>
      <c r="L1703" s="375">
        <v>-2964.6404299999999</v>
      </c>
      <c r="M1703" s="375">
        <v>48233.311829999999</v>
      </c>
      <c r="N1703" s="372">
        <v>1.113</v>
      </c>
      <c r="O1703" s="704">
        <v>106.05244023161369</v>
      </c>
      <c r="P1703" s="375" t="s">
        <v>622</v>
      </c>
      <c r="Q1703" s="375" t="s">
        <v>622</v>
      </c>
      <c r="R1703" s="696">
        <v>20131118</v>
      </c>
      <c r="S1703" s="375" t="s">
        <v>11187</v>
      </c>
      <c r="T1703" s="697" t="s">
        <v>771</v>
      </c>
      <c r="U1703" s="372" t="s">
        <v>11188</v>
      </c>
      <c r="V1703" s="723">
        <v>81.48</v>
      </c>
      <c r="W1703" s="723">
        <v>1.26</v>
      </c>
      <c r="X1703" s="723">
        <v>1.36</v>
      </c>
      <c r="Y1703" s="723" t="s">
        <v>773</v>
      </c>
      <c r="Z1703" s="382" t="s">
        <v>927</v>
      </c>
      <c r="AA1703" s="372">
        <v>427.58550220000001</v>
      </c>
      <c r="AB1703" s="372">
        <v>485.8285965</v>
      </c>
      <c r="AC1703" s="372">
        <v>670.22778730000005</v>
      </c>
      <c r="AD1703" s="372">
        <v>429.75926479999998</v>
      </c>
      <c r="AE1703" s="372">
        <v>0</v>
      </c>
      <c r="AF1703" s="372">
        <v>0</v>
      </c>
      <c r="AG1703" s="372">
        <v>0</v>
      </c>
      <c r="AH1703" s="372">
        <v>0</v>
      </c>
    </row>
    <row r="1704" spans="1:34">
      <c r="A1704" s="372" t="s">
        <v>11189</v>
      </c>
      <c r="B1704" s="373" t="s">
        <v>11190</v>
      </c>
      <c r="C1704" s="372" t="s">
        <v>11191</v>
      </c>
      <c r="D1704" s="374">
        <v>1201110517154</v>
      </c>
      <c r="E1704" s="372" t="s">
        <v>11192</v>
      </c>
      <c r="F1704" s="372" t="s">
        <v>2170</v>
      </c>
      <c r="G1704" s="375" t="s">
        <v>11193</v>
      </c>
      <c r="H1704" s="375" t="s">
        <v>861</v>
      </c>
      <c r="I1704" s="375" t="s">
        <v>862</v>
      </c>
      <c r="J1704" s="375">
        <v>103955.29094000001</v>
      </c>
      <c r="K1704" s="375">
        <v>-9666.7857000000004</v>
      </c>
      <c r="L1704" s="375">
        <v>-40598.277419999999</v>
      </c>
      <c r="M1704" s="375">
        <v>83193.767120000004</v>
      </c>
      <c r="N1704" s="372">
        <v>9.4E-2</v>
      </c>
      <c r="O1704" s="704">
        <v>28.664134787019702</v>
      </c>
      <c r="P1704" s="375" t="s">
        <v>622</v>
      </c>
      <c r="Q1704" s="372" t="s">
        <v>622</v>
      </c>
      <c r="R1704" s="696">
        <v>20180126</v>
      </c>
      <c r="S1704" s="372" t="s">
        <v>11194</v>
      </c>
      <c r="T1704" s="697" t="s">
        <v>771</v>
      </c>
      <c r="U1704" s="372" t="s">
        <v>11195</v>
      </c>
      <c r="V1704" s="723" t="s">
        <v>773</v>
      </c>
      <c r="W1704" s="723">
        <v>2.11</v>
      </c>
      <c r="X1704" s="723">
        <v>1.56</v>
      </c>
      <c r="Y1704" s="723" t="s">
        <v>773</v>
      </c>
      <c r="Z1704" s="382" t="s">
        <v>927</v>
      </c>
      <c r="AA1704" s="372">
        <v>759.11800229999994</v>
      </c>
      <c r="AB1704" s="372">
        <v>701.02082499999995</v>
      </c>
      <c r="AC1704" s="372">
        <v>898.58217239999999</v>
      </c>
      <c r="AD1704" s="372">
        <v>809.21130310000001</v>
      </c>
      <c r="AE1704" s="372">
        <v>1516</v>
      </c>
      <c r="AF1704" s="372">
        <v>2196</v>
      </c>
      <c r="AG1704" s="372">
        <v>0</v>
      </c>
      <c r="AH1704" s="372">
        <v>0</v>
      </c>
    </row>
    <row r="1705" spans="1:34">
      <c r="A1705" s="372" t="s">
        <v>11196</v>
      </c>
      <c r="B1705" s="373" t="s">
        <v>11197</v>
      </c>
      <c r="C1705" s="372" t="s">
        <v>11198</v>
      </c>
      <c r="D1705" s="374">
        <v>1801110007088</v>
      </c>
      <c r="E1705" s="372" t="s">
        <v>11199</v>
      </c>
      <c r="F1705" s="375" t="s">
        <v>1682</v>
      </c>
      <c r="G1705" s="375" t="s">
        <v>1683</v>
      </c>
      <c r="H1705" s="375" t="s">
        <v>826</v>
      </c>
      <c r="I1705" s="375" t="s">
        <v>754</v>
      </c>
      <c r="J1705" s="375">
        <v>248546.43423000001</v>
      </c>
      <c r="K1705" s="375">
        <v>4393.97577</v>
      </c>
      <c r="L1705" s="375">
        <v>13271.704</v>
      </c>
      <c r="M1705" s="375">
        <v>183510.51303</v>
      </c>
      <c r="N1705" s="372">
        <v>0.71599999999999997</v>
      </c>
      <c r="O1705" s="704">
        <v>216.39392867714221</v>
      </c>
      <c r="P1705" s="375" t="s">
        <v>622</v>
      </c>
      <c r="Q1705" s="375" t="s">
        <v>622</v>
      </c>
      <c r="R1705" s="696">
        <v>19761227</v>
      </c>
      <c r="S1705" s="372" t="s">
        <v>11200</v>
      </c>
      <c r="T1705" s="697">
        <v>0.20900000000000002</v>
      </c>
      <c r="U1705" s="372" t="s">
        <v>11201</v>
      </c>
      <c r="V1705" s="723">
        <v>19.07</v>
      </c>
      <c r="W1705" s="723">
        <v>0.44</v>
      </c>
      <c r="X1705" s="723">
        <v>0.34</v>
      </c>
      <c r="Y1705" s="723">
        <v>6.23</v>
      </c>
      <c r="Z1705" s="382" t="s">
        <v>927</v>
      </c>
      <c r="AA1705" s="372">
        <v>2013.032451</v>
      </c>
      <c r="AB1705" s="372">
        <v>2385.4780016999998</v>
      </c>
      <c r="AC1705" s="372">
        <v>2604.7073789999999</v>
      </c>
      <c r="AD1705" s="372">
        <v>2528.1841276</v>
      </c>
      <c r="AE1705" s="372">
        <v>3204</v>
      </c>
      <c r="AF1705" s="372">
        <v>0</v>
      </c>
      <c r="AG1705" s="372">
        <v>0</v>
      </c>
      <c r="AH1705" s="372">
        <v>0</v>
      </c>
    </row>
    <row r="1706" spans="1:34">
      <c r="A1706" s="372" t="s">
        <v>11202</v>
      </c>
      <c r="B1706" s="373" t="s">
        <v>11203</v>
      </c>
      <c r="C1706" s="372" t="s">
        <v>16028</v>
      </c>
      <c r="D1706" s="374">
        <v>1747110001791</v>
      </c>
      <c r="E1706" s="372" t="s">
        <v>11204</v>
      </c>
      <c r="F1706" s="375" t="s">
        <v>2992</v>
      </c>
      <c r="G1706" s="375" t="s">
        <v>2992</v>
      </c>
      <c r="H1706" s="375" t="s">
        <v>861</v>
      </c>
      <c r="I1706" s="375" t="s">
        <v>862</v>
      </c>
      <c r="J1706" s="375">
        <v>381856.91872000002</v>
      </c>
      <c r="K1706" s="375">
        <v>27069.43316</v>
      </c>
      <c r="L1706" s="375">
        <v>22004.86348</v>
      </c>
      <c r="M1706" s="375">
        <v>120462.48517</v>
      </c>
      <c r="N1706" s="372">
        <v>0.98299999999999998</v>
      </c>
      <c r="O1706" s="704">
        <v>206.39042252389439</v>
      </c>
      <c r="P1706" s="375" t="s">
        <v>622</v>
      </c>
      <c r="Q1706" s="372" t="s">
        <v>622</v>
      </c>
      <c r="R1706" s="696">
        <v>20020205</v>
      </c>
      <c r="S1706" s="372" t="s">
        <v>11205</v>
      </c>
      <c r="T1706" s="697">
        <v>0.23100000000000001</v>
      </c>
      <c r="U1706" s="372" t="s">
        <v>11206</v>
      </c>
      <c r="V1706" s="723">
        <v>3.58</v>
      </c>
      <c r="W1706" s="723">
        <v>0.53</v>
      </c>
      <c r="X1706" s="723">
        <v>0.17</v>
      </c>
      <c r="Y1706" s="723">
        <v>3.39</v>
      </c>
      <c r="Z1706" s="382" t="s">
        <v>927</v>
      </c>
      <c r="AA1706" s="372">
        <v>1966.6050802</v>
      </c>
      <c r="AB1706" s="372">
        <v>2033.9845183</v>
      </c>
      <c r="AC1706" s="372">
        <v>2742.0775475</v>
      </c>
      <c r="AD1706" s="372">
        <v>3574.3843542999998</v>
      </c>
      <c r="AE1706" s="372">
        <v>0</v>
      </c>
      <c r="AF1706" s="372">
        <v>0</v>
      </c>
      <c r="AG1706" s="372">
        <v>0</v>
      </c>
      <c r="AH1706" s="372">
        <v>0</v>
      </c>
    </row>
    <row r="1707" spans="1:34">
      <c r="A1707" s="372" t="s">
        <v>11207</v>
      </c>
      <c r="B1707" s="373" t="s">
        <v>11208</v>
      </c>
      <c r="C1707" s="372" t="s">
        <v>16029</v>
      </c>
      <c r="D1707" s="374">
        <v>1301110004620</v>
      </c>
      <c r="E1707" s="372" t="s">
        <v>16030</v>
      </c>
      <c r="F1707" s="375" t="s">
        <v>1069</v>
      </c>
      <c r="G1707" s="375" t="s">
        <v>1069</v>
      </c>
      <c r="H1707" s="375" t="s">
        <v>3099</v>
      </c>
      <c r="I1707" s="375" t="s">
        <v>862</v>
      </c>
      <c r="J1707" s="375">
        <v>95995.645579999997</v>
      </c>
      <c r="K1707" s="375">
        <v>-14790.92477</v>
      </c>
      <c r="L1707" s="375">
        <v>-15215.5934</v>
      </c>
      <c r="M1707" s="375">
        <v>176841.30593</v>
      </c>
      <c r="N1707" s="372">
        <v>1.095</v>
      </c>
      <c r="O1707" s="704">
        <v>0.4284254247678197</v>
      </c>
      <c r="P1707" s="375" t="s">
        <v>622</v>
      </c>
      <c r="Q1707" s="375" t="s">
        <v>622</v>
      </c>
      <c r="R1707" s="696">
        <v>20030702</v>
      </c>
      <c r="S1707" s="375" t="s">
        <v>16031</v>
      </c>
      <c r="T1707" s="697" t="s">
        <v>771</v>
      </c>
      <c r="U1707" s="372" t="s">
        <v>11209</v>
      </c>
      <c r="V1707" s="723" t="s">
        <v>773</v>
      </c>
      <c r="W1707" s="723">
        <v>0.39</v>
      </c>
      <c r="X1707" s="723">
        <v>0.74</v>
      </c>
      <c r="Y1707" s="723" t="s">
        <v>773</v>
      </c>
      <c r="Z1707" s="382" t="s">
        <v>927</v>
      </c>
      <c r="AA1707" s="372">
        <v>2451.4853327999999</v>
      </c>
      <c r="AB1707" s="372">
        <v>1862.9300255000001</v>
      </c>
      <c r="AC1707" s="372">
        <v>1375.7142455999999</v>
      </c>
      <c r="AD1707" s="372">
        <v>870.41126629999997</v>
      </c>
      <c r="AE1707" s="372">
        <v>0</v>
      </c>
      <c r="AF1707" s="372">
        <v>0</v>
      </c>
      <c r="AG1707" s="372">
        <v>0</v>
      </c>
      <c r="AH1707" s="372">
        <v>0</v>
      </c>
    </row>
    <row r="1708" spans="1:34">
      <c r="A1708" s="372" t="s">
        <v>11210</v>
      </c>
      <c r="B1708" s="373" t="s">
        <v>11211</v>
      </c>
      <c r="C1708" s="372" t="s">
        <v>11212</v>
      </c>
      <c r="D1708" s="374">
        <v>1101113403972</v>
      </c>
      <c r="E1708" s="372" t="s">
        <v>11213</v>
      </c>
      <c r="F1708" s="375" t="s">
        <v>16101</v>
      </c>
      <c r="G1708" s="375" t="s">
        <v>16101</v>
      </c>
      <c r="H1708" s="375" t="s">
        <v>861</v>
      </c>
      <c r="I1708" s="375" t="s">
        <v>862</v>
      </c>
      <c r="J1708" s="375">
        <v>7283.3545999999997</v>
      </c>
      <c r="K1708" s="375">
        <v>-9827.8905400000003</v>
      </c>
      <c r="L1708" s="375">
        <v>-10408.717919999999</v>
      </c>
      <c r="M1708" s="375">
        <v>82509.410610000006</v>
      </c>
      <c r="N1708" s="372">
        <v>0.84799999999999998</v>
      </c>
      <c r="O1708" s="704">
        <v>47.200877114037141</v>
      </c>
      <c r="P1708" s="375" t="s">
        <v>622</v>
      </c>
      <c r="Q1708" s="372" t="s">
        <v>622</v>
      </c>
      <c r="R1708" s="696">
        <v>20150803</v>
      </c>
      <c r="S1708" s="372" t="s">
        <v>11214</v>
      </c>
      <c r="T1708" s="697" t="s">
        <v>771</v>
      </c>
      <c r="U1708" s="372" t="s">
        <v>11215</v>
      </c>
      <c r="V1708" s="723" t="s">
        <v>773</v>
      </c>
      <c r="W1708" s="723">
        <v>0.64</v>
      </c>
      <c r="X1708" s="723">
        <v>8.19</v>
      </c>
      <c r="Y1708" s="723" t="s">
        <v>773</v>
      </c>
      <c r="Z1708" s="382" t="s">
        <v>927</v>
      </c>
      <c r="AA1708" s="372">
        <v>853.02769679999994</v>
      </c>
      <c r="AB1708" s="372">
        <v>728.34041409999998</v>
      </c>
      <c r="AC1708" s="372">
        <v>380.84568960000001</v>
      </c>
      <c r="AD1708" s="372">
        <v>97.613014100000001</v>
      </c>
      <c r="AE1708" s="372">
        <v>0</v>
      </c>
      <c r="AF1708" s="372">
        <v>0</v>
      </c>
      <c r="AG1708" s="372">
        <v>0</v>
      </c>
      <c r="AH1708" s="372">
        <v>0</v>
      </c>
    </row>
    <row r="1709" spans="1:34">
      <c r="A1709" s="372" t="s">
        <v>11216</v>
      </c>
      <c r="B1709" s="373" t="s">
        <v>11217</v>
      </c>
      <c r="C1709" s="372" t="s">
        <v>11218</v>
      </c>
      <c r="D1709" s="374">
        <v>1648110010780</v>
      </c>
      <c r="E1709" s="372" t="s">
        <v>11219</v>
      </c>
      <c r="F1709" s="375" t="s">
        <v>11220</v>
      </c>
      <c r="G1709" s="375" t="s">
        <v>11220</v>
      </c>
      <c r="H1709" s="375" t="s">
        <v>861</v>
      </c>
      <c r="I1709" s="375" t="s">
        <v>862</v>
      </c>
      <c r="J1709" s="375">
        <v>140965.4896</v>
      </c>
      <c r="K1709" s="375">
        <v>13225.427170000001</v>
      </c>
      <c r="L1709" s="375">
        <v>10987.58993</v>
      </c>
      <c r="M1709" s="375">
        <v>119952.94843</v>
      </c>
      <c r="N1709" s="372">
        <v>1.069</v>
      </c>
      <c r="O1709" s="704">
        <v>78.371347920714001</v>
      </c>
      <c r="P1709" s="375" t="s">
        <v>622</v>
      </c>
      <c r="Q1709" s="372" t="s">
        <v>622</v>
      </c>
      <c r="R1709" s="696">
        <v>20050114</v>
      </c>
      <c r="S1709" s="372" t="s">
        <v>11221</v>
      </c>
      <c r="T1709" s="697">
        <v>0.20900000000000002</v>
      </c>
      <c r="U1709" s="372" t="s">
        <v>15932</v>
      </c>
      <c r="V1709" s="723">
        <v>3.03</v>
      </c>
      <c r="W1709" s="723">
        <v>0.46</v>
      </c>
      <c r="X1709" s="723">
        <v>0.4</v>
      </c>
      <c r="Y1709" s="723">
        <v>5.96</v>
      </c>
      <c r="Z1709" s="382" t="s">
        <v>927</v>
      </c>
      <c r="AA1709" s="372">
        <v>747.2457958</v>
      </c>
      <c r="AB1709" s="372">
        <v>1048.9737130000001</v>
      </c>
      <c r="AC1709" s="372">
        <v>1564.1051522</v>
      </c>
      <c r="AD1709" s="372">
        <v>1546.7724519999999</v>
      </c>
      <c r="AE1709" s="372">
        <v>0</v>
      </c>
      <c r="AF1709" s="372">
        <v>0</v>
      </c>
      <c r="AG1709" s="372">
        <v>0</v>
      </c>
      <c r="AH1709" s="372">
        <v>0</v>
      </c>
    </row>
    <row r="1710" spans="1:34">
      <c r="A1710" s="372" t="s">
        <v>11222</v>
      </c>
      <c r="B1710" s="373" t="s">
        <v>11223</v>
      </c>
      <c r="C1710" s="372" t="s">
        <v>11224</v>
      </c>
      <c r="D1710" s="374">
        <v>1101111201071</v>
      </c>
      <c r="E1710" s="372" t="s">
        <v>11225</v>
      </c>
      <c r="F1710" s="375" t="s">
        <v>2518</v>
      </c>
      <c r="G1710" s="375" t="s">
        <v>2518</v>
      </c>
      <c r="H1710" s="375" t="s">
        <v>1337</v>
      </c>
      <c r="I1710" s="375" t="s">
        <v>862</v>
      </c>
      <c r="J1710" s="375">
        <v>36448.409440000003</v>
      </c>
      <c r="K1710" s="375">
        <v>1324.4733799999999</v>
      </c>
      <c r="L1710" s="375">
        <v>3707.9501</v>
      </c>
      <c r="M1710" s="375">
        <v>87004.30575</v>
      </c>
      <c r="N1710" s="372">
        <v>0.49</v>
      </c>
      <c r="O1710" s="704">
        <v>3.4996635086018615</v>
      </c>
      <c r="P1710" s="375" t="s">
        <v>622</v>
      </c>
      <c r="Q1710" s="372" t="s">
        <v>622</v>
      </c>
      <c r="R1710" s="696">
        <v>19970806</v>
      </c>
      <c r="S1710" s="372" t="s">
        <v>11226</v>
      </c>
      <c r="T1710" s="697">
        <v>0.20900000000000002</v>
      </c>
      <c r="U1710" s="375" t="s">
        <v>11227</v>
      </c>
      <c r="V1710" s="723">
        <v>14.07</v>
      </c>
      <c r="W1710" s="723">
        <v>0.69</v>
      </c>
      <c r="X1710" s="723">
        <v>1.64</v>
      </c>
      <c r="Y1710" s="723">
        <v>21.65</v>
      </c>
      <c r="Z1710" s="382" t="s">
        <v>927</v>
      </c>
      <c r="AA1710" s="372">
        <v>303.61095710000001</v>
      </c>
      <c r="AB1710" s="372">
        <v>334.51533740000002</v>
      </c>
      <c r="AC1710" s="372">
        <v>347.14775580000003</v>
      </c>
      <c r="AD1710" s="372">
        <v>365.71550719999999</v>
      </c>
      <c r="AE1710" s="372">
        <v>0</v>
      </c>
      <c r="AF1710" s="372">
        <v>0</v>
      </c>
      <c r="AG1710" s="372">
        <v>0</v>
      </c>
      <c r="AH1710" s="372">
        <v>0</v>
      </c>
    </row>
    <row r="1711" spans="1:34">
      <c r="A1711" s="372" t="s">
        <v>11228</v>
      </c>
      <c r="B1711" s="373" t="s">
        <v>11229</v>
      </c>
      <c r="C1711" s="372" t="s">
        <v>11230</v>
      </c>
      <c r="D1711" s="374">
        <v>1615110030026</v>
      </c>
      <c r="E1711" s="372" t="s">
        <v>11231</v>
      </c>
      <c r="F1711" s="375" t="s">
        <v>1863</v>
      </c>
      <c r="G1711" s="375" t="s">
        <v>1864</v>
      </c>
      <c r="H1711" s="375" t="s">
        <v>792</v>
      </c>
      <c r="I1711" s="375" t="s">
        <v>754</v>
      </c>
      <c r="J1711" s="375">
        <v>142948.60041000001</v>
      </c>
      <c r="K1711" s="375">
        <v>-2187.4821900000002</v>
      </c>
      <c r="L1711" s="375">
        <v>3633.4687899999999</v>
      </c>
      <c r="M1711" s="375">
        <v>236858.36605000001</v>
      </c>
      <c r="N1711" s="372">
        <v>0.38200000000000001</v>
      </c>
      <c r="O1711" s="704">
        <v>0.94210976328191942</v>
      </c>
      <c r="P1711" s="375" t="s">
        <v>622</v>
      </c>
      <c r="Q1711" s="372" t="s">
        <v>622</v>
      </c>
      <c r="R1711" s="696">
        <v>20051021</v>
      </c>
      <c r="S1711" s="372" t="s">
        <v>11232</v>
      </c>
      <c r="T1711" s="697">
        <v>0.20900000000000002</v>
      </c>
      <c r="U1711" s="372" t="s">
        <v>11233</v>
      </c>
      <c r="V1711" s="723">
        <v>12.95</v>
      </c>
      <c r="W1711" s="723">
        <v>0.32</v>
      </c>
      <c r="X1711" s="723">
        <v>0.52</v>
      </c>
      <c r="Y1711" s="723">
        <v>27.52</v>
      </c>
      <c r="Z1711" s="382" t="s">
        <v>927</v>
      </c>
      <c r="AA1711" s="372">
        <v>1356.6084192999999</v>
      </c>
      <c r="AB1711" s="372">
        <v>1276.0561256999999</v>
      </c>
      <c r="AC1711" s="372">
        <v>1380.3755040999999</v>
      </c>
      <c r="AD1711" s="372">
        <v>1403.0723118000001</v>
      </c>
      <c r="AE1711" s="372">
        <v>0</v>
      </c>
      <c r="AF1711" s="372">
        <v>0</v>
      </c>
      <c r="AG1711" s="372">
        <v>0</v>
      </c>
      <c r="AH1711" s="372">
        <v>0</v>
      </c>
    </row>
    <row r="1712" spans="1:34">
      <c r="A1712" s="372" t="s">
        <v>11234</v>
      </c>
      <c r="B1712" s="373" t="s">
        <v>11235</v>
      </c>
      <c r="C1712" s="372" t="s">
        <v>11236</v>
      </c>
      <c r="D1712" s="374">
        <v>1101110425432</v>
      </c>
      <c r="E1712" s="372" t="s">
        <v>11237</v>
      </c>
      <c r="F1712" s="375" t="s">
        <v>5700</v>
      </c>
      <c r="G1712" s="375" t="s">
        <v>5701</v>
      </c>
      <c r="H1712" s="375" t="s">
        <v>3099</v>
      </c>
      <c r="I1712" s="375" t="s">
        <v>862</v>
      </c>
      <c r="J1712" s="375">
        <v>274590.42783</v>
      </c>
      <c r="K1712" s="375">
        <v>4048.2712000000001</v>
      </c>
      <c r="L1712" s="375">
        <v>4834.1935299999996</v>
      </c>
      <c r="M1712" s="375">
        <v>107547.46765000001</v>
      </c>
      <c r="N1712" s="372">
        <v>1.335</v>
      </c>
      <c r="O1712" s="704">
        <v>32.570298680054236</v>
      </c>
      <c r="P1712" s="375" t="s">
        <v>622</v>
      </c>
      <c r="Q1712" s="375" t="s">
        <v>622</v>
      </c>
      <c r="R1712" s="696">
        <v>19951028</v>
      </c>
      <c r="S1712" s="375" t="s">
        <v>11238</v>
      </c>
      <c r="T1712" s="697">
        <v>0.20900000000000002</v>
      </c>
      <c r="U1712" s="372" t="s">
        <v>11239</v>
      </c>
      <c r="V1712" s="723">
        <v>10.220000000000001</v>
      </c>
      <c r="W1712" s="723">
        <v>0.53</v>
      </c>
      <c r="X1712" s="723">
        <v>0.21</v>
      </c>
      <c r="Y1712" s="723">
        <v>16.12</v>
      </c>
      <c r="Z1712" s="382" t="s">
        <v>927</v>
      </c>
      <c r="AA1712" s="372">
        <v>1954.1810264000001</v>
      </c>
      <c r="AB1712" s="372">
        <v>2583.8156577999998</v>
      </c>
      <c r="AC1712" s="372">
        <v>2459.7991081999999</v>
      </c>
      <c r="AD1712" s="372">
        <v>2443.7614702000001</v>
      </c>
      <c r="AE1712" s="372">
        <v>0</v>
      </c>
      <c r="AF1712" s="372">
        <v>0</v>
      </c>
      <c r="AG1712" s="372">
        <v>0</v>
      </c>
      <c r="AH1712" s="372">
        <v>0</v>
      </c>
    </row>
    <row r="1713" spans="1:34">
      <c r="A1713" s="372" t="s">
        <v>11240</v>
      </c>
      <c r="B1713" s="373" t="s">
        <v>11241</v>
      </c>
      <c r="C1713" s="372" t="s">
        <v>11242</v>
      </c>
      <c r="D1713" s="374">
        <v>1101110657499</v>
      </c>
      <c r="E1713" s="372" t="s">
        <v>11243</v>
      </c>
      <c r="F1713" s="375" t="s">
        <v>1357</v>
      </c>
      <c r="G1713" s="375" t="s">
        <v>1357</v>
      </c>
      <c r="H1713" s="375" t="s">
        <v>861</v>
      </c>
      <c r="I1713" s="375" t="s">
        <v>862</v>
      </c>
      <c r="J1713" s="375">
        <v>39040.419439999998</v>
      </c>
      <c r="K1713" s="375">
        <v>-2781.1989199999998</v>
      </c>
      <c r="L1713" s="375">
        <v>-3542.9600999999998</v>
      </c>
      <c r="M1713" s="375">
        <v>18875.965329999999</v>
      </c>
      <c r="N1713" s="372">
        <v>0.503</v>
      </c>
      <c r="O1713" s="704">
        <v>18.817834759450477</v>
      </c>
      <c r="P1713" s="375" t="s">
        <v>622</v>
      </c>
      <c r="Q1713" s="375" t="s">
        <v>622</v>
      </c>
      <c r="R1713" s="696">
        <v>20060725</v>
      </c>
      <c r="S1713" s="375" t="s">
        <v>11244</v>
      </c>
      <c r="T1713" s="697" t="s">
        <v>771</v>
      </c>
      <c r="U1713" s="372" t="s">
        <v>11245</v>
      </c>
      <c r="V1713" s="723" t="s">
        <v>773</v>
      </c>
      <c r="W1713" s="723">
        <v>2.74</v>
      </c>
      <c r="X1713" s="723">
        <v>1.41</v>
      </c>
      <c r="Y1713" s="723" t="s">
        <v>773</v>
      </c>
      <c r="Z1713" s="382" t="s">
        <v>927</v>
      </c>
      <c r="AA1713" s="372">
        <v>583.0877855</v>
      </c>
      <c r="AB1713" s="372">
        <v>602.97016689999998</v>
      </c>
      <c r="AC1713" s="372">
        <v>611.99059260000001</v>
      </c>
      <c r="AD1713" s="372">
        <v>445.86544400000002</v>
      </c>
      <c r="AE1713" s="372">
        <v>0</v>
      </c>
      <c r="AF1713" s="372">
        <v>0</v>
      </c>
      <c r="AG1713" s="372">
        <v>0</v>
      </c>
      <c r="AH1713" s="372">
        <v>0</v>
      </c>
    </row>
    <row r="1714" spans="1:34">
      <c r="A1714" s="372" t="s">
        <v>11246</v>
      </c>
      <c r="B1714" s="373" t="s">
        <v>11247</v>
      </c>
      <c r="C1714" s="372" t="s">
        <v>11248</v>
      </c>
      <c r="D1714" s="374">
        <v>1101114249458</v>
      </c>
      <c r="E1714" s="372" t="s">
        <v>11249</v>
      </c>
      <c r="F1714" s="375" t="s">
        <v>880</v>
      </c>
      <c r="G1714" s="375" t="s">
        <v>880</v>
      </c>
      <c r="H1714" s="375" t="s">
        <v>861</v>
      </c>
      <c r="I1714" s="375" t="s">
        <v>862</v>
      </c>
      <c r="J1714" s="375">
        <v>537731.96469000005</v>
      </c>
      <c r="K1714" s="375">
        <v>1429.7281800000001</v>
      </c>
      <c r="L1714" s="375">
        <v>-2935.5289299999999</v>
      </c>
      <c r="M1714" s="375">
        <v>166804.69980999999</v>
      </c>
      <c r="N1714" s="372">
        <v>1.0149999999999999</v>
      </c>
      <c r="O1714" s="704">
        <v>603.17720659455597</v>
      </c>
      <c r="P1714" s="375" t="s">
        <v>622</v>
      </c>
      <c r="Q1714" s="372" t="s">
        <v>622</v>
      </c>
      <c r="R1714" s="696">
        <v>20100319</v>
      </c>
      <c r="S1714" s="372" t="s">
        <v>11250</v>
      </c>
      <c r="T1714" s="697" t="s">
        <v>771</v>
      </c>
      <c r="U1714" s="372" t="s">
        <v>11251</v>
      </c>
      <c r="V1714" s="723">
        <v>8.5500000000000007</v>
      </c>
      <c r="W1714" s="723">
        <v>0.56000000000000005</v>
      </c>
      <c r="X1714" s="723">
        <v>0.11</v>
      </c>
      <c r="Y1714" s="723">
        <v>9.93</v>
      </c>
      <c r="Z1714" s="382" t="s">
        <v>927</v>
      </c>
      <c r="AA1714" s="372">
        <v>3626.4582461</v>
      </c>
      <c r="AB1714" s="372">
        <v>5045.1190790999999</v>
      </c>
      <c r="AC1714" s="372">
        <v>5241.4524309999997</v>
      </c>
      <c r="AD1714" s="372">
        <v>5374.4145027000004</v>
      </c>
      <c r="AE1714" s="372">
        <v>0</v>
      </c>
      <c r="AF1714" s="372">
        <v>0</v>
      </c>
      <c r="AG1714" s="372">
        <v>0</v>
      </c>
      <c r="AH1714" s="372">
        <v>0</v>
      </c>
    </row>
    <row r="1715" spans="1:34">
      <c r="A1715" s="372" t="s">
        <v>11252</v>
      </c>
      <c r="B1715" s="373" t="s">
        <v>11253</v>
      </c>
      <c r="C1715" s="372" t="s">
        <v>11254</v>
      </c>
      <c r="D1715" s="374">
        <v>1101111634272</v>
      </c>
      <c r="E1715" s="372" t="s">
        <v>11255</v>
      </c>
      <c r="F1715" s="375" t="s">
        <v>1185</v>
      </c>
      <c r="G1715" s="375" t="s">
        <v>3115</v>
      </c>
      <c r="H1715" s="375" t="s">
        <v>861</v>
      </c>
      <c r="I1715" s="375" t="s">
        <v>862</v>
      </c>
      <c r="J1715" s="375">
        <v>60246.13003</v>
      </c>
      <c r="K1715" s="375">
        <v>1986.07025</v>
      </c>
      <c r="L1715" s="375">
        <v>1050.4599499999999</v>
      </c>
      <c r="M1715" s="375">
        <v>71569.693220000001</v>
      </c>
      <c r="N1715" s="372">
        <v>0.84499999999999997</v>
      </c>
      <c r="O1715" s="704">
        <v>17.767094082509789</v>
      </c>
      <c r="P1715" s="375" t="s">
        <v>622</v>
      </c>
      <c r="Q1715" s="372" t="s">
        <v>622</v>
      </c>
      <c r="R1715" s="696">
        <v>20170720</v>
      </c>
      <c r="S1715" s="372" t="s">
        <v>11256</v>
      </c>
      <c r="T1715" s="697">
        <v>0.20900000000000002</v>
      </c>
      <c r="U1715" s="372" t="s">
        <v>11257</v>
      </c>
      <c r="V1715" s="723">
        <v>18.27</v>
      </c>
      <c r="W1715" s="723">
        <v>0.75</v>
      </c>
      <c r="X1715" s="723">
        <v>0.92</v>
      </c>
      <c r="Y1715" s="723">
        <v>32.99</v>
      </c>
      <c r="Z1715" s="382" t="s">
        <v>927</v>
      </c>
      <c r="AA1715" s="372">
        <v>1062.0614957</v>
      </c>
      <c r="AB1715" s="372">
        <v>505.84198629999997</v>
      </c>
      <c r="AC1715" s="372">
        <v>315.4018365</v>
      </c>
      <c r="AD1715" s="372">
        <v>501.0182241</v>
      </c>
      <c r="AE1715" s="372">
        <v>0</v>
      </c>
      <c r="AF1715" s="372">
        <v>0</v>
      </c>
      <c r="AG1715" s="372">
        <v>0</v>
      </c>
      <c r="AH1715" s="372">
        <v>0</v>
      </c>
    </row>
    <row r="1716" spans="1:34">
      <c r="A1716" s="372" t="s">
        <v>11258</v>
      </c>
      <c r="B1716" s="373" t="s">
        <v>11259</v>
      </c>
      <c r="C1716" s="372" t="s">
        <v>11260</v>
      </c>
      <c r="D1716" s="374">
        <v>1801111522465</v>
      </c>
      <c r="E1716" s="372" t="s">
        <v>11261</v>
      </c>
      <c r="F1716" s="375" t="s">
        <v>11262</v>
      </c>
      <c r="G1716" s="375" t="s">
        <v>11262</v>
      </c>
      <c r="H1716" s="375" t="s">
        <v>909</v>
      </c>
      <c r="I1716" s="375" t="s">
        <v>754</v>
      </c>
      <c r="J1716" s="375">
        <v>63685.93821</v>
      </c>
      <c r="K1716" s="375">
        <v>8105.6578300000001</v>
      </c>
      <c r="L1716" s="375">
        <v>27979.789100000002</v>
      </c>
      <c r="M1716" s="375">
        <v>56417.89759</v>
      </c>
      <c r="N1716" s="372" t="s">
        <v>1026</v>
      </c>
      <c r="O1716" s="704">
        <v>91.524861276987536</v>
      </c>
      <c r="P1716" s="375" t="s">
        <v>622</v>
      </c>
      <c r="Q1716" s="375" t="s">
        <v>622</v>
      </c>
      <c r="R1716" s="696">
        <v>20230915</v>
      </c>
      <c r="S1716" s="375" t="s">
        <v>11263</v>
      </c>
      <c r="T1716" s="697">
        <v>0.23100000000000001</v>
      </c>
      <c r="U1716" s="372" t="s">
        <v>11264</v>
      </c>
      <c r="V1716" s="723">
        <v>7.52</v>
      </c>
      <c r="W1716" s="723">
        <v>1.83</v>
      </c>
      <c r="X1716" s="723">
        <v>1.65</v>
      </c>
      <c r="Y1716" s="723">
        <v>3.76</v>
      </c>
      <c r="Z1716" s="382" t="s">
        <v>927</v>
      </c>
      <c r="AA1716" s="372">
        <v>0</v>
      </c>
      <c r="AB1716" s="372">
        <v>0</v>
      </c>
      <c r="AC1716" s="372">
        <v>0</v>
      </c>
      <c r="AD1716" s="372">
        <v>283.10433169999999</v>
      </c>
      <c r="AE1716" s="372">
        <v>0</v>
      </c>
      <c r="AF1716" s="372">
        <v>0</v>
      </c>
      <c r="AG1716" s="372">
        <v>0</v>
      </c>
      <c r="AH1716" s="372">
        <v>0</v>
      </c>
    </row>
    <row r="1717" spans="1:34">
      <c r="A1717" s="372" t="s">
        <v>11265</v>
      </c>
      <c r="B1717" s="373" t="s">
        <v>11266</v>
      </c>
      <c r="C1717" s="372" t="s">
        <v>11267</v>
      </c>
      <c r="D1717" s="374">
        <v>1201110608755</v>
      </c>
      <c r="E1717" s="372" t="s">
        <v>11268</v>
      </c>
      <c r="F1717" s="375" t="s">
        <v>1096</v>
      </c>
      <c r="G1717" s="375" t="s">
        <v>1097</v>
      </c>
      <c r="H1717" s="375" t="s">
        <v>861</v>
      </c>
      <c r="I1717" s="375" t="s">
        <v>862</v>
      </c>
      <c r="J1717" s="375">
        <v>42832.10355</v>
      </c>
      <c r="K1717" s="375">
        <v>-5936.7060099999999</v>
      </c>
      <c r="L1717" s="375">
        <v>-6181.1890899999999</v>
      </c>
      <c r="M1717" s="375">
        <v>55534.196649999998</v>
      </c>
      <c r="N1717" s="372">
        <v>0.66200000000000003</v>
      </c>
      <c r="O1717" s="704">
        <v>39.535056400700476</v>
      </c>
      <c r="P1717" s="375" t="s">
        <v>622</v>
      </c>
      <c r="Q1717" s="372" t="s">
        <v>622</v>
      </c>
      <c r="R1717" s="696">
        <v>20201202</v>
      </c>
      <c r="S1717" s="372" t="s">
        <v>11269</v>
      </c>
      <c r="T1717" s="697" t="s">
        <v>771</v>
      </c>
      <c r="U1717" s="372" t="s">
        <v>11270</v>
      </c>
      <c r="V1717" s="723">
        <v>0</v>
      </c>
      <c r="W1717" s="723">
        <v>0</v>
      </c>
      <c r="X1717" s="723">
        <v>0</v>
      </c>
      <c r="Y1717" s="723">
        <v>0</v>
      </c>
      <c r="Z1717" s="382" t="s">
        <v>927</v>
      </c>
      <c r="AA1717" s="372">
        <v>333.24513250000001</v>
      </c>
      <c r="AB1717" s="372">
        <v>404.14881810000003</v>
      </c>
      <c r="AC1717" s="372">
        <v>314.78132679999999</v>
      </c>
      <c r="AD1717" s="372">
        <v>428.68677209999998</v>
      </c>
      <c r="AE1717" s="372">
        <v>0</v>
      </c>
      <c r="AF1717" s="372">
        <v>0</v>
      </c>
      <c r="AG1717" s="372">
        <v>0</v>
      </c>
      <c r="AH1717" s="372">
        <v>0</v>
      </c>
    </row>
    <row r="1718" spans="1:34">
      <c r="A1718" s="372" t="s">
        <v>11271</v>
      </c>
      <c r="B1718" s="373" t="s">
        <v>11272</v>
      </c>
      <c r="C1718" s="372" t="s">
        <v>11273</v>
      </c>
      <c r="D1718" s="374">
        <v>1101110668579</v>
      </c>
      <c r="E1718" s="372" t="s">
        <v>11274</v>
      </c>
      <c r="F1718" s="372" t="s">
        <v>11275</v>
      </c>
      <c r="G1718" s="375" t="s">
        <v>11276</v>
      </c>
      <c r="H1718" s="375" t="s">
        <v>3099</v>
      </c>
      <c r="I1718" s="375" t="s">
        <v>862</v>
      </c>
      <c r="J1718" s="375">
        <v>82108.655620000005</v>
      </c>
      <c r="K1718" s="375">
        <v>-4570.9526500000002</v>
      </c>
      <c r="L1718" s="375">
        <v>-7133.6253100000004</v>
      </c>
      <c r="M1718" s="375">
        <v>63414.583279999999</v>
      </c>
      <c r="N1718" s="372" t="s">
        <v>1026</v>
      </c>
      <c r="O1718" s="704">
        <v>105.78612173446504</v>
      </c>
      <c r="P1718" s="375" t="s">
        <v>622</v>
      </c>
      <c r="Q1718" s="372" t="s">
        <v>622</v>
      </c>
      <c r="R1718" s="696">
        <v>20230602</v>
      </c>
      <c r="S1718" s="372" t="s">
        <v>11277</v>
      </c>
      <c r="T1718" s="697" t="s">
        <v>771</v>
      </c>
      <c r="U1718" s="372" t="s">
        <v>11278</v>
      </c>
      <c r="V1718" s="723" t="s">
        <v>773</v>
      </c>
      <c r="W1718" s="723">
        <v>0.82</v>
      </c>
      <c r="X1718" s="723">
        <v>0.66</v>
      </c>
      <c r="Y1718" s="723" t="s">
        <v>773</v>
      </c>
      <c r="Z1718" s="382" t="s">
        <v>927</v>
      </c>
      <c r="AA1718" s="372">
        <v>594.79714000000001</v>
      </c>
      <c r="AB1718" s="372">
        <v>883.94062910000002</v>
      </c>
      <c r="AC1718" s="372">
        <v>1071.6250161</v>
      </c>
      <c r="AD1718" s="372">
        <v>853.25300230000005</v>
      </c>
      <c r="AE1718" s="372">
        <v>0</v>
      </c>
      <c r="AF1718" s="372">
        <v>0</v>
      </c>
      <c r="AG1718" s="372">
        <v>0</v>
      </c>
      <c r="AH1718" s="372">
        <v>0</v>
      </c>
    </row>
    <row r="1719" spans="1:34">
      <c r="A1719" s="372" t="s">
        <v>11279</v>
      </c>
      <c r="B1719" s="373" t="s">
        <v>11280</v>
      </c>
      <c r="C1719" s="372" t="s">
        <v>11281</v>
      </c>
      <c r="D1719" s="374">
        <v>1341110013180</v>
      </c>
      <c r="E1719" s="372" t="s">
        <v>11282</v>
      </c>
      <c r="F1719" s="375" t="s">
        <v>1323</v>
      </c>
      <c r="G1719" s="375" t="s">
        <v>16106</v>
      </c>
      <c r="H1719" s="375" t="s">
        <v>784</v>
      </c>
      <c r="I1719" s="375" t="s">
        <v>754</v>
      </c>
      <c r="J1719" s="375">
        <v>180142.68031</v>
      </c>
      <c r="K1719" s="375">
        <v>-2987.4457200000002</v>
      </c>
      <c r="L1719" s="375">
        <v>-8316.9700900000007</v>
      </c>
      <c r="M1719" s="375">
        <v>84513.287989999997</v>
      </c>
      <c r="N1719" s="372">
        <v>0.55500000000000005</v>
      </c>
      <c r="O1719" s="704">
        <v>117.49259956463108</v>
      </c>
      <c r="P1719" s="375" t="s">
        <v>622</v>
      </c>
      <c r="Q1719" s="372" t="s">
        <v>622</v>
      </c>
      <c r="R1719" s="696">
        <v>20080710</v>
      </c>
      <c r="S1719" s="372" t="s">
        <v>11283</v>
      </c>
      <c r="T1719" s="697" t="s">
        <v>771</v>
      </c>
      <c r="U1719" s="372" t="s">
        <v>11284</v>
      </c>
      <c r="V1719" s="723">
        <v>137.52000000000001</v>
      </c>
      <c r="W1719" s="723">
        <v>0.89</v>
      </c>
      <c r="X1719" s="723">
        <v>0.4</v>
      </c>
      <c r="Y1719" s="723" t="s">
        <v>773</v>
      </c>
      <c r="Z1719" s="382" t="s">
        <v>927</v>
      </c>
      <c r="AA1719" s="372">
        <v>1278.5285590000001</v>
      </c>
      <c r="AB1719" s="372">
        <v>1377.5990207</v>
      </c>
      <c r="AC1719" s="372">
        <v>1521.3494049999999</v>
      </c>
      <c r="AD1719" s="372">
        <v>1695.6737298999999</v>
      </c>
      <c r="AE1719" s="372">
        <v>0</v>
      </c>
      <c r="AF1719" s="372">
        <v>0</v>
      </c>
      <c r="AG1719" s="372">
        <v>0</v>
      </c>
      <c r="AH1719" s="372">
        <v>0</v>
      </c>
    </row>
    <row r="1720" spans="1:34">
      <c r="A1720" s="372" t="s">
        <v>11285</v>
      </c>
      <c r="B1720" s="373" t="s">
        <v>11286</v>
      </c>
      <c r="C1720" s="372" t="s">
        <v>11287</v>
      </c>
      <c r="D1720" s="374">
        <v>1101111551749</v>
      </c>
      <c r="E1720" s="372" t="s">
        <v>11288</v>
      </c>
      <c r="F1720" s="375" t="s">
        <v>1276</v>
      </c>
      <c r="G1720" s="375" t="s">
        <v>1452</v>
      </c>
      <c r="H1720" s="375" t="s">
        <v>861</v>
      </c>
      <c r="I1720" s="375" t="s">
        <v>862</v>
      </c>
      <c r="J1720" s="375">
        <v>167787.71075</v>
      </c>
      <c r="K1720" s="375">
        <v>14534.00014</v>
      </c>
      <c r="L1720" s="375">
        <v>19258.24582</v>
      </c>
      <c r="M1720" s="375">
        <v>169229.51329</v>
      </c>
      <c r="N1720" s="372">
        <v>0.75600000000000001</v>
      </c>
      <c r="O1720" s="704">
        <v>7.7340951643935814</v>
      </c>
      <c r="P1720" s="375" t="s">
        <v>622</v>
      </c>
      <c r="Q1720" s="375" t="s">
        <v>622</v>
      </c>
      <c r="R1720" s="696">
        <v>20071012</v>
      </c>
      <c r="S1720" s="375" t="s">
        <v>11289</v>
      </c>
      <c r="T1720" s="697">
        <v>0.20900000000000002</v>
      </c>
      <c r="U1720" s="372" t="s">
        <v>11290</v>
      </c>
      <c r="V1720" s="723">
        <v>3.77</v>
      </c>
      <c r="W1720" s="723">
        <v>0.45</v>
      </c>
      <c r="X1720" s="723">
        <v>0.35</v>
      </c>
      <c r="Y1720" s="723">
        <v>3.92</v>
      </c>
      <c r="Z1720" s="382" t="s">
        <v>927</v>
      </c>
      <c r="AA1720" s="372">
        <v>782.07621840000002</v>
      </c>
      <c r="AB1720" s="372">
        <v>793.62860139999998</v>
      </c>
      <c r="AC1720" s="372">
        <v>905.998335</v>
      </c>
      <c r="AD1720" s="372">
        <v>1227.3748373000001</v>
      </c>
      <c r="AE1720" s="372">
        <v>0</v>
      </c>
      <c r="AF1720" s="372">
        <v>0</v>
      </c>
      <c r="AG1720" s="372">
        <v>0</v>
      </c>
      <c r="AH1720" s="372">
        <v>0</v>
      </c>
    </row>
    <row r="1721" spans="1:34">
      <c r="A1721" s="372" t="s">
        <v>11291</v>
      </c>
      <c r="B1721" s="373" t="s">
        <v>11292</v>
      </c>
      <c r="C1721" s="372" t="s">
        <v>11293</v>
      </c>
      <c r="D1721" s="374">
        <v>1101116122983</v>
      </c>
      <c r="E1721" s="372" t="s">
        <v>11294</v>
      </c>
      <c r="F1721" s="375" t="s">
        <v>1116</v>
      </c>
      <c r="G1721" s="375" t="s">
        <v>1336</v>
      </c>
      <c r="H1721" s="375" t="s">
        <v>1337</v>
      </c>
      <c r="I1721" s="375" t="s">
        <v>862</v>
      </c>
      <c r="J1721" s="375">
        <v>321.95184</v>
      </c>
      <c r="K1721" s="375">
        <v>-16943.883549999999</v>
      </c>
      <c r="L1721" s="375">
        <v>-20732.105869999999</v>
      </c>
      <c r="M1721" s="375">
        <v>18536.113170000001</v>
      </c>
      <c r="N1721" s="372" t="s">
        <v>1026</v>
      </c>
      <c r="O1721" s="704">
        <v>56.387277735604812</v>
      </c>
      <c r="P1721" s="375" t="s">
        <v>622</v>
      </c>
      <c r="Q1721" s="372" t="s">
        <v>622</v>
      </c>
      <c r="R1721" s="696">
        <v>20230615</v>
      </c>
      <c r="S1721" s="372" t="s">
        <v>11295</v>
      </c>
      <c r="T1721" s="697" t="s">
        <v>771</v>
      </c>
      <c r="U1721" s="372" t="s">
        <v>11296</v>
      </c>
      <c r="V1721" s="723">
        <v>0</v>
      </c>
      <c r="W1721" s="723">
        <v>0</v>
      </c>
      <c r="X1721" s="723">
        <v>0</v>
      </c>
      <c r="Y1721" s="723">
        <v>0</v>
      </c>
      <c r="Z1721" s="382" t="s">
        <v>927</v>
      </c>
      <c r="AA1721" s="372">
        <v>1.1000000000000001</v>
      </c>
      <c r="AB1721" s="372">
        <v>15.885479999999999</v>
      </c>
      <c r="AC1721" s="372">
        <v>84.094464700000003</v>
      </c>
      <c r="AD1721" s="372">
        <v>10.3005826</v>
      </c>
      <c r="AE1721" s="372">
        <v>0</v>
      </c>
      <c r="AF1721" s="372">
        <v>0</v>
      </c>
      <c r="AG1721" s="372">
        <v>0</v>
      </c>
      <c r="AH1721" s="372">
        <v>0</v>
      </c>
    </row>
    <row r="1722" spans="1:34">
      <c r="A1722" s="372" t="s">
        <v>11297</v>
      </c>
      <c r="B1722" s="373" t="s">
        <v>11298</v>
      </c>
      <c r="C1722" s="372" t="s">
        <v>11299</v>
      </c>
      <c r="D1722" s="374">
        <v>1101110165393</v>
      </c>
      <c r="E1722" s="372" t="s">
        <v>11300</v>
      </c>
      <c r="F1722" s="375" t="s">
        <v>2864</v>
      </c>
      <c r="G1722" s="375" t="s">
        <v>5983</v>
      </c>
      <c r="H1722" s="375" t="s">
        <v>826</v>
      </c>
      <c r="I1722" s="375" t="s">
        <v>754</v>
      </c>
      <c r="J1722" s="375">
        <v>113438.46481999999</v>
      </c>
      <c r="K1722" s="375">
        <v>-12814.4725</v>
      </c>
      <c r="L1722" s="375">
        <v>-15248.214889999999</v>
      </c>
      <c r="M1722" s="375">
        <v>44354.086719999999</v>
      </c>
      <c r="N1722" s="372">
        <v>0.90300000000000002</v>
      </c>
      <c r="O1722" s="704">
        <v>165.00789815774417</v>
      </c>
      <c r="P1722" s="375" t="s">
        <v>622</v>
      </c>
      <c r="Q1722" s="372" t="s">
        <v>622</v>
      </c>
      <c r="R1722" s="696">
        <v>19971028</v>
      </c>
      <c r="S1722" s="372" t="s">
        <v>11301</v>
      </c>
      <c r="T1722" s="697" t="s">
        <v>771</v>
      </c>
      <c r="U1722" s="372" t="s">
        <v>11302</v>
      </c>
      <c r="V1722" s="723" t="s">
        <v>773</v>
      </c>
      <c r="W1722" s="723">
        <v>1.1299999999999999</v>
      </c>
      <c r="X1722" s="723">
        <v>0.45</v>
      </c>
      <c r="Y1722" s="723" t="s">
        <v>773</v>
      </c>
      <c r="Z1722" s="382" t="s">
        <v>927</v>
      </c>
      <c r="AA1722" s="372">
        <v>1087.8731682</v>
      </c>
      <c r="AB1722" s="372">
        <v>1133.3907827999999</v>
      </c>
      <c r="AC1722" s="372">
        <v>1468.051835</v>
      </c>
      <c r="AD1722" s="372">
        <v>1221.7845775000001</v>
      </c>
      <c r="AE1722" s="372">
        <v>0</v>
      </c>
      <c r="AF1722" s="372">
        <v>0</v>
      </c>
      <c r="AG1722" s="372">
        <v>0</v>
      </c>
      <c r="AH1722" s="372">
        <v>0</v>
      </c>
    </row>
    <row r="1723" spans="1:34">
      <c r="A1723" s="372" t="s">
        <v>11303</v>
      </c>
      <c r="B1723" s="373" t="s">
        <v>11304</v>
      </c>
      <c r="C1723" s="372" t="s">
        <v>11305</v>
      </c>
      <c r="D1723" s="374">
        <v>1701110039207</v>
      </c>
      <c r="E1723" s="372" t="s">
        <v>11306</v>
      </c>
      <c r="F1723" s="375" t="s">
        <v>2992</v>
      </c>
      <c r="G1723" s="375" t="s">
        <v>2992</v>
      </c>
      <c r="H1723" s="375" t="s">
        <v>792</v>
      </c>
      <c r="I1723" s="375" t="s">
        <v>754</v>
      </c>
      <c r="J1723" s="375">
        <v>165667.91850999999</v>
      </c>
      <c r="K1723" s="375">
        <v>21099.993200000001</v>
      </c>
      <c r="L1723" s="375">
        <v>8362.4873499999994</v>
      </c>
      <c r="M1723" s="375">
        <v>667239.63052000001</v>
      </c>
      <c r="N1723" s="372">
        <v>0.91500000000000004</v>
      </c>
      <c r="O1723" s="704">
        <v>0</v>
      </c>
      <c r="P1723" s="375" t="s">
        <v>622</v>
      </c>
      <c r="Q1723" s="372" t="s">
        <v>622</v>
      </c>
      <c r="R1723" s="696">
        <v>19960703</v>
      </c>
      <c r="S1723" s="375" t="s">
        <v>11307</v>
      </c>
      <c r="T1723" s="697">
        <v>0.20900000000000002</v>
      </c>
      <c r="U1723" s="372" t="s">
        <v>11308</v>
      </c>
      <c r="V1723" s="723">
        <v>5.25</v>
      </c>
      <c r="W1723" s="723">
        <v>0.14000000000000001</v>
      </c>
      <c r="X1723" s="723">
        <v>0.51</v>
      </c>
      <c r="Y1723" s="723">
        <v>2.78</v>
      </c>
      <c r="Z1723" s="382" t="s">
        <v>927</v>
      </c>
      <c r="AA1723" s="372">
        <v>1568.6012765999999</v>
      </c>
      <c r="AB1723" s="372">
        <v>1424.7381184000001</v>
      </c>
      <c r="AC1723" s="372">
        <v>1152.1534807</v>
      </c>
      <c r="AD1723" s="372">
        <v>1591.9945729999999</v>
      </c>
      <c r="AE1723" s="372">
        <v>0</v>
      </c>
      <c r="AF1723" s="372">
        <v>0</v>
      </c>
      <c r="AG1723" s="372">
        <v>0</v>
      </c>
      <c r="AH1723" s="372">
        <v>0</v>
      </c>
    </row>
    <row r="1724" spans="1:34">
      <c r="A1724" s="372" t="s">
        <v>11309</v>
      </c>
      <c r="B1724" s="373" t="s">
        <v>11310</v>
      </c>
      <c r="C1724" s="372" t="s">
        <v>11311</v>
      </c>
      <c r="D1724" s="374">
        <v>1311110416816</v>
      </c>
      <c r="E1724" s="372" t="s">
        <v>11312</v>
      </c>
      <c r="F1724" s="375" t="s">
        <v>2834</v>
      </c>
      <c r="G1724" s="375" t="s">
        <v>2835</v>
      </c>
      <c r="H1724" s="375" t="s">
        <v>861</v>
      </c>
      <c r="I1724" s="375" t="s">
        <v>862</v>
      </c>
      <c r="J1724" s="375">
        <v>237153.52327999999</v>
      </c>
      <c r="K1724" s="375">
        <v>15827.828649999999</v>
      </c>
      <c r="L1724" s="375">
        <v>13588.834269999999</v>
      </c>
      <c r="M1724" s="375">
        <v>96517.063110000003</v>
      </c>
      <c r="N1724" s="372">
        <v>0.71599999999999997</v>
      </c>
      <c r="O1724" s="704">
        <v>34.651036764124832</v>
      </c>
      <c r="P1724" s="375" t="s">
        <v>622</v>
      </c>
      <c r="Q1724" s="372" t="s">
        <v>622</v>
      </c>
      <c r="R1724" s="696">
        <v>20150825</v>
      </c>
      <c r="S1724" s="375" t="s">
        <v>11313</v>
      </c>
      <c r="T1724" s="697">
        <v>0.20900000000000002</v>
      </c>
      <c r="U1724" s="372" t="s">
        <v>15933</v>
      </c>
      <c r="V1724" s="723">
        <v>5</v>
      </c>
      <c r="W1724" s="723">
        <v>1</v>
      </c>
      <c r="X1724" s="723">
        <v>0.3</v>
      </c>
      <c r="Y1724" s="723">
        <v>7.29</v>
      </c>
      <c r="Z1724" s="382" t="s">
        <v>927</v>
      </c>
      <c r="AA1724" s="372">
        <v>1183.8055846</v>
      </c>
      <c r="AB1724" s="372">
        <v>1318.4146963000001</v>
      </c>
      <c r="AC1724" s="372">
        <v>1504.8181603999999</v>
      </c>
      <c r="AD1724" s="372">
        <v>2010.3142963</v>
      </c>
      <c r="AE1724" s="372">
        <v>0</v>
      </c>
      <c r="AF1724" s="372">
        <v>0</v>
      </c>
      <c r="AG1724" s="372">
        <v>0</v>
      </c>
      <c r="AH1724" s="372">
        <v>0</v>
      </c>
    </row>
    <row r="1725" spans="1:34">
      <c r="A1725" s="372" t="s">
        <v>11314</v>
      </c>
      <c r="B1725" s="373" t="s">
        <v>11315</v>
      </c>
      <c r="C1725" s="372" t="s">
        <v>11316</v>
      </c>
      <c r="D1725" s="374">
        <v>1701110233338</v>
      </c>
      <c r="E1725" s="372" t="s">
        <v>11317</v>
      </c>
      <c r="F1725" s="375" t="s">
        <v>2116</v>
      </c>
      <c r="G1725" s="375" t="s">
        <v>2117</v>
      </c>
      <c r="H1725" s="375" t="s">
        <v>812</v>
      </c>
      <c r="I1725" s="375" t="s">
        <v>754</v>
      </c>
      <c r="J1725" s="375">
        <v>166668.59912</v>
      </c>
      <c r="K1725" s="375">
        <v>7519.9143599999998</v>
      </c>
      <c r="L1725" s="375">
        <v>3210.63411</v>
      </c>
      <c r="M1725" s="375">
        <v>96050.236139999994</v>
      </c>
      <c r="N1725" s="372">
        <v>1.1080000000000001</v>
      </c>
      <c r="O1725" s="704">
        <v>55.170983680010288</v>
      </c>
      <c r="P1725" s="375" t="s">
        <v>622</v>
      </c>
      <c r="Q1725" s="372" t="s">
        <v>622</v>
      </c>
      <c r="R1725" s="696">
        <v>20021111</v>
      </c>
      <c r="S1725" s="372" t="s">
        <v>11318</v>
      </c>
      <c r="T1725" s="697">
        <v>0.20900000000000002</v>
      </c>
      <c r="U1725" s="372" t="s">
        <v>11319</v>
      </c>
      <c r="V1725" s="723">
        <v>0</v>
      </c>
      <c r="W1725" s="723">
        <v>0</v>
      </c>
      <c r="X1725" s="723">
        <v>0</v>
      </c>
      <c r="Y1725" s="723">
        <v>0</v>
      </c>
      <c r="Z1725" s="382" t="s">
        <v>927</v>
      </c>
      <c r="AA1725" s="372">
        <v>1214.2644152</v>
      </c>
      <c r="AB1725" s="372">
        <v>1434.0175827</v>
      </c>
      <c r="AC1725" s="372">
        <v>1740.3674074</v>
      </c>
      <c r="AD1725" s="372">
        <v>1815.6871722000001</v>
      </c>
      <c r="AE1725" s="372">
        <v>0</v>
      </c>
      <c r="AF1725" s="372">
        <v>0</v>
      </c>
      <c r="AG1725" s="372">
        <v>0</v>
      </c>
      <c r="AH1725" s="372">
        <v>0</v>
      </c>
    </row>
    <row r="1726" spans="1:34">
      <c r="A1726" s="372" t="s">
        <v>11320</v>
      </c>
      <c r="B1726" s="373" t="s">
        <v>11321</v>
      </c>
      <c r="C1726" s="372" t="s">
        <v>11322</v>
      </c>
      <c r="D1726" s="374">
        <v>1101110008486</v>
      </c>
      <c r="E1726" s="372" t="s">
        <v>11323</v>
      </c>
      <c r="F1726" s="375" t="s">
        <v>893</v>
      </c>
      <c r="G1726" s="375" t="s">
        <v>894</v>
      </c>
      <c r="H1726" s="375" t="s">
        <v>855</v>
      </c>
      <c r="I1726" s="375" t="s">
        <v>754</v>
      </c>
      <c r="J1726" s="375">
        <v>146400.95366</v>
      </c>
      <c r="K1726" s="375">
        <v>21182.33167</v>
      </c>
      <c r="L1726" s="375">
        <v>29529.910339999999</v>
      </c>
      <c r="M1726" s="375">
        <v>360682.00887999998</v>
      </c>
      <c r="N1726" s="372">
        <v>0.60799999999999998</v>
      </c>
      <c r="O1726" s="704">
        <v>1.3110011609581755</v>
      </c>
      <c r="P1726" s="375" t="s">
        <v>622</v>
      </c>
      <c r="Q1726" s="372" t="s">
        <v>622</v>
      </c>
      <c r="R1726" s="696">
        <v>19751222</v>
      </c>
      <c r="S1726" s="372" t="s">
        <v>11324</v>
      </c>
      <c r="T1726" s="697">
        <v>0.23100000000000001</v>
      </c>
      <c r="U1726" s="372" t="s">
        <v>8675</v>
      </c>
      <c r="V1726" s="723">
        <v>5.72</v>
      </c>
      <c r="W1726" s="723">
        <v>0.25</v>
      </c>
      <c r="X1726" s="723">
        <v>0.53</v>
      </c>
      <c r="Y1726" s="723">
        <v>3.76</v>
      </c>
      <c r="Z1726" s="382" t="s">
        <v>927</v>
      </c>
      <c r="AA1726" s="372">
        <v>1316.3708449999999</v>
      </c>
      <c r="AB1726" s="372">
        <v>1590.1795529999999</v>
      </c>
      <c r="AC1726" s="372">
        <v>1752.6645203999999</v>
      </c>
      <c r="AD1726" s="372">
        <v>1719.6523952</v>
      </c>
      <c r="AE1726" s="372">
        <v>0</v>
      </c>
      <c r="AF1726" s="372">
        <v>0</v>
      </c>
      <c r="AG1726" s="372">
        <v>0</v>
      </c>
      <c r="AH1726" s="372">
        <v>0</v>
      </c>
    </row>
    <row r="1727" spans="1:34">
      <c r="A1727" s="372" t="s">
        <v>11325</v>
      </c>
      <c r="B1727" s="373" t="s">
        <v>11326</v>
      </c>
      <c r="C1727" s="372" t="s">
        <v>11327</v>
      </c>
      <c r="D1727" s="374">
        <v>1344110001840</v>
      </c>
      <c r="E1727" s="372" t="s">
        <v>11328</v>
      </c>
      <c r="F1727" s="372" t="s">
        <v>1323</v>
      </c>
      <c r="G1727" s="375" t="s">
        <v>16106</v>
      </c>
      <c r="H1727" s="375" t="s">
        <v>861</v>
      </c>
      <c r="I1727" s="375" t="s">
        <v>862</v>
      </c>
      <c r="J1727" s="375">
        <v>74409.569919999994</v>
      </c>
      <c r="K1727" s="375">
        <v>16468.25302</v>
      </c>
      <c r="L1727" s="375">
        <v>1178.14339</v>
      </c>
      <c r="M1727" s="375">
        <v>80362.898530000006</v>
      </c>
      <c r="N1727" s="372">
        <v>0.52400000000000002</v>
      </c>
      <c r="O1727" s="704">
        <v>0.13661827233822182</v>
      </c>
      <c r="P1727" s="375" t="s">
        <v>622</v>
      </c>
      <c r="Q1727" s="372" t="s">
        <v>622</v>
      </c>
      <c r="R1727" s="696">
        <v>20001205</v>
      </c>
      <c r="S1727" s="372" t="s">
        <v>11329</v>
      </c>
      <c r="T1727" s="697">
        <v>0.20900000000000002</v>
      </c>
      <c r="U1727" s="372" t="s">
        <v>11330</v>
      </c>
      <c r="V1727" s="723">
        <v>0</v>
      </c>
      <c r="W1727" s="723">
        <v>0</v>
      </c>
      <c r="X1727" s="723">
        <v>0</v>
      </c>
      <c r="Y1727" s="723">
        <v>0</v>
      </c>
      <c r="Z1727" s="382" t="s">
        <v>927</v>
      </c>
      <c r="AA1727" s="372">
        <v>667.89304919999995</v>
      </c>
      <c r="AB1727" s="372">
        <v>744.65727430000004</v>
      </c>
      <c r="AC1727" s="372">
        <v>799.84056439999995</v>
      </c>
      <c r="AD1727" s="372">
        <v>813.74983429999997</v>
      </c>
      <c r="AE1727" s="372">
        <v>0</v>
      </c>
      <c r="AF1727" s="372">
        <v>0</v>
      </c>
      <c r="AG1727" s="372">
        <v>0</v>
      </c>
      <c r="AH1727" s="372">
        <v>0</v>
      </c>
    </row>
    <row r="1728" spans="1:34">
      <c r="A1728" s="372" t="s">
        <v>11331</v>
      </c>
      <c r="B1728" s="373" t="s">
        <v>11332</v>
      </c>
      <c r="C1728" s="372" t="s">
        <v>11333</v>
      </c>
      <c r="D1728" s="374">
        <v>1101112035578</v>
      </c>
      <c r="E1728" s="372" t="s">
        <v>11334</v>
      </c>
      <c r="F1728" s="375" t="s">
        <v>6610</v>
      </c>
      <c r="G1728" s="375" t="s">
        <v>6610</v>
      </c>
      <c r="H1728" s="375" t="s">
        <v>861</v>
      </c>
      <c r="I1728" s="375" t="s">
        <v>862</v>
      </c>
      <c r="J1728" s="375">
        <v>0</v>
      </c>
      <c r="K1728" s="375">
        <v>0</v>
      </c>
      <c r="L1728" s="375">
        <v>0</v>
      </c>
      <c r="M1728" s="375">
        <v>78356.424169999998</v>
      </c>
      <c r="N1728" s="372">
        <v>0.57899999999999996</v>
      </c>
      <c r="O1728" s="704">
        <v>1.5475773823153409</v>
      </c>
      <c r="P1728" s="375" t="s">
        <v>622</v>
      </c>
      <c r="Q1728" s="372" t="s">
        <v>622</v>
      </c>
      <c r="R1728" s="696">
        <v>20130801</v>
      </c>
      <c r="S1728" s="372" t="s">
        <v>11335</v>
      </c>
      <c r="T1728" s="697" t="s">
        <v>771</v>
      </c>
      <c r="U1728" s="372" t="s">
        <v>11336</v>
      </c>
      <c r="V1728" s="723">
        <v>0</v>
      </c>
      <c r="W1728" s="723">
        <v>0.76</v>
      </c>
      <c r="X1728" s="723">
        <v>0</v>
      </c>
      <c r="Y1728" s="723">
        <v>0</v>
      </c>
      <c r="Z1728" s="382" t="s">
        <v>927</v>
      </c>
      <c r="AA1728" s="372">
        <v>398.3820571</v>
      </c>
      <c r="AB1728" s="372">
        <v>543.33902639999997</v>
      </c>
      <c r="AC1728" s="372">
        <v>616.37231699999995</v>
      </c>
      <c r="AD1728" s="372">
        <v>590.17753140000002</v>
      </c>
      <c r="AE1728" s="372">
        <v>0</v>
      </c>
      <c r="AF1728" s="372">
        <v>0</v>
      </c>
      <c r="AG1728" s="372">
        <v>0</v>
      </c>
      <c r="AH1728" s="372">
        <v>0</v>
      </c>
    </row>
    <row r="1729" spans="1:34">
      <c r="A1729" s="372" t="s">
        <v>11337</v>
      </c>
      <c r="B1729" s="373" t="s">
        <v>11338</v>
      </c>
      <c r="C1729" s="372" t="s">
        <v>11339</v>
      </c>
      <c r="D1729" s="374">
        <v>2111110005365</v>
      </c>
      <c r="E1729" s="372" t="s">
        <v>11340</v>
      </c>
      <c r="F1729" s="375" t="s">
        <v>3975</v>
      </c>
      <c r="G1729" s="375" t="s">
        <v>11341</v>
      </c>
      <c r="H1729" s="375" t="s">
        <v>861</v>
      </c>
      <c r="I1729" s="375" t="s">
        <v>862</v>
      </c>
      <c r="J1729" s="375">
        <v>315235.88355000003</v>
      </c>
      <c r="K1729" s="375">
        <v>1637.31656</v>
      </c>
      <c r="L1729" s="375">
        <v>2799.2017700000001</v>
      </c>
      <c r="M1729" s="375">
        <v>222955.19234000001</v>
      </c>
      <c r="N1729" s="372">
        <v>0.51600000000000001</v>
      </c>
      <c r="O1729" s="704">
        <v>59.073768902030096</v>
      </c>
      <c r="P1729" s="375" t="s">
        <v>622</v>
      </c>
      <c r="Q1729" s="372" t="s">
        <v>622</v>
      </c>
      <c r="R1729" s="696">
        <v>20060623</v>
      </c>
      <c r="S1729" s="372" t="s">
        <v>11342</v>
      </c>
      <c r="T1729" s="697">
        <v>0.20900000000000002</v>
      </c>
      <c r="U1729" s="372" t="s">
        <v>11343</v>
      </c>
      <c r="V1729" s="723">
        <v>9.02</v>
      </c>
      <c r="W1729" s="723">
        <v>0.23</v>
      </c>
      <c r="X1729" s="723">
        <v>0.17</v>
      </c>
      <c r="Y1729" s="723">
        <v>22.51</v>
      </c>
      <c r="Z1729" s="382" t="s">
        <v>927</v>
      </c>
      <c r="AA1729" s="372">
        <v>2761.8334432000001</v>
      </c>
      <c r="AB1729" s="372">
        <v>2956.8493308000002</v>
      </c>
      <c r="AC1729" s="372">
        <v>3368.4747305000001</v>
      </c>
      <c r="AD1729" s="372">
        <v>3491.6410876</v>
      </c>
      <c r="AE1729" s="372">
        <v>0</v>
      </c>
      <c r="AF1729" s="372">
        <v>0</v>
      </c>
      <c r="AG1729" s="372">
        <v>0</v>
      </c>
      <c r="AH1729" s="372">
        <v>0</v>
      </c>
    </row>
    <row r="1730" spans="1:34">
      <c r="A1730" s="372" t="s">
        <v>11344</v>
      </c>
      <c r="B1730" s="373" t="s">
        <v>11345</v>
      </c>
      <c r="C1730" s="372" t="s">
        <v>11346</v>
      </c>
      <c r="D1730" s="374">
        <v>2052110005288</v>
      </c>
      <c r="E1730" s="372" t="s">
        <v>11347</v>
      </c>
      <c r="F1730" s="372" t="s">
        <v>1576</v>
      </c>
      <c r="G1730" s="375" t="s">
        <v>6316</v>
      </c>
      <c r="H1730" s="375" t="s">
        <v>1043</v>
      </c>
      <c r="I1730" s="375" t="s">
        <v>754</v>
      </c>
      <c r="J1730" s="375">
        <v>311724.73605000001</v>
      </c>
      <c r="K1730" s="375">
        <v>1211.9718700000001</v>
      </c>
      <c r="L1730" s="375">
        <v>-2008.5196100000001</v>
      </c>
      <c r="M1730" s="375">
        <v>146004.62442000001</v>
      </c>
      <c r="N1730" s="372">
        <v>0.72899999999999998</v>
      </c>
      <c r="O1730" s="704">
        <v>195.21204924997403</v>
      </c>
      <c r="P1730" s="375" t="s">
        <v>622</v>
      </c>
      <c r="Q1730" s="375" t="s">
        <v>622</v>
      </c>
      <c r="R1730" s="696">
        <v>20040802</v>
      </c>
      <c r="S1730" s="375" t="s">
        <v>11348</v>
      </c>
      <c r="T1730" s="697" t="s">
        <v>771</v>
      </c>
      <c r="U1730" s="372" t="s">
        <v>11349</v>
      </c>
      <c r="V1730" s="723">
        <v>12.19</v>
      </c>
      <c r="W1730" s="723">
        <v>0.41</v>
      </c>
      <c r="X1730" s="723">
        <v>0.2</v>
      </c>
      <c r="Y1730" s="723" t="s">
        <v>773</v>
      </c>
      <c r="Z1730" s="382" t="s">
        <v>927</v>
      </c>
      <c r="AA1730" s="372">
        <v>2244.7850873000002</v>
      </c>
      <c r="AB1730" s="372">
        <v>3636.0016919</v>
      </c>
      <c r="AC1730" s="372">
        <v>3784.8145531</v>
      </c>
      <c r="AD1730" s="372">
        <v>3780.9313937000002</v>
      </c>
      <c r="AE1730" s="372">
        <v>0</v>
      </c>
      <c r="AF1730" s="372">
        <v>0</v>
      </c>
      <c r="AG1730" s="372">
        <v>0</v>
      </c>
      <c r="AH1730" s="372">
        <v>0</v>
      </c>
    </row>
    <row r="1731" spans="1:34">
      <c r="A1731" s="372" t="s">
        <v>11350</v>
      </c>
      <c r="B1731" s="373" t="s">
        <v>11351</v>
      </c>
      <c r="C1731" s="372" t="s">
        <v>11352</v>
      </c>
      <c r="D1731" s="374">
        <v>1901110005551</v>
      </c>
      <c r="E1731" s="372" t="s">
        <v>11353</v>
      </c>
      <c r="F1731" s="375" t="s">
        <v>2089</v>
      </c>
      <c r="G1731" s="375" t="s">
        <v>2089</v>
      </c>
      <c r="H1731" s="375" t="s">
        <v>861</v>
      </c>
      <c r="I1731" s="375" t="s">
        <v>862</v>
      </c>
      <c r="J1731" s="375">
        <v>227009.14356999999</v>
      </c>
      <c r="K1731" s="375">
        <v>1498.82006</v>
      </c>
      <c r="L1731" s="375">
        <v>4711.1972999999998</v>
      </c>
      <c r="M1731" s="375">
        <v>192798.57457</v>
      </c>
      <c r="N1731" s="372">
        <v>0.77200000000000002</v>
      </c>
      <c r="O1731" s="704">
        <v>0</v>
      </c>
      <c r="P1731" s="375" t="s">
        <v>622</v>
      </c>
      <c r="Q1731" s="372" t="s">
        <v>622</v>
      </c>
      <c r="R1731" s="696">
        <v>20010105</v>
      </c>
      <c r="S1731" s="372" t="s">
        <v>11354</v>
      </c>
      <c r="T1731" s="697">
        <v>0.20900000000000002</v>
      </c>
      <c r="U1731" s="372" t="s">
        <v>11355</v>
      </c>
      <c r="V1731" s="723">
        <v>0</v>
      </c>
      <c r="W1731" s="723">
        <v>0</v>
      </c>
      <c r="X1731" s="723">
        <v>0</v>
      </c>
      <c r="Y1731" s="723">
        <v>0</v>
      </c>
      <c r="Z1731" s="382" t="s">
        <v>927</v>
      </c>
      <c r="AA1731" s="372">
        <v>2249.1993290999999</v>
      </c>
      <c r="AB1731" s="372">
        <v>3221.4686852999998</v>
      </c>
      <c r="AC1731" s="372">
        <v>3405.6681081000002</v>
      </c>
      <c r="AD1731" s="372">
        <v>2624.3777801000001</v>
      </c>
      <c r="AE1731" s="372">
        <v>0</v>
      </c>
      <c r="AF1731" s="372">
        <v>0</v>
      </c>
      <c r="AG1731" s="372">
        <v>0</v>
      </c>
      <c r="AH1731" s="372">
        <v>0</v>
      </c>
    </row>
    <row r="1732" spans="1:34">
      <c r="A1732" s="372" t="s">
        <v>11356</v>
      </c>
      <c r="B1732" s="373" t="s">
        <v>11357</v>
      </c>
      <c r="C1732" s="372" t="s">
        <v>11358</v>
      </c>
      <c r="D1732" s="374">
        <v>1348110004474</v>
      </c>
      <c r="E1732" s="372" t="s">
        <v>11359</v>
      </c>
      <c r="F1732" s="375" t="s">
        <v>1764</v>
      </c>
      <c r="G1732" s="375" t="s">
        <v>2238</v>
      </c>
      <c r="H1732" s="375" t="s">
        <v>826</v>
      </c>
      <c r="I1732" s="375" t="s">
        <v>754</v>
      </c>
      <c r="J1732" s="375">
        <v>47383.774749999997</v>
      </c>
      <c r="K1732" s="375">
        <v>1577.5269599999999</v>
      </c>
      <c r="L1732" s="375">
        <v>1808.46552</v>
      </c>
      <c r="M1732" s="375">
        <v>49683.019330000003</v>
      </c>
      <c r="N1732" s="372">
        <v>0.92</v>
      </c>
      <c r="O1732" s="704">
        <v>2.7592036859332483</v>
      </c>
      <c r="P1732" s="375" t="s">
        <v>622</v>
      </c>
      <c r="Q1732" s="372" t="s">
        <v>622</v>
      </c>
      <c r="R1732" s="696">
        <v>19891130</v>
      </c>
      <c r="S1732" s="372" t="s">
        <v>11360</v>
      </c>
      <c r="T1732" s="697">
        <v>0.20900000000000002</v>
      </c>
      <c r="U1732" s="372" t="s">
        <v>11361</v>
      </c>
      <c r="V1732" s="723">
        <v>0</v>
      </c>
      <c r="W1732" s="723">
        <v>0</v>
      </c>
      <c r="X1732" s="723">
        <v>0</v>
      </c>
      <c r="Y1732" s="723">
        <v>0</v>
      </c>
      <c r="Z1732" s="382" t="s">
        <v>927</v>
      </c>
      <c r="AA1732" s="372">
        <v>382.92696999999998</v>
      </c>
      <c r="AB1732" s="372">
        <v>397.63912499999998</v>
      </c>
      <c r="AC1732" s="372">
        <v>484.34715670000003</v>
      </c>
      <c r="AD1732" s="372">
        <v>467.7379712</v>
      </c>
      <c r="AE1732" s="372">
        <v>0</v>
      </c>
      <c r="AF1732" s="372">
        <v>0</v>
      </c>
      <c r="AG1732" s="372">
        <v>0</v>
      </c>
      <c r="AH1732" s="372">
        <v>0</v>
      </c>
    </row>
    <row r="1733" spans="1:34">
      <c r="A1733" s="372" t="s">
        <v>11362</v>
      </c>
      <c r="B1733" s="373" t="s">
        <v>11363</v>
      </c>
      <c r="C1733" s="372" t="s">
        <v>11364</v>
      </c>
      <c r="D1733" s="374">
        <v>1101110407456</v>
      </c>
      <c r="E1733" s="372" t="s">
        <v>11365</v>
      </c>
      <c r="F1733" s="375" t="s">
        <v>10764</v>
      </c>
      <c r="G1733" s="375" t="s">
        <v>11366</v>
      </c>
      <c r="H1733" s="375" t="s">
        <v>1337</v>
      </c>
      <c r="I1733" s="375" t="s">
        <v>862</v>
      </c>
      <c r="J1733" s="375">
        <v>259996.73701000001</v>
      </c>
      <c r="K1733" s="375">
        <v>28419.210719999999</v>
      </c>
      <c r="L1733" s="375">
        <v>8320.0641500000002</v>
      </c>
      <c r="M1733" s="375">
        <v>150622.75096999999</v>
      </c>
      <c r="N1733" s="372">
        <v>0.72299999999999998</v>
      </c>
      <c r="O1733" s="704">
        <v>604.04811922407453</v>
      </c>
      <c r="P1733" s="375" t="s">
        <v>622</v>
      </c>
      <c r="Q1733" s="375" t="s">
        <v>622</v>
      </c>
      <c r="R1733" s="696">
        <v>20001229</v>
      </c>
      <c r="S1733" s="375" t="s">
        <v>11367</v>
      </c>
      <c r="T1733" s="697">
        <v>0.20900000000000002</v>
      </c>
      <c r="U1733" s="372" t="s">
        <v>11368</v>
      </c>
      <c r="V1733" s="723">
        <v>9.48</v>
      </c>
      <c r="W1733" s="723">
        <v>0.38</v>
      </c>
      <c r="X1733" s="723">
        <v>0.23</v>
      </c>
      <c r="Y1733" s="723">
        <v>8.76</v>
      </c>
      <c r="Z1733" s="382">
        <v>5.3812475901141354E-2</v>
      </c>
      <c r="AA1733" s="372">
        <v>1415.9439364</v>
      </c>
      <c r="AB1733" s="372">
        <v>1780.7576461000001</v>
      </c>
      <c r="AC1733" s="372">
        <v>2316.9425974000001</v>
      </c>
      <c r="AD1733" s="372">
        <v>2325.5506553</v>
      </c>
      <c r="AE1733" s="372">
        <v>2491</v>
      </c>
      <c r="AF1733" s="372">
        <v>2686</v>
      </c>
      <c r="AG1733" s="372">
        <v>2868</v>
      </c>
      <c r="AH1733" s="372">
        <v>0</v>
      </c>
    </row>
    <row r="1734" spans="1:34">
      <c r="A1734" s="372" t="s">
        <v>11369</v>
      </c>
      <c r="B1734" s="373" t="s">
        <v>11370</v>
      </c>
      <c r="C1734" s="372" t="s">
        <v>11371</v>
      </c>
      <c r="D1734" s="374">
        <v>1741110000527</v>
      </c>
      <c r="E1734" s="372" t="s">
        <v>11372</v>
      </c>
      <c r="F1734" s="375" t="s">
        <v>1863</v>
      </c>
      <c r="G1734" s="375" t="s">
        <v>1864</v>
      </c>
      <c r="H1734" s="375" t="s">
        <v>792</v>
      </c>
      <c r="I1734" s="375" t="s">
        <v>754</v>
      </c>
      <c r="J1734" s="375">
        <v>591327.47496000002</v>
      </c>
      <c r="K1734" s="375">
        <v>25998.626110000001</v>
      </c>
      <c r="L1734" s="375">
        <v>14853.712600000001</v>
      </c>
      <c r="M1734" s="375">
        <v>221635.22503999999</v>
      </c>
      <c r="N1734" s="372">
        <v>0.90600000000000003</v>
      </c>
      <c r="O1734" s="704">
        <v>356.18854640410433</v>
      </c>
      <c r="P1734" s="375" t="s">
        <v>622</v>
      </c>
      <c r="Q1734" s="372" t="s">
        <v>622</v>
      </c>
      <c r="R1734" s="696">
        <v>20011113</v>
      </c>
      <c r="S1734" s="372" t="s">
        <v>11373</v>
      </c>
      <c r="T1734" s="697">
        <v>0.20900000000000002</v>
      </c>
      <c r="U1734" s="372" t="s">
        <v>11374</v>
      </c>
      <c r="V1734" s="723">
        <v>5.59</v>
      </c>
      <c r="W1734" s="723">
        <v>0.33</v>
      </c>
      <c r="X1734" s="723">
        <v>0.13</v>
      </c>
      <c r="Y1734" s="723">
        <v>5.72</v>
      </c>
      <c r="Z1734" s="382" t="s">
        <v>927</v>
      </c>
      <c r="AA1734" s="372">
        <v>3490.4164820000001</v>
      </c>
      <c r="AB1734" s="372">
        <v>3970.2306804</v>
      </c>
      <c r="AC1734" s="372">
        <v>4890.1482245999996</v>
      </c>
      <c r="AD1734" s="372">
        <v>5754.9118478</v>
      </c>
      <c r="AE1734" s="372">
        <v>0</v>
      </c>
      <c r="AF1734" s="372">
        <v>0</v>
      </c>
      <c r="AG1734" s="372">
        <v>0</v>
      </c>
      <c r="AH1734" s="372">
        <v>0</v>
      </c>
    </row>
    <row r="1735" spans="1:34">
      <c r="A1735" s="372" t="s">
        <v>11375</v>
      </c>
      <c r="B1735" s="373" t="s">
        <v>11376</v>
      </c>
      <c r="C1735" s="372" t="s">
        <v>11377</v>
      </c>
      <c r="D1735" s="374">
        <v>1801110001973</v>
      </c>
      <c r="E1735" s="372" t="s">
        <v>11378</v>
      </c>
      <c r="F1735" s="375" t="s">
        <v>1459</v>
      </c>
      <c r="G1735" s="375" t="s">
        <v>5643</v>
      </c>
      <c r="H1735" s="375" t="s">
        <v>909</v>
      </c>
      <c r="I1735" s="375" t="s">
        <v>754</v>
      </c>
      <c r="J1735" s="375">
        <v>674916.34959</v>
      </c>
      <c r="K1735" s="375">
        <v>21035.857759999999</v>
      </c>
      <c r="L1735" s="375">
        <v>13015.199979999999</v>
      </c>
      <c r="M1735" s="375">
        <v>276337.79372999998</v>
      </c>
      <c r="N1735" s="372">
        <v>0.92300000000000004</v>
      </c>
      <c r="O1735" s="704">
        <v>152.97091147582799</v>
      </c>
      <c r="P1735" s="375" t="s">
        <v>622</v>
      </c>
      <c r="Q1735" s="372" t="s">
        <v>622</v>
      </c>
      <c r="R1735" s="696">
        <v>20111216</v>
      </c>
      <c r="S1735" s="372" t="s">
        <v>11379</v>
      </c>
      <c r="T1735" s="697">
        <v>0.20900000000000002</v>
      </c>
      <c r="U1735" s="372" t="s">
        <v>11380</v>
      </c>
      <c r="V1735" s="723">
        <v>3.5</v>
      </c>
      <c r="W1735" s="723">
        <v>0.24</v>
      </c>
      <c r="X1735" s="723">
        <v>0.1</v>
      </c>
      <c r="Y1735" s="723">
        <v>6.31</v>
      </c>
      <c r="Z1735" s="382" t="s">
        <v>927</v>
      </c>
      <c r="AA1735" s="372">
        <v>4583.1682633</v>
      </c>
      <c r="AB1735" s="372">
        <v>5888.8203993999996</v>
      </c>
      <c r="AC1735" s="372">
        <v>7199.8367270999997</v>
      </c>
      <c r="AD1735" s="372">
        <v>6116.3943354000003</v>
      </c>
      <c r="AE1735" s="372">
        <v>0</v>
      </c>
      <c r="AF1735" s="372">
        <v>0</v>
      </c>
      <c r="AG1735" s="372">
        <v>0</v>
      </c>
      <c r="AH1735" s="372">
        <v>0</v>
      </c>
    </row>
    <row r="1736" spans="1:34">
      <c r="A1736" s="372" t="s">
        <v>11381</v>
      </c>
      <c r="B1736" s="373" t="s">
        <v>11382</v>
      </c>
      <c r="C1736" s="372" t="s">
        <v>11383</v>
      </c>
      <c r="D1736" s="374">
        <v>1345110004149</v>
      </c>
      <c r="E1736" s="372" t="s">
        <v>11384</v>
      </c>
      <c r="F1736" s="375" t="s">
        <v>3975</v>
      </c>
      <c r="G1736" s="375" t="s">
        <v>3976</v>
      </c>
      <c r="H1736" s="375" t="s">
        <v>1316</v>
      </c>
      <c r="I1736" s="375" t="s">
        <v>754</v>
      </c>
      <c r="J1736" s="375">
        <v>342255.68672</v>
      </c>
      <c r="K1736" s="375">
        <v>-1146.9818299999999</v>
      </c>
      <c r="L1736" s="375">
        <v>-3159.02351</v>
      </c>
      <c r="M1736" s="375">
        <v>41027.478739999999</v>
      </c>
      <c r="N1736" s="372">
        <v>0.66100000000000003</v>
      </c>
      <c r="O1736" s="704">
        <v>91.886745864853324</v>
      </c>
      <c r="P1736" s="375" t="s">
        <v>622</v>
      </c>
      <c r="Q1736" s="375" t="s">
        <v>622</v>
      </c>
      <c r="R1736" s="696">
        <v>20001205</v>
      </c>
      <c r="S1736" s="375" t="s">
        <v>11385</v>
      </c>
      <c r="T1736" s="697" t="s">
        <v>771</v>
      </c>
      <c r="U1736" s="372" t="s">
        <v>11386</v>
      </c>
      <c r="V1736" s="723">
        <v>13.58</v>
      </c>
      <c r="W1736" s="723">
        <v>1.47</v>
      </c>
      <c r="X1736" s="723">
        <v>0.18</v>
      </c>
      <c r="Y1736" s="723" t="s">
        <v>773</v>
      </c>
      <c r="Z1736" s="382" t="s">
        <v>927</v>
      </c>
      <c r="AA1736" s="372">
        <v>2147.9462668000001</v>
      </c>
      <c r="AB1736" s="372">
        <v>2527.2700675000001</v>
      </c>
      <c r="AC1736" s="372">
        <v>3205.5128098999999</v>
      </c>
      <c r="AD1736" s="372">
        <v>3396.1158498</v>
      </c>
      <c r="AE1736" s="372">
        <v>0</v>
      </c>
      <c r="AF1736" s="372">
        <v>0</v>
      </c>
      <c r="AG1736" s="372">
        <v>0</v>
      </c>
      <c r="AH1736" s="372">
        <v>0</v>
      </c>
    </row>
    <row r="1737" spans="1:34">
      <c r="A1737" s="372" t="s">
        <v>11387</v>
      </c>
      <c r="B1737" s="373" t="s">
        <v>11388</v>
      </c>
      <c r="C1737" s="372" t="s">
        <v>11389</v>
      </c>
      <c r="D1737" s="374">
        <v>1101110054760</v>
      </c>
      <c r="E1737" s="372" t="s">
        <v>11390</v>
      </c>
      <c r="F1737" s="375" t="s">
        <v>845</v>
      </c>
      <c r="G1737" s="375" t="s">
        <v>845</v>
      </c>
      <c r="H1737" s="375" t="s">
        <v>846</v>
      </c>
      <c r="I1737" s="375" t="s">
        <v>754</v>
      </c>
      <c r="J1737" s="375">
        <v>76418.111369999999</v>
      </c>
      <c r="K1737" s="375">
        <v>-956.28296999999998</v>
      </c>
      <c r="L1737" s="375">
        <v>-5365.5771000000004</v>
      </c>
      <c r="M1737" s="375">
        <v>103823.68077000001</v>
      </c>
      <c r="N1737" s="372">
        <v>1.1559999999999999</v>
      </c>
      <c r="O1737" s="704">
        <v>212.53116602458309</v>
      </c>
      <c r="P1737" s="375" t="s">
        <v>622</v>
      </c>
      <c r="Q1737" s="372" t="s">
        <v>622</v>
      </c>
      <c r="R1737" s="696">
        <v>19891114</v>
      </c>
      <c r="S1737" s="372" t="s">
        <v>11391</v>
      </c>
      <c r="T1737" s="697" t="s">
        <v>771</v>
      </c>
      <c r="U1737" s="372" t="s">
        <v>11392</v>
      </c>
      <c r="V1737" s="723">
        <v>2158.42</v>
      </c>
      <c r="W1737" s="723">
        <v>0.47</v>
      </c>
      <c r="X1737" s="723">
        <v>0.66</v>
      </c>
      <c r="Y1737" s="723" t="s">
        <v>773</v>
      </c>
      <c r="Z1737" s="382" t="s">
        <v>927</v>
      </c>
      <c r="AA1737" s="372">
        <v>925.3356096</v>
      </c>
      <c r="AB1737" s="372">
        <v>1023.2029093</v>
      </c>
      <c r="AC1737" s="372">
        <v>981.37172429999998</v>
      </c>
      <c r="AD1737" s="372">
        <v>696.74672020000003</v>
      </c>
      <c r="AE1737" s="372">
        <v>0</v>
      </c>
      <c r="AF1737" s="372">
        <v>0</v>
      </c>
      <c r="AG1737" s="372">
        <v>0</v>
      </c>
      <c r="AH1737" s="372">
        <v>0</v>
      </c>
    </row>
    <row r="1738" spans="1:34">
      <c r="A1738" s="372" t="s">
        <v>11393</v>
      </c>
      <c r="B1738" s="373" t="s">
        <v>11394</v>
      </c>
      <c r="C1738" s="372" t="s">
        <v>11395</v>
      </c>
      <c r="D1738" s="374">
        <v>1101111665516</v>
      </c>
      <c r="E1738" s="372" t="s">
        <v>11396</v>
      </c>
      <c r="F1738" s="375" t="s">
        <v>2834</v>
      </c>
      <c r="G1738" s="375" t="s">
        <v>2834</v>
      </c>
      <c r="H1738" s="375" t="s">
        <v>861</v>
      </c>
      <c r="I1738" s="375" t="s">
        <v>862</v>
      </c>
      <c r="J1738" s="375">
        <v>1268987.32231</v>
      </c>
      <c r="K1738" s="375">
        <v>55511.631999999998</v>
      </c>
      <c r="L1738" s="375">
        <v>40466.564610000001</v>
      </c>
      <c r="M1738" s="375">
        <v>432494.96382</v>
      </c>
      <c r="N1738" s="372">
        <v>1.0049999999999999</v>
      </c>
      <c r="O1738" s="704">
        <v>341.08268664036751</v>
      </c>
      <c r="P1738" s="375" t="s">
        <v>622</v>
      </c>
      <c r="Q1738" s="372" t="s">
        <v>622</v>
      </c>
      <c r="R1738" s="696">
        <v>20100204</v>
      </c>
      <c r="S1738" s="372" t="s">
        <v>11397</v>
      </c>
      <c r="T1738" s="697">
        <v>0.23100000000000001</v>
      </c>
      <c r="U1738" s="372" t="s">
        <v>11398</v>
      </c>
      <c r="V1738" s="723">
        <v>3.37</v>
      </c>
      <c r="W1738" s="723">
        <v>0.24</v>
      </c>
      <c r="X1738" s="723">
        <v>0.06</v>
      </c>
      <c r="Y1738" s="723">
        <v>3.01</v>
      </c>
      <c r="Z1738" s="382" t="s">
        <v>927</v>
      </c>
      <c r="AA1738" s="372">
        <v>10804.7849477</v>
      </c>
      <c r="AB1738" s="372">
        <v>11718.0118559</v>
      </c>
      <c r="AC1738" s="372">
        <v>13268.860438199999</v>
      </c>
      <c r="AD1738" s="372">
        <v>12628.316551600001</v>
      </c>
      <c r="AE1738" s="372">
        <v>0</v>
      </c>
      <c r="AF1738" s="372">
        <v>0</v>
      </c>
      <c r="AG1738" s="372">
        <v>0</v>
      </c>
      <c r="AH1738" s="372">
        <v>0</v>
      </c>
    </row>
    <row r="1739" spans="1:34">
      <c r="A1739" s="372" t="s">
        <v>11399</v>
      </c>
      <c r="B1739" s="373" t="s">
        <v>11400</v>
      </c>
      <c r="C1739" s="372" t="s">
        <v>11401</v>
      </c>
      <c r="D1739" s="374">
        <v>1243110019293</v>
      </c>
      <c r="E1739" s="372" t="s">
        <v>11402</v>
      </c>
      <c r="F1739" s="372" t="s">
        <v>1863</v>
      </c>
      <c r="G1739" s="375" t="s">
        <v>1864</v>
      </c>
      <c r="H1739" s="375" t="s">
        <v>861</v>
      </c>
      <c r="I1739" s="375" t="s">
        <v>862</v>
      </c>
      <c r="J1739" s="375">
        <v>153304.83692999999</v>
      </c>
      <c r="K1739" s="375">
        <v>9805.5440600000002</v>
      </c>
      <c r="L1739" s="375">
        <v>4224.0528700000004</v>
      </c>
      <c r="M1739" s="375">
        <v>130955.13454</v>
      </c>
      <c r="N1739" s="372">
        <v>0.49299999999999999</v>
      </c>
      <c r="O1739" s="704">
        <v>94.791762712502944</v>
      </c>
      <c r="P1739" s="375" t="s">
        <v>622</v>
      </c>
      <c r="Q1739" s="372" t="s">
        <v>622</v>
      </c>
      <c r="R1739" s="696">
        <v>19961129</v>
      </c>
      <c r="S1739" s="375" t="s">
        <v>11403</v>
      </c>
      <c r="T1739" s="697">
        <v>0.20900000000000002</v>
      </c>
      <c r="U1739" s="372" t="s">
        <v>11404</v>
      </c>
      <c r="V1739" s="723">
        <v>6.82</v>
      </c>
      <c r="W1739" s="723">
        <v>0.49</v>
      </c>
      <c r="X1739" s="723">
        <v>0.41</v>
      </c>
      <c r="Y1739" s="723">
        <v>17.23</v>
      </c>
      <c r="Z1739" s="382" t="s">
        <v>927</v>
      </c>
      <c r="AA1739" s="372">
        <v>1382.5502767</v>
      </c>
      <c r="AB1739" s="372">
        <v>1524.7147892999999</v>
      </c>
      <c r="AC1739" s="372">
        <v>1773.6453839999999</v>
      </c>
      <c r="AD1739" s="372">
        <v>1781.6677686999999</v>
      </c>
      <c r="AE1739" s="372">
        <v>0</v>
      </c>
      <c r="AF1739" s="372">
        <v>0</v>
      </c>
      <c r="AG1739" s="372">
        <v>0</v>
      </c>
      <c r="AH1739" s="372">
        <v>0</v>
      </c>
    </row>
    <row r="1740" spans="1:34">
      <c r="A1740" s="372" t="s">
        <v>11405</v>
      </c>
      <c r="B1740" s="373" t="s">
        <v>11406</v>
      </c>
      <c r="C1740" s="372" t="s">
        <v>11407</v>
      </c>
      <c r="D1740" s="374">
        <v>1101110245575</v>
      </c>
      <c r="E1740" s="372" t="s">
        <v>11408</v>
      </c>
      <c r="F1740" s="375" t="s">
        <v>5410</v>
      </c>
      <c r="G1740" s="375" t="s">
        <v>10795</v>
      </c>
      <c r="H1740" s="375" t="s">
        <v>861</v>
      </c>
      <c r="I1740" s="375" t="s">
        <v>862</v>
      </c>
      <c r="J1740" s="375">
        <v>87784.83279</v>
      </c>
      <c r="K1740" s="375">
        <v>-2019.3726300000001</v>
      </c>
      <c r="L1740" s="375">
        <v>-3723.6563099999998</v>
      </c>
      <c r="M1740" s="375">
        <v>43262.625809999998</v>
      </c>
      <c r="N1740" s="372">
        <v>0.75700000000000001</v>
      </c>
      <c r="O1740" s="704">
        <v>102.78876830487656</v>
      </c>
      <c r="P1740" s="375" t="s">
        <v>622</v>
      </c>
      <c r="Q1740" s="375" t="s">
        <v>622</v>
      </c>
      <c r="R1740" s="696">
        <v>20010112</v>
      </c>
      <c r="S1740" s="375" t="s">
        <v>11409</v>
      </c>
      <c r="T1740" s="697" t="s">
        <v>771</v>
      </c>
      <c r="U1740" s="372" t="s">
        <v>11410</v>
      </c>
      <c r="V1740" s="723" t="s">
        <v>773</v>
      </c>
      <c r="W1740" s="723">
        <v>1.04</v>
      </c>
      <c r="X1740" s="723">
        <v>0.5</v>
      </c>
      <c r="Y1740" s="723" t="s">
        <v>773</v>
      </c>
      <c r="Z1740" s="382" t="s">
        <v>927</v>
      </c>
      <c r="AA1740" s="372">
        <v>885.58514969999999</v>
      </c>
      <c r="AB1740" s="372">
        <v>869.50519359999998</v>
      </c>
      <c r="AC1740" s="372">
        <v>942.79860989999997</v>
      </c>
      <c r="AD1740" s="372">
        <v>861.77095410000004</v>
      </c>
      <c r="AE1740" s="372">
        <v>0</v>
      </c>
      <c r="AF1740" s="372">
        <v>0</v>
      </c>
      <c r="AG1740" s="372">
        <v>0</v>
      </c>
      <c r="AH1740" s="372">
        <v>0</v>
      </c>
    </row>
    <row r="1741" spans="1:34">
      <c r="A1741" s="372" t="s">
        <v>11411</v>
      </c>
      <c r="B1741" s="373" t="s">
        <v>11412</v>
      </c>
      <c r="C1741" s="372" t="s">
        <v>11413</v>
      </c>
      <c r="D1741" s="374">
        <v>1101110866785</v>
      </c>
      <c r="E1741" s="372" t="s">
        <v>11414</v>
      </c>
      <c r="F1741" s="372" t="s">
        <v>1682</v>
      </c>
      <c r="G1741" s="375" t="s">
        <v>11415</v>
      </c>
      <c r="H1741" s="375" t="s">
        <v>861</v>
      </c>
      <c r="I1741" s="375" t="s">
        <v>862</v>
      </c>
      <c r="J1741" s="375">
        <v>71428.542019999993</v>
      </c>
      <c r="K1741" s="375">
        <v>5033.9606000000003</v>
      </c>
      <c r="L1741" s="375">
        <v>4711.7885699999997</v>
      </c>
      <c r="M1741" s="375">
        <v>76865.657080000004</v>
      </c>
      <c r="N1741" s="372">
        <v>0.502</v>
      </c>
      <c r="O1741" s="704">
        <v>72.356031984393283</v>
      </c>
      <c r="P1741" s="375" t="s">
        <v>622</v>
      </c>
      <c r="Q1741" s="372" t="s">
        <v>622</v>
      </c>
      <c r="R1741" s="696">
        <v>20020226</v>
      </c>
      <c r="S1741" s="372" t="s">
        <v>11416</v>
      </c>
      <c r="T1741" s="697">
        <v>0.20900000000000002</v>
      </c>
      <c r="U1741" s="375" t="s">
        <v>11417</v>
      </c>
      <c r="V1741" s="723">
        <v>16.420000000000002</v>
      </c>
      <c r="W1741" s="723">
        <v>1.02</v>
      </c>
      <c r="X1741" s="723">
        <v>1.1000000000000001</v>
      </c>
      <c r="Y1741" s="723">
        <v>14.77</v>
      </c>
      <c r="Z1741" s="382" t="s">
        <v>927</v>
      </c>
      <c r="AA1741" s="372">
        <v>483.20184380000001</v>
      </c>
      <c r="AB1741" s="372">
        <v>551.67562199999998</v>
      </c>
      <c r="AC1741" s="372">
        <v>615.37390210000001</v>
      </c>
      <c r="AD1741" s="372">
        <v>628.09011380000004</v>
      </c>
      <c r="AE1741" s="372">
        <v>0</v>
      </c>
      <c r="AF1741" s="372">
        <v>0</v>
      </c>
      <c r="AG1741" s="372">
        <v>0</v>
      </c>
      <c r="AH1741" s="372">
        <v>0</v>
      </c>
    </row>
    <row r="1742" spans="1:34">
      <c r="A1742" s="372" t="s">
        <v>11418</v>
      </c>
      <c r="B1742" s="373" t="s">
        <v>11419</v>
      </c>
      <c r="C1742" s="372" t="s">
        <v>11420</v>
      </c>
      <c r="D1742" s="374">
        <v>1501110137013</v>
      </c>
      <c r="E1742" s="372" t="s">
        <v>11421</v>
      </c>
      <c r="F1742" s="375" t="s">
        <v>5619</v>
      </c>
      <c r="G1742" s="375" t="s">
        <v>5619</v>
      </c>
      <c r="H1742" s="375" t="s">
        <v>861</v>
      </c>
      <c r="I1742" s="375" t="s">
        <v>862</v>
      </c>
      <c r="J1742" s="375">
        <v>34601.66257</v>
      </c>
      <c r="K1742" s="375">
        <v>-2063.6095</v>
      </c>
      <c r="L1742" s="375">
        <v>-8734.7321699999993</v>
      </c>
      <c r="M1742" s="375">
        <v>45820.596290000001</v>
      </c>
      <c r="N1742" s="372" t="s">
        <v>1026</v>
      </c>
      <c r="O1742" s="704">
        <v>32.934151121032187</v>
      </c>
      <c r="P1742" s="375" t="s">
        <v>622</v>
      </c>
      <c r="Q1742" s="372" t="s">
        <v>622</v>
      </c>
      <c r="R1742" s="696">
        <v>20231102</v>
      </c>
      <c r="S1742" s="372" t="s">
        <v>11422</v>
      </c>
      <c r="T1742" s="697" t="s">
        <v>771</v>
      </c>
      <c r="U1742" s="372" t="s">
        <v>11423</v>
      </c>
      <c r="V1742" s="723">
        <v>1198.04</v>
      </c>
      <c r="W1742" s="723">
        <v>1.1599999999999999</v>
      </c>
      <c r="X1742" s="723">
        <v>1.51</v>
      </c>
      <c r="Y1742" s="723" t="s">
        <v>773</v>
      </c>
      <c r="Z1742" s="382" t="s">
        <v>927</v>
      </c>
      <c r="AA1742" s="372">
        <v>309.53229709999999</v>
      </c>
      <c r="AB1742" s="372">
        <v>345.57425419999998</v>
      </c>
      <c r="AC1742" s="372">
        <v>398.24841240000001</v>
      </c>
      <c r="AD1742" s="372">
        <v>474.97623099999998</v>
      </c>
      <c r="AE1742" s="372">
        <v>430</v>
      </c>
      <c r="AF1742" s="372">
        <v>0</v>
      </c>
      <c r="AG1742" s="372">
        <v>0</v>
      </c>
      <c r="AH1742" s="372">
        <v>0</v>
      </c>
    </row>
    <row r="1743" spans="1:34">
      <c r="A1743" s="372" t="s">
        <v>11424</v>
      </c>
      <c r="B1743" s="373" t="s">
        <v>11425</v>
      </c>
      <c r="C1743" s="372" t="s">
        <v>11426</v>
      </c>
      <c r="D1743" s="374">
        <v>2011110000036</v>
      </c>
      <c r="E1743" s="372" t="s">
        <v>11427</v>
      </c>
      <c r="F1743" s="375" t="s">
        <v>1954</v>
      </c>
      <c r="G1743" s="375" t="s">
        <v>1955</v>
      </c>
      <c r="H1743" s="375" t="s">
        <v>1316</v>
      </c>
      <c r="I1743" s="375" t="s">
        <v>754</v>
      </c>
      <c r="J1743" s="375">
        <v>89773.338560000004</v>
      </c>
      <c r="K1743" s="375">
        <v>609.20714999999996</v>
      </c>
      <c r="L1743" s="375">
        <v>-234.05921000000001</v>
      </c>
      <c r="M1743" s="375">
        <v>81114.431930000006</v>
      </c>
      <c r="N1743" s="372">
        <v>0.59399999999999997</v>
      </c>
      <c r="O1743" s="704">
        <v>62.516787705259468</v>
      </c>
      <c r="P1743" s="375" t="s">
        <v>622</v>
      </c>
      <c r="Q1743" s="372" t="s">
        <v>622</v>
      </c>
      <c r="R1743" s="696">
        <v>19880923</v>
      </c>
      <c r="S1743" s="372" t="s">
        <v>11428</v>
      </c>
      <c r="T1743" s="697" t="s">
        <v>771</v>
      </c>
      <c r="U1743" s="372" t="s">
        <v>11429</v>
      </c>
      <c r="V1743" s="723">
        <v>10.93</v>
      </c>
      <c r="W1743" s="723">
        <v>0.76</v>
      </c>
      <c r="X1743" s="723">
        <v>0.69</v>
      </c>
      <c r="Y1743" s="723" t="s">
        <v>773</v>
      </c>
      <c r="Z1743" s="382" t="s">
        <v>927</v>
      </c>
      <c r="AA1743" s="372">
        <v>785.63804540000001</v>
      </c>
      <c r="AB1743" s="372">
        <v>837.48910790000002</v>
      </c>
      <c r="AC1743" s="372">
        <v>908.58780909999996</v>
      </c>
      <c r="AD1743" s="372">
        <v>930.84785139999997</v>
      </c>
      <c r="AE1743" s="372">
        <v>0</v>
      </c>
      <c r="AF1743" s="372">
        <v>0</v>
      </c>
      <c r="AG1743" s="372">
        <v>0</v>
      </c>
      <c r="AH1743" s="372">
        <v>0</v>
      </c>
    </row>
    <row r="1744" spans="1:34">
      <c r="A1744" s="372" t="s">
        <v>11430</v>
      </c>
      <c r="B1744" s="373" t="s">
        <v>11431</v>
      </c>
      <c r="C1744" s="372" t="s">
        <v>16032</v>
      </c>
      <c r="D1744" s="374">
        <v>1101112431669</v>
      </c>
      <c r="E1744" s="372" t="s">
        <v>16033</v>
      </c>
      <c r="F1744" s="375" t="s">
        <v>2834</v>
      </c>
      <c r="G1744" s="375" t="s">
        <v>2835</v>
      </c>
      <c r="H1744" s="375" t="s">
        <v>861</v>
      </c>
      <c r="I1744" s="375" t="s">
        <v>862</v>
      </c>
      <c r="J1744" s="375">
        <v>47697.198709999997</v>
      </c>
      <c r="K1744" s="375">
        <v>-8743.7058300000008</v>
      </c>
      <c r="L1744" s="375">
        <v>-17166.76946</v>
      </c>
      <c r="M1744" s="375">
        <v>56458.266860000003</v>
      </c>
      <c r="N1744" s="372">
        <v>0.34499999999999997</v>
      </c>
      <c r="O1744" s="704">
        <v>13.129411751677402</v>
      </c>
      <c r="P1744" s="375" t="s">
        <v>622</v>
      </c>
      <c r="Q1744" s="372" t="s">
        <v>622</v>
      </c>
      <c r="R1744" s="696">
        <v>20150923</v>
      </c>
      <c r="S1744" s="375" t="s">
        <v>11432</v>
      </c>
      <c r="T1744" s="697" t="s">
        <v>771</v>
      </c>
      <c r="U1744" s="372" t="s">
        <v>11433</v>
      </c>
      <c r="V1744" s="723" t="s">
        <v>773</v>
      </c>
      <c r="W1744" s="723">
        <v>2.2999999999999998</v>
      </c>
      <c r="X1744" s="723">
        <v>2.42</v>
      </c>
      <c r="Y1744" s="723" t="s">
        <v>773</v>
      </c>
      <c r="Z1744" s="382" t="s">
        <v>927</v>
      </c>
      <c r="AA1744" s="372">
        <v>435.05867860000001</v>
      </c>
      <c r="AB1744" s="372">
        <v>466.73243550000001</v>
      </c>
      <c r="AC1744" s="372">
        <v>355.3673781</v>
      </c>
      <c r="AD1744" s="372">
        <v>385.0304577</v>
      </c>
      <c r="AE1744" s="372">
        <v>0</v>
      </c>
      <c r="AF1744" s="372">
        <v>0</v>
      </c>
      <c r="AG1744" s="372">
        <v>0</v>
      </c>
      <c r="AH1744" s="372">
        <v>0</v>
      </c>
    </row>
    <row r="1745" spans="1:34">
      <c r="A1745" s="372" t="s">
        <v>11434</v>
      </c>
      <c r="B1745" s="373" t="s">
        <v>11435</v>
      </c>
      <c r="C1745" s="372" t="s">
        <v>11436</v>
      </c>
      <c r="D1745" s="374">
        <v>1101113292086</v>
      </c>
      <c r="E1745" s="372" t="s">
        <v>11437</v>
      </c>
      <c r="F1745" s="375" t="s">
        <v>1370</v>
      </c>
      <c r="G1745" s="375" t="s">
        <v>1370</v>
      </c>
      <c r="H1745" s="375" t="s">
        <v>861</v>
      </c>
      <c r="I1745" s="375" t="s">
        <v>862</v>
      </c>
      <c r="J1745" s="375">
        <v>28472.00044</v>
      </c>
      <c r="K1745" s="375">
        <v>545.08775000000003</v>
      </c>
      <c r="L1745" s="375">
        <v>1486.08537</v>
      </c>
      <c r="M1745" s="375">
        <v>22461.524509999999</v>
      </c>
      <c r="N1745" s="372" t="s">
        <v>1026</v>
      </c>
      <c r="O1745" s="704">
        <v>4.7370089900191061</v>
      </c>
      <c r="P1745" s="375" t="s">
        <v>622</v>
      </c>
      <c r="Q1745" s="372" t="s">
        <v>622</v>
      </c>
      <c r="R1745" s="696">
        <v>20230804</v>
      </c>
      <c r="S1745" s="372" t="s">
        <v>11438</v>
      </c>
      <c r="T1745" s="697">
        <v>0.20900000000000002</v>
      </c>
      <c r="U1745" s="372" t="s">
        <v>11439</v>
      </c>
      <c r="V1745" s="723">
        <v>0</v>
      </c>
      <c r="W1745" s="723">
        <v>0</v>
      </c>
      <c r="X1745" s="723">
        <v>0</v>
      </c>
      <c r="Y1745" s="723">
        <v>0</v>
      </c>
      <c r="Z1745" s="382" t="s">
        <v>927</v>
      </c>
      <c r="AA1745" s="372">
        <v>166.73772719999999</v>
      </c>
      <c r="AB1745" s="372">
        <v>170.39669290000001</v>
      </c>
      <c r="AC1745" s="372">
        <v>222.95174109999999</v>
      </c>
      <c r="AD1745" s="372">
        <v>241.521838</v>
      </c>
      <c r="AE1745" s="372">
        <v>0</v>
      </c>
      <c r="AF1745" s="372">
        <v>0</v>
      </c>
      <c r="AG1745" s="372">
        <v>0</v>
      </c>
      <c r="AH1745" s="372">
        <v>0</v>
      </c>
    </row>
    <row r="1746" spans="1:34">
      <c r="A1746" s="372" t="s">
        <v>11440</v>
      </c>
      <c r="B1746" s="373" t="s">
        <v>11441</v>
      </c>
      <c r="C1746" s="372" t="s">
        <v>11442</v>
      </c>
      <c r="D1746" s="374">
        <v>1345110017746</v>
      </c>
      <c r="E1746" s="372" t="s">
        <v>11443</v>
      </c>
      <c r="F1746" s="375" t="s">
        <v>1962</v>
      </c>
      <c r="G1746" s="375" t="s">
        <v>1962</v>
      </c>
      <c r="H1746" s="375" t="s">
        <v>861</v>
      </c>
      <c r="I1746" s="375" t="s">
        <v>862</v>
      </c>
      <c r="J1746" s="375">
        <v>28145.437249999999</v>
      </c>
      <c r="K1746" s="375">
        <v>-22033.1813</v>
      </c>
      <c r="L1746" s="375">
        <v>-26316.99597</v>
      </c>
      <c r="M1746" s="375">
        <v>80375.302620000002</v>
      </c>
      <c r="N1746" s="372">
        <v>0.90100000000000002</v>
      </c>
      <c r="O1746" s="704">
        <v>214.98305080008424</v>
      </c>
      <c r="P1746" s="375" t="s">
        <v>622</v>
      </c>
      <c r="Q1746" s="375" t="s">
        <v>622</v>
      </c>
      <c r="R1746" s="696">
        <v>20220208</v>
      </c>
      <c r="S1746" s="375" t="s">
        <v>11444</v>
      </c>
      <c r="T1746" s="697" t="s">
        <v>771</v>
      </c>
      <c r="U1746" s="372" t="s">
        <v>11445</v>
      </c>
      <c r="V1746" s="723" t="s">
        <v>773</v>
      </c>
      <c r="W1746" s="723">
        <v>0.54</v>
      </c>
      <c r="X1746" s="723">
        <v>1.54</v>
      </c>
      <c r="Y1746" s="723" t="s">
        <v>773</v>
      </c>
      <c r="Z1746" s="382" t="s">
        <v>927</v>
      </c>
      <c r="AA1746" s="372">
        <v>828.04670039999996</v>
      </c>
      <c r="AB1746" s="372">
        <v>1351.5254004999999</v>
      </c>
      <c r="AC1746" s="372">
        <v>880.40460880000001</v>
      </c>
      <c r="AD1746" s="372">
        <v>529.25517539999998</v>
      </c>
      <c r="AE1746" s="372">
        <v>1328</v>
      </c>
      <c r="AF1746" s="372">
        <v>1470</v>
      </c>
      <c r="AG1746" s="372">
        <v>0</v>
      </c>
      <c r="AH1746" s="372">
        <v>0</v>
      </c>
    </row>
    <row r="1747" spans="1:34">
      <c r="A1747" s="372" t="s">
        <v>11446</v>
      </c>
      <c r="B1747" s="373" t="s">
        <v>11447</v>
      </c>
      <c r="C1747" s="372" t="s">
        <v>11448</v>
      </c>
      <c r="D1747" s="374">
        <v>1101110393457</v>
      </c>
      <c r="E1747" s="372" t="s">
        <v>11449</v>
      </c>
      <c r="F1747" s="375" t="s">
        <v>2668</v>
      </c>
      <c r="G1747" s="375" t="s">
        <v>2669</v>
      </c>
      <c r="H1747" s="375" t="s">
        <v>1539</v>
      </c>
      <c r="I1747" s="375" t="s">
        <v>754</v>
      </c>
      <c r="J1747" s="375">
        <v>442895.32561</v>
      </c>
      <c r="K1747" s="375">
        <v>21882.7091</v>
      </c>
      <c r="L1747" s="375">
        <v>11252.53674</v>
      </c>
      <c r="M1747" s="375">
        <v>160018.39863000001</v>
      </c>
      <c r="N1747" s="372">
        <v>0.52400000000000002</v>
      </c>
      <c r="O1747" s="704">
        <v>285.29202099465232</v>
      </c>
      <c r="P1747" s="375" t="s">
        <v>622</v>
      </c>
      <c r="Q1747" s="372" t="s">
        <v>622</v>
      </c>
      <c r="R1747" s="696">
        <v>20170202</v>
      </c>
      <c r="S1747" s="372" t="s">
        <v>11450</v>
      </c>
      <c r="T1747" s="697">
        <v>0.20900000000000002</v>
      </c>
      <c r="U1747" s="372" t="s">
        <v>11451</v>
      </c>
      <c r="V1747" s="723">
        <v>7.39</v>
      </c>
      <c r="W1747" s="723">
        <v>0.4</v>
      </c>
      <c r="X1747" s="723">
        <v>0.15</v>
      </c>
      <c r="Y1747" s="723">
        <v>7.72</v>
      </c>
      <c r="Z1747" s="382">
        <v>4.20327522016537E-2</v>
      </c>
      <c r="AA1747" s="372">
        <v>2925.3475262000002</v>
      </c>
      <c r="AB1747" s="372">
        <v>3448.6758353</v>
      </c>
      <c r="AC1747" s="372">
        <v>4799.9957603000003</v>
      </c>
      <c r="AD1747" s="372">
        <v>4415.4877649999999</v>
      </c>
      <c r="AE1747" s="372">
        <v>4371</v>
      </c>
      <c r="AF1747" s="372">
        <v>4838</v>
      </c>
      <c r="AG1747" s="372">
        <v>5206</v>
      </c>
      <c r="AH1747" s="372">
        <v>0</v>
      </c>
    </row>
    <row r="1748" spans="1:34">
      <c r="A1748" s="372" t="s">
        <v>11452</v>
      </c>
      <c r="B1748" s="373" t="s">
        <v>11453</v>
      </c>
      <c r="C1748" s="372" t="s">
        <v>11454</v>
      </c>
      <c r="D1748" s="374">
        <v>1341110000210</v>
      </c>
      <c r="E1748" s="372" t="s">
        <v>11455</v>
      </c>
      <c r="F1748" s="375" t="s">
        <v>1303</v>
      </c>
      <c r="G1748" s="375" t="s">
        <v>1303</v>
      </c>
      <c r="H1748" s="375" t="s">
        <v>826</v>
      </c>
      <c r="I1748" s="375" t="s">
        <v>754</v>
      </c>
      <c r="J1748" s="375">
        <v>123028.63477</v>
      </c>
      <c r="K1748" s="375">
        <v>-9729.9219499999999</v>
      </c>
      <c r="L1748" s="375">
        <v>-9069.0503399999998</v>
      </c>
      <c r="M1748" s="375">
        <v>84757.170310000001</v>
      </c>
      <c r="N1748" s="372">
        <v>0.58199999999999996</v>
      </c>
      <c r="O1748" s="704">
        <v>25.941667852689665</v>
      </c>
      <c r="P1748" s="375" t="s">
        <v>622</v>
      </c>
      <c r="Q1748" s="372" t="s">
        <v>622</v>
      </c>
      <c r="R1748" s="696">
        <v>19851223</v>
      </c>
      <c r="S1748" s="372" t="s">
        <v>11456</v>
      </c>
      <c r="T1748" s="697" t="s">
        <v>771</v>
      </c>
      <c r="U1748" s="372" t="s">
        <v>11457</v>
      </c>
      <c r="V1748" s="723" t="s">
        <v>773</v>
      </c>
      <c r="W1748" s="723">
        <v>0.68</v>
      </c>
      <c r="X1748" s="723">
        <v>0.48</v>
      </c>
      <c r="Y1748" s="723" t="s">
        <v>773</v>
      </c>
      <c r="Z1748" s="382" t="s">
        <v>927</v>
      </c>
      <c r="AA1748" s="372">
        <v>935.84261790000005</v>
      </c>
      <c r="AB1748" s="372">
        <v>1437.6255371</v>
      </c>
      <c r="AC1748" s="372">
        <v>1673.5587455</v>
      </c>
      <c r="AD1748" s="372">
        <v>1340.3772689</v>
      </c>
      <c r="AE1748" s="372">
        <v>2071</v>
      </c>
      <c r="AF1748" s="372">
        <v>0</v>
      </c>
      <c r="AG1748" s="372">
        <v>0</v>
      </c>
      <c r="AH1748" s="372">
        <v>0</v>
      </c>
    </row>
    <row r="1749" spans="1:34">
      <c r="A1749" s="372" t="s">
        <v>11458</v>
      </c>
      <c r="B1749" s="373" t="s">
        <v>11459</v>
      </c>
      <c r="C1749" s="372" t="s">
        <v>11460</v>
      </c>
      <c r="D1749" s="374">
        <v>1101113580390</v>
      </c>
      <c r="E1749" s="372" t="s">
        <v>11461</v>
      </c>
      <c r="F1749" s="375" t="s">
        <v>11462</v>
      </c>
      <c r="G1749" s="375" t="s">
        <v>11462</v>
      </c>
      <c r="H1749" s="375" t="s">
        <v>1531</v>
      </c>
      <c r="I1749" s="375" t="s">
        <v>862</v>
      </c>
      <c r="J1749" s="375">
        <v>98926.062550000002</v>
      </c>
      <c r="K1749" s="375">
        <v>-4403.1850800000002</v>
      </c>
      <c r="L1749" s="375">
        <v>-2564.2213700000002</v>
      </c>
      <c r="M1749" s="375">
        <v>34405.908349999998</v>
      </c>
      <c r="N1749" s="372">
        <v>0.49299999999999999</v>
      </c>
      <c r="O1749" s="704">
        <v>18.281290869466563</v>
      </c>
      <c r="P1749" s="375" t="s">
        <v>622</v>
      </c>
      <c r="Q1749" s="375" t="s">
        <v>622</v>
      </c>
      <c r="R1749" s="696">
        <v>20141204</v>
      </c>
      <c r="S1749" s="375" t="s">
        <v>11463</v>
      </c>
      <c r="T1749" s="697" t="s">
        <v>771</v>
      </c>
      <c r="U1749" s="372" t="s">
        <v>11464</v>
      </c>
      <c r="V1749" s="723" t="s">
        <v>773</v>
      </c>
      <c r="W1749" s="723">
        <v>1.41</v>
      </c>
      <c r="X1749" s="723">
        <v>0.56000000000000005</v>
      </c>
      <c r="Y1749" s="723" t="s">
        <v>773</v>
      </c>
      <c r="Z1749" s="382" t="s">
        <v>927</v>
      </c>
      <c r="AA1749" s="372">
        <v>724.24739150000005</v>
      </c>
      <c r="AB1749" s="372">
        <v>741.8947253</v>
      </c>
      <c r="AC1749" s="372">
        <v>657.86471710000001</v>
      </c>
      <c r="AD1749" s="372">
        <v>921.54263319999995</v>
      </c>
      <c r="AE1749" s="372">
        <v>1050</v>
      </c>
      <c r="AF1749" s="372">
        <v>0</v>
      </c>
      <c r="AG1749" s="372">
        <v>0</v>
      </c>
      <c r="AH1749" s="372">
        <v>0</v>
      </c>
    </row>
    <row r="1750" spans="1:34">
      <c r="A1750" s="372" t="s">
        <v>11465</v>
      </c>
      <c r="B1750" s="373" t="s">
        <v>11466</v>
      </c>
      <c r="C1750" s="372" t="s">
        <v>11467</v>
      </c>
      <c r="D1750" s="374">
        <v>1101114481274</v>
      </c>
      <c r="E1750" s="372" t="s">
        <v>11468</v>
      </c>
      <c r="F1750" s="372" t="s">
        <v>2124</v>
      </c>
      <c r="G1750" s="375" t="s">
        <v>4231</v>
      </c>
      <c r="H1750" s="375" t="s">
        <v>861</v>
      </c>
      <c r="I1750" s="375" t="s">
        <v>862</v>
      </c>
      <c r="J1750" s="375">
        <v>3745.8156399999998</v>
      </c>
      <c r="K1750" s="375">
        <v>-17963.915099999998</v>
      </c>
      <c r="L1750" s="375">
        <v>-16724.344099999998</v>
      </c>
      <c r="M1750" s="375">
        <v>7122.5648700000002</v>
      </c>
      <c r="N1750" s="372">
        <v>-3.1E-2</v>
      </c>
      <c r="O1750" s="704">
        <v>6.2431637704027407</v>
      </c>
      <c r="P1750" s="375" t="s">
        <v>622</v>
      </c>
      <c r="Q1750" s="375" t="s">
        <v>622</v>
      </c>
      <c r="R1750" s="696">
        <v>20201209</v>
      </c>
      <c r="S1750" s="375" t="s">
        <v>11469</v>
      </c>
      <c r="T1750" s="697" t="s">
        <v>771</v>
      </c>
      <c r="U1750" s="372" t="s">
        <v>11470</v>
      </c>
      <c r="V1750" s="723" t="s">
        <v>773</v>
      </c>
      <c r="W1750" s="723">
        <v>23.66</v>
      </c>
      <c r="X1750" s="723">
        <v>44.99</v>
      </c>
      <c r="Y1750" s="723" t="s">
        <v>773</v>
      </c>
      <c r="Z1750" s="382" t="s">
        <v>927</v>
      </c>
      <c r="AA1750" s="372">
        <v>16.8932064</v>
      </c>
      <c r="AB1750" s="372">
        <v>5.4977257000000002</v>
      </c>
      <c r="AC1750" s="372">
        <v>12.8593397</v>
      </c>
      <c r="AD1750" s="372">
        <v>31.179415200000001</v>
      </c>
      <c r="AE1750" s="372">
        <v>0</v>
      </c>
      <c r="AF1750" s="372">
        <v>0</v>
      </c>
      <c r="AG1750" s="372">
        <v>0</v>
      </c>
      <c r="AH1750" s="372">
        <v>0</v>
      </c>
    </row>
    <row r="1751" spans="1:34">
      <c r="A1751" s="372" t="s">
        <v>11471</v>
      </c>
      <c r="B1751" s="373" t="s">
        <v>11472</v>
      </c>
      <c r="C1751" s="372" t="s">
        <v>11473</v>
      </c>
      <c r="D1751" s="374">
        <v>1101114255801</v>
      </c>
      <c r="E1751" s="372" t="s">
        <v>11474</v>
      </c>
      <c r="F1751" s="375" t="s">
        <v>1863</v>
      </c>
      <c r="G1751" s="375" t="s">
        <v>16113</v>
      </c>
      <c r="H1751" s="375" t="s">
        <v>861</v>
      </c>
      <c r="I1751" s="375" t="s">
        <v>862</v>
      </c>
      <c r="J1751" s="375">
        <v>216533.2689</v>
      </c>
      <c r="K1751" s="375">
        <v>11951.72077</v>
      </c>
      <c r="L1751" s="375">
        <v>17487.232789999998</v>
      </c>
      <c r="M1751" s="375">
        <v>119080.01723</v>
      </c>
      <c r="N1751" s="372">
        <v>0.70099999999999996</v>
      </c>
      <c r="O1751" s="704">
        <v>40.778552350202666</v>
      </c>
      <c r="P1751" s="375" t="s">
        <v>622</v>
      </c>
      <c r="Q1751" s="372" t="s">
        <v>622</v>
      </c>
      <c r="R1751" s="696">
        <v>20151118</v>
      </c>
      <c r="S1751" s="372" t="s">
        <v>11475</v>
      </c>
      <c r="T1751" s="697">
        <v>0.20900000000000002</v>
      </c>
      <c r="U1751" s="372" t="s">
        <v>11476</v>
      </c>
      <c r="V1751" s="723">
        <v>0</v>
      </c>
      <c r="W1751" s="723">
        <v>0</v>
      </c>
      <c r="X1751" s="723">
        <v>0</v>
      </c>
      <c r="Y1751" s="723">
        <v>0</v>
      </c>
      <c r="Z1751" s="382" t="s">
        <v>927</v>
      </c>
      <c r="AA1751" s="372">
        <v>1174.9943593</v>
      </c>
      <c r="AB1751" s="372">
        <v>1423.6025133999999</v>
      </c>
      <c r="AC1751" s="372">
        <v>1640.3408907999999</v>
      </c>
      <c r="AD1751" s="372">
        <v>1982.2786484000001</v>
      </c>
      <c r="AE1751" s="372">
        <v>0</v>
      </c>
      <c r="AF1751" s="372">
        <v>0</v>
      </c>
      <c r="AG1751" s="372">
        <v>0</v>
      </c>
      <c r="AH1751" s="372">
        <v>0</v>
      </c>
    </row>
    <row r="1752" spans="1:34">
      <c r="A1752" s="372" t="s">
        <v>11477</v>
      </c>
      <c r="B1752" s="373" t="s">
        <v>11478</v>
      </c>
      <c r="C1752" s="372" t="s">
        <v>11479</v>
      </c>
      <c r="D1752" s="374">
        <v>2341110120538</v>
      </c>
      <c r="E1752" s="372" t="s">
        <v>11480</v>
      </c>
      <c r="F1752" s="372" t="s">
        <v>1863</v>
      </c>
      <c r="G1752" s="375" t="s">
        <v>1864</v>
      </c>
      <c r="H1752" s="375" t="s">
        <v>792</v>
      </c>
      <c r="I1752" s="375" t="s">
        <v>754</v>
      </c>
      <c r="J1752" s="375">
        <v>667244.97005</v>
      </c>
      <c r="K1752" s="375">
        <v>29355.547340000001</v>
      </c>
      <c r="L1752" s="375">
        <v>29115.09218</v>
      </c>
      <c r="M1752" s="375">
        <v>129060.10414</v>
      </c>
      <c r="N1752" s="372">
        <v>0.94699999999999995</v>
      </c>
      <c r="O1752" s="704">
        <v>233.36309282961886</v>
      </c>
      <c r="P1752" s="375" t="s">
        <v>622</v>
      </c>
      <c r="Q1752" s="372" t="s">
        <v>622</v>
      </c>
      <c r="R1752" s="696">
        <v>20210315</v>
      </c>
      <c r="S1752" s="372" t="s">
        <v>11481</v>
      </c>
      <c r="T1752" s="697">
        <v>0.23100000000000001</v>
      </c>
      <c r="U1752" s="372" t="s">
        <v>9007</v>
      </c>
      <c r="V1752" s="723">
        <v>4.9400000000000004</v>
      </c>
      <c r="W1752" s="723">
        <v>0.57999999999999996</v>
      </c>
      <c r="X1752" s="723">
        <v>0.11</v>
      </c>
      <c r="Y1752" s="723">
        <v>3.48</v>
      </c>
      <c r="Z1752" s="382" t="s">
        <v>927</v>
      </c>
      <c r="AA1752" s="372">
        <v>0</v>
      </c>
      <c r="AB1752" s="372">
        <v>5057.5769314999998</v>
      </c>
      <c r="AC1752" s="372">
        <v>6579.2752350000001</v>
      </c>
      <c r="AD1752" s="372">
        <v>6806.5166493999996</v>
      </c>
      <c r="AE1752" s="372">
        <v>0</v>
      </c>
      <c r="AF1752" s="372">
        <v>0</v>
      </c>
      <c r="AG1752" s="372">
        <v>0</v>
      </c>
      <c r="AH1752" s="372">
        <v>0</v>
      </c>
    </row>
    <row r="1753" spans="1:34">
      <c r="A1753" s="372" t="s">
        <v>11482</v>
      </c>
      <c r="B1753" s="373" t="s">
        <v>11483</v>
      </c>
      <c r="C1753" s="372" t="s">
        <v>11484</v>
      </c>
      <c r="D1753" s="374">
        <v>1101117062716</v>
      </c>
      <c r="E1753" s="372" t="s">
        <v>11485</v>
      </c>
      <c r="F1753" s="375" t="s">
        <v>5600</v>
      </c>
      <c r="G1753" s="375" t="s">
        <v>5600</v>
      </c>
      <c r="H1753" s="375" t="s">
        <v>1531</v>
      </c>
      <c r="I1753" s="375" t="s">
        <v>862</v>
      </c>
      <c r="J1753" s="375">
        <v>33367.044329999997</v>
      </c>
      <c r="K1753" s="375">
        <v>-24417.471369999999</v>
      </c>
      <c r="L1753" s="375">
        <v>-20222.202519999999</v>
      </c>
      <c r="M1753" s="375">
        <v>43038.858469999999</v>
      </c>
      <c r="N1753" s="372">
        <v>0.76800000000000002</v>
      </c>
      <c r="O1753" s="704">
        <v>134.69153236873501</v>
      </c>
      <c r="P1753" s="375" t="s">
        <v>622</v>
      </c>
      <c r="Q1753" s="375" t="s">
        <v>622</v>
      </c>
      <c r="R1753" s="696">
        <v>20190531</v>
      </c>
      <c r="S1753" s="375" t="s">
        <v>11486</v>
      </c>
      <c r="T1753" s="697" t="s">
        <v>771</v>
      </c>
      <c r="U1753" s="372" t="s">
        <v>11487</v>
      </c>
      <c r="V1753" s="723">
        <v>5.96</v>
      </c>
      <c r="W1753" s="723">
        <v>0.64</v>
      </c>
      <c r="X1753" s="723">
        <v>0.87</v>
      </c>
      <c r="Y1753" s="723" t="s">
        <v>773</v>
      </c>
      <c r="Z1753" s="382" t="s">
        <v>927</v>
      </c>
      <c r="AA1753" s="372">
        <v>216.53561980000001</v>
      </c>
      <c r="AB1753" s="372">
        <v>338.59196909999997</v>
      </c>
      <c r="AC1753" s="372">
        <v>292.68713279999997</v>
      </c>
      <c r="AD1753" s="372">
        <v>446.53729850000002</v>
      </c>
      <c r="AE1753" s="372">
        <v>755</v>
      </c>
      <c r="AF1753" s="372">
        <v>903</v>
      </c>
      <c r="AG1753" s="372">
        <v>0</v>
      </c>
      <c r="AH1753" s="372">
        <v>0</v>
      </c>
    </row>
    <row r="1754" spans="1:34">
      <c r="A1754" s="372" t="s">
        <v>11488</v>
      </c>
      <c r="B1754" s="373" t="s">
        <v>11489</v>
      </c>
      <c r="C1754" s="372" t="s">
        <v>11490</v>
      </c>
      <c r="D1754" s="374">
        <v>1101117224647</v>
      </c>
      <c r="E1754" s="372" t="s">
        <v>11491</v>
      </c>
      <c r="F1754" s="375" t="s">
        <v>1370</v>
      </c>
      <c r="G1754" s="375" t="s">
        <v>1370</v>
      </c>
      <c r="H1754" s="375" t="s">
        <v>861</v>
      </c>
      <c r="I1754" s="375" t="s">
        <v>862</v>
      </c>
      <c r="J1754" s="375">
        <v>49815.995300000002</v>
      </c>
      <c r="K1754" s="375">
        <v>1950.7239400000001</v>
      </c>
      <c r="L1754" s="375">
        <v>3894.6620800000001</v>
      </c>
      <c r="M1754" s="375">
        <v>36814.235679999998</v>
      </c>
      <c r="N1754" s="372">
        <v>0.65700000000000003</v>
      </c>
      <c r="O1754" s="704">
        <v>1.3200009901076544</v>
      </c>
      <c r="P1754" s="375" t="s">
        <v>622</v>
      </c>
      <c r="Q1754" s="372" t="s">
        <v>622</v>
      </c>
      <c r="R1754" s="696">
        <v>20191128</v>
      </c>
      <c r="S1754" s="372" t="s">
        <v>11492</v>
      </c>
      <c r="T1754" s="697">
        <v>0.20900000000000002</v>
      </c>
      <c r="U1754" s="372" t="s">
        <v>11493</v>
      </c>
      <c r="V1754" s="723">
        <v>28.11</v>
      </c>
      <c r="W1754" s="723">
        <v>2.11</v>
      </c>
      <c r="X1754" s="723">
        <v>1.56</v>
      </c>
      <c r="Y1754" s="723">
        <v>22.55</v>
      </c>
      <c r="Z1754" s="382" t="s">
        <v>927</v>
      </c>
      <c r="AA1754" s="372">
        <v>412.10066460000002</v>
      </c>
      <c r="AB1754" s="372">
        <v>379.35232130000003</v>
      </c>
      <c r="AC1754" s="372">
        <v>405.46670549999999</v>
      </c>
      <c r="AD1754" s="372">
        <v>487.55717329999999</v>
      </c>
      <c r="AE1754" s="372">
        <v>0</v>
      </c>
      <c r="AF1754" s="372">
        <v>0</v>
      </c>
      <c r="AG1754" s="372">
        <v>0</v>
      </c>
      <c r="AH1754" s="372">
        <v>0</v>
      </c>
    </row>
    <row r="1755" spans="1:34">
      <c r="A1755" s="372" t="s">
        <v>11494</v>
      </c>
      <c r="B1755" s="373" t="s">
        <v>11495</v>
      </c>
      <c r="C1755" s="372" t="s">
        <v>11496</v>
      </c>
      <c r="D1755" s="374">
        <v>1801110054641</v>
      </c>
      <c r="E1755" s="372" t="s">
        <v>11497</v>
      </c>
      <c r="F1755" s="375" t="s">
        <v>3281</v>
      </c>
      <c r="G1755" s="375" t="s">
        <v>3282</v>
      </c>
      <c r="H1755" s="375" t="s">
        <v>1043</v>
      </c>
      <c r="I1755" s="375" t="s">
        <v>754</v>
      </c>
      <c r="J1755" s="375">
        <v>97856.718729999993</v>
      </c>
      <c r="K1755" s="375">
        <v>-6339.0788000000002</v>
      </c>
      <c r="L1755" s="375">
        <v>50326.13796</v>
      </c>
      <c r="M1755" s="375">
        <v>180122.07996</v>
      </c>
      <c r="N1755" s="372">
        <v>0.70299999999999996</v>
      </c>
      <c r="O1755" s="704">
        <v>24.013317802787007</v>
      </c>
      <c r="P1755" s="375" t="s">
        <v>622</v>
      </c>
      <c r="Q1755" s="372" t="s">
        <v>622</v>
      </c>
      <c r="R1755" s="696">
        <v>20080124</v>
      </c>
      <c r="S1755" s="372" t="s">
        <v>11498</v>
      </c>
      <c r="T1755" s="697">
        <v>0.23100000000000001</v>
      </c>
      <c r="U1755" s="372" t="s">
        <v>11499</v>
      </c>
      <c r="V1755" s="723" t="s">
        <v>773</v>
      </c>
      <c r="W1755" s="723">
        <v>0.36</v>
      </c>
      <c r="X1755" s="723">
        <v>0.65</v>
      </c>
      <c r="Y1755" s="723">
        <v>1.33</v>
      </c>
      <c r="Z1755" s="382" t="s">
        <v>927</v>
      </c>
      <c r="AA1755" s="372">
        <v>693.64010169999995</v>
      </c>
      <c r="AB1755" s="372">
        <v>690.91619539999999</v>
      </c>
      <c r="AC1755" s="372">
        <v>766.87877830000002</v>
      </c>
      <c r="AD1755" s="372">
        <v>915.35244720000003</v>
      </c>
      <c r="AE1755" s="372">
        <v>0</v>
      </c>
      <c r="AF1755" s="372">
        <v>0</v>
      </c>
      <c r="AG1755" s="372">
        <v>0</v>
      </c>
      <c r="AH1755" s="372">
        <v>0</v>
      </c>
    </row>
    <row r="1756" spans="1:34">
      <c r="A1756" s="372" t="s">
        <v>11500</v>
      </c>
      <c r="B1756" s="373" t="s">
        <v>11501</v>
      </c>
      <c r="C1756" s="372" t="s">
        <v>11502</v>
      </c>
      <c r="D1756" s="374">
        <v>1244110006602</v>
      </c>
      <c r="E1756" s="372" t="s">
        <v>11503</v>
      </c>
      <c r="F1756" s="375" t="s">
        <v>998</v>
      </c>
      <c r="G1756" s="375" t="s">
        <v>999</v>
      </c>
      <c r="H1756" s="375" t="s">
        <v>861</v>
      </c>
      <c r="I1756" s="375" t="s">
        <v>862</v>
      </c>
      <c r="J1756" s="375">
        <v>471276.01747000002</v>
      </c>
      <c r="K1756" s="375">
        <v>-23208.072169999999</v>
      </c>
      <c r="L1756" s="375">
        <v>-21490.567849999999</v>
      </c>
      <c r="M1756" s="375">
        <v>71961.805569999997</v>
      </c>
      <c r="N1756" s="372">
        <v>0.875</v>
      </c>
      <c r="O1756" s="704">
        <v>252.24089457482108</v>
      </c>
      <c r="P1756" s="375" t="s">
        <v>622</v>
      </c>
      <c r="Q1756" s="375" t="s">
        <v>622</v>
      </c>
      <c r="R1756" s="696">
        <v>20040512</v>
      </c>
      <c r="S1756" s="375" t="s">
        <v>11504</v>
      </c>
      <c r="T1756" s="697" t="s">
        <v>771</v>
      </c>
      <c r="U1756" s="372" t="s">
        <v>11505</v>
      </c>
      <c r="V1756" s="723" t="s">
        <v>773</v>
      </c>
      <c r="W1756" s="723">
        <v>0.43</v>
      </c>
      <c r="X1756" s="723">
        <v>0.1</v>
      </c>
      <c r="Y1756" s="723" t="s">
        <v>773</v>
      </c>
      <c r="Z1756" s="382" t="s">
        <v>927</v>
      </c>
      <c r="AA1756" s="372">
        <v>3013.3970893000001</v>
      </c>
      <c r="AB1756" s="372">
        <v>3078.9691186</v>
      </c>
      <c r="AC1756" s="372">
        <v>3336.6000302000002</v>
      </c>
      <c r="AD1756" s="372">
        <v>4034.9201753000002</v>
      </c>
      <c r="AE1756" s="372">
        <v>0</v>
      </c>
      <c r="AF1756" s="372">
        <v>0</v>
      </c>
      <c r="AG1756" s="372">
        <v>0</v>
      </c>
      <c r="AH1756" s="372">
        <v>0</v>
      </c>
    </row>
    <row r="1757" spans="1:34">
      <c r="A1757" s="372" t="s">
        <v>11506</v>
      </c>
      <c r="B1757" s="373" t="s">
        <v>11507</v>
      </c>
      <c r="C1757" s="372" t="s">
        <v>11508</v>
      </c>
      <c r="D1757" s="374">
        <v>1101114445725</v>
      </c>
      <c r="E1757" s="372" t="s">
        <v>11509</v>
      </c>
      <c r="F1757" s="375" t="s">
        <v>2718</v>
      </c>
      <c r="G1757" s="375" t="s">
        <v>2718</v>
      </c>
      <c r="H1757" s="375" t="s">
        <v>1337</v>
      </c>
      <c r="I1757" s="375" t="s">
        <v>862</v>
      </c>
      <c r="J1757" s="375">
        <v>17670.950150000001</v>
      </c>
      <c r="K1757" s="375">
        <v>2788.25297</v>
      </c>
      <c r="L1757" s="375">
        <v>7930.8927100000001</v>
      </c>
      <c r="M1757" s="375">
        <v>75794.565640000001</v>
      </c>
      <c r="N1757" s="372">
        <v>0.89800000000000002</v>
      </c>
      <c r="O1757" s="704">
        <v>0.52491213181592677</v>
      </c>
      <c r="P1757" s="375" t="s">
        <v>622</v>
      </c>
      <c r="Q1757" s="375" t="s">
        <v>622</v>
      </c>
      <c r="R1757" s="696">
        <v>20200909</v>
      </c>
      <c r="S1757" s="375" t="s">
        <v>11510</v>
      </c>
      <c r="T1757" s="697">
        <v>0.20900000000000002</v>
      </c>
      <c r="U1757" s="372" t="s">
        <v>11511</v>
      </c>
      <c r="V1757" s="723">
        <v>17.09</v>
      </c>
      <c r="W1757" s="723">
        <v>1</v>
      </c>
      <c r="X1757" s="723">
        <v>4.4800000000000004</v>
      </c>
      <c r="Y1757" s="723">
        <v>11.69</v>
      </c>
      <c r="Z1757" s="382" t="s">
        <v>927</v>
      </c>
      <c r="AA1757" s="372">
        <v>146.76376870000001</v>
      </c>
      <c r="AB1757" s="372">
        <v>174.87132729999999</v>
      </c>
      <c r="AC1757" s="372">
        <v>179.57199420000001</v>
      </c>
      <c r="AD1757" s="372">
        <v>148.42604130000001</v>
      </c>
      <c r="AE1757" s="372">
        <v>0</v>
      </c>
      <c r="AF1757" s="372">
        <v>0</v>
      </c>
      <c r="AG1757" s="372">
        <v>0</v>
      </c>
      <c r="AH1757" s="372">
        <v>0</v>
      </c>
    </row>
    <row r="1758" spans="1:34">
      <c r="A1758" s="372" t="s">
        <v>11512</v>
      </c>
      <c r="B1758" s="373" t="s">
        <v>11513</v>
      </c>
      <c r="C1758" s="372" t="s">
        <v>11514</v>
      </c>
      <c r="D1758" s="374">
        <v>1101115879030</v>
      </c>
      <c r="E1758" s="372" t="s">
        <v>11515</v>
      </c>
      <c r="F1758" s="372" t="s">
        <v>1828</v>
      </c>
      <c r="G1758" s="375" t="s">
        <v>1829</v>
      </c>
      <c r="H1758" s="375" t="s">
        <v>3099</v>
      </c>
      <c r="I1758" s="375" t="s">
        <v>862</v>
      </c>
      <c r="J1758" s="375">
        <v>84832.101500000004</v>
      </c>
      <c r="K1758" s="375">
        <v>13052.752399999999</v>
      </c>
      <c r="L1758" s="375">
        <v>12684.362300000001</v>
      </c>
      <c r="M1758" s="375">
        <v>90818.327210000003</v>
      </c>
      <c r="N1758" s="372">
        <v>0.69699999999999995</v>
      </c>
      <c r="O1758" s="704">
        <v>71.974868575282088</v>
      </c>
      <c r="P1758" s="375" t="s">
        <v>622</v>
      </c>
      <c r="Q1758" s="375" t="s">
        <v>622</v>
      </c>
      <c r="R1758" s="696">
        <v>20170608</v>
      </c>
      <c r="S1758" s="375" t="s">
        <v>11516</v>
      </c>
      <c r="T1758" s="697">
        <v>0.20900000000000002</v>
      </c>
      <c r="U1758" s="372" t="s">
        <v>11517</v>
      </c>
      <c r="V1758" s="723">
        <v>4.72</v>
      </c>
      <c r="W1758" s="723">
        <v>0.73</v>
      </c>
      <c r="X1758" s="723">
        <v>0.8</v>
      </c>
      <c r="Y1758" s="723">
        <v>6.79</v>
      </c>
      <c r="Z1758" s="382" t="s">
        <v>927</v>
      </c>
      <c r="AA1758" s="372">
        <v>504.22858509999998</v>
      </c>
      <c r="AB1758" s="372">
        <v>608.71582620000004</v>
      </c>
      <c r="AC1758" s="372">
        <v>694.7227517</v>
      </c>
      <c r="AD1758" s="372">
        <v>769.1448527</v>
      </c>
      <c r="AE1758" s="372">
        <v>881.6</v>
      </c>
      <c r="AF1758" s="372">
        <v>0</v>
      </c>
      <c r="AG1758" s="372">
        <v>0</v>
      </c>
      <c r="AH1758" s="372">
        <v>0</v>
      </c>
    </row>
    <row r="1759" spans="1:34">
      <c r="A1759" s="372" t="s">
        <v>11518</v>
      </c>
      <c r="B1759" s="373" t="s">
        <v>11519</v>
      </c>
      <c r="C1759" s="372" t="s">
        <v>11520</v>
      </c>
      <c r="D1759" s="374">
        <v>1101111946601</v>
      </c>
      <c r="E1759" s="372" t="s">
        <v>11521</v>
      </c>
      <c r="F1759" s="375" t="s">
        <v>1696</v>
      </c>
      <c r="G1759" s="375" t="s">
        <v>1696</v>
      </c>
      <c r="H1759" s="375" t="s">
        <v>1337</v>
      </c>
      <c r="I1759" s="375" t="s">
        <v>862</v>
      </c>
      <c r="J1759" s="375">
        <v>35575.674030000002</v>
      </c>
      <c r="K1759" s="375">
        <v>4441.3896000000004</v>
      </c>
      <c r="L1759" s="375">
        <v>5698.7433799999999</v>
      </c>
      <c r="M1759" s="375">
        <v>96880.873609999995</v>
      </c>
      <c r="N1759" s="372">
        <v>1.2509999999999999</v>
      </c>
      <c r="O1759" s="704">
        <v>0.89307524147813777</v>
      </c>
      <c r="P1759" s="375" t="s">
        <v>622</v>
      </c>
      <c r="Q1759" s="372" t="s">
        <v>622</v>
      </c>
      <c r="R1759" s="696">
        <v>20111125</v>
      </c>
      <c r="S1759" s="372" t="s">
        <v>11522</v>
      </c>
      <c r="T1759" s="697">
        <v>0.20900000000000002</v>
      </c>
      <c r="U1759" s="372" t="s">
        <v>11523</v>
      </c>
      <c r="V1759" s="723">
        <v>10.92</v>
      </c>
      <c r="W1759" s="723">
        <v>0.6</v>
      </c>
      <c r="X1759" s="723">
        <v>1.64</v>
      </c>
      <c r="Y1759" s="723">
        <v>12.63</v>
      </c>
      <c r="Z1759" s="382" t="s">
        <v>927</v>
      </c>
      <c r="AA1759" s="372">
        <v>254.13605129999999</v>
      </c>
      <c r="AB1759" s="372">
        <v>352.39063679999998</v>
      </c>
      <c r="AC1759" s="372">
        <v>442.11307829999998</v>
      </c>
      <c r="AD1759" s="372">
        <v>350.18281180000002</v>
      </c>
      <c r="AE1759" s="372">
        <v>0</v>
      </c>
      <c r="AF1759" s="372">
        <v>0</v>
      </c>
      <c r="AG1759" s="372">
        <v>0</v>
      </c>
      <c r="AH1759" s="372">
        <v>0</v>
      </c>
    </row>
    <row r="1760" spans="1:34">
      <c r="A1760" s="372" t="s">
        <v>11524</v>
      </c>
      <c r="B1760" s="373" t="s">
        <v>11525</v>
      </c>
      <c r="C1760" s="372" t="s">
        <v>11526</v>
      </c>
      <c r="D1760" s="374">
        <v>1101114255463</v>
      </c>
      <c r="E1760" s="372" t="s">
        <v>11527</v>
      </c>
      <c r="F1760" s="375" t="s">
        <v>2414</v>
      </c>
      <c r="G1760" s="375" t="s">
        <v>2414</v>
      </c>
      <c r="H1760" s="375" t="s">
        <v>1043</v>
      </c>
      <c r="I1760" s="375" t="s">
        <v>754</v>
      </c>
      <c r="J1760" s="375">
        <v>358833.00955000002</v>
      </c>
      <c r="K1760" s="375">
        <v>-85128.907019999999</v>
      </c>
      <c r="L1760" s="375">
        <v>-109458.09586</v>
      </c>
      <c r="M1760" s="375">
        <v>-16419.504959999998</v>
      </c>
      <c r="N1760" s="372">
        <v>-0.25900000000000001</v>
      </c>
      <c r="O1760" s="704">
        <v>546.55562809304752</v>
      </c>
      <c r="P1760" s="375" t="s">
        <v>622</v>
      </c>
      <c r="Q1760" s="372" t="s">
        <v>16116</v>
      </c>
      <c r="R1760" s="696">
        <v>20100129</v>
      </c>
      <c r="S1760" s="372" t="s">
        <v>11528</v>
      </c>
      <c r="T1760" s="697" t="s">
        <v>771</v>
      </c>
      <c r="U1760" s="375" t="s">
        <v>11529</v>
      </c>
      <c r="V1760" s="723" t="s">
        <v>773</v>
      </c>
      <c r="W1760" s="723" t="s">
        <v>773</v>
      </c>
      <c r="X1760" s="723">
        <v>0.09</v>
      </c>
      <c r="Y1760" s="723" t="s">
        <v>773</v>
      </c>
      <c r="Z1760" s="382" t="s">
        <v>927</v>
      </c>
      <c r="AA1760" s="372">
        <v>3279.0870872999999</v>
      </c>
      <c r="AB1760" s="372">
        <v>3550.3476977</v>
      </c>
      <c r="AC1760" s="372">
        <v>4215.8374685999997</v>
      </c>
      <c r="AD1760" s="372">
        <v>4366.1528195000001</v>
      </c>
      <c r="AE1760" s="372">
        <v>0</v>
      </c>
      <c r="AF1760" s="372">
        <v>0</v>
      </c>
      <c r="AG1760" s="372">
        <v>0</v>
      </c>
      <c r="AH1760" s="372">
        <v>0</v>
      </c>
    </row>
    <row r="1761" spans="1:34">
      <c r="A1761" s="372" t="s">
        <v>11530</v>
      </c>
      <c r="B1761" s="373" t="s">
        <v>11531</v>
      </c>
      <c r="C1761" s="372" t="s">
        <v>11532</v>
      </c>
      <c r="D1761" s="374">
        <v>1348110003020</v>
      </c>
      <c r="E1761" s="372" t="s">
        <v>11533</v>
      </c>
      <c r="F1761" s="372" t="s">
        <v>9350</v>
      </c>
      <c r="G1761" s="375" t="s">
        <v>9350</v>
      </c>
      <c r="H1761" s="375" t="s">
        <v>861</v>
      </c>
      <c r="I1761" s="375" t="s">
        <v>862</v>
      </c>
      <c r="J1761" s="375">
        <v>166526.79644000001</v>
      </c>
      <c r="K1761" s="375">
        <v>12107.71025</v>
      </c>
      <c r="L1761" s="375">
        <v>16188.477510000001</v>
      </c>
      <c r="M1761" s="375">
        <v>269993.82420999999</v>
      </c>
      <c r="N1761" s="372">
        <v>0.52700000000000002</v>
      </c>
      <c r="O1761" s="704">
        <v>6.7606525831524333</v>
      </c>
      <c r="P1761" s="375" t="s">
        <v>622</v>
      </c>
      <c r="Q1761" s="372" t="s">
        <v>622</v>
      </c>
      <c r="R1761" s="696">
        <v>19941031</v>
      </c>
      <c r="S1761" s="372" t="s">
        <v>8274</v>
      </c>
      <c r="T1761" s="697">
        <v>0.20900000000000002</v>
      </c>
      <c r="U1761" s="372" t="s">
        <v>11534</v>
      </c>
      <c r="V1761" s="723">
        <v>2.99</v>
      </c>
      <c r="W1761" s="723">
        <v>0.23</v>
      </c>
      <c r="X1761" s="723">
        <v>0.38</v>
      </c>
      <c r="Y1761" s="723">
        <v>4.92</v>
      </c>
      <c r="Z1761" s="382" t="s">
        <v>927</v>
      </c>
      <c r="AA1761" s="372">
        <v>1287.3685003000001</v>
      </c>
      <c r="AB1761" s="372">
        <v>1812.5632871</v>
      </c>
      <c r="AC1761" s="372">
        <v>1873.5323453999999</v>
      </c>
      <c r="AD1761" s="372">
        <v>1643.8330056</v>
      </c>
      <c r="AE1761" s="372">
        <v>0</v>
      </c>
      <c r="AF1761" s="372">
        <v>0</v>
      </c>
      <c r="AG1761" s="372">
        <v>0</v>
      </c>
      <c r="AH1761" s="372">
        <v>0</v>
      </c>
    </row>
    <row r="1762" spans="1:34">
      <c r="A1762" s="372" t="s">
        <v>11535</v>
      </c>
      <c r="B1762" s="373" t="s">
        <v>11536</v>
      </c>
      <c r="C1762" s="372" t="s">
        <v>11537</v>
      </c>
      <c r="D1762" s="374">
        <v>2001110001407</v>
      </c>
      <c r="E1762" s="372" t="s">
        <v>11538</v>
      </c>
      <c r="F1762" s="375" t="s">
        <v>2485</v>
      </c>
      <c r="G1762" s="375" t="s">
        <v>2486</v>
      </c>
      <c r="H1762" s="375" t="s">
        <v>812</v>
      </c>
      <c r="I1762" s="375" t="s">
        <v>754</v>
      </c>
      <c r="J1762" s="375">
        <v>179379.73754999999</v>
      </c>
      <c r="K1762" s="375">
        <v>793.07825000000003</v>
      </c>
      <c r="L1762" s="375">
        <v>3557.8007699999998</v>
      </c>
      <c r="M1762" s="375">
        <v>133521.17696000001</v>
      </c>
      <c r="N1762" s="372">
        <v>0.67200000000000004</v>
      </c>
      <c r="O1762" s="704">
        <v>0</v>
      </c>
      <c r="P1762" s="375" t="s">
        <v>622</v>
      </c>
      <c r="Q1762" s="375" t="s">
        <v>622</v>
      </c>
      <c r="R1762" s="696">
        <v>19950929</v>
      </c>
      <c r="S1762" s="375" t="s">
        <v>11539</v>
      </c>
      <c r="T1762" s="697">
        <v>0.20900000000000002</v>
      </c>
      <c r="U1762" s="372" t="s">
        <v>11540</v>
      </c>
      <c r="V1762" s="723">
        <v>0</v>
      </c>
      <c r="W1762" s="723">
        <v>0</v>
      </c>
      <c r="X1762" s="723">
        <v>0</v>
      </c>
      <c r="Y1762" s="723">
        <v>0</v>
      </c>
      <c r="Z1762" s="382" t="s">
        <v>927</v>
      </c>
      <c r="AA1762" s="372">
        <v>1389.2998302000001</v>
      </c>
      <c r="AB1762" s="372">
        <v>1957.3422267999999</v>
      </c>
      <c r="AC1762" s="372">
        <v>2097.2733585999999</v>
      </c>
      <c r="AD1762" s="372">
        <v>1914.3453942000001</v>
      </c>
      <c r="AE1762" s="372">
        <v>0</v>
      </c>
      <c r="AF1762" s="372">
        <v>0</v>
      </c>
      <c r="AG1762" s="372">
        <v>0</v>
      </c>
      <c r="AH1762" s="372">
        <v>0</v>
      </c>
    </row>
    <row r="1763" spans="1:34">
      <c r="A1763" s="372" t="s">
        <v>11541</v>
      </c>
      <c r="B1763" s="373" t="s">
        <v>11542</v>
      </c>
      <c r="C1763" s="372" t="s">
        <v>11543</v>
      </c>
      <c r="D1763" s="374">
        <v>1358110198797</v>
      </c>
      <c r="E1763" s="372" t="s">
        <v>11544</v>
      </c>
      <c r="F1763" s="375" t="s">
        <v>1055</v>
      </c>
      <c r="G1763" s="375" t="s">
        <v>16104</v>
      </c>
      <c r="H1763" s="375" t="s">
        <v>1337</v>
      </c>
      <c r="I1763" s="375" t="s">
        <v>862</v>
      </c>
      <c r="J1763" s="375">
        <v>8246.0664199999992</v>
      </c>
      <c r="K1763" s="375">
        <v>-29141.91865</v>
      </c>
      <c r="L1763" s="375">
        <v>-34571.38452</v>
      </c>
      <c r="M1763" s="375">
        <v>37377.9764</v>
      </c>
      <c r="N1763" s="372">
        <v>0.98599999999999999</v>
      </c>
      <c r="O1763" s="704">
        <v>128.84927700508899</v>
      </c>
      <c r="P1763" s="375" t="s">
        <v>622</v>
      </c>
      <c r="Q1763" s="372" t="s">
        <v>622</v>
      </c>
      <c r="R1763" s="696">
        <v>20201204</v>
      </c>
      <c r="S1763" s="372" t="s">
        <v>11545</v>
      </c>
      <c r="T1763" s="697" t="s">
        <v>771</v>
      </c>
      <c r="U1763" s="372" t="s">
        <v>11546</v>
      </c>
      <c r="V1763" s="723" t="s">
        <v>773</v>
      </c>
      <c r="W1763" s="723">
        <v>0.72</v>
      </c>
      <c r="X1763" s="723">
        <v>3.03</v>
      </c>
      <c r="Y1763" s="723" t="s">
        <v>773</v>
      </c>
      <c r="Z1763" s="382" t="s">
        <v>927</v>
      </c>
      <c r="AA1763" s="372">
        <v>98.200069600000006</v>
      </c>
      <c r="AB1763" s="372">
        <v>554.26003730000002</v>
      </c>
      <c r="AC1763" s="372">
        <v>230.83152240000001</v>
      </c>
      <c r="AD1763" s="372">
        <v>114.076733</v>
      </c>
      <c r="AE1763" s="372">
        <v>0</v>
      </c>
      <c r="AF1763" s="372">
        <v>0</v>
      </c>
      <c r="AG1763" s="372">
        <v>0</v>
      </c>
      <c r="AH1763" s="372">
        <v>0</v>
      </c>
    </row>
    <row r="1764" spans="1:34">
      <c r="A1764" s="372" t="s">
        <v>11547</v>
      </c>
      <c r="B1764" s="373" t="s">
        <v>11548</v>
      </c>
      <c r="C1764" s="372" t="s">
        <v>11549</v>
      </c>
      <c r="D1764" s="374">
        <v>1101110633556</v>
      </c>
      <c r="E1764" s="372" t="s">
        <v>11550</v>
      </c>
      <c r="F1764" s="375" t="s">
        <v>1282</v>
      </c>
      <c r="G1764" s="375" t="s">
        <v>11551</v>
      </c>
      <c r="H1764" s="375" t="s">
        <v>861</v>
      </c>
      <c r="I1764" s="375" t="s">
        <v>862</v>
      </c>
      <c r="J1764" s="375">
        <v>40587.430160000004</v>
      </c>
      <c r="K1764" s="375">
        <v>-666.82204999999999</v>
      </c>
      <c r="L1764" s="375">
        <v>-1075.74783</v>
      </c>
      <c r="M1764" s="375">
        <v>45904.461049999998</v>
      </c>
      <c r="N1764" s="372">
        <v>1.0209999999999999</v>
      </c>
      <c r="O1764" s="704">
        <v>11.799400868442172</v>
      </c>
      <c r="P1764" s="375" t="s">
        <v>622</v>
      </c>
      <c r="Q1764" s="372" t="s">
        <v>622</v>
      </c>
      <c r="R1764" s="696">
        <v>20190724</v>
      </c>
      <c r="S1764" s="372" t="s">
        <v>11552</v>
      </c>
      <c r="T1764" s="697" t="s">
        <v>771</v>
      </c>
      <c r="U1764" s="372" t="s">
        <v>11553</v>
      </c>
      <c r="V1764" s="723">
        <v>81.17</v>
      </c>
      <c r="W1764" s="723">
        <v>1.67</v>
      </c>
      <c r="X1764" s="723">
        <v>1.89</v>
      </c>
      <c r="Y1764" s="723" t="s">
        <v>773</v>
      </c>
      <c r="Z1764" s="382" t="s">
        <v>927</v>
      </c>
      <c r="AA1764" s="372">
        <v>412.32906020000001</v>
      </c>
      <c r="AB1764" s="372">
        <v>495.39646759999999</v>
      </c>
      <c r="AC1764" s="372">
        <v>547.99709129999997</v>
      </c>
      <c r="AD1764" s="372">
        <v>444.10624430000001</v>
      </c>
      <c r="AE1764" s="372">
        <v>667</v>
      </c>
      <c r="AF1764" s="372">
        <v>0</v>
      </c>
      <c r="AG1764" s="372">
        <v>0</v>
      </c>
      <c r="AH1764" s="372">
        <v>0</v>
      </c>
    </row>
    <row r="1765" spans="1:34">
      <c r="A1765" s="372" t="s">
        <v>11554</v>
      </c>
      <c r="B1765" s="373" t="s">
        <v>11555</v>
      </c>
      <c r="C1765" s="372" t="s">
        <v>11556</v>
      </c>
      <c r="D1765" s="374">
        <v>1101112001842</v>
      </c>
      <c r="E1765" s="372" t="s">
        <v>11557</v>
      </c>
      <c r="F1765" s="375" t="s">
        <v>1796</v>
      </c>
      <c r="G1765" s="375" t="s">
        <v>1797</v>
      </c>
      <c r="H1765" s="375" t="s">
        <v>861</v>
      </c>
      <c r="I1765" s="375" t="s">
        <v>862</v>
      </c>
      <c r="J1765" s="375">
        <v>11832.839400000001</v>
      </c>
      <c r="K1765" s="375">
        <v>-4071.5590499999998</v>
      </c>
      <c r="L1765" s="375">
        <v>-3640.7755400000001</v>
      </c>
      <c r="M1765" s="375">
        <v>7063.7958699999999</v>
      </c>
      <c r="N1765" s="372">
        <v>0.53600000000000003</v>
      </c>
      <c r="O1765" s="704">
        <v>20.145037408488299</v>
      </c>
      <c r="P1765" s="375" t="s">
        <v>16115</v>
      </c>
      <c r="Q1765" s="375" t="s">
        <v>622</v>
      </c>
      <c r="R1765" s="696">
        <v>20171110</v>
      </c>
      <c r="S1765" s="375" t="s">
        <v>11558</v>
      </c>
      <c r="T1765" s="697" t="s">
        <v>771</v>
      </c>
      <c r="U1765" s="372" t="s">
        <v>11559</v>
      </c>
      <c r="V1765" s="723">
        <v>0</v>
      </c>
      <c r="W1765" s="723">
        <v>0</v>
      </c>
      <c r="X1765" s="723">
        <v>0</v>
      </c>
      <c r="Y1765" s="723">
        <v>0</v>
      </c>
      <c r="Z1765" s="382" t="s">
        <v>927</v>
      </c>
      <c r="AA1765" s="372">
        <v>118.8023972</v>
      </c>
      <c r="AB1765" s="372">
        <v>149.9544908</v>
      </c>
      <c r="AC1765" s="372">
        <v>173.5590565</v>
      </c>
      <c r="AD1765" s="372">
        <v>127.5262341</v>
      </c>
      <c r="AE1765" s="372">
        <v>0</v>
      </c>
      <c r="AF1765" s="372">
        <v>0</v>
      </c>
      <c r="AG1765" s="372">
        <v>0</v>
      </c>
      <c r="AH1765" s="372">
        <v>0</v>
      </c>
    </row>
    <row r="1766" spans="1:34">
      <c r="A1766" s="372" t="s">
        <v>11560</v>
      </c>
      <c r="B1766" s="373" t="s">
        <v>11561</v>
      </c>
      <c r="C1766" s="372" t="s">
        <v>11562</v>
      </c>
      <c r="D1766" s="374">
        <v>1341110078407</v>
      </c>
      <c r="E1766" s="372" t="s">
        <v>11563</v>
      </c>
      <c r="F1766" s="375" t="s">
        <v>769</v>
      </c>
      <c r="G1766" s="375" t="s">
        <v>11564</v>
      </c>
      <c r="H1766" s="375" t="s">
        <v>861</v>
      </c>
      <c r="I1766" s="375" t="s">
        <v>862</v>
      </c>
      <c r="J1766" s="375">
        <v>16900.21819</v>
      </c>
      <c r="K1766" s="375">
        <v>-4489.85142</v>
      </c>
      <c r="L1766" s="375">
        <v>-3903.06322</v>
      </c>
      <c r="M1766" s="375">
        <v>41936.691930000001</v>
      </c>
      <c r="N1766" s="372" t="s">
        <v>1026</v>
      </c>
      <c r="O1766" s="704">
        <v>21.809150692516045</v>
      </c>
      <c r="P1766" s="375" t="s">
        <v>622</v>
      </c>
      <c r="Q1766" s="375" t="s">
        <v>622</v>
      </c>
      <c r="R1766" s="696">
        <v>20231107</v>
      </c>
      <c r="S1766" s="375" t="s">
        <v>11565</v>
      </c>
      <c r="T1766" s="697" t="s">
        <v>771</v>
      </c>
      <c r="U1766" s="372" t="s">
        <v>11566</v>
      </c>
      <c r="V1766" s="723">
        <v>0</v>
      </c>
      <c r="W1766" s="723">
        <v>0</v>
      </c>
      <c r="X1766" s="723">
        <v>0</v>
      </c>
      <c r="Y1766" s="723">
        <v>0</v>
      </c>
      <c r="Z1766" s="382" t="s">
        <v>927</v>
      </c>
      <c r="AA1766" s="372">
        <v>160.71145999999999</v>
      </c>
      <c r="AB1766" s="372">
        <v>219.76760920000001</v>
      </c>
      <c r="AC1766" s="372">
        <v>158.3900496</v>
      </c>
      <c r="AD1766" s="372">
        <v>138.13256240000001</v>
      </c>
      <c r="AE1766" s="372">
        <v>0</v>
      </c>
      <c r="AF1766" s="372">
        <v>0</v>
      </c>
      <c r="AG1766" s="372">
        <v>0</v>
      </c>
      <c r="AH1766" s="372">
        <v>0</v>
      </c>
    </row>
    <row r="1767" spans="1:34">
      <c r="A1767" s="372" t="s">
        <v>11567</v>
      </c>
      <c r="B1767" s="373" t="s">
        <v>11568</v>
      </c>
      <c r="C1767" s="372" t="s">
        <v>11569</v>
      </c>
      <c r="D1767" s="374">
        <v>2001110093313</v>
      </c>
      <c r="E1767" s="372" t="s">
        <v>11570</v>
      </c>
      <c r="F1767" s="375" t="s">
        <v>845</v>
      </c>
      <c r="G1767" s="375" t="s">
        <v>845</v>
      </c>
      <c r="H1767" s="375" t="s">
        <v>3099</v>
      </c>
      <c r="I1767" s="375" t="s">
        <v>862</v>
      </c>
      <c r="J1767" s="375">
        <v>47744.74667</v>
      </c>
      <c r="K1767" s="375">
        <v>-3187.55917</v>
      </c>
      <c r="L1767" s="375">
        <v>-4948.1248900000001</v>
      </c>
      <c r="M1767" s="375">
        <v>42486.06942</v>
      </c>
      <c r="N1767" s="372">
        <v>0.91900000000000004</v>
      </c>
      <c r="O1767" s="704">
        <v>20.418286634472889</v>
      </c>
      <c r="P1767" s="375" t="s">
        <v>622</v>
      </c>
      <c r="Q1767" s="372" t="s">
        <v>622</v>
      </c>
      <c r="R1767" s="696">
        <v>20121127</v>
      </c>
      <c r="S1767" s="372" t="s">
        <v>11571</v>
      </c>
      <c r="T1767" s="697" t="s">
        <v>771</v>
      </c>
      <c r="U1767" s="372" t="s">
        <v>11572</v>
      </c>
      <c r="V1767" s="723" t="s">
        <v>773</v>
      </c>
      <c r="W1767" s="723">
        <v>1.1000000000000001</v>
      </c>
      <c r="X1767" s="723">
        <v>1.03</v>
      </c>
      <c r="Y1767" s="723" t="s">
        <v>773</v>
      </c>
      <c r="Z1767" s="382" t="s">
        <v>927</v>
      </c>
      <c r="AA1767" s="372">
        <v>1068.8712399999999</v>
      </c>
      <c r="AB1767" s="372">
        <v>1073.7981987999999</v>
      </c>
      <c r="AC1767" s="372">
        <v>990.06594849999999</v>
      </c>
      <c r="AD1767" s="372">
        <v>546.09819819999996</v>
      </c>
      <c r="AE1767" s="372">
        <v>0</v>
      </c>
      <c r="AF1767" s="372">
        <v>0</v>
      </c>
      <c r="AG1767" s="372">
        <v>0</v>
      </c>
      <c r="AH1767" s="372">
        <v>0</v>
      </c>
    </row>
    <row r="1768" spans="1:34">
      <c r="A1768" s="372" t="s">
        <v>11573</v>
      </c>
      <c r="B1768" s="373" t="s">
        <v>11574</v>
      </c>
      <c r="C1768" s="372" t="s">
        <v>11575</v>
      </c>
      <c r="D1768" s="374">
        <v>1101110155378</v>
      </c>
      <c r="E1768" s="372" t="s">
        <v>11576</v>
      </c>
      <c r="F1768" s="372" t="s">
        <v>1569</v>
      </c>
      <c r="G1768" s="375" t="s">
        <v>1569</v>
      </c>
      <c r="H1768" s="375" t="s">
        <v>3099</v>
      </c>
      <c r="I1768" s="375" t="s">
        <v>862</v>
      </c>
      <c r="J1768" s="375">
        <v>55300.876949999998</v>
      </c>
      <c r="K1768" s="375">
        <v>1303.05781</v>
      </c>
      <c r="L1768" s="375">
        <v>1844.01153</v>
      </c>
      <c r="M1768" s="375">
        <v>48903.872430000003</v>
      </c>
      <c r="N1768" s="372">
        <v>0.78300000000000003</v>
      </c>
      <c r="O1768" s="704">
        <v>2.0474047640947337E-3</v>
      </c>
      <c r="P1768" s="375" t="s">
        <v>622</v>
      </c>
      <c r="Q1768" s="372" t="s">
        <v>622</v>
      </c>
      <c r="R1768" s="696">
        <v>19941228</v>
      </c>
      <c r="S1768" s="372" t="s">
        <v>11577</v>
      </c>
      <c r="T1768" s="697">
        <v>0.20900000000000002</v>
      </c>
      <c r="U1768" s="372" t="s">
        <v>11578</v>
      </c>
      <c r="V1768" s="723">
        <v>20.55</v>
      </c>
      <c r="W1768" s="723">
        <v>1.1399999999999999</v>
      </c>
      <c r="X1768" s="723">
        <v>1.02</v>
      </c>
      <c r="Y1768" s="723">
        <v>34.19</v>
      </c>
      <c r="Z1768" s="382" t="s">
        <v>927</v>
      </c>
      <c r="AA1768" s="372">
        <v>576.93667089999997</v>
      </c>
      <c r="AB1768" s="372">
        <v>584.103477</v>
      </c>
      <c r="AC1768" s="372">
        <v>576.39296609999997</v>
      </c>
      <c r="AD1768" s="372">
        <v>572.3080324</v>
      </c>
      <c r="AE1768" s="372">
        <v>0</v>
      </c>
      <c r="AF1768" s="372">
        <v>0</v>
      </c>
      <c r="AG1768" s="372">
        <v>0</v>
      </c>
      <c r="AH1768" s="372">
        <v>0</v>
      </c>
    </row>
    <row r="1769" spans="1:34">
      <c r="A1769" s="372" t="s">
        <v>11579</v>
      </c>
      <c r="B1769" s="373" t="s">
        <v>11580</v>
      </c>
      <c r="C1769" s="372" t="s">
        <v>11581</v>
      </c>
      <c r="D1769" s="374">
        <v>1101111444241</v>
      </c>
      <c r="E1769" s="372" t="s">
        <v>11582</v>
      </c>
      <c r="F1769" s="375" t="s">
        <v>4184</v>
      </c>
      <c r="G1769" s="375" t="s">
        <v>4184</v>
      </c>
      <c r="H1769" s="375" t="s">
        <v>861</v>
      </c>
      <c r="I1769" s="375" t="s">
        <v>862</v>
      </c>
      <c r="J1769" s="375">
        <v>36804.768279999997</v>
      </c>
      <c r="K1769" s="375">
        <v>3032.0129200000001</v>
      </c>
      <c r="L1769" s="375">
        <v>3348.9007799999999</v>
      </c>
      <c r="M1769" s="375">
        <v>38058.040990000001</v>
      </c>
      <c r="N1769" s="372">
        <v>1.0429999999999999</v>
      </c>
      <c r="O1769" s="704">
        <v>7.1155363476887583</v>
      </c>
      <c r="P1769" s="375" t="s">
        <v>622</v>
      </c>
      <c r="Q1769" s="372" t="s">
        <v>622</v>
      </c>
      <c r="R1769" s="696">
        <v>20070914</v>
      </c>
      <c r="S1769" s="372" t="s">
        <v>11583</v>
      </c>
      <c r="T1769" s="697">
        <v>0.20900000000000002</v>
      </c>
      <c r="U1769" s="372" t="s">
        <v>11584</v>
      </c>
      <c r="V1769" s="723">
        <v>13</v>
      </c>
      <c r="W1769" s="723">
        <v>1.38</v>
      </c>
      <c r="X1769" s="723">
        <v>1.51</v>
      </c>
      <c r="Y1769" s="723">
        <v>15.43</v>
      </c>
      <c r="Z1769" s="382" t="s">
        <v>927</v>
      </c>
      <c r="AA1769" s="372">
        <v>236.62752269999999</v>
      </c>
      <c r="AB1769" s="372">
        <v>308.2978703</v>
      </c>
      <c r="AC1769" s="372">
        <v>340.8292452</v>
      </c>
      <c r="AD1769" s="372">
        <v>322.89721630000003</v>
      </c>
      <c r="AE1769" s="372">
        <v>0</v>
      </c>
      <c r="AF1769" s="372">
        <v>0</v>
      </c>
      <c r="AG1769" s="372">
        <v>0</v>
      </c>
      <c r="AH1769" s="372">
        <v>0</v>
      </c>
    </row>
    <row r="1770" spans="1:34">
      <c r="A1770" s="372" t="s">
        <v>11585</v>
      </c>
      <c r="B1770" s="373" t="s">
        <v>11586</v>
      </c>
      <c r="C1770" s="372" t="s">
        <v>11587</v>
      </c>
      <c r="D1770" s="374">
        <v>1201110007238</v>
      </c>
      <c r="E1770" s="372" t="s">
        <v>11588</v>
      </c>
      <c r="F1770" s="375" t="s">
        <v>2007</v>
      </c>
      <c r="G1770" s="375" t="s">
        <v>2007</v>
      </c>
      <c r="H1770" s="375" t="s">
        <v>861</v>
      </c>
      <c r="I1770" s="375" t="s">
        <v>862</v>
      </c>
      <c r="J1770" s="375">
        <v>27001.869790000001</v>
      </c>
      <c r="K1770" s="375">
        <v>743.33207000000004</v>
      </c>
      <c r="L1770" s="375">
        <v>-12051.86852</v>
      </c>
      <c r="M1770" s="375">
        <v>68697.968980000005</v>
      </c>
      <c r="N1770" s="372">
        <v>0.88200000000000001</v>
      </c>
      <c r="O1770" s="704">
        <v>39.700818387945226</v>
      </c>
      <c r="P1770" s="375" t="s">
        <v>622</v>
      </c>
      <c r="Q1770" s="375" t="s">
        <v>622</v>
      </c>
      <c r="R1770" s="696">
        <v>19931222</v>
      </c>
      <c r="S1770" s="375" t="s">
        <v>11589</v>
      </c>
      <c r="T1770" s="697" t="s">
        <v>771</v>
      </c>
      <c r="U1770" s="372" t="s">
        <v>11590</v>
      </c>
      <c r="V1770" s="723">
        <v>21.83</v>
      </c>
      <c r="W1770" s="723">
        <v>0.76</v>
      </c>
      <c r="X1770" s="723">
        <v>1.91</v>
      </c>
      <c r="Y1770" s="723" t="s">
        <v>773</v>
      </c>
      <c r="Z1770" s="382" t="s">
        <v>927</v>
      </c>
      <c r="AA1770" s="372">
        <v>167.10124579999999</v>
      </c>
      <c r="AB1770" s="372">
        <v>247.7324764</v>
      </c>
      <c r="AC1770" s="372">
        <v>360.24332729999998</v>
      </c>
      <c r="AD1770" s="372">
        <v>313.59260210000002</v>
      </c>
      <c r="AE1770" s="372">
        <v>0</v>
      </c>
      <c r="AF1770" s="372">
        <v>0</v>
      </c>
      <c r="AG1770" s="372">
        <v>0</v>
      </c>
      <c r="AH1770" s="372">
        <v>0</v>
      </c>
    </row>
    <row r="1771" spans="1:34">
      <c r="A1771" s="372" t="s">
        <v>11591</v>
      </c>
      <c r="B1771" s="373" t="s">
        <v>11592</v>
      </c>
      <c r="C1771" s="372" t="s">
        <v>11593</v>
      </c>
      <c r="D1771" s="374">
        <v>1101118406781</v>
      </c>
      <c r="E1771" s="372" t="s">
        <v>11594</v>
      </c>
      <c r="F1771" s="375" t="s">
        <v>1143</v>
      </c>
      <c r="G1771" s="375" t="s">
        <v>1144</v>
      </c>
      <c r="H1771" s="375" t="s">
        <v>895</v>
      </c>
      <c r="I1771" s="375" t="s">
        <v>862</v>
      </c>
      <c r="J1771" s="375">
        <v>0</v>
      </c>
      <c r="K1771" s="375">
        <v>-64.608239999999995</v>
      </c>
      <c r="L1771" s="375">
        <v>2206.0802600000002</v>
      </c>
      <c r="M1771" s="375">
        <v>77227.991989999995</v>
      </c>
      <c r="N1771" s="372" t="s">
        <v>1026</v>
      </c>
      <c r="O1771" s="704">
        <v>13.095039049466134</v>
      </c>
      <c r="P1771" s="375" t="s">
        <v>622</v>
      </c>
      <c r="Q1771" s="375" t="s">
        <v>622</v>
      </c>
      <c r="R1771" s="696">
        <v>20230315</v>
      </c>
      <c r="S1771" s="375" t="s">
        <v>9018</v>
      </c>
      <c r="T1771" s="697">
        <v>0.20900000000000002</v>
      </c>
      <c r="U1771" s="372">
        <v>0</v>
      </c>
      <c r="V1771" s="723">
        <v>0</v>
      </c>
      <c r="W1771" s="723">
        <v>0</v>
      </c>
      <c r="X1771" s="723">
        <v>0</v>
      </c>
      <c r="Y1771" s="723">
        <v>0</v>
      </c>
      <c r="Z1771" s="382" t="s">
        <v>773</v>
      </c>
      <c r="AA1771" s="372">
        <v>0</v>
      </c>
      <c r="AB1771" s="372">
        <v>0</v>
      </c>
      <c r="AC1771" s="372">
        <v>0</v>
      </c>
      <c r="AD1771" s="372">
        <v>0</v>
      </c>
      <c r="AE1771" s="372">
        <v>0</v>
      </c>
      <c r="AF1771" s="372">
        <v>0</v>
      </c>
      <c r="AG1771" s="372">
        <v>0</v>
      </c>
      <c r="AH1771" s="372">
        <v>0</v>
      </c>
    </row>
    <row r="1772" spans="1:34">
      <c r="A1772" s="372" t="s">
        <v>11595</v>
      </c>
      <c r="B1772" s="373" t="s">
        <v>11596</v>
      </c>
      <c r="C1772" s="372" t="s">
        <v>11597</v>
      </c>
      <c r="D1772" s="374">
        <v>1101117263174</v>
      </c>
      <c r="E1772" s="372" t="s">
        <v>11598</v>
      </c>
      <c r="F1772" s="375" t="s">
        <v>621</v>
      </c>
      <c r="G1772" s="375" t="s">
        <v>621</v>
      </c>
      <c r="H1772" s="375" t="s">
        <v>861</v>
      </c>
      <c r="I1772" s="375" t="s">
        <v>862</v>
      </c>
      <c r="J1772" s="375">
        <v>73802.259080000003</v>
      </c>
      <c r="K1772" s="375">
        <v>-1569.3073199999999</v>
      </c>
      <c r="L1772" s="375">
        <v>-1829.32179</v>
      </c>
      <c r="M1772" s="375">
        <v>14739.853230000001</v>
      </c>
      <c r="N1772" s="372">
        <v>0.96799999999999997</v>
      </c>
      <c r="O1772" s="704">
        <v>10.562927577907775</v>
      </c>
      <c r="P1772" s="375" t="s">
        <v>622</v>
      </c>
      <c r="Q1772" s="375" t="s">
        <v>622</v>
      </c>
      <c r="R1772" s="696">
        <v>20191219</v>
      </c>
      <c r="S1772" s="375" t="s">
        <v>11599</v>
      </c>
      <c r="T1772" s="697" t="s">
        <v>771</v>
      </c>
      <c r="U1772" s="372" t="s">
        <v>11600</v>
      </c>
      <c r="V1772" s="723">
        <v>0</v>
      </c>
      <c r="W1772" s="723">
        <v>0</v>
      </c>
      <c r="X1772" s="723">
        <v>0</v>
      </c>
      <c r="Y1772" s="723">
        <v>0</v>
      </c>
      <c r="Z1772" s="382" t="s">
        <v>927</v>
      </c>
      <c r="AA1772" s="372">
        <v>634.61220779999996</v>
      </c>
      <c r="AB1772" s="372">
        <v>775.45506750000004</v>
      </c>
      <c r="AC1772" s="372">
        <v>648.59341700000004</v>
      </c>
      <c r="AD1772" s="372">
        <v>753.69137409999996</v>
      </c>
      <c r="AE1772" s="372">
        <v>0</v>
      </c>
      <c r="AF1772" s="372">
        <v>0</v>
      </c>
      <c r="AG1772" s="372">
        <v>0</v>
      </c>
      <c r="AH1772" s="372">
        <v>0</v>
      </c>
    </row>
    <row r="1773" spans="1:34">
      <c r="A1773" s="372" t="s">
        <v>11601</v>
      </c>
      <c r="B1773" s="373" t="s">
        <v>11602</v>
      </c>
      <c r="C1773" s="372" t="s">
        <v>11603</v>
      </c>
      <c r="D1773" s="374">
        <v>1101111953953</v>
      </c>
      <c r="E1773" s="372" t="s">
        <v>11604</v>
      </c>
      <c r="F1773" s="375" t="s">
        <v>1116</v>
      </c>
      <c r="G1773" s="375" t="s">
        <v>1336</v>
      </c>
      <c r="H1773" s="375" t="s">
        <v>1337</v>
      </c>
      <c r="I1773" s="375" t="s">
        <v>862</v>
      </c>
      <c r="J1773" s="375">
        <v>56883.442569999999</v>
      </c>
      <c r="K1773" s="375">
        <v>3829.3820500000002</v>
      </c>
      <c r="L1773" s="375">
        <v>5527.0462399999997</v>
      </c>
      <c r="M1773" s="375">
        <v>69585.410940000002</v>
      </c>
      <c r="N1773" s="372">
        <v>0.86499999999999999</v>
      </c>
      <c r="O1773" s="704">
        <v>3.7408329207303312</v>
      </c>
      <c r="P1773" s="375" t="s">
        <v>622</v>
      </c>
      <c r="Q1773" s="372" t="s">
        <v>622</v>
      </c>
      <c r="R1773" s="696">
        <v>20200522</v>
      </c>
      <c r="S1773" s="372" t="s">
        <v>11605</v>
      </c>
      <c r="T1773" s="697">
        <v>0.20900000000000002</v>
      </c>
      <c r="U1773" s="372" t="s">
        <v>11606</v>
      </c>
      <c r="V1773" s="723">
        <v>14.99</v>
      </c>
      <c r="W1773" s="723">
        <v>1.36</v>
      </c>
      <c r="X1773" s="723">
        <v>1.52</v>
      </c>
      <c r="Y1773" s="723">
        <v>18.440000000000001</v>
      </c>
      <c r="Z1773" s="382" t="s">
        <v>927</v>
      </c>
      <c r="AA1773" s="372">
        <v>234.8932178</v>
      </c>
      <c r="AB1773" s="372">
        <v>261.53499620000002</v>
      </c>
      <c r="AC1773" s="372">
        <v>388.73659880000002</v>
      </c>
      <c r="AD1773" s="372">
        <v>478.44017769999999</v>
      </c>
      <c r="AE1773" s="372">
        <v>0</v>
      </c>
      <c r="AF1773" s="372">
        <v>0</v>
      </c>
      <c r="AG1773" s="372">
        <v>0</v>
      </c>
      <c r="AH1773" s="372">
        <v>0</v>
      </c>
    </row>
    <row r="1774" spans="1:34">
      <c r="A1774" s="372" t="s">
        <v>11607</v>
      </c>
      <c r="B1774" s="373" t="s">
        <v>11608</v>
      </c>
      <c r="C1774" s="372" t="s">
        <v>11609</v>
      </c>
      <c r="D1774" s="374">
        <v>1101110243793</v>
      </c>
      <c r="E1774" s="372" t="s">
        <v>11610</v>
      </c>
      <c r="F1774" s="375" t="s">
        <v>4846</v>
      </c>
      <c r="G1774" s="375" t="s">
        <v>16117</v>
      </c>
      <c r="H1774" s="375" t="s">
        <v>1386</v>
      </c>
      <c r="I1774" s="375" t="s">
        <v>754</v>
      </c>
      <c r="J1774" s="375">
        <v>275428.05953999999</v>
      </c>
      <c r="K1774" s="375">
        <v>-1767.1563900000001</v>
      </c>
      <c r="L1774" s="375">
        <v>-4967.3261400000001</v>
      </c>
      <c r="M1774" s="375">
        <v>100746.30895000001</v>
      </c>
      <c r="N1774" s="372">
        <v>0.50700000000000001</v>
      </c>
      <c r="O1774" s="704">
        <v>114.61384938032523</v>
      </c>
      <c r="P1774" s="375" t="s">
        <v>622</v>
      </c>
      <c r="Q1774" s="372" t="s">
        <v>622</v>
      </c>
      <c r="R1774" s="696">
        <v>19891130</v>
      </c>
      <c r="S1774" s="375" t="s">
        <v>11611</v>
      </c>
      <c r="T1774" s="697" t="s">
        <v>771</v>
      </c>
      <c r="U1774" s="372" t="s">
        <v>11612</v>
      </c>
      <c r="V1774" s="723">
        <v>92.4</v>
      </c>
      <c r="W1774" s="723">
        <v>0.79</v>
      </c>
      <c r="X1774" s="723">
        <v>0.22</v>
      </c>
      <c r="Y1774" s="723" t="s">
        <v>773</v>
      </c>
      <c r="Z1774" s="382" t="s">
        <v>927</v>
      </c>
      <c r="AA1774" s="372">
        <v>1617.2891781999999</v>
      </c>
      <c r="AB1774" s="372">
        <v>1636.8660205000001</v>
      </c>
      <c r="AC1774" s="372">
        <v>1951.4048726000001</v>
      </c>
      <c r="AD1774" s="372">
        <v>2788.2795338000001</v>
      </c>
      <c r="AE1774" s="372">
        <v>0</v>
      </c>
      <c r="AF1774" s="372">
        <v>0</v>
      </c>
      <c r="AG1774" s="372">
        <v>0</v>
      </c>
      <c r="AH1774" s="372">
        <v>0</v>
      </c>
    </row>
    <row r="1775" spans="1:34">
      <c r="A1775" s="372" t="s">
        <v>11613</v>
      </c>
      <c r="B1775" s="373" t="s">
        <v>11614</v>
      </c>
      <c r="C1775" s="372" t="s">
        <v>11615</v>
      </c>
      <c r="D1775" s="374">
        <v>1101113977050</v>
      </c>
      <c r="E1775" s="372" t="s">
        <v>11616</v>
      </c>
      <c r="F1775" s="375" t="s">
        <v>16101</v>
      </c>
      <c r="G1775" s="375" t="s">
        <v>16101</v>
      </c>
      <c r="H1775" s="375" t="s">
        <v>861</v>
      </c>
      <c r="I1775" s="375" t="s">
        <v>862</v>
      </c>
      <c r="J1775" s="375">
        <v>91.237170000000006</v>
      </c>
      <c r="K1775" s="375">
        <v>-16182.48266</v>
      </c>
      <c r="L1775" s="375">
        <v>-15890.71175</v>
      </c>
      <c r="M1775" s="375">
        <v>19575.513770000001</v>
      </c>
      <c r="N1775" s="372">
        <v>-0.152</v>
      </c>
      <c r="O1775" s="704">
        <v>0.20268255423031267</v>
      </c>
      <c r="P1775" s="375" t="s">
        <v>622</v>
      </c>
      <c r="Q1775" s="375" t="s">
        <v>622</v>
      </c>
      <c r="R1775" s="696">
        <v>20221019</v>
      </c>
      <c r="S1775" s="375" t="s">
        <v>11617</v>
      </c>
      <c r="T1775" s="697" t="s">
        <v>771</v>
      </c>
      <c r="U1775" s="372" t="s">
        <v>11618</v>
      </c>
      <c r="V1775" s="723" t="s">
        <v>773</v>
      </c>
      <c r="W1775" s="723">
        <v>6.04</v>
      </c>
      <c r="X1775" s="723">
        <v>1083.1199999999999</v>
      </c>
      <c r="Y1775" s="723" t="s">
        <v>773</v>
      </c>
      <c r="Z1775" s="382" t="s">
        <v>927</v>
      </c>
      <c r="AA1775" s="372">
        <v>0</v>
      </c>
      <c r="AB1775" s="372">
        <v>5.228402</v>
      </c>
      <c r="AC1775" s="372">
        <v>20</v>
      </c>
      <c r="AD1775" s="372">
        <v>2.1525126999999999</v>
      </c>
      <c r="AE1775" s="372">
        <v>0</v>
      </c>
      <c r="AF1775" s="372">
        <v>0</v>
      </c>
      <c r="AG1775" s="372">
        <v>0</v>
      </c>
      <c r="AH1775" s="372">
        <v>0</v>
      </c>
    </row>
    <row r="1776" spans="1:34">
      <c r="A1776" s="372" t="s">
        <v>11619</v>
      </c>
      <c r="B1776" s="373" t="s">
        <v>11620</v>
      </c>
      <c r="C1776" s="372" t="s">
        <v>11621</v>
      </c>
      <c r="D1776" s="374">
        <v>1243110000755</v>
      </c>
      <c r="E1776" s="372" t="s">
        <v>11622</v>
      </c>
      <c r="F1776" s="375" t="s">
        <v>2007</v>
      </c>
      <c r="G1776" s="375" t="s">
        <v>2007</v>
      </c>
      <c r="H1776" s="375" t="s">
        <v>792</v>
      </c>
      <c r="I1776" s="375" t="s">
        <v>754</v>
      </c>
      <c r="J1776" s="375">
        <v>319593.77045000001</v>
      </c>
      <c r="K1776" s="375">
        <v>-736.10188000000005</v>
      </c>
      <c r="L1776" s="375">
        <v>11153.794900000001</v>
      </c>
      <c r="M1776" s="375">
        <v>329219.83260000002</v>
      </c>
      <c r="N1776" s="372">
        <v>0.622</v>
      </c>
      <c r="O1776" s="704">
        <v>19.849748861105837</v>
      </c>
      <c r="P1776" s="375" t="s">
        <v>622</v>
      </c>
      <c r="Q1776" s="372" t="s">
        <v>622</v>
      </c>
      <c r="R1776" s="696">
        <v>19881010</v>
      </c>
      <c r="S1776" s="372" t="s">
        <v>11623</v>
      </c>
      <c r="T1776" s="697">
        <v>0.20900000000000002</v>
      </c>
      <c r="U1776" s="372" t="s">
        <v>11624</v>
      </c>
      <c r="V1776" s="723">
        <v>5.77</v>
      </c>
      <c r="W1776" s="723">
        <v>0.19</v>
      </c>
      <c r="X1776" s="723">
        <v>0.17</v>
      </c>
      <c r="Y1776" s="723" t="s">
        <v>773</v>
      </c>
      <c r="Z1776" s="382" t="s">
        <v>927</v>
      </c>
      <c r="AA1776" s="372">
        <v>2415.4566924000001</v>
      </c>
      <c r="AB1776" s="372">
        <v>2763.9197438000001</v>
      </c>
      <c r="AC1776" s="372">
        <v>2967.5635397999999</v>
      </c>
      <c r="AD1776" s="372">
        <v>3114.6992068999998</v>
      </c>
      <c r="AE1776" s="372">
        <v>0</v>
      </c>
      <c r="AF1776" s="372">
        <v>0</v>
      </c>
      <c r="AG1776" s="372">
        <v>0</v>
      </c>
      <c r="AH1776" s="372">
        <v>0</v>
      </c>
    </row>
    <row r="1777" spans="1:34">
      <c r="A1777" s="372" t="s">
        <v>11625</v>
      </c>
      <c r="B1777" s="373" t="s">
        <v>11626</v>
      </c>
      <c r="C1777" s="372" t="s">
        <v>15934</v>
      </c>
      <c r="D1777" s="374">
        <v>1101110747414</v>
      </c>
      <c r="E1777" s="372" t="s">
        <v>11627</v>
      </c>
      <c r="F1777" s="375" t="s">
        <v>5769</v>
      </c>
      <c r="G1777" s="375" t="s">
        <v>5769</v>
      </c>
      <c r="H1777" s="375" t="s">
        <v>1337</v>
      </c>
      <c r="I1777" s="375" t="s">
        <v>862</v>
      </c>
      <c r="J1777" s="375">
        <v>55839.691290000002</v>
      </c>
      <c r="K1777" s="375">
        <v>-593.93035999999995</v>
      </c>
      <c r="L1777" s="375">
        <v>-846.16664000000003</v>
      </c>
      <c r="M1777" s="375">
        <v>93771.155060000005</v>
      </c>
      <c r="N1777" s="372">
        <v>1.274</v>
      </c>
      <c r="O1777" s="704">
        <v>7.1190316402443781</v>
      </c>
      <c r="P1777" s="375" t="s">
        <v>622</v>
      </c>
      <c r="Q1777" s="372" t="s">
        <v>622</v>
      </c>
      <c r="R1777" s="696">
        <v>20020809</v>
      </c>
      <c r="S1777" s="375" t="s">
        <v>11628</v>
      </c>
      <c r="T1777" s="697" t="s">
        <v>771</v>
      </c>
      <c r="U1777" s="372" t="s">
        <v>15935</v>
      </c>
      <c r="V1777" s="723">
        <v>376.07</v>
      </c>
      <c r="W1777" s="723">
        <v>1.98</v>
      </c>
      <c r="X1777" s="723">
        <v>2.96</v>
      </c>
      <c r="Y1777" s="723" t="s">
        <v>773</v>
      </c>
      <c r="Z1777" s="382" t="s">
        <v>927</v>
      </c>
      <c r="AA1777" s="372">
        <v>858.42920719999995</v>
      </c>
      <c r="AB1777" s="372">
        <v>859.19851219999998</v>
      </c>
      <c r="AC1777" s="372">
        <v>808.53888089999998</v>
      </c>
      <c r="AD1777" s="372">
        <v>594.3597992</v>
      </c>
      <c r="AE1777" s="372">
        <v>0</v>
      </c>
      <c r="AF1777" s="372">
        <v>0</v>
      </c>
      <c r="AG1777" s="372">
        <v>0</v>
      </c>
      <c r="AH1777" s="372">
        <v>0</v>
      </c>
    </row>
    <row r="1778" spans="1:34">
      <c r="A1778" s="372" t="s">
        <v>11629</v>
      </c>
      <c r="B1778" s="373" t="s">
        <v>11630</v>
      </c>
      <c r="C1778" s="372" t="s">
        <v>11631</v>
      </c>
      <c r="D1778" s="374">
        <v>1101116728781</v>
      </c>
      <c r="E1778" s="372" t="s">
        <v>11632</v>
      </c>
      <c r="F1778" s="375" t="s">
        <v>1116</v>
      </c>
      <c r="G1778" s="375" t="s">
        <v>1336</v>
      </c>
      <c r="H1778" s="375" t="s">
        <v>1337</v>
      </c>
      <c r="I1778" s="375" t="s">
        <v>862</v>
      </c>
      <c r="J1778" s="375">
        <v>6705.2385299999996</v>
      </c>
      <c r="K1778" s="375">
        <v>-12108.01586</v>
      </c>
      <c r="L1778" s="375">
        <v>-12068.286389999999</v>
      </c>
      <c r="M1778" s="375">
        <v>25922.434740000001</v>
      </c>
      <c r="N1778" s="372">
        <v>1.0229999999999999</v>
      </c>
      <c r="O1778" s="704">
        <v>12.224381505936211</v>
      </c>
      <c r="P1778" s="375" t="s">
        <v>622</v>
      </c>
      <c r="Q1778" s="372" t="s">
        <v>622</v>
      </c>
      <c r="R1778" s="696">
        <v>20211108</v>
      </c>
      <c r="S1778" s="372" t="s">
        <v>11633</v>
      </c>
      <c r="T1778" s="697" t="s">
        <v>771</v>
      </c>
      <c r="U1778" s="372" t="s">
        <v>11634</v>
      </c>
      <c r="V1778" s="723" t="s">
        <v>773</v>
      </c>
      <c r="W1778" s="723">
        <v>2.04</v>
      </c>
      <c r="X1778" s="723">
        <v>7.89</v>
      </c>
      <c r="Y1778" s="723" t="s">
        <v>773</v>
      </c>
      <c r="Z1778" s="382" t="s">
        <v>927</v>
      </c>
      <c r="AA1778" s="372">
        <v>37.944500900000001</v>
      </c>
      <c r="AB1778" s="372">
        <v>81.343002600000005</v>
      </c>
      <c r="AC1778" s="372">
        <v>100.8338735</v>
      </c>
      <c r="AD1778" s="372">
        <v>69.671915999999996</v>
      </c>
      <c r="AE1778" s="372">
        <v>0</v>
      </c>
      <c r="AF1778" s="372">
        <v>0</v>
      </c>
      <c r="AG1778" s="372">
        <v>0</v>
      </c>
      <c r="AH1778" s="372">
        <v>0</v>
      </c>
    </row>
    <row r="1779" spans="1:34">
      <c r="A1779" s="372" t="s">
        <v>11635</v>
      </c>
      <c r="B1779" s="373" t="s">
        <v>11636</v>
      </c>
      <c r="C1779" s="372" t="s">
        <v>11637</v>
      </c>
      <c r="D1779" s="374">
        <v>1511110009906</v>
      </c>
      <c r="E1779" s="372" t="s">
        <v>11638</v>
      </c>
      <c r="F1779" s="375" t="s">
        <v>4736</v>
      </c>
      <c r="G1779" s="375" t="s">
        <v>4737</v>
      </c>
      <c r="H1779" s="375" t="s">
        <v>1337</v>
      </c>
      <c r="I1779" s="375" t="s">
        <v>862</v>
      </c>
      <c r="J1779" s="375">
        <v>18778.527770000001</v>
      </c>
      <c r="K1779" s="375">
        <v>-460.29599000000002</v>
      </c>
      <c r="L1779" s="375">
        <v>2161.59256</v>
      </c>
      <c r="M1779" s="375">
        <v>35827.519540000001</v>
      </c>
      <c r="N1779" s="372">
        <v>0.67700000000000005</v>
      </c>
      <c r="O1779" s="704">
        <v>0.95675508626758188</v>
      </c>
      <c r="P1779" s="375" t="s">
        <v>622</v>
      </c>
      <c r="Q1779" s="375" t="s">
        <v>622</v>
      </c>
      <c r="R1779" s="696">
        <v>20030528</v>
      </c>
      <c r="S1779" s="375" t="s">
        <v>11639</v>
      </c>
      <c r="T1779" s="697">
        <v>0.20900000000000002</v>
      </c>
      <c r="U1779" s="372" t="s">
        <v>11640</v>
      </c>
      <c r="V1779" s="723">
        <v>49.63</v>
      </c>
      <c r="W1779" s="723">
        <v>3.1</v>
      </c>
      <c r="X1779" s="723">
        <v>6.13</v>
      </c>
      <c r="Y1779" s="723">
        <v>53.26</v>
      </c>
      <c r="Z1779" s="382" t="s">
        <v>927</v>
      </c>
      <c r="AA1779" s="372">
        <v>192.70324239999999</v>
      </c>
      <c r="AB1779" s="372">
        <v>185.35195419999999</v>
      </c>
      <c r="AC1779" s="372">
        <v>193.55942250000001</v>
      </c>
      <c r="AD1779" s="372">
        <v>192.11399829999999</v>
      </c>
      <c r="AE1779" s="372">
        <v>0</v>
      </c>
      <c r="AF1779" s="372">
        <v>0</v>
      </c>
      <c r="AG1779" s="372">
        <v>0</v>
      </c>
      <c r="AH1779" s="372">
        <v>0</v>
      </c>
    </row>
    <row r="1780" spans="1:34">
      <c r="A1780" s="372" t="s">
        <v>11641</v>
      </c>
      <c r="B1780" s="373" t="s">
        <v>11642</v>
      </c>
      <c r="C1780" s="372" t="s">
        <v>11643</v>
      </c>
      <c r="D1780" s="374">
        <v>1101116929959</v>
      </c>
      <c r="E1780" s="372" t="s">
        <v>11644</v>
      </c>
      <c r="F1780" s="375" t="s">
        <v>2103</v>
      </c>
      <c r="G1780" s="375" t="s">
        <v>2103</v>
      </c>
      <c r="H1780" s="375" t="s">
        <v>895</v>
      </c>
      <c r="I1780" s="375" t="s">
        <v>862</v>
      </c>
      <c r="J1780" s="375">
        <v>0</v>
      </c>
      <c r="K1780" s="375">
        <v>0</v>
      </c>
      <c r="L1780" s="375">
        <v>0</v>
      </c>
      <c r="M1780" s="375">
        <v>0</v>
      </c>
      <c r="N1780" s="372" t="s">
        <v>1026</v>
      </c>
      <c r="O1780" s="704" t="s">
        <v>16301</v>
      </c>
      <c r="P1780" s="375" t="s">
        <v>622</v>
      </c>
      <c r="Q1780" s="372" t="s">
        <v>622</v>
      </c>
      <c r="R1780" s="696">
        <v>20231115</v>
      </c>
      <c r="S1780" s="375" t="s">
        <v>9060</v>
      </c>
      <c r="T1780" s="697" t="s">
        <v>771</v>
      </c>
      <c r="U1780" s="372" t="s">
        <v>11645</v>
      </c>
      <c r="V1780" s="723">
        <v>0</v>
      </c>
      <c r="W1780" s="723">
        <v>0</v>
      </c>
      <c r="X1780" s="723">
        <v>0</v>
      </c>
      <c r="Y1780" s="723">
        <v>0</v>
      </c>
      <c r="Z1780" s="382" t="s">
        <v>927</v>
      </c>
      <c r="AA1780" s="372">
        <v>0</v>
      </c>
      <c r="AB1780" s="372">
        <v>143.87619369999999</v>
      </c>
      <c r="AC1780" s="372">
        <v>122.16491430000001</v>
      </c>
      <c r="AD1780" s="372">
        <v>95.089273700000007</v>
      </c>
      <c r="AE1780" s="372">
        <v>0</v>
      </c>
      <c r="AF1780" s="372">
        <v>0</v>
      </c>
      <c r="AG1780" s="372">
        <v>0</v>
      </c>
      <c r="AH1780" s="372">
        <v>0</v>
      </c>
    </row>
    <row r="1781" spans="1:34">
      <c r="A1781" s="372" t="s">
        <v>11646</v>
      </c>
      <c r="B1781" s="373" t="s">
        <v>11647</v>
      </c>
      <c r="C1781" s="372" t="s">
        <v>11648</v>
      </c>
      <c r="D1781" s="374">
        <v>1311110243912</v>
      </c>
      <c r="E1781" s="372" t="s">
        <v>11649</v>
      </c>
      <c r="F1781" s="375" t="s">
        <v>1796</v>
      </c>
      <c r="G1781" s="375" t="s">
        <v>1797</v>
      </c>
      <c r="H1781" s="375" t="s">
        <v>861</v>
      </c>
      <c r="I1781" s="375" t="s">
        <v>862</v>
      </c>
      <c r="J1781" s="375">
        <v>24182.58293</v>
      </c>
      <c r="K1781" s="375">
        <v>-3226.4679500000002</v>
      </c>
      <c r="L1781" s="375">
        <v>-1740.93398</v>
      </c>
      <c r="M1781" s="375">
        <v>66045.610570000004</v>
      </c>
      <c r="N1781" s="372">
        <v>0.54</v>
      </c>
      <c r="O1781" s="704">
        <v>1.3844114356377339</v>
      </c>
      <c r="P1781" s="375" t="s">
        <v>622</v>
      </c>
      <c r="Q1781" s="375" t="s">
        <v>622</v>
      </c>
      <c r="R1781" s="696">
        <v>20150629</v>
      </c>
      <c r="S1781" s="375" t="s">
        <v>11650</v>
      </c>
      <c r="T1781" s="697" t="s">
        <v>771</v>
      </c>
      <c r="U1781" s="372" t="s">
        <v>11651</v>
      </c>
      <c r="V1781" s="723" t="s">
        <v>773</v>
      </c>
      <c r="W1781" s="723">
        <v>0.91</v>
      </c>
      <c r="X1781" s="723">
        <v>2.46</v>
      </c>
      <c r="Y1781" s="723" t="s">
        <v>773</v>
      </c>
      <c r="Z1781" s="382" t="s">
        <v>927</v>
      </c>
      <c r="AA1781" s="372">
        <v>176.74133230000001</v>
      </c>
      <c r="AB1781" s="372">
        <v>170.44884239999999</v>
      </c>
      <c r="AC1781" s="372">
        <v>331.14803760000001</v>
      </c>
      <c r="AD1781" s="372">
        <v>261.20903049999998</v>
      </c>
      <c r="AE1781" s="372">
        <v>0</v>
      </c>
      <c r="AF1781" s="372">
        <v>0</v>
      </c>
      <c r="AG1781" s="372">
        <v>0</v>
      </c>
      <c r="AH1781" s="372">
        <v>0</v>
      </c>
    </row>
    <row r="1782" spans="1:34">
      <c r="A1782" s="372" t="s">
        <v>11652</v>
      </c>
      <c r="B1782" s="373" t="s">
        <v>11653</v>
      </c>
      <c r="C1782" s="372" t="s">
        <v>11654</v>
      </c>
      <c r="D1782" s="374">
        <v>1101111903643</v>
      </c>
      <c r="E1782" s="372" t="s">
        <v>11655</v>
      </c>
      <c r="F1782" s="375" t="s">
        <v>16119</v>
      </c>
      <c r="G1782" s="375" t="s">
        <v>16119</v>
      </c>
      <c r="H1782" s="375" t="s">
        <v>1531</v>
      </c>
      <c r="I1782" s="375" t="s">
        <v>862</v>
      </c>
      <c r="J1782" s="375">
        <v>46596.042309999997</v>
      </c>
      <c r="K1782" s="375">
        <v>545.36566000000005</v>
      </c>
      <c r="L1782" s="375">
        <v>2324.4928399999999</v>
      </c>
      <c r="M1782" s="375">
        <v>62796.520400000001</v>
      </c>
      <c r="N1782" s="372">
        <v>0.97599999999999998</v>
      </c>
      <c r="O1782" s="704">
        <v>2.9443950769751313</v>
      </c>
      <c r="P1782" s="375" t="s">
        <v>622</v>
      </c>
      <c r="Q1782" s="372" t="s">
        <v>622</v>
      </c>
      <c r="R1782" s="696">
        <v>20050119</v>
      </c>
      <c r="S1782" s="372" t="s">
        <v>11656</v>
      </c>
      <c r="T1782" s="697">
        <v>0.20900000000000002</v>
      </c>
      <c r="U1782" s="372" t="s">
        <v>11657</v>
      </c>
      <c r="V1782" s="723">
        <v>16.920000000000002</v>
      </c>
      <c r="W1782" s="723">
        <v>1.01</v>
      </c>
      <c r="X1782" s="723">
        <v>1.32</v>
      </c>
      <c r="Y1782" s="723">
        <v>35.35</v>
      </c>
      <c r="Z1782" s="382" t="s">
        <v>927</v>
      </c>
      <c r="AA1782" s="372">
        <v>437.3179126</v>
      </c>
      <c r="AB1782" s="372">
        <v>468.32866819999998</v>
      </c>
      <c r="AC1782" s="372">
        <v>474.60159199999998</v>
      </c>
      <c r="AD1782" s="372">
        <v>463.03655120000002</v>
      </c>
      <c r="AE1782" s="372">
        <v>0</v>
      </c>
      <c r="AF1782" s="372">
        <v>0</v>
      </c>
      <c r="AG1782" s="372">
        <v>0</v>
      </c>
      <c r="AH1782" s="372">
        <v>0</v>
      </c>
    </row>
    <row r="1783" spans="1:34">
      <c r="A1783" s="372" t="s">
        <v>11658</v>
      </c>
      <c r="B1783" s="373" t="s">
        <v>11659</v>
      </c>
      <c r="C1783" s="372" t="s">
        <v>11660</v>
      </c>
      <c r="D1783" s="374">
        <v>1101110342181</v>
      </c>
      <c r="E1783" s="372" t="s">
        <v>11661</v>
      </c>
      <c r="F1783" s="372" t="s">
        <v>1871</v>
      </c>
      <c r="G1783" s="375" t="s">
        <v>7530</v>
      </c>
      <c r="H1783" s="375" t="s">
        <v>1043</v>
      </c>
      <c r="I1783" s="375" t="s">
        <v>754</v>
      </c>
      <c r="J1783" s="375">
        <v>215814.51126999999</v>
      </c>
      <c r="K1783" s="375">
        <v>1551.20876</v>
      </c>
      <c r="L1783" s="375">
        <v>5375.2439999999997</v>
      </c>
      <c r="M1783" s="375">
        <v>141206.32076</v>
      </c>
      <c r="N1783" s="372">
        <v>1.0069999999999999</v>
      </c>
      <c r="O1783" s="704">
        <v>0.48264713862466863</v>
      </c>
      <c r="P1783" s="375" t="s">
        <v>622</v>
      </c>
      <c r="Q1783" s="372" t="s">
        <v>622</v>
      </c>
      <c r="R1783" s="696">
        <v>19881212</v>
      </c>
      <c r="S1783" s="372" t="s">
        <v>11662</v>
      </c>
      <c r="T1783" s="697">
        <v>0.20900000000000002</v>
      </c>
      <c r="U1783" s="372" t="s">
        <v>11663</v>
      </c>
      <c r="V1783" s="723">
        <v>0</v>
      </c>
      <c r="W1783" s="723">
        <v>0</v>
      </c>
      <c r="X1783" s="723">
        <v>0</v>
      </c>
      <c r="Y1783" s="723">
        <v>0</v>
      </c>
      <c r="Z1783" s="382" t="s">
        <v>927</v>
      </c>
      <c r="AA1783" s="372">
        <v>1368.1003545000001</v>
      </c>
      <c r="AB1783" s="372">
        <v>1759.1106983</v>
      </c>
      <c r="AC1783" s="372">
        <v>1897.4794936000001</v>
      </c>
      <c r="AD1783" s="372">
        <v>1618.8434655000001</v>
      </c>
      <c r="AE1783" s="372">
        <v>0</v>
      </c>
      <c r="AF1783" s="372">
        <v>0</v>
      </c>
      <c r="AG1783" s="372">
        <v>0</v>
      </c>
      <c r="AH1783" s="372">
        <v>0</v>
      </c>
    </row>
    <row r="1784" spans="1:34">
      <c r="A1784" s="372" t="s">
        <v>11664</v>
      </c>
      <c r="B1784" s="373" t="s">
        <v>11665</v>
      </c>
      <c r="C1784" s="372" t="s">
        <v>11666</v>
      </c>
      <c r="D1784" s="374">
        <v>1348110011677</v>
      </c>
      <c r="E1784" s="372" t="s">
        <v>11667</v>
      </c>
      <c r="F1784" s="375" t="s">
        <v>3721</v>
      </c>
      <c r="G1784" s="375" t="s">
        <v>3722</v>
      </c>
      <c r="H1784" s="375" t="s">
        <v>861</v>
      </c>
      <c r="I1784" s="375" t="s">
        <v>862</v>
      </c>
      <c r="J1784" s="375">
        <v>233163.48267</v>
      </c>
      <c r="K1784" s="375">
        <v>1532.47624</v>
      </c>
      <c r="L1784" s="375">
        <v>-5268.3846899999999</v>
      </c>
      <c r="M1784" s="375">
        <v>91355.804260000004</v>
      </c>
      <c r="N1784" s="372">
        <v>0.63100000000000001</v>
      </c>
      <c r="O1784" s="704">
        <v>157.8283617442568</v>
      </c>
      <c r="P1784" s="375" t="s">
        <v>622</v>
      </c>
      <c r="Q1784" s="372" t="s">
        <v>622</v>
      </c>
      <c r="R1784" s="696">
        <v>20011211</v>
      </c>
      <c r="S1784" s="372" t="s">
        <v>11668</v>
      </c>
      <c r="T1784" s="697" t="s">
        <v>771</v>
      </c>
      <c r="U1784" s="372" t="s">
        <v>11669</v>
      </c>
      <c r="V1784" s="723">
        <v>8.5299999999999994</v>
      </c>
      <c r="W1784" s="723">
        <v>0.56000000000000005</v>
      </c>
      <c r="X1784" s="723">
        <v>0.23</v>
      </c>
      <c r="Y1784" s="723" t="s">
        <v>773</v>
      </c>
      <c r="Z1784" s="382" t="s">
        <v>927</v>
      </c>
      <c r="AA1784" s="372">
        <v>2553.3630026999999</v>
      </c>
      <c r="AB1784" s="372">
        <v>2464.129101</v>
      </c>
      <c r="AC1784" s="372">
        <v>2012.4603708</v>
      </c>
      <c r="AD1784" s="372">
        <v>1774.5286180999999</v>
      </c>
      <c r="AE1784" s="372">
        <v>0</v>
      </c>
      <c r="AF1784" s="372">
        <v>0</v>
      </c>
      <c r="AG1784" s="372">
        <v>0</v>
      </c>
      <c r="AH1784" s="372">
        <v>0</v>
      </c>
    </row>
    <row r="1785" spans="1:34">
      <c r="A1785" s="372" t="s">
        <v>11670</v>
      </c>
      <c r="B1785" s="373" t="s">
        <v>11671</v>
      </c>
      <c r="C1785" s="372" t="s">
        <v>11672</v>
      </c>
      <c r="D1785" s="374">
        <v>1351110069710</v>
      </c>
      <c r="E1785" s="372" t="s">
        <v>11673</v>
      </c>
      <c r="F1785" s="375" t="s">
        <v>2184</v>
      </c>
      <c r="G1785" s="375" t="s">
        <v>3523</v>
      </c>
      <c r="H1785" s="375" t="s">
        <v>861</v>
      </c>
      <c r="I1785" s="375" t="s">
        <v>862</v>
      </c>
      <c r="J1785" s="375">
        <v>31421.154829999999</v>
      </c>
      <c r="K1785" s="375">
        <v>-9770.0369499999997</v>
      </c>
      <c r="L1785" s="375">
        <v>-10348.04139</v>
      </c>
      <c r="M1785" s="375">
        <v>38583.944750000002</v>
      </c>
      <c r="N1785" s="372">
        <v>1.2470000000000001</v>
      </c>
      <c r="O1785" s="704">
        <v>50.060913255038727</v>
      </c>
      <c r="P1785" s="375" t="s">
        <v>622</v>
      </c>
      <c r="Q1785" s="372" t="s">
        <v>622</v>
      </c>
      <c r="R1785" s="696">
        <v>20161212</v>
      </c>
      <c r="S1785" s="372" t="s">
        <v>11674</v>
      </c>
      <c r="T1785" s="697" t="s">
        <v>771</v>
      </c>
      <c r="U1785" s="372" t="s">
        <v>11675</v>
      </c>
      <c r="V1785" s="723">
        <v>0</v>
      </c>
      <c r="W1785" s="723">
        <v>0</v>
      </c>
      <c r="X1785" s="723">
        <v>0</v>
      </c>
      <c r="Y1785" s="723">
        <v>0</v>
      </c>
      <c r="Z1785" s="382" t="s">
        <v>927</v>
      </c>
      <c r="AA1785" s="372">
        <v>510.25386689999999</v>
      </c>
      <c r="AB1785" s="372">
        <v>605.01218900000003</v>
      </c>
      <c r="AC1785" s="372">
        <v>382.44471099999998</v>
      </c>
      <c r="AD1785" s="372">
        <v>330.42724099999998</v>
      </c>
      <c r="AE1785" s="372">
        <v>0</v>
      </c>
      <c r="AF1785" s="372">
        <v>0</v>
      </c>
      <c r="AG1785" s="372">
        <v>0</v>
      </c>
      <c r="AH1785" s="372">
        <v>0</v>
      </c>
    </row>
    <row r="1786" spans="1:34">
      <c r="A1786" s="372" t="s">
        <v>11676</v>
      </c>
      <c r="B1786" s="373" t="s">
        <v>11677</v>
      </c>
      <c r="C1786" s="372" t="s">
        <v>11678</v>
      </c>
      <c r="D1786" s="374">
        <v>1101110234776</v>
      </c>
      <c r="E1786" s="372" t="s">
        <v>11679</v>
      </c>
      <c r="F1786" s="375" t="s">
        <v>1384</v>
      </c>
      <c r="G1786" s="375" t="s">
        <v>1385</v>
      </c>
      <c r="H1786" s="375" t="s">
        <v>1386</v>
      </c>
      <c r="I1786" s="375" t="s">
        <v>754</v>
      </c>
      <c r="J1786" s="375">
        <v>547619.39003000001</v>
      </c>
      <c r="K1786" s="375">
        <v>5230.4791500000001</v>
      </c>
      <c r="L1786" s="375">
        <v>3289.5178500000002</v>
      </c>
      <c r="M1786" s="375">
        <v>124356.18210000001</v>
      </c>
      <c r="N1786" s="372">
        <v>0.84699999999999998</v>
      </c>
      <c r="O1786" s="704">
        <v>185.7621917566276</v>
      </c>
      <c r="P1786" s="375" t="s">
        <v>622</v>
      </c>
      <c r="Q1786" s="372" t="s">
        <v>622</v>
      </c>
      <c r="R1786" s="696">
        <v>19891202</v>
      </c>
      <c r="S1786" s="372" t="s">
        <v>11680</v>
      </c>
      <c r="T1786" s="697">
        <v>0.20900000000000002</v>
      </c>
      <c r="U1786" s="372" t="s">
        <v>11681</v>
      </c>
      <c r="V1786" s="723">
        <v>15.26</v>
      </c>
      <c r="W1786" s="723">
        <v>0.57999999999999996</v>
      </c>
      <c r="X1786" s="723">
        <v>0.13</v>
      </c>
      <c r="Y1786" s="723">
        <v>29.56</v>
      </c>
      <c r="Z1786" s="382" t="s">
        <v>927</v>
      </c>
      <c r="AA1786" s="372">
        <v>3409.6187771</v>
      </c>
      <c r="AB1786" s="372">
        <v>4161.8192838000004</v>
      </c>
      <c r="AC1786" s="372">
        <v>4626.0161458000002</v>
      </c>
      <c r="AD1786" s="372">
        <v>6077.1457843999997</v>
      </c>
      <c r="AE1786" s="372">
        <v>0</v>
      </c>
      <c r="AF1786" s="372">
        <v>0</v>
      </c>
      <c r="AG1786" s="372">
        <v>0</v>
      </c>
      <c r="AH1786" s="372">
        <v>0</v>
      </c>
    </row>
    <row r="1787" spans="1:34">
      <c r="A1787" s="372" t="s">
        <v>11682</v>
      </c>
      <c r="B1787" s="373" t="s">
        <v>11683</v>
      </c>
      <c r="C1787" s="372" t="s">
        <v>11684</v>
      </c>
      <c r="D1787" s="374">
        <v>1311110043271</v>
      </c>
      <c r="E1787" s="372" t="s">
        <v>11685</v>
      </c>
      <c r="F1787" s="375" t="s">
        <v>3121</v>
      </c>
      <c r="G1787" s="375" t="s">
        <v>3121</v>
      </c>
      <c r="H1787" s="375" t="s">
        <v>861</v>
      </c>
      <c r="I1787" s="375" t="s">
        <v>862</v>
      </c>
      <c r="J1787" s="375">
        <v>80973.787509999995</v>
      </c>
      <c r="K1787" s="375">
        <v>1659.9835700000001</v>
      </c>
      <c r="L1787" s="375">
        <v>1559.7871500000001</v>
      </c>
      <c r="M1787" s="375">
        <v>56637.909149999999</v>
      </c>
      <c r="N1787" s="372">
        <v>0.55600000000000005</v>
      </c>
      <c r="O1787" s="704">
        <v>6.2354515526302698</v>
      </c>
      <c r="P1787" s="375" t="s">
        <v>622</v>
      </c>
      <c r="Q1787" s="372" t="s">
        <v>622</v>
      </c>
      <c r="R1787" s="696">
        <v>20070912</v>
      </c>
      <c r="S1787" s="372" t="s">
        <v>11686</v>
      </c>
      <c r="T1787" s="697">
        <v>0.20900000000000002</v>
      </c>
      <c r="U1787" s="372" t="s">
        <v>11687</v>
      </c>
      <c r="V1787" s="723">
        <v>16.02</v>
      </c>
      <c r="W1787" s="723">
        <v>0.96</v>
      </c>
      <c r="X1787" s="723">
        <v>0.83</v>
      </c>
      <c r="Y1787" s="723">
        <v>45.38</v>
      </c>
      <c r="Z1787" s="382" t="s">
        <v>927</v>
      </c>
      <c r="AA1787" s="372">
        <v>394.17241999999999</v>
      </c>
      <c r="AB1787" s="372">
        <v>474.683449</v>
      </c>
      <c r="AC1787" s="372">
        <v>591.76828809999995</v>
      </c>
      <c r="AD1787" s="372">
        <v>779.83771830000001</v>
      </c>
      <c r="AE1787" s="372">
        <v>810</v>
      </c>
      <c r="AF1787" s="372">
        <v>0</v>
      </c>
      <c r="AG1787" s="372">
        <v>0</v>
      </c>
      <c r="AH1787" s="372">
        <v>0</v>
      </c>
    </row>
    <row r="1788" spans="1:34">
      <c r="A1788" s="372" t="s">
        <v>11688</v>
      </c>
      <c r="B1788" s="373" t="s">
        <v>11689</v>
      </c>
      <c r="C1788" s="372" t="s">
        <v>11690</v>
      </c>
      <c r="D1788" s="374">
        <v>1101110233629</v>
      </c>
      <c r="E1788" s="372" t="s">
        <v>11691</v>
      </c>
      <c r="F1788" s="372" t="s">
        <v>1323</v>
      </c>
      <c r="G1788" s="375" t="s">
        <v>16106</v>
      </c>
      <c r="H1788" s="375" t="s">
        <v>861</v>
      </c>
      <c r="I1788" s="375" t="s">
        <v>862</v>
      </c>
      <c r="J1788" s="375">
        <v>111030.09742999999</v>
      </c>
      <c r="K1788" s="375">
        <v>7489.7956599999998</v>
      </c>
      <c r="L1788" s="375">
        <v>35223.917800000003</v>
      </c>
      <c r="M1788" s="375">
        <v>118023.45793999999</v>
      </c>
      <c r="N1788" s="372">
        <v>0.55400000000000005</v>
      </c>
      <c r="O1788" s="704">
        <v>127.56598821513512</v>
      </c>
      <c r="P1788" s="375" t="s">
        <v>622</v>
      </c>
      <c r="Q1788" s="372" t="s">
        <v>622</v>
      </c>
      <c r="R1788" s="696">
        <v>20000725</v>
      </c>
      <c r="S1788" s="375" t="s">
        <v>11692</v>
      </c>
      <c r="T1788" s="697">
        <v>0.23100000000000001</v>
      </c>
      <c r="U1788" s="372" t="s">
        <v>11693</v>
      </c>
      <c r="V1788" s="723">
        <v>0</v>
      </c>
      <c r="W1788" s="723">
        <v>0</v>
      </c>
      <c r="X1788" s="723">
        <v>0</v>
      </c>
      <c r="Y1788" s="723">
        <v>0</v>
      </c>
      <c r="Z1788" s="382" t="s">
        <v>927</v>
      </c>
      <c r="AA1788" s="372">
        <v>495.24777180000001</v>
      </c>
      <c r="AB1788" s="372">
        <v>628.39163129999997</v>
      </c>
      <c r="AC1788" s="372">
        <v>762.64203329999998</v>
      </c>
      <c r="AD1788" s="372">
        <v>941.1113795</v>
      </c>
      <c r="AE1788" s="372">
        <v>0</v>
      </c>
      <c r="AF1788" s="372">
        <v>0</v>
      </c>
      <c r="AG1788" s="372">
        <v>0</v>
      </c>
      <c r="AH1788" s="372">
        <v>0</v>
      </c>
    </row>
    <row r="1789" spans="1:34">
      <c r="A1789" s="372" t="s">
        <v>11694</v>
      </c>
      <c r="B1789" s="373" t="s">
        <v>11695</v>
      </c>
      <c r="C1789" s="372" t="s">
        <v>11696</v>
      </c>
      <c r="D1789" s="374">
        <v>1243110030413</v>
      </c>
      <c r="E1789" s="372" t="s">
        <v>11697</v>
      </c>
      <c r="F1789" s="375" t="s">
        <v>2184</v>
      </c>
      <c r="G1789" s="375" t="s">
        <v>2185</v>
      </c>
      <c r="H1789" s="375" t="s">
        <v>2056</v>
      </c>
      <c r="I1789" s="375" t="s">
        <v>754</v>
      </c>
      <c r="J1789" s="375">
        <v>19907.63104</v>
      </c>
      <c r="K1789" s="375">
        <v>-8784.1099599999998</v>
      </c>
      <c r="L1789" s="375">
        <v>-13021.64633</v>
      </c>
      <c r="M1789" s="375">
        <v>82249.112659999999</v>
      </c>
      <c r="N1789" s="372">
        <v>0.56100000000000005</v>
      </c>
      <c r="O1789" s="704">
        <v>39.684247688761431</v>
      </c>
      <c r="P1789" s="375" t="s">
        <v>622</v>
      </c>
      <c r="Q1789" s="375" t="s">
        <v>622</v>
      </c>
      <c r="R1789" s="696">
        <v>19961122</v>
      </c>
      <c r="S1789" s="375" t="s">
        <v>11698</v>
      </c>
      <c r="T1789" s="697" t="s">
        <v>771</v>
      </c>
      <c r="U1789" s="372" t="s">
        <v>11699</v>
      </c>
      <c r="V1789" s="723" t="s">
        <v>773</v>
      </c>
      <c r="W1789" s="723">
        <v>0.49</v>
      </c>
      <c r="X1789" s="723">
        <v>2.0699999999999998</v>
      </c>
      <c r="Y1789" s="723" t="s">
        <v>773</v>
      </c>
      <c r="Z1789" s="382" t="s">
        <v>927</v>
      </c>
      <c r="AA1789" s="372">
        <v>415.6038173</v>
      </c>
      <c r="AB1789" s="372">
        <v>483.38413639999999</v>
      </c>
      <c r="AC1789" s="372">
        <v>561.71983499999999</v>
      </c>
      <c r="AD1789" s="372">
        <v>217.39463480000001</v>
      </c>
      <c r="AE1789" s="372">
        <v>0</v>
      </c>
      <c r="AF1789" s="372">
        <v>0</v>
      </c>
      <c r="AG1789" s="372">
        <v>0</v>
      </c>
      <c r="AH1789" s="372">
        <v>0</v>
      </c>
    </row>
    <row r="1790" spans="1:34">
      <c r="A1790" s="372" t="s">
        <v>11700</v>
      </c>
      <c r="B1790" s="373" t="s">
        <v>11701</v>
      </c>
      <c r="C1790" s="372" t="s">
        <v>11702</v>
      </c>
      <c r="D1790" s="374">
        <v>1101116178564</v>
      </c>
      <c r="E1790" s="372" t="s">
        <v>11703</v>
      </c>
      <c r="F1790" s="375" t="s">
        <v>1962</v>
      </c>
      <c r="G1790" s="375" t="s">
        <v>1962</v>
      </c>
      <c r="H1790" s="375" t="s">
        <v>861</v>
      </c>
      <c r="I1790" s="375" t="s">
        <v>862</v>
      </c>
      <c r="J1790" s="375">
        <v>44001.64733</v>
      </c>
      <c r="K1790" s="375">
        <v>2100.7628399999999</v>
      </c>
      <c r="L1790" s="375">
        <v>1575.1623400000001</v>
      </c>
      <c r="M1790" s="375">
        <v>28425.003000000001</v>
      </c>
      <c r="N1790" s="372">
        <v>1.2450000000000001</v>
      </c>
      <c r="O1790" s="704">
        <v>5.7713116332799412</v>
      </c>
      <c r="P1790" s="375" t="s">
        <v>622</v>
      </c>
      <c r="Q1790" s="372" t="s">
        <v>622</v>
      </c>
      <c r="R1790" s="696">
        <v>20161202</v>
      </c>
      <c r="S1790" s="375" t="s">
        <v>11704</v>
      </c>
      <c r="T1790" s="697">
        <v>0.20900000000000002</v>
      </c>
      <c r="U1790" s="372" t="s">
        <v>11705</v>
      </c>
      <c r="V1790" s="723">
        <v>20.43</v>
      </c>
      <c r="W1790" s="723">
        <v>2.2599999999999998</v>
      </c>
      <c r="X1790" s="723">
        <v>1.46</v>
      </c>
      <c r="Y1790" s="723">
        <v>37.86</v>
      </c>
      <c r="Z1790" s="382" t="s">
        <v>927</v>
      </c>
      <c r="AA1790" s="372">
        <v>122.75481739999999</v>
      </c>
      <c r="AB1790" s="372">
        <v>160.7404324</v>
      </c>
      <c r="AC1790" s="372">
        <v>223.22811530000001</v>
      </c>
      <c r="AD1790" s="372">
        <v>287.08310770000003</v>
      </c>
      <c r="AE1790" s="372">
        <v>0</v>
      </c>
      <c r="AF1790" s="372">
        <v>0</v>
      </c>
      <c r="AG1790" s="372">
        <v>0</v>
      </c>
      <c r="AH1790" s="372">
        <v>0</v>
      </c>
    </row>
    <row r="1791" spans="1:34">
      <c r="A1791" s="372" t="s">
        <v>11706</v>
      </c>
      <c r="B1791" s="373" t="s">
        <v>11707</v>
      </c>
      <c r="C1791" s="372" t="s">
        <v>11708</v>
      </c>
      <c r="D1791" s="374">
        <v>1101111927958</v>
      </c>
      <c r="E1791" s="372" t="s">
        <v>11709</v>
      </c>
      <c r="F1791" s="372" t="s">
        <v>975</v>
      </c>
      <c r="G1791" s="375" t="s">
        <v>976</v>
      </c>
      <c r="H1791" s="375" t="s">
        <v>1337</v>
      </c>
      <c r="I1791" s="375" t="s">
        <v>862</v>
      </c>
      <c r="J1791" s="375">
        <v>171051.23993000001</v>
      </c>
      <c r="K1791" s="375">
        <v>17119.829689999999</v>
      </c>
      <c r="L1791" s="375">
        <v>20281.541969999998</v>
      </c>
      <c r="M1791" s="375">
        <v>104652.40978</v>
      </c>
      <c r="N1791" s="372">
        <v>0.55800000000000005</v>
      </c>
      <c r="O1791" s="704">
        <v>6.0835300716677969E-2</v>
      </c>
      <c r="P1791" s="375" t="s">
        <v>622</v>
      </c>
      <c r="Q1791" s="372" t="s">
        <v>622</v>
      </c>
      <c r="R1791" s="696">
        <v>20020108</v>
      </c>
      <c r="S1791" s="372" t="s">
        <v>11710</v>
      </c>
      <c r="T1791" s="697">
        <v>0.23100000000000001</v>
      </c>
      <c r="U1791" s="372" t="s">
        <v>11711</v>
      </c>
      <c r="V1791" s="723">
        <v>5.14</v>
      </c>
      <c r="W1791" s="723">
        <v>0.78</v>
      </c>
      <c r="X1791" s="723">
        <v>0.53</v>
      </c>
      <c r="Y1791" s="723">
        <v>5.73</v>
      </c>
      <c r="Z1791" s="382" t="s">
        <v>927</v>
      </c>
      <c r="AA1791" s="372">
        <v>1494.6091606</v>
      </c>
      <c r="AB1791" s="372">
        <v>2147.8384483</v>
      </c>
      <c r="AC1791" s="372">
        <v>2040.0374824</v>
      </c>
      <c r="AD1791" s="372">
        <v>2176.9938244</v>
      </c>
      <c r="AE1791" s="372">
        <v>3050</v>
      </c>
      <c r="AF1791" s="372">
        <v>3813</v>
      </c>
      <c r="AG1791" s="372">
        <v>0</v>
      </c>
      <c r="AH1791" s="372">
        <v>0</v>
      </c>
    </row>
    <row r="1792" spans="1:34">
      <c r="A1792" s="372" t="s">
        <v>11712</v>
      </c>
      <c r="B1792" s="373" t="s">
        <v>11713</v>
      </c>
      <c r="C1792" s="372" t="s">
        <v>11714</v>
      </c>
      <c r="D1792" s="374">
        <v>1101113891169</v>
      </c>
      <c r="E1792" s="372" t="s">
        <v>11715</v>
      </c>
      <c r="F1792" s="375" t="s">
        <v>5278</v>
      </c>
      <c r="G1792" s="375" t="s">
        <v>5278</v>
      </c>
      <c r="H1792" s="375" t="s">
        <v>1539</v>
      </c>
      <c r="I1792" s="375" t="s">
        <v>754</v>
      </c>
      <c r="J1792" s="375">
        <v>88177.608699999997</v>
      </c>
      <c r="K1792" s="375">
        <v>-1711.6675</v>
      </c>
      <c r="L1792" s="375">
        <v>-24953.165209999999</v>
      </c>
      <c r="M1792" s="375">
        <v>100563.19379</v>
      </c>
      <c r="N1792" s="372">
        <v>0.53600000000000003</v>
      </c>
      <c r="O1792" s="704">
        <v>20.279935163325639</v>
      </c>
      <c r="P1792" s="375" t="s">
        <v>16115</v>
      </c>
      <c r="Q1792" s="372" t="s">
        <v>622</v>
      </c>
      <c r="R1792" s="696">
        <v>20080610</v>
      </c>
      <c r="S1792" s="372">
        <v>0</v>
      </c>
      <c r="T1792" s="697" t="s">
        <v>771</v>
      </c>
      <c r="U1792" s="372" t="s">
        <v>11716</v>
      </c>
      <c r="V1792" s="723" t="s">
        <v>773</v>
      </c>
      <c r="W1792" s="723">
        <v>0.7</v>
      </c>
      <c r="X1792" s="723">
        <v>0.8</v>
      </c>
      <c r="Y1792" s="723" t="s">
        <v>773</v>
      </c>
      <c r="Z1792" s="382" t="s">
        <v>927</v>
      </c>
      <c r="AA1792" s="372">
        <v>972.35967089999997</v>
      </c>
      <c r="AB1792" s="372">
        <v>970.09199390000003</v>
      </c>
      <c r="AC1792" s="372">
        <v>1032.7497191</v>
      </c>
      <c r="AD1792" s="372">
        <v>947.37530949999996</v>
      </c>
      <c r="AE1792" s="372">
        <v>0</v>
      </c>
      <c r="AF1792" s="372">
        <v>0</v>
      </c>
      <c r="AG1792" s="372">
        <v>0</v>
      </c>
      <c r="AH1792" s="372">
        <v>0</v>
      </c>
    </row>
    <row r="1793" spans="1:34">
      <c r="A1793" s="372" t="s">
        <v>11717</v>
      </c>
      <c r="B1793" s="373" t="s">
        <v>11718</v>
      </c>
      <c r="C1793" s="372" t="s">
        <v>11719</v>
      </c>
      <c r="D1793" s="374">
        <v>1101111877103</v>
      </c>
      <c r="E1793" s="372" t="s">
        <v>11720</v>
      </c>
      <c r="F1793" s="372" t="s">
        <v>4266</v>
      </c>
      <c r="G1793" s="375" t="s">
        <v>4267</v>
      </c>
      <c r="H1793" s="375" t="s">
        <v>1337</v>
      </c>
      <c r="I1793" s="375" t="s">
        <v>862</v>
      </c>
      <c r="J1793" s="375">
        <v>24508.127779999999</v>
      </c>
      <c r="K1793" s="375">
        <v>8254.4953800000003</v>
      </c>
      <c r="L1793" s="375">
        <v>9207.6679700000004</v>
      </c>
      <c r="M1793" s="375">
        <v>111550.09867000001</v>
      </c>
      <c r="N1793" s="372">
        <v>0.76100000000000001</v>
      </c>
      <c r="O1793" s="704">
        <v>1.1278654705597015</v>
      </c>
      <c r="P1793" s="375" t="s">
        <v>622</v>
      </c>
      <c r="Q1793" s="372" t="s">
        <v>622</v>
      </c>
      <c r="R1793" s="696">
        <v>20100209</v>
      </c>
      <c r="S1793" s="372" t="s">
        <v>11721</v>
      </c>
      <c r="T1793" s="697">
        <v>0.20900000000000002</v>
      </c>
      <c r="U1793" s="372" t="s">
        <v>11722</v>
      </c>
      <c r="V1793" s="723">
        <v>7.19</v>
      </c>
      <c r="W1793" s="723">
        <v>0.49</v>
      </c>
      <c r="X1793" s="723">
        <v>2.72</v>
      </c>
      <c r="Y1793" s="723">
        <v>8.4499999999999993</v>
      </c>
      <c r="Z1793" s="382" t="s">
        <v>927</v>
      </c>
      <c r="AA1793" s="372">
        <v>191.600854</v>
      </c>
      <c r="AB1793" s="372">
        <v>194.8573633</v>
      </c>
      <c r="AC1793" s="372">
        <v>209.0570913</v>
      </c>
      <c r="AD1793" s="372">
        <v>227.91114590000001</v>
      </c>
      <c r="AE1793" s="372">
        <v>0</v>
      </c>
      <c r="AF1793" s="372">
        <v>0</v>
      </c>
      <c r="AG1793" s="372">
        <v>0</v>
      </c>
      <c r="AH1793" s="372">
        <v>0</v>
      </c>
    </row>
    <row r="1794" spans="1:34">
      <c r="A1794" s="372" t="s">
        <v>11723</v>
      </c>
      <c r="B1794" s="373" t="s">
        <v>11724</v>
      </c>
      <c r="C1794" s="372" t="s">
        <v>11725</v>
      </c>
      <c r="D1794" s="374">
        <v>1615110028766</v>
      </c>
      <c r="E1794" s="372" t="s">
        <v>11726</v>
      </c>
      <c r="F1794" s="375" t="s">
        <v>2222</v>
      </c>
      <c r="G1794" s="375" t="s">
        <v>2222</v>
      </c>
      <c r="H1794" s="375" t="s">
        <v>861</v>
      </c>
      <c r="I1794" s="375" t="s">
        <v>862</v>
      </c>
      <c r="J1794" s="375">
        <v>106435.54274</v>
      </c>
      <c r="K1794" s="375">
        <v>17864.494019999998</v>
      </c>
      <c r="L1794" s="375">
        <v>18911.536609999999</v>
      </c>
      <c r="M1794" s="375">
        <v>62463.779190000001</v>
      </c>
      <c r="N1794" s="372">
        <v>0.73699999999999999</v>
      </c>
      <c r="O1794" s="704">
        <v>0.30963371467697098</v>
      </c>
      <c r="P1794" s="375" t="s">
        <v>622</v>
      </c>
      <c r="Q1794" s="375" t="s">
        <v>622</v>
      </c>
      <c r="R1794" s="696">
        <v>20161229</v>
      </c>
      <c r="S1794" s="375" t="s">
        <v>11727</v>
      </c>
      <c r="T1794" s="697">
        <v>0.20900000000000002</v>
      </c>
      <c r="U1794" s="372" t="s">
        <v>11728</v>
      </c>
      <c r="V1794" s="723">
        <v>0</v>
      </c>
      <c r="W1794" s="723">
        <v>0</v>
      </c>
      <c r="X1794" s="723">
        <v>0</v>
      </c>
      <c r="Y1794" s="723">
        <v>0</v>
      </c>
      <c r="Z1794" s="382" t="s">
        <v>927</v>
      </c>
      <c r="AA1794" s="372">
        <v>565.37326849999999</v>
      </c>
      <c r="AB1794" s="372">
        <v>614.01611130000003</v>
      </c>
      <c r="AC1794" s="372">
        <v>733.17425400000002</v>
      </c>
      <c r="AD1794" s="372">
        <v>882.75911459999998</v>
      </c>
      <c r="AE1794" s="372">
        <v>0</v>
      </c>
      <c r="AF1794" s="372">
        <v>0</v>
      </c>
      <c r="AG1794" s="372">
        <v>0</v>
      </c>
      <c r="AH1794" s="372">
        <v>0</v>
      </c>
    </row>
    <row r="1795" spans="1:34">
      <c r="A1795" s="372" t="s">
        <v>11729</v>
      </c>
      <c r="B1795" s="373" t="s">
        <v>11730</v>
      </c>
      <c r="C1795" s="372" t="s">
        <v>11731</v>
      </c>
      <c r="D1795" s="374">
        <v>1301110010932</v>
      </c>
      <c r="E1795" s="372" t="s">
        <v>11732</v>
      </c>
      <c r="F1795" s="375" t="s">
        <v>845</v>
      </c>
      <c r="G1795" s="375" t="s">
        <v>845</v>
      </c>
      <c r="H1795" s="375" t="s">
        <v>3099</v>
      </c>
      <c r="I1795" s="375" t="s">
        <v>862</v>
      </c>
      <c r="J1795" s="375">
        <v>33312.293530000003</v>
      </c>
      <c r="K1795" s="375">
        <v>-9879.9992000000002</v>
      </c>
      <c r="L1795" s="375">
        <v>-21920.377560000001</v>
      </c>
      <c r="M1795" s="375">
        <v>99937.097899999993</v>
      </c>
      <c r="N1795" s="372">
        <v>1.107</v>
      </c>
      <c r="O1795" s="704">
        <v>59.045949280069053</v>
      </c>
      <c r="P1795" s="375" t="s">
        <v>622</v>
      </c>
      <c r="Q1795" s="372" t="s">
        <v>622</v>
      </c>
      <c r="R1795" s="696">
        <v>20030103</v>
      </c>
      <c r="S1795" s="372" t="s">
        <v>11733</v>
      </c>
      <c r="T1795" s="697" t="s">
        <v>771</v>
      </c>
      <c r="U1795" s="372" t="s">
        <v>11734</v>
      </c>
      <c r="V1795" s="723" t="s">
        <v>773</v>
      </c>
      <c r="W1795" s="723">
        <v>0.53</v>
      </c>
      <c r="X1795" s="723">
        <v>1.62</v>
      </c>
      <c r="Y1795" s="723" t="s">
        <v>773</v>
      </c>
      <c r="Z1795" s="382" t="s">
        <v>927</v>
      </c>
      <c r="AA1795" s="372">
        <v>231.425915</v>
      </c>
      <c r="AB1795" s="372">
        <v>359.15264719999999</v>
      </c>
      <c r="AC1795" s="372">
        <v>412.85686229999999</v>
      </c>
      <c r="AD1795" s="372">
        <v>455.01203390000001</v>
      </c>
      <c r="AE1795" s="372">
        <v>0</v>
      </c>
      <c r="AF1795" s="372">
        <v>0</v>
      </c>
      <c r="AG1795" s="372">
        <v>0</v>
      </c>
      <c r="AH1795" s="372">
        <v>0</v>
      </c>
    </row>
    <row r="1796" spans="1:34">
      <c r="A1796" s="372" t="s">
        <v>11735</v>
      </c>
      <c r="B1796" s="373" t="s">
        <v>11736</v>
      </c>
      <c r="C1796" s="372" t="s">
        <v>11737</v>
      </c>
      <c r="D1796" s="374">
        <v>1801110028042</v>
      </c>
      <c r="E1796" s="372" t="s">
        <v>11738</v>
      </c>
      <c r="F1796" s="375" t="s">
        <v>10614</v>
      </c>
      <c r="G1796" s="375" t="s">
        <v>10614</v>
      </c>
      <c r="H1796" s="375" t="s">
        <v>861</v>
      </c>
      <c r="I1796" s="375" t="s">
        <v>862</v>
      </c>
      <c r="J1796" s="375">
        <v>61275.313139999998</v>
      </c>
      <c r="K1796" s="375">
        <v>625.45726000000002</v>
      </c>
      <c r="L1796" s="375">
        <v>389.23081000000002</v>
      </c>
      <c r="M1796" s="375">
        <v>36116.749530000001</v>
      </c>
      <c r="N1796" s="372">
        <v>1.105</v>
      </c>
      <c r="O1796" s="704">
        <v>119.89699976458323</v>
      </c>
      <c r="P1796" s="375" t="s">
        <v>622</v>
      </c>
      <c r="Q1796" s="372" t="s">
        <v>622</v>
      </c>
      <c r="R1796" s="696">
        <v>20071217</v>
      </c>
      <c r="S1796" s="372" t="s">
        <v>11739</v>
      </c>
      <c r="T1796" s="697">
        <v>0.20900000000000002</v>
      </c>
      <c r="U1796" s="372" t="s">
        <v>11740</v>
      </c>
      <c r="V1796" s="723">
        <v>77.36</v>
      </c>
      <c r="W1796" s="723">
        <v>1.9</v>
      </c>
      <c r="X1796" s="723">
        <v>1.03</v>
      </c>
      <c r="Y1796" s="723">
        <v>393.4</v>
      </c>
      <c r="Z1796" s="382" t="s">
        <v>927</v>
      </c>
      <c r="AA1796" s="372">
        <v>475.392763</v>
      </c>
      <c r="AB1796" s="372">
        <v>492.34175329999999</v>
      </c>
      <c r="AC1796" s="372">
        <v>527.56099359999996</v>
      </c>
      <c r="AD1796" s="372">
        <v>717.15102820000004</v>
      </c>
      <c r="AE1796" s="372">
        <v>0</v>
      </c>
      <c r="AF1796" s="372">
        <v>0</v>
      </c>
      <c r="AG1796" s="372">
        <v>0</v>
      </c>
      <c r="AH1796" s="372">
        <v>0</v>
      </c>
    </row>
    <row r="1797" spans="1:34">
      <c r="A1797" s="372" t="s">
        <v>11741</v>
      </c>
      <c r="B1797" s="373" t="s">
        <v>11742</v>
      </c>
      <c r="C1797" s="372" t="s">
        <v>11743</v>
      </c>
      <c r="D1797" s="374">
        <v>1101110570442</v>
      </c>
      <c r="E1797" s="372" t="s">
        <v>11744</v>
      </c>
      <c r="F1797" s="375" t="s">
        <v>3548</v>
      </c>
      <c r="G1797" s="375" t="s">
        <v>3548</v>
      </c>
      <c r="H1797" s="375" t="s">
        <v>1337</v>
      </c>
      <c r="I1797" s="375" t="s">
        <v>862</v>
      </c>
      <c r="J1797" s="375">
        <v>59549.12945</v>
      </c>
      <c r="K1797" s="375">
        <v>-1407.0289499999999</v>
      </c>
      <c r="L1797" s="375">
        <v>-5618.07953</v>
      </c>
      <c r="M1797" s="375">
        <v>66983.301529999997</v>
      </c>
      <c r="N1797" s="372">
        <v>1.08</v>
      </c>
      <c r="O1797" s="704">
        <v>55.195599362652445</v>
      </c>
      <c r="P1797" s="375" t="s">
        <v>622</v>
      </c>
      <c r="Q1797" s="372" t="s">
        <v>622</v>
      </c>
      <c r="R1797" s="696">
        <v>19970718</v>
      </c>
      <c r="S1797" s="372" t="s">
        <v>11745</v>
      </c>
      <c r="T1797" s="697" t="s">
        <v>771</v>
      </c>
      <c r="U1797" s="372" t="s">
        <v>11746</v>
      </c>
      <c r="V1797" s="723">
        <v>122.71</v>
      </c>
      <c r="W1797" s="723">
        <v>0.95</v>
      </c>
      <c r="X1797" s="723">
        <v>0.87</v>
      </c>
      <c r="Y1797" s="723" t="s">
        <v>773</v>
      </c>
      <c r="Z1797" s="382" t="s">
        <v>927</v>
      </c>
      <c r="AA1797" s="372">
        <v>713.05107659999999</v>
      </c>
      <c r="AB1797" s="372">
        <v>925.00127099999997</v>
      </c>
      <c r="AC1797" s="372">
        <v>733.73050120000005</v>
      </c>
      <c r="AD1797" s="372">
        <v>610.85045070000001</v>
      </c>
      <c r="AE1797" s="372">
        <v>0</v>
      </c>
      <c r="AF1797" s="372">
        <v>0</v>
      </c>
      <c r="AG1797" s="372">
        <v>0</v>
      </c>
      <c r="AH1797" s="372">
        <v>0</v>
      </c>
    </row>
    <row r="1798" spans="1:34">
      <c r="A1798" s="372" t="s">
        <v>11747</v>
      </c>
      <c r="B1798" s="373" t="s">
        <v>11748</v>
      </c>
      <c r="C1798" s="372" t="s">
        <v>11749</v>
      </c>
      <c r="D1798" s="374">
        <v>1101110030116</v>
      </c>
      <c r="E1798" s="372" t="s">
        <v>11750</v>
      </c>
      <c r="F1798" s="375" t="s">
        <v>1249</v>
      </c>
      <c r="G1798" s="375" t="s">
        <v>1249</v>
      </c>
      <c r="H1798" s="375" t="s">
        <v>784</v>
      </c>
      <c r="I1798" s="375" t="s">
        <v>754</v>
      </c>
      <c r="J1798" s="375">
        <v>0</v>
      </c>
      <c r="K1798" s="375">
        <v>0</v>
      </c>
      <c r="L1798" s="375">
        <v>0</v>
      </c>
      <c r="M1798" s="375">
        <v>0</v>
      </c>
      <c r="N1798" s="372">
        <v>0.72299999999999998</v>
      </c>
      <c r="O1798" s="704" t="s">
        <v>16301</v>
      </c>
      <c r="P1798" s="375" t="s">
        <v>622</v>
      </c>
      <c r="Q1798" s="375" t="s">
        <v>622</v>
      </c>
      <c r="R1798" s="696">
        <v>19761228</v>
      </c>
      <c r="S1798" s="375" t="s">
        <v>11751</v>
      </c>
      <c r="T1798" s="697" t="s">
        <v>771</v>
      </c>
      <c r="U1798" s="372" t="s">
        <v>11752</v>
      </c>
      <c r="V1798" s="723">
        <v>0</v>
      </c>
      <c r="W1798" s="723">
        <v>0</v>
      </c>
      <c r="X1798" s="723">
        <v>0</v>
      </c>
      <c r="Y1798" s="723">
        <v>0</v>
      </c>
      <c r="Z1798" s="382" t="s">
        <v>927</v>
      </c>
      <c r="AA1798" s="372">
        <v>520.20405170000004</v>
      </c>
      <c r="AB1798" s="372">
        <v>262.76462470000001</v>
      </c>
      <c r="AC1798" s="372">
        <v>288.1902814</v>
      </c>
      <c r="AD1798" s="372">
        <v>280.05127320000003</v>
      </c>
      <c r="AE1798" s="372">
        <v>0</v>
      </c>
      <c r="AF1798" s="372">
        <v>0</v>
      </c>
      <c r="AG1798" s="372">
        <v>0</v>
      </c>
      <c r="AH1798" s="372">
        <v>0</v>
      </c>
    </row>
    <row r="1799" spans="1:34">
      <c r="A1799" s="372" t="s">
        <v>11753</v>
      </c>
      <c r="B1799" s="373" t="s">
        <v>11754</v>
      </c>
      <c r="C1799" s="372" t="s">
        <v>11755</v>
      </c>
      <c r="D1799" s="374">
        <v>1615110041619</v>
      </c>
      <c r="E1799" s="372" t="s">
        <v>11756</v>
      </c>
      <c r="F1799" s="375" t="s">
        <v>2281</v>
      </c>
      <c r="G1799" s="375" t="s">
        <v>5096</v>
      </c>
      <c r="H1799" s="375" t="s">
        <v>861</v>
      </c>
      <c r="I1799" s="375" t="s">
        <v>862</v>
      </c>
      <c r="J1799" s="375">
        <v>0</v>
      </c>
      <c r="K1799" s="375">
        <v>0</v>
      </c>
      <c r="L1799" s="375">
        <v>0</v>
      </c>
      <c r="M1799" s="375">
        <v>44376.357000000004</v>
      </c>
      <c r="N1799" s="372">
        <v>0.69599999999999995</v>
      </c>
      <c r="O1799" s="704">
        <v>0.39755897318764821</v>
      </c>
      <c r="P1799" s="375" t="s">
        <v>622</v>
      </c>
      <c r="Q1799" s="375" t="s">
        <v>622</v>
      </c>
      <c r="R1799" s="696">
        <v>20190801</v>
      </c>
      <c r="S1799" s="375" t="s">
        <v>11757</v>
      </c>
      <c r="T1799" s="697" t="s">
        <v>771</v>
      </c>
      <c r="U1799" s="372" t="s">
        <v>11758</v>
      </c>
      <c r="V1799" s="723">
        <v>0</v>
      </c>
      <c r="W1799" s="723">
        <v>1.23</v>
      </c>
      <c r="X1799" s="723">
        <v>0</v>
      </c>
      <c r="Y1799" s="723">
        <v>0</v>
      </c>
      <c r="Z1799" s="382" t="s">
        <v>927</v>
      </c>
      <c r="AA1799" s="372">
        <v>197.87710799999999</v>
      </c>
      <c r="AB1799" s="372">
        <v>272.01365650000002</v>
      </c>
      <c r="AC1799" s="372">
        <v>243.46169029999999</v>
      </c>
      <c r="AD1799" s="372">
        <v>215.89233479999999</v>
      </c>
      <c r="AE1799" s="372">
        <v>0</v>
      </c>
      <c r="AF1799" s="372">
        <v>0</v>
      </c>
      <c r="AG1799" s="372">
        <v>0</v>
      </c>
      <c r="AH1799" s="372">
        <v>0</v>
      </c>
    </row>
    <row r="1800" spans="1:34">
      <c r="A1800" s="372" t="s">
        <v>11759</v>
      </c>
      <c r="B1800" s="373" t="s">
        <v>11760</v>
      </c>
      <c r="C1800" s="372" t="s">
        <v>11761</v>
      </c>
      <c r="D1800" s="374">
        <v>1101112427098</v>
      </c>
      <c r="E1800" s="372" t="s">
        <v>11762</v>
      </c>
      <c r="F1800" s="372" t="s">
        <v>6364</v>
      </c>
      <c r="G1800" s="375" t="s">
        <v>6364</v>
      </c>
      <c r="H1800" s="375" t="s">
        <v>817</v>
      </c>
      <c r="I1800" s="375" t="s">
        <v>754</v>
      </c>
      <c r="J1800" s="375">
        <v>243463.02652000001</v>
      </c>
      <c r="K1800" s="375">
        <v>1508.8478500000001</v>
      </c>
      <c r="L1800" s="375">
        <v>-4653.6575999999995</v>
      </c>
      <c r="M1800" s="375">
        <v>171900.43917</v>
      </c>
      <c r="N1800" s="372">
        <v>0.61</v>
      </c>
      <c r="O1800" s="704">
        <v>230.54428899730479</v>
      </c>
      <c r="P1800" s="375" t="s">
        <v>622</v>
      </c>
      <c r="Q1800" s="372" t="s">
        <v>622</v>
      </c>
      <c r="R1800" s="696">
        <v>20080630</v>
      </c>
      <c r="S1800" s="372" t="s">
        <v>11763</v>
      </c>
      <c r="T1800" s="697" t="s">
        <v>771</v>
      </c>
      <c r="U1800" s="372" t="s">
        <v>11764</v>
      </c>
      <c r="V1800" s="723">
        <v>17.5</v>
      </c>
      <c r="W1800" s="723">
        <v>0.35</v>
      </c>
      <c r="X1800" s="723">
        <v>0.27</v>
      </c>
      <c r="Y1800" s="723" t="s">
        <v>773</v>
      </c>
      <c r="Z1800" s="382" t="s">
        <v>927</v>
      </c>
      <c r="AA1800" s="372">
        <v>1723.1376964999999</v>
      </c>
      <c r="AB1800" s="372">
        <v>2155.7381389000002</v>
      </c>
      <c r="AC1800" s="372">
        <v>2530.2863929</v>
      </c>
      <c r="AD1800" s="372">
        <v>2523.7139167</v>
      </c>
      <c r="AE1800" s="372">
        <v>0</v>
      </c>
      <c r="AF1800" s="372">
        <v>0</v>
      </c>
      <c r="AG1800" s="372">
        <v>0</v>
      </c>
      <c r="AH1800" s="372">
        <v>0</v>
      </c>
    </row>
    <row r="1801" spans="1:34">
      <c r="A1801" s="372" t="s">
        <v>11765</v>
      </c>
      <c r="B1801" s="373" t="s">
        <v>11766</v>
      </c>
      <c r="C1801" s="372" t="s">
        <v>11767</v>
      </c>
      <c r="D1801" s="374">
        <v>1101110414302</v>
      </c>
      <c r="E1801" s="372" t="s">
        <v>11768</v>
      </c>
      <c r="F1801" s="375" t="s">
        <v>1276</v>
      </c>
      <c r="G1801" s="375" t="s">
        <v>16109</v>
      </c>
      <c r="H1801" s="375" t="s">
        <v>861</v>
      </c>
      <c r="I1801" s="375" t="s">
        <v>862</v>
      </c>
      <c r="J1801" s="375">
        <v>478791.93044000003</v>
      </c>
      <c r="K1801" s="375">
        <v>10217.29522</v>
      </c>
      <c r="L1801" s="375">
        <v>13608.653630000001</v>
      </c>
      <c r="M1801" s="375">
        <v>144446.24590000001</v>
      </c>
      <c r="N1801" s="372">
        <v>0.46899999999999997</v>
      </c>
      <c r="O1801" s="704">
        <v>84.30621773832479</v>
      </c>
      <c r="P1801" s="375" t="s">
        <v>622</v>
      </c>
      <c r="Q1801" s="372" t="s">
        <v>622</v>
      </c>
      <c r="R1801" s="696">
        <v>20000620</v>
      </c>
      <c r="S1801" s="372" t="s">
        <v>11769</v>
      </c>
      <c r="T1801" s="697">
        <v>0.20900000000000002</v>
      </c>
      <c r="U1801" s="372" t="s">
        <v>11770</v>
      </c>
      <c r="V1801" s="723">
        <v>8.6999999999999993</v>
      </c>
      <c r="W1801" s="723">
        <v>0.71</v>
      </c>
      <c r="X1801" s="723">
        <v>0.18</v>
      </c>
      <c r="Y1801" s="723">
        <v>12.05</v>
      </c>
      <c r="Z1801" s="382" t="s">
        <v>927</v>
      </c>
      <c r="AA1801" s="372">
        <v>1664.2878444</v>
      </c>
      <c r="AB1801" s="372">
        <v>1891.8302504999999</v>
      </c>
      <c r="AC1801" s="372">
        <v>3918.2177003000002</v>
      </c>
      <c r="AD1801" s="372">
        <v>4561.6444052999996</v>
      </c>
      <c r="AE1801" s="372">
        <v>0</v>
      </c>
      <c r="AF1801" s="372">
        <v>0</v>
      </c>
      <c r="AG1801" s="372">
        <v>0</v>
      </c>
      <c r="AH1801" s="372">
        <v>0</v>
      </c>
    </row>
    <row r="1802" spans="1:34">
      <c r="A1802" s="372" t="s">
        <v>11771</v>
      </c>
      <c r="B1802" s="373" t="s">
        <v>11772</v>
      </c>
      <c r="C1802" s="372" t="s">
        <v>11773</v>
      </c>
      <c r="D1802" s="374">
        <v>1801110157643</v>
      </c>
      <c r="E1802" s="372" t="s">
        <v>11774</v>
      </c>
      <c r="F1802" s="375" t="s">
        <v>7044</v>
      </c>
      <c r="G1802" s="375" t="s">
        <v>8267</v>
      </c>
      <c r="H1802" s="375" t="s">
        <v>861</v>
      </c>
      <c r="I1802" s="375" t="s">
        <v>862</v>
      </c>
      <c r="J1802" s="375">
        <v>31513.307209999999</v>
      </c>
      <c r="K1802" s="375">
        <v>354.13247000000001</v>
      </c>
      <c r="L1802" s="375">
        <v>-23163.963830000001</v>
      </c>
      <c r="M1802" s="375">
        <v>59200.700559999997</v>
      </c>
      <c r="N1802" s="372">
        <v>0.50600000000000001</v>
      </c>
      <c r="O1802" s="704">
        <v>31.921881682127633</v>
      </c>
      <c r="P1802" s="375" t="s">
        <v>16115</v>
      </c>
      <c r="Q1802" s="372" t="s">
        <v>16116</v>
      </c>
      <c r="R1802" s="696">
        <v>20010116</v>
      </c>
      <c r="S1802" s="372" t="s">
        <v>11775</v>
      </c>
      <c r="T1802" s="697" t="s">
        <v>771</v>
      </c>
      <c r="U1802" s="372" t="s">
        <v>11776</v>
      </c>
      <c r="V1802" s="723">
        <v>0</v>
      </c>
      <c r="W1802" s="723">
        <v>0</v>
      </c>
      <c r="X1802" s="723">
        <v>0</v>
      </c>
      <c r="Y1802" s="723">
        <v>0</v>
      </c>
      <c r="Z1802" s="382" t="s">
        <v>927</v>
      </c>
      <c r="AA1802" s="372">
        <v>344.50302060000001</v>
      </c>
      <c r="AB1802" s="372">
        <v>314.62800110000001</v>
      </c>
      <c r="AC1802" s="372">
        <v>307.21020809999999</v>
      </c>
      <c r="AD1802" s="372">
        <v>297.08323389999998</v>
      </c>
      <c r="AE1802" s="372">
        <v>0</v>
      </c>
      <c r="AF1802" s="372">
        <v>0</v>
      </c>
      <c r="AG1802" s="372">
        <v>0</v>
      </c>
      <c r="AH1802" s="372">
        <v>0</v>
      </c>
    </row>
    <row r="1803" spans="1:34">
      <c r="A1803" s="372" t="s">
        <v>11777</v>
      </c>
      <c r="B1803" s="373" t="s">
        <v>11778</v>
      </c>
      <c r="C1803" s="372" t="s">
        <v>11779</v>
      </c>
      <c r="D1803" s="374">
        <v>1348110000563</v>
      </c>
      <c r="E1803" s="372" t="s">
        <v>11780</v>
      </c>
      <c r="F1803" s="375" t="s">
        <v>5625</v>
      </c>
      <c r="G1803" s="375" t="s">
        <v>5625</v>
      </c>
      <c r="H1803" s="375" t="s">
        <v>753</v>
      </c>
      <c r="I1803" s="375" t="s">
        <v>754</v>
      </c>
      <c r="J1803" s="375">
        <v>37690.970710000001</v>
      </c>
      <c r="K1803" s="375">
        <v>-6470.77621</v>
      </c>
      <c r="L1803" s="375">
        <v>-7822.6602499999999</v>
      </c>
      <c r="M1803" s="375">
        <v>22348.192490000001</v>
      </c>
      <c r="N1803" s="372">
        <v>0.54700000000000004</v>
      </c>
      <c r="O1803" s="704">
        <v>52.310390864696501</v>
      </c>
      <c r="P1803" s="375" t="s">
        <v>622</v>
      </c>
      <c r="Q1803" s="372" t="s">
        <v>622</v>
      </c>
      <c r="R1803" s="696">
        <v>19870525</v>
      </c>
      <c r="S1803" s="372" t="s">
        <v>11781</v>
      </c>
      <c r="T1803" s="697" t="s">
        <v>771</v>
      </c>
      <c r="U1803" s="372" t="s">
        <v>11782</v>
      </c>
      <c r="V1803" s="723" t="s">
        <v>773</v>
      </c>
      <c r="W1803" s="723">
        <v>2.97</v>
      </c>
      <c r="X1803" s="723">
        <v>1.36</v>
      </c>
      <c r="Y1803" s="723" t="s">
        <v>773</v>
      </c>
      <c r="Z1803" s="382" t="s">
        <v>927</v>
      </c>
      <c r="AA1803" s="372">
        <v>401.16152080000001</v>
      </c>
      <c r="AB1803" s="372">
        <v>443.42176389999997</v>
      </c>
      <c r="AC1803" s="372">
        <v>483.26219520000001</v>
      </c>
      <c r="AD1803" s="372">
        <v>419.06999630000001</v>
      </c>
      <c r="AE1803" s="372">
        <v>0</v>
      </c>
      <c r="AF1803" s="372">
        <v>0</v>
      </c>
      <c r="AG1803" s="372">
        <v>0</v>
      </c>
      <c r="AH1803" s="372">
        <v>0</v>
      </c>
    </row>
    <row r="1804" spans="1:34">
      <c r="A1804" s="372" t="s">
        <v>11783</v>
      </c>
      <c r="B1804" s="373" t="s">
        <v>11784</v>
      </c>
      <c r="C1804" s="372" t="s">
        <v>11785</v>
      </c>
      <c r="D1804" s="374">
        <v>1101110017411</v>
      </c>
      <c r="E1804" s="372" t="s">
        <v>11786</v>
      </c>
      <c r="F1804" s="375" t="s">
        <v>1384</v>
      </c>
      <c r="G1804" s="375" t="s">
        <v>1385</v>
      </c>
      <c r="H1804" s="375" t="s">
        <v>1386</v>
      </c>
      <c r="I1804" s="375" t="s">
        <v>754</v>
      </c>
      <c r="J1804" s="375">
        <v>519684.37654000003</v>
      </c>
      <c r="K1804" s="375">
        <v>13708.804099999999</v>
      </c>
      <c r="L1804" s="375">
        <v>11703.755209999999</v>
      </c>
      <c r="M1804" s="375">
        <v>119577.93106</v>
      </c>
      <c r="N1804" s="372">
        <v>0.90100000000000002</v>
      </c>
      <c r="O1804" s="704">
        <v>59.894798837325148</v>
      </c>
      <c r="P1804" s="375" t="s">
        <v>622</v>
      </c>
      <c r="Q1804" s="372" t="s">
        <v>622</v>
      </c>
      <c r="R1804" s="696">
        <v>19761228</v>
      </c>
      <c r="S1804" s="375" t="s">
        <v>11787</v>
      </c>
      <c r="T1804" s="697">
        <v>0.20900000000000002</v>
      </c>
      <c r="U1804" s="375" t="s">
        <v>11788</v>
      </c>
      <c r="V1804" s="723">
        <v>4.76</v>
      </c>
      <c r="W1804" s="723">
        <v>0.52</v>
      </c>
      <c r="X1804" s="723">
        <v>0.12</v>
      </c>
      <c r="Y1804" s="723">
        <v>5.67</v>
      </c>
      <c r="Z1804" s="382" t="s">
        <v>927</v>
      </c>
      <c r="AA1804" s="372">
        <v>2379.6150014</v>
      </c>
      <c r="AB1804" s="372">
        <v>3567.4001969000001</v>
      </c>
      <c r="AC1804" s="372">
        <v>4503.7945233</v>
      </c>
      <c r="AD1804" s="372">
        <v>5476.8354722000004</v>
      </c>
      <c r="AE1804" s="372">
        <v>0</v>
      </c>
      <c r="AF1804" s="372">
        <v>0</v>
      </c>
      <c r="AG1804" s="372">
        <v>0</v>
      </c>
      <c r="AH1804" s="372">
        <v>0</v>
      </c>
    </row>
    <row r="1805" spans="1:34">
      <c r="A1805" s="372" t="s">
        <v>11789</v>
      </c>
      <c r="B1805" s="373" t="s">
        <v>11790</v>
      </c>
      <c r="C1805" s="372" t="s">
        <v>16034</v>
      </c>
      <c r="D1805" s="374">
        <v>1101111511834</v>
      </c>
      <c r="E1805" s="372" t="s">
        <v>15936</v>
      </c>
      <c r="F1805" s="375" t="s">
        <v>845</v>
      </c>
      <c r="G1805" s="375" t="s">
        <v>845</v>
      </c>
      <c r="H1805" s="375" t="s">
        <v>3099</v>
      </c>
      <c r="I1805" s="375" t="s">
        <v>862</v>
      </c>
      <c r="J1805" s="375">
        <v>16027.85678</v>
      </c>
      <c r="K1805" s="375">
        <v>1121.30414</v>
      </c>
      <c r="L1805" s="375">
        <v>19660.645909999999</v>
      </c>
      <c r="M1805" s="375">
        <v>324299.52402999997</v>
      </c>
      <c r="N1805" s="372">
        <v>0.54</v>
      </c>
      <c r="O1805" s="704">
        <v>27.351496245011948</v>
      </c>
      <c r="P1805" s="375" t="s">
        <v>622</v>
      </c>
      <c r="Q1805" s="372" t="s">
        <v>622</v>
      </c>
      <c r="R1805" s="696">
        <v>20091113</v>
      </c>
      <c r="S1805" s="372" t="s">
        <v>11791</v>
      </c>
      <c r="T1805" s="697">
        <v>0.20900000000000002</v>
      </c>
      <c r="U1805" s="372" t="s">
        <v>11792</v>
      </c>
      <c r="V1805" s="723">
        <v>38.93</v>
      </c>
      <c r="W1805" s="723">
        <v>0.19</v>
      </c>
      <c r="X1805" s="723">
        <v>3.5</v>
      </c>
      <c r="Y1805" s="723">
        <v>3.48</v>
      </c>
      <c r="Z1805" s="382" t="s">
        <v>927</v>
      </c>
      <c r="AA1805" s="372">
        <v>103.1878347</v>
      </c>
      <c r="AB1805" s="372">
        <v>84.163132899999994</v>
      </c>
      <c r="AC1805" s="372">
        <v>95.979951600000007</v>
      </c>
      <c r="AD1805" s="372">
        <v>160.06600520000001</v>
      </c>
      <c r="AE1805" s="372">
        <v>0</v>
      </c>
      <c r="AF1805" s="372">
        <v>0</v>
      </c>
      <c r="AG1805" s="372">
        <v>0</v>
      </c>
      <c r="AH1805" s="372">
        <v>0</v>
      </c>
    </row>
    <row r="1806" spans="1:34">
      <c r="A1806" s="372" t="s">
        <v>11793</v>
      </c>
      <c r="B1806" s="373" t="s">
        <v>11794</v>
      </c>
      <c r="C1806" s="372" t="s">
        <v>11795</v>
      </c>
      <c r="D1806" s="374">
        <v>1311110251048</v>
      </c>
      <c r="E1806" s="372" t="s">
        <v>11796</v>
      </c>
      <c r="F1806" s="375" t="s">
        <v>1696</v>
      </c>
      <c r="G1806" s="375" t="s">
        <v>1696</v>
      </c>
      <c r="H1806" s="375" t="s">
        <v>1337</v>
      </c>
      <c r="I1806" s="375" t="s">
        <v>862</v>
      </c>
      <c r="J1806" s="375">
        <v>38051.828390000002</v>
      </c>
      <c r="K1806" s="375">
        <v>4002.4545899999998</v>
      </c>
      <c r="L1806" s="375">
        <v>5465.8458199999995</v>
      </c>
      <c r="M1806" s="375">
        <v>84557.730599999995</v>
      </c>
      <c r="N1806" s="372">
        <v>1.288</v>
      </c>
      <c r="O1806" s="704">
        <v>3.515664598162247</v>
      </c>
      <c r="P1806" s="375" t="s">
        <v>622</v>
      </c>
      <c r="Q1806" s="375" t="s">
        <v>622</v>
      </c>
      <c r="R1806" s="696">
        <v>20200312</v>
      </c>
      <c r="S1806" s="375" t="s">
        <v>11797</v>
      </c>
      <c r="T1806" s="697">
        <v>0.20900000000000002</v>
      </c>
      <c r="U1806" s="372" t="s">
        <v>11798</v>
      </c>
      <c r="V1806" s="723">
        <v>0</v>
      </c>
      <c r="W1806" s="723">
        <v>0</v>
      </c>
      <c r="X1806" s="723">
        <v>0</v>
      </c>
      <c r="Y1806" s="723">
        <v>0</v>
      </c>
      <c r="Z1806" s="382" t="s">
        <v>927</v>
      </c>
      <c r="AA1806" s="372">
        <v>293.06229209999998</v>
      </c>
      <c r="AB1806" s="372">
        <v>346.80497539999999</v>
      </c>
      <c r="AC1806" s="372">
        <v>439.52147280000003</v>
      </c>
      <c r="AD1806" s="372">
        <v>372.55650159999999</v>
      </c>
      <c r="AE1806" s="372">
        <v>0</v>
      </c>
      <c r="AF1806" s="372">
        <v>0</v>
      </c>
      <c r="AG1806" s="372">
        <v>0</v>
      </c>
      <c r="AH1806" s="372">
        <v>0</v>
      </c>
    </row>
    <row r="1807" spans="1:34">
      <c r="A1807" s="372" t="s">
        <v>11799</v>
      </c>
      <c r="B1807" s="373" t="s">
        <v>11800</v>
      </c>
      <c r="C1807" s="372" t="s">
        <v>11801</v>
      </c>
      <c r="D1807" s="374">
        <v>1101115478626</v>
      </c>
      <c r="E1807" s="372" t="s">
        <v>11802</v>
      </c>
      <c r="F1807" s="372" t="s">
        <v>1569</v>
      </c>
      <c r="G1807" s="375" t="s">
        <v>1569</v>
      </c>
      <c r="H1807" s="375" t="s">
        <v>3099</v>
      </c>
      <c r="I1807" s="375" t="s">
        <v>862</v>
      </c>
      <c r="J1807" s="375">
        <v>24900.200949999999</v>
      </c>
      <c r="K1807" s="375">
        <v>-2530.9139500000001</v>
      </c>
      <c r="L1807" s="375">
        <v>-3449.0677300000002</v>
      </c>
      <c r="M1807" s="375">
        <v>19581.287660000002</v>
      </c>
      <c r="N1807" s="372">
        <v>0.60699999999999998</v>
      </c>
      <c r="O1807" s="704">
        <v>17.906731982760601</v>
      </c>
      <c r="P1807" s="375" t="s">
        <v>622</v>
      </c>
      <c r="Q1807" s="372" t="s">
        <v>622</v>
      </c>
      <c r="R1807" s="696">
        <v>20141120</v>
      </c>
      <c r="S1807" s="372" t="s">
        <v>11803</v>
      </c>
      <c r="T1807" s="697" t="s">
        <v>771</v>
      </c>
      <c r="U1807" s="372" t="s">
        <v>11804</v>
      </c>
      <c r="V1807" s="723" t="s">
        <v>773</v>
      </c>
      <c r="W1807" s="723">
        <v>4.51</v>
      </c>
      <c r="X1807" s="723">
        <v>3.27</v>
      </c>
      <c r="Y1807" s="723" t="s">
        <v>773</v>
      </c>
      <c r="Z1807" s="382" t="s">
        <v>927</v>
      </c>
      <c r="AA1807" s="372">
        <v>119.8820789</v>
      </c>
      <c r="AB1807" s="372">
        <v>124.25741410000001</v>
      </c>
      <c r="AC1807" s="372">
        <v>167.2850297</v>
      </c>
      <c r="AD1807" s="372">
        <v>260.33025359999999</v>
      </c>
      <c r="AE1807" s="372">
        <v>0</v>
      </c>
      <c r="AF1807" s="372">
        <v>0</v>
      </c>
      <c r="AG1807" s="372">
        <v>0</v>
      </c>
      <c r="AH1807" s="372">
        <v>0</v>
      </c>
    </row>
    <row r="1808" spans="1:34">
      <c r="A1808" s="372" t="s">
        <v>11805</v>
      </c>
      <c r="B1808" s="373" t="s">
        <v>11806</v>
      </c>
      <c r="C1808" s="372" t="s">
        <v>11807</v>
      </c>
      <c r="D1808" s="374">
        <v>1341110003462</v>
      </c>
      <c r="E1808" s="372" t="s">
        <v>11808</v>
      </c>
      <c r="F1808" s="375" t="s">
        <v>8672</v>
      </c>
      <c r="G1808" s="375" t="s">
        <v>8828</v>
      </c>
      <c r="H1808" s="375" t="s">
        <v>1043</v>
      </c>
      <c r="I1808" s="375" t="s">
        <v>754</v>
      </c>
      <c r="J1808" s="375">
        <v>163450.81005999999</v>
      </c>
      <c r="K1808" s="375">
        <v>10023.964400000001</v>
      </c>
      <c r="L1808" s="375">
        <v>8963.6093799999999</v>
      </c>
      <c r="M1808" s="375">
        <v>111878.35845</v>
      </c>
      <c r="N1808" s="372">
        <v>0.60399999999999998</v>
      </c>
      <c r="O1808" s="704">
        <v>118.25233870428586</v>
      </c>
      <c r="P1808" s="375" t="s">
        <v>622</v>
      </c>
      <c r="Q1808" s="372" t="s">
        <v>622</v>
      </c>
      <c r="R1808" s="696">
        <v>19760528</v>
      </c>
      <c r="S1808" s="372" t="s">
        <v>11809</v>
      </c>
      <c r="T1808" s="697">
        <v>0.20900000000000002</v>
      </c>
      <c r="U1808" s="372" t="s">
        <v>11810</v>
      </c>
      <c r="V1808" s="723">
        <v>6</v>
      </c>
      <c r="W1808" s="723">
        <v>0.56999999999999995</v>
      </c>
      <c r="X1808" s="723">
        <v>0.42</v>
      </c>
      <c r="Y1808" s="723">
        <v>11.26</v>
      </c>
      <c r="Z1808" s="382" t="s">
        <v>927</v>
      </c>
      <c r="AA1808" s="372">
        <v>1402.6904952</v>
      </c>
      <c r="AB1808" s="372">
        <v>1499.4517228</v>
      </c>
      <c r="AC1808" s="372">
        <v>1544.4784628</v>
      </c>
      <c r="AD1808" s="372">
        <v>1579.0356608</v>
      </c>
      <c r="AE1808" s="372">
        <v>0</v>
      </c>
      <c r="AF1808" s="372">
        <v>0</v>
      </c>
      <c r="AG1808" s="372">
        <v>0</v>
      </c>
      <c r="AH1808" s="372">
        <v>0</v>
      </c>
    </row>
    <row r="1809" spans="1:34">
      <c r="A1809" s="372" t="s">
        <v>11811</v>
      </c>
      <c r="B1809" s="373" t="s">
        <v>11812</v>
      </c>
      <c r="C1809" s="372" t="s">
        <v>11813</v>
      </c>
      <c r="D1809" s="374">
        <v>1101112539322</v>
      </c>
      <c r="E1809" s="372" t="s">
        <v>11814</v>
      </c>
      <c r="F1809" s="375" t="s">
        <v>1370</v>
      </c>
      <c r="G1809" s="375" t="s">
        <v>1370</v>
      </c>
      <c r="H1809" s="375" t="s">
        <v>861</v>
      </c>
      <c r="I1809" s="375" t="s">
        <v>862</v>
      </c>
      <c r="J1809" s="375">
        <v>52444.603020000002</v>
      </c>
      <c r="K1809" s="375">
        <v>-750.08858999999995</v>
      </c>
      <c r="L1809" s="375">
        <v>-6462.4021000000002</v>
      </c>
      <c r="M1809" s="375">
        <v>67131.916230000003</v>
      </c>
      <c r="N1809" s="372">
        <v>1.073</v>
      </c>
      <c r="O1809" s="704">
        <v>10.302100686945339</v>
      </c>
      <c r="P1809" s="375" t="s">
        <v>622</v>
      </c>
      <c r="Q1809" s="372" t="s">
        <v>622</v>
      </c>
      <c r="R1809" s="696">
        <v>20091006</v>
      </c>
      <c r="S1809" s="372" t="s">
        <v>11815</v>
      </c>
      <c r="T1809" s="697" t="s">
        <v>771</v>
      </c>
      <c r="U1809" s="372" t="s">
        <v>11816</v>
      </c>
      <c r="V1809" s="723">
        <v>0</v>
      </c>
      <c r="W1809" s="723">
        <v>0</v>
      </c>
      <c r="X1809" s="723">
        <v>0</v>
      </c>
      <c r="Y1809" s="723">
        <v>0</v>
      </c>
      <c r="Z1809" s="382" t="s">
        <v>927</v>
      </c>
      <c r="AA1809" s="372">
        <v>687.20426010000006</v>
      </c>
      <c r="AB1809" s="372">
        <v>649.54327969999997</v>
      </c>
      <c r="AC1809" s="372">
        <v>658.45522200000005</v>
      </c>
      <c r="AD1809" s="372">
        <v>568.43263260000003</v>
      </c>
      <c r="AE1809" s="372">
        <v>0</v>
      </c>
      <c r="AF1809" s="372">
        <v>0</v>
      </c>
      <c r="AG1809" s="372">
        <v>0</v>
      </c>
      <c r="AH1809" s="372">
        <v>0</v>
      </c>
    </row>
    <row r="1810" spans="1:34">
      <c r="A1810" s="372" t="s">
        <v>11817</v>
      </c>
      <c r="B1810" s="373" t="s">
        <v>11818</v>
      </c>
      <c r="C1810" s="372" t="s">
        <v>11819</v>
      </c>
      <c r="D1810" s="374">
        <v>1601110012742</v>
      </c>
      <c r="E1810" s="372" t="s">
        <v>11820</v>
      </c>
      <c r="F1810" s="375" t="s">
        <v>10983</v>
      </c>
      <c r="G1810" s="375" t="s">
        <v>10983</v>
      </c>
      <c r="H1810" s="375" t="s">
        <v>826</v>
      </c>
      <c r="I1810" s="375" t="s">
        <v>754</v>
      </c>
      <c r="J1810" s="375">
        <v>110274.0481</v>
      </c>
      <c r="K1810" s="375">
        <v>18860.826690000002</v>
      </c>
      <c r="L1810" s="375">
        <v>22770.34129</v>
      </c>
      <c r="M1810" s="375">
        <v>175952.91873999999</v>
      </c>
      <c r="N1810" s="372">
        <v>0.71499999999999997</v>
      </c>
      <c r="O1810" s="704">
        <v>0.46691920999962239</v>
      </c>
      <c r="P1810" s="375" t="s">
        <v>622</v>
      </c>
      <c r="Q1810" s="372" t="s">
        <v>622</v>
      </c>
      <c r="R1810" s="696">
        <v>19970827</v>
      </c>
      <c r="S1810" s="372" t="s">
        <v>11821</v>
      </c>
      <c r="T1810" s="697">
        <v>0.23100000000000001</v>
      </c>
      <c r="U1810" s="372" t="s">
        <v>11822</v>
      </c>
      <c r="V1810" s="723">
        <v>2.54</v>
      </c>
      <c r="W1810" s="723">
        <v>0.39</v>
      </c>
      <c r="X1810" s="723">
        <v>0.62</v>
      </c>
      <c r="Y1810" s="723">
        <v>3.75</v>
      </c>
      <c r="Z1810" s="382" t="s">
        <v>927</v>
      </c>
      <c r="AA1810" s="372">
        <v>1073.6855347999999</v>
      </c>
      <c r="AB1810" s="372">
        <v>768.03020289999995</v>
      </c>
      <c r="AC1810" s="372">
        <v>829.88929789999997</v>
      </c>
      <c r="AD1810" s="372">
        <v>902.790299</v>
      </c>
      <c r="AE1810" s="372">
        <v>0</v>
      </c>
      <c r="AF1810" s="372">
        <v>0</v>
      </c>
      <c r="AG1810" s="372">
        <v>0</v>
      </c>
      <c r="AH1810" s="372">
        <v>0</v>
      </c>
    </row>
    <row r="1811" spans="1:34">
      <c r="A1811" s="372" t="s">
        <v>11823</v>
      </c>
      <c r="B1811" s="373" t="s">
        <v>11824</v>
      </c>
      <c r="C1811" s="372" t="s">
        <v>11825</v>
      </c>
      <c r="D1811" s="374">
        <v>1942110000034</v>
      </c>
      <c r="E1811" s="372" t="s">
        <v>11826</v>
      </c>
      <c r="F1811" s="375" t="s">
        <v>1863</v>
      </c>
      <c r="G1811" s="375" t="s">
        <v>1864</v>
      </c>
      <c r="H1811" s="375" t="s">
        <v>792</v>
      </c>
      <c r="I1811" s="375" t="s">
        <v>754</v>
      </c>
      <c r="J1811" s="375">
        <v>116395.08296</v>
      </c>
      <c r="K1811" s="375">
        <v>5373.2181399999999</v>
      </c>
      <c r="L1811" s="375">
        <v>14680.121429999999</v>
      </c>
      <c r="M1811" s="375">
        <v>280472.51001999999</v>
      </c>
      <c r="N1811" s="372">
        <v>0.73099999999999998</v>
      </c>
      <c r="O1811" s="704">
        <v>2.6071642396660848</v>
      </c>
      <c r="P1811" s="375" t="s">
        <v>622</v>
      </c>
      <c r="Q1811" s="372" t="s">
        <v>622</v>
      </c>
      <c r="R1811" s="696">
        <v>19871128</v>
      </c>
      <c r="S1811" s="372" t="s">
        <v>11827</v>
      </c>
      <c r="T1811" s="697">
        <v>0.20900000000000002</v>
      </c>
      <c r="U1811" s="372" t="s">
        <v>11828</v>
      </c>
      <c r="V1811" s="723">
        <v>12.12</v>
      </c>
      <c r="W1811" s="723">
        <v>0.36</v>
      </c>
      <c r="X1811" s="723">
        <v>0.86</v>
      </c>
      <c r="Y1811" s="723">
        <v>8.9600000000000009</v>
      </c>
      <c r="Z1811" s="382" t="s">
        <v>927</v>
      </c>
      <c r="AA1811" s="372">
        <v>637.68468959999996</v>
      </c>
      <c r="AB1811" s="372">
        <v>795.78435149999996</v>
      </c>
      <c r="AC1811" s="372">
        <v>957.45353969999996</v>
      </c>
      <c r="AD1811" s="372">
        <v>1258.9083694999999</v>
      </c>
      <c r="AE1811" s="372">
        <v>0</v>
      </c>
      <c r="AF1811" s="372">
        <v>0</v>
      </c>
      <c r="AG1811" s="372">
        <v>0</v>
      </c>
      <c r="AH1811" s="372">
        <v>0</v>
      </c>
    </row>
    <row r="1812" spans="1:34">
      <c r="A1812" s="372" t="s">
        <v>11829</v>
      </c>
      <c r="B1812" s="373" t="s">
        <v>11830</v>
      </c>
      <c r="C1812" s="372" t="s">
        <v>11831</v>
      </c>
      <c r="D1812" s="374">
        <v>1101114401438</v>
      </c>
      <c r="E1812" s="372" t="s">
        <v>11832</v>
      </c>
      <c r="F1812" s="372" t="s">
        <v>1370</v>
      </c>
      <c r="G1812" s="375" t="s">
        <v>1370</v>
      </c>
      <c r="H1812" s="375" t="s">
        <v>861</v>
      </c>
      <c r="I1812" s="375" t="s">
        <v>862</v>
      </c>
      <c r="J1812" s="375">
        <v>7824.23398</v>
      </c>
      <c r="K1812" s="375">
        <v>-6823.6657400000004</v>
      </c>
      <c r="L1812" s="375">
        <v>-6752.0022499999995</v>
      </c>
      <c r="M1812" s="375">
        <v>9917.7150700000002</v>
      </c>
      <c r="N1812" s="372">
        <v>1.1679999999999999</v>
      </c>
      <c r="O1812" s="704">
        <v>2.9119440142657984</v>
      </c>
      <c r="P1812" s="375" t="s">
        <v>622</v>
      </c>
      <c r="Q1812" s="372" t="s">
        <v>622</v>
      </c>
      <c r="R1812" s="696">
        <v>20131224</v>
      </c>
      <c r="S1812" s="372" t="s">
        <v>11833</v>
      </c>
      <c r="T1812" s="697" t="s">
        <v>771</v>
      </c>
      <c r="U1812" s="372" t="s">
        <v>11834</v>
      </c>
      <c r="V1812" s="723" t="s">
        <v>773</v>
      </c>
      <c r="W1812" s="723">
        <v>4.2699999999999996</v>
      </c>
      <c r="X1812" s="723">
        <v>5.41</v>
      </c>
      <c r="Y1812" s="723" t="s">
        <v>773</v>
      </c>
      <c r="Z1812" s="382" t="s">
        <v>927</v>
      </c>
      <c r="AA1812" s="372">
        <v>111.6220938</v>
      </c>
      <c r="AB1812" s="372">
        <v>57.778757400000003</v>
      </c>
      <c r="AC1812" s="372">
        <v>98.969263900000001</v>
      </c>
      <c r="AD1812" s="372">
        <v>36.634384500000003</v>
      </c>
      <c r="AE1812" s="372">
        <v>0</v>
      </c>
      <c r="AF1812" s="372">
        <v>0</v>
      </c>
      <c r="AG1812" s="372">
        <v>0</v>
      </c>
      <c r="AH1812" s="372">
        <v>0</v>
      </c>
    </row>
    <row r="1813" spans="1:34">
      <c r="A1813" s="372" t="s">
        <v>11835</v>
      </c>
      <c r="B1813" s="373" t="s">
        <v>11836</v>
      </c>
      <c r="C1813" s="372" t="s">
        <v>11837</v>
      </c>
      <c r="D1813" s="374">
        <v>1746110001179</v>
      </c>
      <c r="E1813" s="372" t="s">
        <v>11838</v>
      </c>
      <c r="F1813" s="375" t="s">
        <v>1576</v>
      </c>
      <c r="G1813" s="375" t="s">
        <v>1577</v>
      </c>
      <c r="H1813" s="375" t="s">
        <v>861</v>
      </c>
      <c r="I1813" s="375" t="s">
        <v>862</v>
      </c>
      <c r="J1813" s="375">
        <v>225588.44485</v>
      </c>
      <c r="K1813" s="375">
        <v>27815.478080000001</v>
      </c>
      <c r="L1813" s="375">
        <v>28820.161550000001</v>
      </c>
      <c r="M1813" s="375">
        <v>129110.63496</v>
      </c>
      <c r="N1813" s="372">
        <v>1.042</v>
      </c>
      <c r="O1813" s="704">
        <v>27.049847103026924</v>
      </c>
      <c r="P1813" s="375" t="s">
        <v>622</v>
      </c>
      <c r="Q1813" s="372" t="s">
        <v>622</v>
      </c>
      <c r="R1813" s="696">
        <v>20000107</v>
      </c>
      <c r="S1813" s="372" t="s">
        <v>11839</v>
      </c>
      <c r="T1813" s="697">
        <v>0.23100000000000001</v>
      </c>
      <c r="U1813" s="372" t="s">
        <v>11840</v>
      </c>
      <c r="V1813" s="723">
        <v>2.0299999999999998</v>
      </c>
      <c r="W1813" s="723">
        <v>0.49</v>
      </c>
      <c r="X1813" s="723">
        <v>0.28000000000000003</v>
      </c>
      <c r="Y1813" s="723">
        <v>2.91</v>
      </c>
      <c r="Z1813" s="382" t="s">
        <v>927</v>
      </c>
      <c r="AA1813" s="372">
        <v>1360.5245672000001</v>
      </c>
      <c r="AB1813" s="372">
        <v>1793.2775999999999</v>
      </c>
      <c r="AC1813" s="372">
        <v>2156.3795200999998</v>
      </c>
      <c r="AD1813" s="372">
        <v>2676.4119627</v>
      </c>
      <c r="AE1813" s="372">
        <v>0</v>
      </c>
      <c r="AF1813" s="372">
        <v>0</v>
      </c>
      <c r="AG1813" s="372">
        <v>0</v>
      </c>
      <c r="AH1813" s="372">
        <v>0</v>
      </c>
    </row>
    <row r="1814" spans="1:34">
      <c r="A1814" s="372" t="s">
        <v>11841</v>
      </c>
      <c r="B1814" s="373" t="s">
        <v>11842</v>
      </c>
      <c r="C1814" s="372" t="s">
        <v>11843</v>
      </c>
      <c r="D1814" s="374">
        <v>2001110002843</v>
      </c>
      <c r="E1814" s="372" t="s">
        <v>11844</v>
      </c>
      <c r="F1814" s="372" t="s">
        <v>2259</v>
      </c>
      <c r="G1814" s="375" t="s">
        <v>2259</v>
      </c>
      <c r="H1814" s="375" t="s">
        <v>4847</v>
      </c>
      <c r="I1814" s="375" t="s">
        <v>862</v>
      </c>
      <c r="J1814" s="375">
        <v>51748.899250000002</v>
      </c>
      <c r="K1814" s="375">
        <v>-5103.5319600000003</v>
      </c>
      <c r="L1814" s="375">
        <v>-22577.07588</v>
      </c>
      <c r="M1814" s="375">
        <v>166494.47375999999</v>
      </c>
      <c r="N1814" s="372">
        <v>0.47799999999999998</v>
      </c>
      <c r="O1814" s="704">
        <v>0</v>
      </c>
      <c r="P1814" s="375" t="s">
        <v>622</v>
      </c>
      <c r="Q1814" s="375" t="s">
        <v>622</v>
      </c>
      <c r="R1814" s="696">
        <v>20120131</v>
      </c>
      <c r="S1814" s="375" t="s">
        <v>11845</v>
      </c>
      <c r="T1814" s="697" t="s">
        <v>771</v>
      </c>
      <c r="U1814" s="372" t="s">
        <v>11846</v>
      </c>
      <c r="V1814" s="723" t="s">
        <v>773</v>
      </c>
      <c r="W1814" s="723">
        <v>0.31</v>
      </c>
      <c r="X1814" s="723">
        <v>0.95</v>
      </c>
      <c r="Y1814" s="723" t="s">
        <v>773</v>
      </c>
      <c r="Z1814" s="382" t="s">
        <v>927</v>
      </c>
      <c r="AA1814" s="372">
        <v>753.63631339999995</v>
      </c>
      <c r="AB1814" s="372">
        <v>1091.3961853999999</v>
      </c>
      <c r="AC1814" s="372">
        <v>907.91512379999995</v>
      </c>
      <c r="AD1814" s="372">
        <v>717.96422970000003</v>
      </c>
      <c r="AE1814" s="372">
        <v>0</v>
      </c>
      <c r="AF1814" s="372">
        <v>0</v>
      </c>
      <c r="AG1814" s="372">
        <v>0</v>
      </c>
      <c r="AH1814" s="372">
        <v>0</v>
      </c>
    </row>
    <row r="1815" spans="1:34">
      <c r="A1815" s="372" t="s">
        <v>11847</v>
      </c>
      <c r="B1815" s="373" t="s">
        <v>11848</v>
      </c>
      <c r="C1815" s="372" t="s">
        <v>11849</v>
      </c>
      <c r="D1815" s="374">
        <v>1101110795455</v>
      </c>
      <c r="E1815" s="372" t="s">
        <v>11850</v>
      </c>
      <c r="F1815" s="375" t="s">
        <v>11851</v>
      </c>
      <c r="G1815" s="375" t="s">
        <v>11851</v>
      </c>
      <c r="H1815" s="375" t="s">
        <v>861</v>
      </c>
      <c r="I1815" s="375" t="s">
        <v>862</v>
      </c>
      <c r="J1815" s="375">
        <v>926704.20605000004</v>
      </c>
      <c r="K1815" s="375">
        <v>-11780.6566</v>
      </c>
      <c r="L1815" s="375">
        <v>-22531.909210000002</v>
      </c>
      <c r="M1815" s="375">
        <v>156604.41763000001</v>
      </c>
      <c r="N1815" s="372">
        <v>0.64500000000000002</v>
      </c>
      <c r="O1815" s="704">
        <v>538.80407128518095</v>
      </c>
      <c r="P1815" s="375" t="s">
        <v>622</v>
      </c>
      <c r="Q1815" s="372" t="s">
        <v>622</v>
      </c>
      <c r="R1815" s="696">
        <v>20031112</v>
      </c>
      <c r="S1815" s="372" t="s">
        <v>11852</v>
      </c>
      <c r="T1815" s="697" t="s">
        <v>771</v>
      </c>
      <c r="U1815" s="372" t="s">
        <v>11853</v>
      </c>
      <c r="V1815" s="723" t="s">
        <v>773</v>
      </c>
      <c r="W1815" s="723">
        <v>0.42</v>
      </c>
      <c r="X1815" s="723">
        <v>0.06</v>
      </c>
      <c r="Y1815" s="723" t="s">
        <v>773</v>
      </c>
      <c r="Z1815" s="382" t="s">
        <v>927</v>
      </c>
      <c r="AA1815" s="372">
        <v>9256.9799896000004</v>
      </c>
      <c r="AB1815" s="372">
        <v>10176.1417592</v>
      </c>
      <c r="AC1815" s="372">
        <v>10194.698372299999</v>
      </c>
      <c r="AD1815" s="372">
        <v>9597.4678576999995</v>
      </c>
      <c r="AE1815" s="372">
        <v>0</v>
      </c>
      <c r="AF1815" s="372">
        <v>0</v>
      </c>
      <c r="AG1815" s="372">
        <v>0</v>
      </c>
      <c r="AH1815" s="372">
        <v>0</v>
      </c>
    </row>
    <row r="1816" spans="1:34">
      <c r="A1816" s="372" t="s">
        <v>11854</v>
      </c>
      <c r="B1816" s="373" t="s">
        <v>11855</v>
      </c>
      <c r="C1816" s="372" t="s">
        <v>11856</v>
      </c>
      <c r="D1816" s="374">
        <v>1101110059702</v>
      </c>
      <c r="E1816" s="372" t="s">
        <v>11857</v>
      </c>
      <c r="F1816" s="375" t="s">
        <v>2222</v>
      </c>
      <c r="G1816" s="375" t="s">
        <v>2222</v>
      </c>
      <c r="H1816" s="375" t="s">
        <v>1316</v>
      </c>
      <c r="I1816" s="375" t="s">
        <v>754</v>
      </c>
      <c r="J1816" s="375">
        <v>60064.308900000004</v>
      </c>
      <c r="K1816" s="375">
        <v>-630.74847</v>
      </c>
      <c r="L1816" s="375">
        <v>-1922.6278</v>
      </c>
      <c r="M1816" s="375">
        <v>24608.867999999999</v>
      </c>
      <c r="N1816" s="372">
        <v>0.63500000000000001</v>
      </c>
      <c r="O1816" s="704">
        <v>45.778431113076309</v>
      </c>
      <c r="P1816" s="375" t="s">
        <v>622</v>
      </c>
      <c r="Q1816" s="375" t="s">
        <v>622</v>
      </c>
      <c r="R1816" s="696">
        <v>19731228</v>
      </c>
      <c r="S1816" s="375" t="s">
        <v>11858</v>
      </c>
      <c r="T1816" s="697" t="s">
        <v>771</v>
      </c>
      <c r="U1816" s="372" t="s">
        <v>11859</v>
      </c>
      <c r="V1816" s="723">
        <v>0</v>
      </c>
      <c r="W1816" s="723">
        <v>0</v>
      </c>
      <c r="X1816" s="723">
        <v>0</v>
      </c>
      <c r="Y1816" s="723">
        <v>0</v>
      </c>
      <c r="Z1816" s="382" t="s">
        <v>927</v>
      </c>
      <c r="AA1816" s="372">
        <v>615.66333169999996</v>
      </c>
      <c r="AB1816" s="372">
        <v>552.97650650000003</v>
      </c>
      <c r="AC1816" s="372">
        <v>643.49405690000003</v>
      </c>
      <c r="AD1816" s="372">
        <v>647.84789660000001</v>
      </c>
      <c r="AE1816" s="372">
        <v>0</v>
      </c>
      <c r="AF1816" s="372">
        <v>0</v>
      </c>
      <c r="AG1816" s="372">
        <v>0</v>
      </c>
      <c r="AH1816" s="372">
        <v>0</v>
      </c>
    </row>
    <row r="1817" spans="1:34">
      <c r="A1817" s="372" t="s">
        <v>11860</v>
      </c>
      <c r="B1817" s="373" t="s">
        <v>11861</v>
      </c>
      <c r="C1817" s="372" t="s">
        <v>11862</v>
      </c>
      <c r="D1817" s="374">
        <v>1101110030413</v>
      </c>
      <c r="E1817" s="372" t="s">
        <v>11863</v>
      </c>
      <c r="F1817" s="375" t="s">
        <v>7814</v>
      </c>
      <c r="G1817" s="375" t="s">
        <v>11864</v>
      </c>
      <c r="H1817" s="375" t="s">
        <v>846</v>
      </c>
      <c r="I1817" s="375" t="s">
        <v>754</v>
      </c>
      <c r="J1817" s="375">
        <v>233658.56591</v>
      </c>
      <c r="K1817" s="375">
        <v>8316.6787199999999</v>
      </c>
      <c r="L1817" s="375">
        <v>9001.2680299999993</v>
      </c>
      <c r="M1817" s="375">
        <v>116557.41194999999</v>
      </c>
      <c r="N1817" s="372">
        <v>1.042</v>
      </c>
      <c r="O1817" s="704">
        <v>79.955436143881983</v>
      </c>
      <c r="P1817" s="375" t="s">
        <v>622</v>
      </c>
      <c r="Q1817" s="372" t="s">
        <v>622</v>
      </c>
      <c r="R1817" s="696">
        <v>19880920</v>
      </c>
      <c r="S1817" s="372" t="s">
        <v>11865</v>
      </c>
      <c r="T1817" s="697">
        <v>0.20900000000000002</v>
      </c>
      <c r="U1817" s="372" t="s">
        <v>11866</v>
      </c>
      <c r="V1817" s="723">
        <v>0</v>
      </c>
      <c r="W1817" s="723">
        <v>0</v>
      </c>
      <c r="X1817" s="723">
        <v>0</v>
      </c>
      <c r="Y1817" s="723">
        <v>0</v>
      </c>
      <c r="Z1817" s="382" t="s">
        <v>927</v>
      </c>
      <c r="AA1817" s="372">
        <v>2175.4094989</v>
      </c>
      <c r="AB1817" s="372">
        <v>2063.5570509999998</v>
      </c>
      <c r="AC1817" s="372">
        <v>1780.2952068</v>
      </c>
      <c r="AD1817" s="372">
        <v>2760.8069888999999</v>
      </c>
      <c r="AE1817" s="372">
        <v>0</v>
      </c>
      <c r="AF1817" s="372">
        <v>0</v>
      </c>
      <c r="AG1817" s="372">
        <v>0</v>
      </c>
      <c r="AH1817" s="372">
        <v>0</v>
      </c>
    </row>
    <row r="1818" spans="1:34">
      <c r="A1818" s="372" t="s">
        <v>11867</v>
      </c>
      <c r="B1818" s="373" t="s">
        <v>11868</v>
      </c>
      <c r="C1818" s="372" t="s">
        <v>11869</v>
      </c>
      <c r="D1818" s="374">
        <v>1101117525110</v>
      </c>
      <c r="E1818" s="372" t="s">
        <v>11870</v>
      </c>
      <c r="F1818" s="372" t="s">
        <v>2718</v>
      </c>
      <c r="G1818" s="375" t="s">
        <v>2718</v>
      </c>
      <c r="H1818" s="375" t="s">
        <v>1337</v>
      </c>
      <c r="I1818" s="375" t="s">
        <v>862</v>
      </c>
      <c r="J1818" s="375">
        <v>61218.637620000001</v>
      </c>
      <c r="K1818" s="375">
        <v>6911.26026</v>
      </c>
      <c r="L1818" s="375">
        <v>6304.94902</v>
      </c>
      <c r="M1818" s="375">
        <v>47001.792399999998</v>
      </c>
      <c r="N1818" s="372">
        <v>0.35499999999999998</v>
      </c>
      <c r="O1818" s="704">
        <v>6.6531643219308796</v>
      </c>
      <c r="P1818" s="375" t="s">
        <v>622</v>
      </c>
      <c r="Q1818" s="375" t="s">
        <v>622</v>
      </c>
      <c r="R1818" s="696">
        <v>20200923</v>
      </c>
      <c r="S1818" s="375" t="s">
        <v>11492</v>
      </c>
      <c r="T1818" s="697">
        <v>0.20900000000000002</v>
      </c>
      <c r="U1818" s="372" t="s">
        <v>11871</v>
      </c>
      <c r="V1818" s="723">
        <v>9.0399999999999991</v>
      </c>
      <c r="W1818" s="723">
        <v>1.56</v>
      </c>
      <c r="X1818" s="723">
        <v>1.18</v>
      </c>
      <c r="Y1818" s="723">
        <v>12.01</v>
      </c>
      <c r="Z1818" s="382" t="s">
        <v>927</v>
      </c>
      <c r="AA1818" s="372">
        <v>341.23503699999998</v>
      </c>
      <c r="AB1818" s="372">
        <v>431.71233219999999</v>
      </c>
      <c r="AC1818" s="372">
        <v>484.7317357</v>
      </c>
      <c r="AD1818" s="372">
        <v>551.02004320000003</v>
      </c>
      <c r="AE1818" s="372">
        <v>0</v>
      </c>
      <c r="AF1818" s="372">
        <v>0</v>
      </c>
      <c r="AG1818" s="372">
        <v>0</v>
      </c>
      <c r="AH1818" s="372">
        <v>0</v>
      </c>
    </row>
    <row r="1819" spans="1:34">
      <c r="A1819" s="372" t="s">
        <v>11872</v>
      </c>
      <c r="B1819" s="373" t="s">
        <v>11873</v>
      </c>
      <c r="C1819" s="372" t="s">
        <v>11874</v>
      </c>
      <c r="D1819" s="374">
        <v>2001110001704</v>
      </c>
      <c r="E1819" s="372" t="s">
        <v>11875</v>
      </c>
      <c r="F1819" s="375" t="s">
        <v>1871</v>
      </c>
      <c r="G1819" s="375" t="s">
        <v>7530</v>
      </c>
      <c r="H1819" s="375" t="s">
        <v>1043</v>
      </c>
      <c r="I1819" s="375" t="s">
        <v>754</v>
      </c>
      <c r="J1819" s="375">
        <v>222715.18410000001</v>
      </c>
      <c r="K1819" s="375">
        <v>-960.88923</v>
      </c>
      <c r="L1819" s="375">
        <v>7572.9047099999998</v>
      </c>
      <c r="M1819" s="375">
        <v>343682.36322</v>
      </c>
      <c r="N1819" s="372">
        <v>0.80600000000000005</v>
      </c>
      <c r="O1819" s="704">
        <v>61.139171466980343</v>
      </c>
      <c r="P1819" s="375" t="s">
        <v>622</v>
      </c>
      <c r="Q1819" s="372" t="s">
        <v>622</v>
      </c>
      <c r="R1819" s="696">
        <v>19991118</v>
      </c>
      <c r="S1819" s="372" t="s">
        <v>11876</v>
      </c>
      <c r="T1819" s="697">
        <v>0.20900000000000002</v>
      </c>
      <c r="U1819" s="372" t="s">
        <v>11663</v>
      </c>
      <c r="V1819" s="723">
        <v>14.4</v>
      </c>
      <c r="W1819" s="723">
        <v>0.19</v>
      </c>
      <c r="X1819" s="723">
        <v>0.28999999999999998</v>
      </c>
      <c r="Y1819" s="723">
        <v>10.74</v>
      </c>
      <c r="Z1819" s="382" t="s">
        <v>927</v>
      </c>
      <c r="AA1819" s="372">
        <v>1617.4598386</v>
      </c>
      <c r="AB1819" s="372">
        <v>2039.7228949</v>
      </c>
      <c r="AC1819" s="372">
        <v>2440.9371077999999</v>
      </c>
      <c r="AD1819" s="372">
        <v>2257.2042943000001</v>
      </c>
      <c r="AE1819" s="372">
        <v>0</v>
      </c>
      <c r="AF1819" s="372">
        <v>0</v>
      </c>
      <c r="AG1819" s="372">
        <v>0</v>
      </c>
      <c r="AH1819" s="372">
        <v>0</v>
      </c>
    </row>
    <row r="1820" spans="1:34">
      <c r="A1820" s="372" t="s">
        <v>11877</v>
      </c>
      <c r="B1820" s="373" t="s">
        <v>11878</v>
      </c>
      <c r="C1820" s="372" t="s">
        <v>11879</v>
      </c>
      <c r="D1820" s="374">
        <v>1101110033623</v>
      </c>
      <c r="E1820" s="372" t="s">
        <v>11880</v>
      </c>
      <c r="F1820" s="372" t="s">
        <v>2184</v>
      </c>
      <c r="G1820" s="375" t="s">
        <v>11881</v>
      </c>
      <c r="H1820" s="375" t="s">
        <v>861</v>
      </c>
      <c r="I1820" s="375" t="s">
        <v>862</v>
      </c>
      <c r="J1820" s="375">
        <v>79544.545110000006</v>
      </c>
      <c r="K1820" s="375">
        <v>2928.0465199999999</v>
      </c>
      <c r="L1820" s="375">
        <v>1152.5346099999999</v>
      </c>
      <c r="M1820" s="375">
        <v>126024.28397999999</v>
      </c>
      <c r="N1820" s="372">
        <v>0.60599999999999998</v>
      </c>
      <c r="O1820" s="704">
        <v>22.796351852972148</v>
      </c>
      <c r="P1820" s="375" t="s">
        <v>622</v>
      </c>
      <c r="Q1820" s="372" t="s">
        <v>622</v>
      </c>
      <c r="R1820" s="696">
        <v>19901228</v>
      </c>
      <c r="S1820" s="372" t="s">
        <v>11882</v>
      </c>
      <c r="T1820" s="697">
        <v>0.20900000000000002</v>
      </c>
      <c r="U1820" s="372" t="s">
        <v>11883</v>
      </c>
      <c r="V1820" s="723">
        <v>15.93</v>
      </c>
      <c r="W1820" s="723">
        <v>0.55000000000000004</v>
      </c>
      <c r="X1820" s="723">
        <v>0.95</v>
      </c>
      <c r="Y1820" s="723">
        <v>61.1</v>
      </c>
      <c r="Z1820" s="382" t="s">
        <v>927</v>
      </c>
      <c r="AA1820" s="372">
        <v>532.23265070000002</v>
      </c>
      <c r="AB1820" s="372">
        <v>576.39776340000003</v>
      </c>
      <c r="AC1820" s="372">
        <v>709.76492929999995</v>
      </c>
      <c r="AD1820" s="372">
        <v>696.29912609999997</v>
      </c>
      <c r="AE1820" s="372">
        <v>0</v>
      </c>
      <c r="AF1820" s="372">
        <v>0</v>
      </c>
      <c r="AG1820" s="372">
        <v>0</v>
      </c>
      <c r="AH1820" s="372">
        <v>0</v>
      </c>
    </row>
    <row r="1821" spans="1:34">
      <c r="A1821" s="372" t="s">
        <v>11884</v>
      </c>
      <c r="B1821" s="373" t="s">
        <v>11885</v>
      </c>
      <c r="C1821" s="372" t="s">
        <v>11886</v>
      </c>
      <c r="D1821" s="374">
        <v>1101114264828</v>
      </c>
      <c r="E1821" s="372" t="s">
        <v>11887</v>
      </c>
      <c r="F1821" s="375" t="s">
        <v>1863</v>
      </c>
      <c r="G1821" s="375" t="s">
        <v>16113</v>
      </c>
      <c r="H1821" s="375" t="s">
        <v>861</v>
      </c>
      <c r="I1821" s="375" t="s">
        <v>862</v>
      </c>
      <c r="J1821" s="375">
        <v>2661970.27385</v>
      </c>
      <c r="K1821" s="375">
        <v>61562.376750000003</v>
      </c>
      <c r="L1821" s="375">
        <v>29798.994330000001</v>
      </c>
      <c r="M1821" s="375">
        <v>272227.94371999998</v>
      </c>
      <c r="N1821" s="372">
        <v>0.68100000000000005</v>
      </c>
      <c r="O1821" s="704">
        <v>1350.4369301377499</v>
      </c>
      <c r="P1821" s="375" t="s">
        <v>622</v>
      </c>
      <c r="Q1821" s="372" t="s">
        <v>622</v>
      </c>
      <c r="R1821" s="696">
        <v>20100525</v>
      </c>
      <c r="S1821" s="372" t="s">
        <v>11888</v>
      </c>
      <c r="T1821" s="697">
        <v>0.23100000000000001</v>
      </c>
      <c r="U1821" s="372" t="s">
        <v>11889</v>
      </c>
      <c r="V1821" s="723">
        <v>6.18</v>
      </c>
      <c r="W1821" s="723">
        <v>0.55000000000000004</v>
      </c>
      <c r="X1821" s="723">
        <v>0.02</v>
      </c>
      <c r="Y1821" s="723">
        <v>19.649999999999999</v>
      </c>
      <c r="Z1821" s="382" t="s">
        <v>927</v>
      </c>
      <c r="AA1821" s="372">
        <v>15059.8178424</v>
      </c>
      <c r="AB1821" s="372">
        <v>17615.848708599999</v>
      </c>
      <c r="AC1821" s="372">
        <v>20936.6783621</v>
      </c>
      <c r="AD1821" s="372">
        <v>24519.305835700001</v>
      </c>
      <c r="AE1821" s="372">
        <v>0</v>
      </c>
      <c r="AF1821" s="372">
        <v>0</v>
      </c>
      <c r="AG1821" s="372">
        <v>0</v>
      </c>
      <c r="AH1821" s="372">
        <v>0</v>
      </c>
    </row>
    <row r="1822" spans="1:34">
      <c r="A1822" s="372" t="s">
        <v>11890</v>
      </c>
      <c r="B1822" s="373" t="s">
        <v>11891</v>
      </c>
      <c r="C1822" s="372" t="s">
        <v>11892</v>
      </c>
      <c r="D1822" s="374">
        <v>1101111518830</v>
      </c>
      <c r="E1822" s="372" t="s">
        <v>11893</v>
      </c>
      <c r="F1822" s="375" t="s">
        <v>1370</v>
      </c>
      <c r="G1822" s="375" t="s">
        <v>1370</v>
      </c>
      <c r="H1822" s="375" t="s">
        <v>861</v>
      </c>
      <c r="I1822" s="375" t="s">
        <v>862</v>
      </c>
      <c r="J1822" s="375">
        <v>25952.279760000001</v>
      </c>
      <c r="K1822" s="375">
        <v>6252.1482800000003</v>
      </c>
      <c r="L1822" s="375">
        <v>3978.74397</v>
      </c>
      <c r="M1822" s="375">
        <v>87570.984830000001</v>
      </c>
      <c r="N1822" s="372">
        <v>0.95399999999999996</v>
      </c>
      <c r="O1822" s="704">
        <v>0.27987737983040434</v>
      </c>
      <c r="P1822" s="375" t="s">
        <v>622</v>
      </c>
      <c r="Q1822" s="372" t="s">
        <v>622</v>
      </c>
      <c r="R1822" s="696">
        <v>20161011</v>
      </c>
      <c r="S1822" s="372" t="s">
        <v>11894</v>
      </c>
      <c r="T1822" s="697">
        <v>0.20900000000000002</v>
      </c>
      <c r="U1822" s="372" t="s">
        <v>11895</v>
      </c>
      <c r="V1822" s="723">
        <v>0</v>
      </c>
      <c r="W1822" s="723">
        <v>0</v>
      </c>
      <c r="X1822" s="723">
        <v>0</v>
      </c>
      <c r="Y1822" s="723">
        <v>0</v>
      </c>
      <c r="Z1822" s="382" t="s">
        <v>927</v>
      </c>
      <c r="AA1822" s="372">
        <v>229.5664452</v>
      </c>
      <c r="AB1822" s="372">
        <v>250.18478590000001</v>
      </c>
      <c r="AC1822" s="372">
        <v>218.1592186</v>
      </c>
      <c r="AD1822" s="372">
        <v>238.86469819999999</v>
      </c>
      <c r="AE1822" s="372">
        <v>0</v>
      </c>
      <c r="AF1822" s="372">
        <v>0</v>
      </c>
      <c r="AG1822" s="372">
        <v>0</v>
      </c>
      <c r="AH1822" s="372">
        <v>0</v>
      </c>
    </row>
    <row r="1823" spans="1:34">
      <c r="A1823" s="372" t="s">
        <v>11896</v>
      </c>
      <c r="B1823" s="373" t="s">
        <v>11897</v>
      </c>
      <c r="C1823" s="372" t="s">
        <v>11898</v>
      </c>
      <c r="D1823" s="374">
        <v>1201110001959</v>
      </c>
      <c r="E1823" s="372" t="s">
        <v>11899</v>
      </c>
      <c r="F1823" s="372" t="s">
        <v>2245</v>
      </c>
      <c r="G1823" s="375" t="s">
        <v>11900</v>
      </c>
      <c r="H1823" s="375" t="s">
        <v>3957</v>
      </c>
      <c r="I1823" s="375" t="s">
        <v>754</v>
      </c>
      <c r="J1823" s="375">
        <v>321709.66100000002</v>
      </c>
      <c r="K1823" s="375">
        <v>8287.9469399999998</v>
      </c>
      <c r="L1823" s="375">
        <v>-1893.6731500000001</v>
      </c>
      <c r="M1823" s="375">
        <v>192670.98597000001</v>
      </c>
      <c r="N1823" s="372">
        <v>0.75700000000000001</v>
      </c>
      <c r="O1823" s="704">
        <v>288.35427012185824</v>
      </c>
      <c r="P1823" s="375" t="s">
        <v>622</v>
      </c>
      <c r="Q1823" s="372" t="s">
        <v>622</v>
      </c>
      <c r="R1823" s="696">
        <v>19881021</v>
      </c>
      <c r="S1823" s="372" t="s">
        <v>11901</v>
      </c>
      <c r="T1823" s="697" t="s">
        <v>771</v>
      </c>
      <c r="U1823" s="372" t="s">
        <v>11902</v>
      </c>
      <c r="V1823" s="723">
        <v>7.17</v>
      </c>
      <c r="W1823" s="723">
        <v>0.28999999999999998</v>
      </c>
      <c r="X1823" s="723">
        <v>0.18</v>
      </c>
      <c r="Y1823" s="723" t="s">
        <v>773</v>
      </c>
      <c r="Z1823" s="382" t="s">
        <v>927</v>
      </c>
      <c r="AA1823" s="372">
        <v>2569.3591643</v>
      </c>
      <c r="AB1823" s="372">
        <v>2768.3015320999998</v>
      </c>
      <c r="AC1823" s="372">
        <v>3293.3025097</v>
      </c>
      <c r="AD1823" s="372">
        <v>3115.5974759999999</v>
      </c>
      <c r="AE1823" s="372">
        <v>0</v>
      </c>
      <c r="AF1823" s="372">
        <v>0</v>
      </c>
      <c r="AG1823" s="372">
        <v>0</v>
      </c>
      <c r="AH1823" s="372">
        <v>0</v>
      </c>
    </row>
    <row r="1824" spans="1:34">
      <c r="A1824" s="372" t="s">
        <v>11903</v>
      </c>
      <c r="B1824" s="373" t="s">
        <v>11904</v>
      </c>
      <c r="C1824" s="372" t="s">
        <v>11905</v>
      </c>
      <c r="D1824" s="374">
        <v>1101113364372</v>
      </c>
      <c r="E1824" s="372" t="s">
        <v>11906</v>
      </c>
      <c r="F1824" s="372" t="s">
        <v>10463</v>
      </c>
      <c r="G1824" s="375" t="s">
        <v>11907</v>
      </c>
      <c r="H1824" s="375" t="s">
        <v>861</v>
      </c>
      <c r="I1824" s="375" t="s">
        <v>862</v>
      </c>
      <c r="J1824" s="375">
        <v>33983.030980000003</v>
      </c>
      <c r="K1824" s="375">
        <v>1185.9489599999999</v>
      </c>
      <c r="L1824" s="375">
        <v>3063.33898</v>
      </c>
      <c r="M1824" s="375">
        <v>60139.510799999996</v>
      </c>
      <c r="N1824" s="372">
        <v>1.08</v>
      </c>
      <c r="O1824" s="704">
        <v>1.9071817285154304</v>
      </c>
      <c r="P1824" s="375" t="s">
        <v>622</v>
      </c>
      <c r="Q1824" s="372" t="s">
        <v>622</v>
      </c>
      <c r="R1824" s="696">
        <v>20220809</v>
      </c>
      <c r="S1824" s="372" t="s">
        <v>11908</v>
      </c>
      <c r="T1824" s="697">
        <v>0.20900000000000002</v>
      </c>
      <c r="U1824" s="372" t="s">
        <v>11909</v>
      </c>
      <c r="V1824" s="723">
        <v>16.25</v>
      </c>
      <c r="W1824" s="723">
        <v>0.79</v>
      </c>
      <c r="X1824" s="723">
        <v>1.47</v>
      </c>
      <c r="Y1824" s="723">
        <v>14.84</v>
      </c>
      <c r="Z1824" s="382" t="s">
        <v>927</v>
      </c>
      <c r="AA1824" s="372">
        <v>226.7118399</v>
      </c>
      <c r="AB1824" s="372">
        <v>357.45325279999997</v>
      </c>
      <c r="AC1824" s="372">
        <v>342.13303580000002</v>
      </c>
      <c r="AD1824" s="372">
        <v>406.2853963</v>
      </c>
      <c r="AE1824" s="372">
        <v>540</v>
      </c>
      <c r="AF1824" s="372">
        <v>0</v>
      </c>
      <c r="AG1824" s="372">
        <v>0</v>
      </c>
      <c r="AH1824" s="372">
        <v>0</v>
      </c>
    </row>
    <row r="1825" spans="1:34">
      <c r="A1825" s="372" t="s">
        <v>11910</v>
      </c>
      <c r="B1825" s="373" t="s">
        <v>11911</v>
      </c>
      <c r="C1825" s="372" t="s">
        <v>11912</v>
      </c>
      <c r="D1825" s="374">
        <v>1801110602755</v>
      </c>
      <c r="E1825" s="372" t="s">
        <v>11913</v>
      </c>
      <c r="F1825" s="375" t="s">
        <v>880</v>
      </c>
      <c r="G1825" s="375" t="s">
        <v>880</v>
      </c>
      <c r="H1825" s="375" t="s">
        <v>861</v>
      </c>
      <c r="I1825" s="375" t="s">
        <v>862</v>
      </c>
      <c r="J1825" s="375">
        <v>122444.55362000001</v>
      </c>
      <c r="K1825" s="375">
        <v>-4422.1481400000002</v>
      </c>
      <c r="L1825" s="375">
        <v>-8837.7866200000008</v>
      </c>
      <c r="M1825" s="375">
        <v>81870.279110000003</v>
      </c>
      <c r="N1825" s="372">
        <v>1.034</v>
      </c>
      <c r="O1825" s="704">
        <v>139.16334252509495</v>
      </c>
      <c r="P1825" s="375" t="s">
        <v>622</v>
      </c>
      <c r="Q1825" s="372" t="s">
        <v>622</v>
      </c>
      <c r="R1825" s="696">
        <v>20181205</v>
      </c>
      <c r="S1825" s="372" t="s">
        <v>11914</v>
      </c>
      <c r="T1825" s="697" t="s">
        <v>771</v>
      </c>
      <c r="U1825" s="372" t="s">
        <v>11915</v>
      </c>
      <c r="V1825" s="723">
        <v>70.8</v>
      </c>
      <c r="W1825" s="723">
        <v>0.46</v>
      </c>
      <c r="X1825" s="723">
        <v>0.32</v>
      </c>
      <c r="Y1825" s="723" t="s">
        <v>773</v>
      </c>
      <c r="Z1825" s="382" t="s">
        <v>927</v>
      </c>
      <c r="AA1825" s="372">
        <v>726.59176170000001</v>
      </c>
      <c r="AB1825" s="372">
        <v>853.83961429999999</v>
      </c>
      <c r="AC1825" s="372">
        <v>1216.6333691</v>
      </c>
      <c r="AD1825" s="372">
        <v>1359.0187874999999</v>
      </c>
      <c r="AE1825" s="372">
        <v>0</v>
      </c>
      <c r="AF1825" s="372">
        <v>0</v>
      </c>
      <c r="AG1825" s="372">
        <v>0</v>
      </c>
      <c r="AH1825" s="372">
        <v>0</v>
      </c>
    </row>
    <row r="1826" spans="1:34">
      <c r="A1826" s="372" t="s">
        <v>11916</v>
      </c>
      <c r="B1826" s="373" t="s">
        <v>11917</v>
      </c>
      <c r="C1826" s="372" t="s">
        <v>11918</v>
      </c>
      <c r="D1826" s="374">
        <v>1801110000777</v>
      </c>
      <c r="E1826" s="372" t="s">
        <v>11919</v>
      </c>
      <c r="F1826" s="372" t="s">
        <v>2344</v>
      </c>
      <c r="G1826" s="375" t="s">
        <v>2344</v>
      </c>
      <c r="H1826" s="375" t="s">
        <v>812</v>
      </c>
      <c r="I1826" s="375" t="s">
        <v>754</v>
      </c>
      <c r="J1826" s="375">
        <v>286056.06101</v>
      </c>
      <c r="K1826" s="375">
        <v>16844.410749999999</v>
      </c>
      <c r="L1826" s="375">
        <v>18719.25675</v>
      </c>
      <c r="M1826" s="375">
        <v>230302.17366999999</v>
      </c>
      <c r="N1826" s="372">
        <v>0.73</v>
      </c>
      <c r="O1826" s="704">
        <v>139.89094266160947</v>
      </c>
      <c r="P1826" s="375" t="s">
        <v>622</v>
      </c>
      <c r="Q1826" s="375" t="s">
        <v>622</v>
      </c>
      <c r="R1826" s="696">
        <v>20130515</v>
      </c>
      <c r="S1826" s="375" t="s">
        <v>11920</v>
      </c>
      <c r="T1826" s="697">
        <v>0.20900000000000002</v>
      </c>
      <c r="U1826" s="372" t="s">
        <v>11921</v>
      </c>
      <c r="V1826" s="723">
        <v>4.74</v>
      </c>
      <c r="W1826" s="723">
        <v>0.28000000000000003</v>
      </c>
      <c r="X1826" s="723">
        <v>0.22</v>
      </c>
      <c r="Y1826" s="723">
        <v>4.1399999999999997</v>
      </c>
      <c r="Z1826" s="382" t="s">
        <v>927</v>
      </c>
      <c r="AA1826" s="372">
        <v>2309.7985425000002</v>
      </c>
      <c r="AB1826" s="372">
        <v>2724.1765171000002</v>
      </c>
      <c r="AC1826" s="372">
        <v>3674.5683623</v>
      </c>
      <c r="AD1826" s="372">
        <v>2910.9508661</v>
      </c>
      <c r="AE1826" s="372">
        <v>0</v>
      </c>
      <c r="AF1826" s="372">
        <v>0</v>
      </c>
      <c r="AG1826" s="372">
        <v>0</v>
      </c>
      <c r="AH1826" s="372">
        <v>0</v>
      </c>
    </row>
    <row r="1827" spans="1:34">
      <c r="A1827" s="372" t="s">
        <v>11922</v>
      </c>
      <c r="B1827" s="373" t="s">
        <v>11923</v>
      </c>
      <c r="C1827" s="372" t="s">
        <v>11924</v>
      </c>
      <c r="D1827" s="374">
        <v>1101110086599</v>
      </c>
      <c r="E1827" s="372" t="s">
        <v>11925</v>
      </c>
      <c r="F1827" s="375" t="s">
        <v>4099</v>
      </c>
      <c r="G1827" s="375" t="s">
        <v>4100</v>
      </c>
      <c r="H1827" s="375" t="s">
        <v>826</v>
      </c>
      <c r="I1827" s="375" t="s">
        <v>754</v>
      </c>
      <c r="J1827" s="375">
        <v>108151.81572</v>
      </c>
      <c r="K1827" s="375">
        <v>4049.2672200000002</v>
      </c>
      <c r="L1827" s="375">
        <v>1711.6866600000001</v>
      </c>
      <c r="M1827" s="375">
        <v>54594.44672</v>
      </c>
      <c r="N1827" s="372">
        <v>0.754</v>
      </c>
      <c r="O1827" s="704">
        <v>83.16532249352872</v>
      </c>
      <c r="P1827" s="375" t="s">
        <v>622</v>
      </c>
      <c r="Q1827" s="372" t="s">
        <v>622</v>
      </c>
      <c r="R1827" s="696">
        <v>19761228</v>
      </c>
      <c r="S1827" s="372" t="s">
        <v>11926</v>
      </c>
      <c r="T1827" s="697">
        <v>0.20900000000000002</v>
      </c>
      <c r="U1827" s="372" t="s">
        <v>11927</v>
      </c>
      <c r="V1827" s="723">
        <v>0</v>
      </c>
      <c r="W1827" s="723">
        <v>0</v>
      </c>
      <c r="X1827" s="723">
        <v>0</v>
      </c>
      <c r="Y1827" s="723">
        <v>0</v>
      </c>
      <c r="Z1827" s="382" t="s">
        <v>927</v>
      </c>
      <c r="AA1827" s="372">
        <v>736.54579179999996</v>
      </c>
      <c r="AB1827" s="372">
        <v>845.9751536</v>
      </c>
      <c r="AC1827" s="372">
        <v>1485.5491783</v>
      </c>
      <c r="AD1827" s="372">
        <v>1147.1815832</v>
      </c>
      <c r="AE1827" s="372">
        <v>0</v>
      </c>
      <c r="AF1827" s="372">
        <v>0</v>
      </c>
      <c r="AG1827" s="372">
        <v>0</v>
      </c>
      <c r="AH1827" s="372">
        <v>0</v>
      </c>
    </row>
    <row r="1828" spans="1:34">
      <c r="A1828" s="372" t="s">
        <v>11928</v>
      </c>
      <c r="B1828" s="373" t="s">
        <v>11929</v>
      </c>
      <c r="C1828" s="372" t="s">
        <v>11930</v>
      </c>
      <c r="D1828" s="374">
        <v>1101110134819</v>
      </c>
      <c r="E1828" s="372" t="s">
        <v>11931</v>
      </c>
      <c r="F1828" s="375" t="s">
        <v>621</v>
      </c>
      <c r="G1828" s="375" t="s">
        <v>621</v>
      </c>
      <c r="H1828" s="375" t="s">
        <v>753</v>
      </c>
      <c r="I1828" s="375" t="s">
        <v>754</v>
      </c>
      <c r="J1828" s="375">
        <v>0</v>
      </c>
      <c r="K1828" s="375">
        <v>0</v>
      </c>
      <c r="L1828" s="375">
        <v>0</v>
      </c>
      <c r="M1828" s="375">
        <v>0</v>
      </c>
      <c r="N1828" s="372">
        <v>0.106</v>
      </c>
      <c r="O1828" s="704" t="s">
        <v>16301</v>
      </c>
      <c r="P1828" s="375" t="s">
        <v>16115</v>
      </c>
      <c r="Q1828" s="372" t="s">
        <v>16116</v>
      </c>
      <c r="R1828" s="696">
        <v>19900605</v>
      </c>
      <c r="S1828" s="372" t="s">
        <v>11932</v>
      </c>
      <c r="T1828" s="697" t="s">
        <v>771</v>
      </c>
      <c r="U1828" s="372" t="s">
        <v>11933</v>
      </c>
      <c r="V1828" s="723">
        <v>0</v>
      </c>
      <c r="W1828" s="723">
        <v>0</v>
      </c>
      <c r="X1828" s="723">
        <v>0</v>
      </c>
      <c r="Y1828" s="723">
        <v>0</v>
      </c>
      <c r="Z1828" s="382" t="s">
        <v>927</v>
      </c>
      <c r="AA1828" s="372">
        <v>398.06759260000001</v>
      </c>
      <c r="AB1828" s="372">
        <v>436.21572190000001</v>
      </c>
      <c r="AC1828" s="372">
        <v>412.82867440000001</v>
      </c>
      <c r="AD1828" s="372">
        <v>290.25438339999999</v>
      </c>
      <c r="AE1828" s="372">
        <v>0</v>
      </c>
      <c r="AF1828" s="372">
        <v>0</v>
      </c>
      <c r="AG1828" s="372">
        <v>0</v>
      </c>
      <c r="AH1828" s="372">
        <v>0</v>
      </c>
    </row>
    <row r="1829" spans="1:34">
      <c r="A1829" s="372" t="s">
        <v>11934</v>
      </c>
      <c r="B1829" s="373" t="s">
        <v>11935</v>
      </c>
      <c r="C1829" s="372" t="s">
        <v>11936</v>
      </c>
      <c r="D1829" s="374">
        <v>1101114690768</v>
      </c>
      <c r="E1829" s="372" t="s">
        <v>11937</v>
      </c>
      <c r="F1829" s="375" t="s">
        <v>1055</v>
      </c>
      <c r="G1829" s="375" t="s">
        <v>16104</v>
      </c>
      <c r="H1829" s="375" t="s">
        <v>861</v>
      </c>
      <c r="I1829" s="375" t="s">
        <v>862</v>
      </c>
      <c r="J1829" s="375">
        <v>3393.5113700000002</v>
      </c>
      <c r="K1829" s="375">
        <v>-10158.116400000001</v>
      </c>
      <c r="L1829" s="375">
        <v>-13421.594649999999</v>
      </c>
      <c r="M1829" s="375">
        <v>8509.7423199999994</v>
      </c>
      <c r="N1829" s="372">
        <v>1.0980000000000001</v>
      </c>
      <c r="O1829" s="704">
        <v>27.32915043875057</v>
      </c>
      <c r="P1829" s="375" t="s">
        <v>622</v>
      </c>
      <c r="Q1829" s="372" t="s">
        <v>622</v>
      </c>
      <c r="R1829" s="696">
        <v>20151027</v>
      </c>
      <c r="S1829" s="372" t="s">
        <v>11938</v>
      </c>
      <c r="T1829" s="697" t="s">
        <v>771</v>
      </c>
      <c r="U1829" s="372" t="s">
        <v>11939</v>
      </c>
      <c r="V1829" s="723" t="s">
        <v>773</v>
      </c>
      <c r="W1829" s="723">
        <v>3.83</v>
      </c>
      <c r="X1829" s="723">
        <v>11.35</v>
      </c>
      <c r="Y1829" s="723" t="s">
        <v>773</v>
      </c>
      <c r="Z1829" s="382" t="s">
        <v>927</v>
      </c>
      <c r="AA1829" s="372">
        <v>15.7199162</v>
      </c>
      <c r="AB1829" s="372">
        <v>30.469458800000002</v>
      </c>
      <c r="AC1829" s="372">
        <v>25.5948718</v>
      </c>
      <c r="AD1829" s="372">
        <v>26.0031766</v>
      </c>
      <c r="AE1829" s="372">
        <v>0</v>
      </c>
      <c r="AF1829" s="372">
        <v>0</v>
      </c>
      <c r="AG1829" s="372">
        <v>0</v>
      </c>
      <c r="AH1829" s="372">
        <v>0</v>
      </c>
    </row>
    <row r="1830" spans="1:34">
      <c r="A1830" s="372" t="s">
        <v>11940</v>
      </c>
      <c r="B1830" s="373" t="s">
        <v>11941</v>
      </c>
      <c r="C1830" s="372" t="s">
        <v>11942</v>
      </c>
      <c r="D1830" s="374">
        <v>1101117067138</v>
      </c>
      <c r="E1830" s="372" t="s">
        <v>11943</v>
      </c>
      <c r="F1830" s="375" t="s">
        <v>11944</v>
      </c>
      <c r="G1830" s="375" t="s">
        <v>11944</v>
      </c>
      <c r="H1830" s="375" t="s">
        <v>861</v>
      </c>
      <c r="I1830" s="375" t="s">
        <v>862</v>
      </c>
      <c r="J1830" s="375">
        <v>0</v>
      </c>
      <c r="K1830" s="375">
        <v>0</v>
      </c>
      <c r="L1830" s="375">
        <v>0</v>
      </c>
      <c r="M1830" s="375">
        <v>0</v>
      </c>
      <c r="N1830" s="372">
        <v>0.59699999999999998</v>
      </c>
      <c r="O1830" s="704" t="s">
        <v>16301</v>
      </c>
      <c r="P1830" s="375" t="s">
        <v>16115</v>
      </c>
      <c r="Q1830" s="372" t="s">
        <v>16116</v>
      </c>
      <c r="R1830" s="696">
        <v>20190619</v>
      </c>
      <c r="S1830" s="372" t="s">
        <v>11945</v>
      </c>
      <c r="T1830" s="697" t="s">
        <v>771</v>
      </c>
      <c r="U1830" s="372" t="s">
        <v>11946</v>
      </c>
      <c r="V1830" s="723">
        <v>0</v>
      </c>
      <c r="W1830" s="723">
        <v>0</v>
      </c>
      <c r="X1830" s="723">
        <v>0</v>
      </c>
      <c r="Y1830" s="723">
        <v>0</v>
      </c>
      <c r="Z1830" s="382" t="s">
        <v>927</v>
      </c>
      <c r="AA1830" s="372">
        <v>982.06042349999996</v>
      </c>
      <c r="AB1830" s="372">
        <v>1154.2766850999999</v>
      </c>
      <c r="AC1830" s="372">
        <v>1456.9135326999999</v>
      </c>
      <c r="AD1830" s="372">
        <v>1136.5459873</v>
      </c>
      <c r="AE1830" s="372">
        <v>1191</v>
      </c>
      <c r="AF1830" s="372">
        <v>1346</v>
      </c>
      <c r="AG1830" s="372">
        <v>0</v>
      </c>
      <c r="AH1830" s="372">
        <v>0</v>
      </c>
    </row>
    <row r="1831" spans="1:34">
      <c r="A1831" s="372" t="s">
        <v>11947</v>
      </c>
      <c r="B1831" s="373" t="s">
        <v>11948</v>
      </c>
      <c r="C1831" s="372" t="s">
        <v>16035</v>
      </c>
      <c r="D1831" s="374">
        <v>1101111407314</v>
      </c>
      <c r="E1831" s="372" t="s">
        <v>16036</v>
      </c>
      <c r="F1831" s="375" t="s">
        <v>5769</v>
      </c>
      <c r="G1831" s="375" t="s">
        <v>5769</v>
      </c>
      <c r="H1831" s="375" t="s">
        <v>1337</v>
      </c>
      <c r="I1831" s="375" t="s">
        <v>862</v>
      </c>
      <c r="J1831" s="375">
        <v>8094.9597899999999</v>
      </c>
      <c r="K1831" s="375">
        <v>-5124.2339400000001</v>
      </c>
      <c r="L1831" s="375">
        <v>-14562.99259</v>
      </c>
      <c r="M1831" s="375">
        <v>36735.673990000003</v>
      </c>
      <c r="N1831" s="372">
        <v>0.79500000000000004</v>
      </c>
      <c r="O1831" s="704">
        <v>32.990294877071122</v>
      </c>
      <c r="P1831" s="375" t="s">
        <v>622</v>
      </c>
      <c r="Q1831" s="375" t="s">
        <v>622</v>
      </c>
      <c r="R1831" s="696">
        <v>20020108</v>
      </c>
      <c r="S1831" s="375" t="s">
        <v>11949</v>
      </c>
      <c r="T1831" s="697" t="s">
        <v>771</v>
      </c>
      <c r="U1831" s="372" t="s">
        <v>11950</v>
      </c>
      <c r="V1831" s="723" t="s">
        <v>773</v>
      </c>
      <c r="W1831" s="723">
        <v>2.89</v>
      </c>
      <c r="X1831" s="723">
        <v>12.57</v>
      </c>
      <c r="Y1831" s="723" t="s">
        <v>773</v>
      </c>
      <c r="Z1831" s="382" t="s">
        <v>927</v>
      </c>
      <c r="AA1831" s="372">
        <v>98.154395199999996</v>
      </c>
      <c r="AB1831" s="372">
        <v>86.353416100000004</v>
      </c>
      <c r="AC1831" s="372">
        <v>97.811708800000005</v>
      </c>
      <c r="AD1831" s="372">
        <v>97.562178399999993</v>
      </c>
      <c r="AE1831" s="372">
        <v>0</v>
      </c>
      <c r="AF1831" s="372">
        <v>0</v>
      </c>
      <c r="AG1831" s="372">
        <v>0</v>
      </c>
      <c r="AH1831" s="372">
        <v>0</v>
      </c>
    </row>
    <row r="1832" spans="1:34">
      <c r="A1832" s="372" t="s">
        <v>11951</v>
      </c>
      <c r="B1832" s="373" t="s">
        <v>11952</v>
      </c>
      <c r="C1832" s="372" t="s">
        <v>11953</v>
      </c>
      <c r="D1832" s="374">
        <v>1101112686024</v>
      </c>
      <c r="E1832" s="372" t="s">
        <v>11954</v>
      </c>
      <c r="F1832" s="375" t="s">
        <v>2485</v>
      </c>
      <c r="G1832" s="375" t="s">
        <v>2486</v>
      </c>
      <c r="H1832" s="375" t="s">
        <v>812</v>
      </c>
      <c r="I1832" s="375" t="s">
        <v>754</v>
      </c>
      <c r="J1832" s="375">
        <v>246109.6237</v>
      </c>
      <c r="K1832" s="375">
        <v>1066.9095199999999</v>
      </c>
      <c r="L1832" s="375">
        <v>-4607.7065899999998</v>
      </c>
      <c r="M1832" s="375">
        <v>144688.03135</v>
      </c>
      <c r="N1832" s="372">
        <v>1.0589999999999999</v>
      </c>
      <c r="O1832" s="704">
        <v>142.07863430969107</v>
      </c>
      <c r="P1832" s="375" t="s">
        <v>622</v>
      </c>
      <c r="Q1832" s="372" t="s">
        <v>622</v>
      </c>
      <c r="R1832" s="696">
        <v>20030217</v>
      </c>
      <c r="S1832" s="372" t="s">
        <v>11955</v>
      </c>
      <c r="T1832" s="697" t="s">
        <v>771</v>
      </c>
      <c r="U1832" s="372" t="s">
        <v>11956</v>
      </c>
      <c r="V1832" s="723">
        <v>17.86</v>
      </c>
      <c r="W1832" s="723">
        <v>0.48</v>
      </c>
      <c r="X1832" s="723">
        <v>0.28000000000000003</v>
      </c>
      <c r="Y1832" s="723" t="s">
        <v>773</v>
      </c>
      <c r="Z1832" s="382" t="s">
        <v>927</v>
      </c>
      <c r="AA1832" s="372">
        <v>1616.8646286000001</v>
      </c>
      <c r="AB1832" s="372">
        <v>2261.5066237999999</v>
      </c>
      <c r="AC1832" s="372">
        <v>3164.1394190000001</v>
      </c>
      <c r="AD1832" s="372">
        <v>2566.5594667999999</v>
      </c>
      <c r="AE1832" s="372">
        <v>0</v>
      </c>
      <c r="AF1832" s="372">
        <v>0</v>
      </c>
      <c r="AG1832" s="372">
        <v>0</v>
      </c>
      <c r="AH1832" s="372">
        <v>0</v>
      </c>
    </row>
    <row r="1833" spans="1:34">
      <c r="A1833" s="372" t="s">
        <v>11957</v>
      </c>
      <c r="B1833" s="373" t="s">
        <v>11958</v>
      </c>
      <c r="C1833" s="372" t="s">
        <v>11959</v>
      </c>
      <c r="D1833" s="374">
        <v>1101110150659</v>
      </c>
      <c r="E1833" s="372" t="s">
        <v>11960</v>
      </c>
      <c r="F1833" s="375" t="s">
        <v>1151</v>
      </c>
      <c r="G1833" s="375" t="s">
        <v>1152</v>
      </c>
      <c r="H1833" s="375" t="s">
        <v>909</v>
      </c>
      <c r="I1833" s="375" t="s">
        <v>754</v>
      </c>
      <c r="J1833" s="375">
        <v>696620.82570000004</v>
      </c>
      <c r="K1833" s="375">
        <v>20292.918150000001</v>
      </c>
      <c r="L1833" s="375">
        <v>19381.80215</v>
      </c>
      <c r="M1833" s="375">
        <v>130338.46093</v>
      </c>
      <c r="N1833" s="372">
        <v>0.67500000000000004</v>
      </c>
      <c r="O1833" s="704">
        <v>82.122456133957584</v>
      </c>
      <c r="P1833" s="375" t="s">
        <v>622</v>
      </c>
      <c r="Q1833" s="372" t="s">
        <v>622</v>
      </c>
      <c r="R1833" s="696">
        <v>19891113</v>
      </c>
      <c r="S1833" s="372" t="s">
        <v>11961</v>
      </c>
      <c r="T1833" s="697">
        <v>0.20900000000000002</v>
      </c>
      <c r="U1833" s="372" t="s">
        <v>11962</v>
      </c>
      <c r="V1833" s="723">
        <v>2.2200000000000002</v>
      </c>
      <c r="W1833" s="723">
        <v>0.53</v>
      </c>
      <c r="X1833" s="723">
        <v>0.1</v>
      </c>
      <c r="Y1833" s="723">
        <v>6.13</v>
      </c>
      <c r="Z1833" s="382" t="s">
        <v>927</v>
      </c>
      <c r="AA1833" s="372">
        <v>5096.1333335999998</v>
      </c>
      <c r="AB1833" s="372">
        <v>7470.4411368000001</v>
      </c>
      <c r="AC1833" s="372">
        <v>10153.718895600001</v>
      </c>
      <c r="AD1833" s="372">
        <v>7265.3682429999999</v>
      </c>
      <c r="AE1833" s="372">
        <v>0</v>
      </c>
      <c r="AF1833" s="372">
        <v>0</v>
      </c>
      <c r="AG1833" s="372">
        <v>0</v>
      </c>
      <c r="AH1833" s="372">
        <v>0</v>
      </c>
    </row>
    <row r="1834" spans="1:34">
      <c r="A1834" s="372" t="s">
        <v>11963</v>
      </c>
      <c r="B1834" s="373" t="s">
        <v>11964</v>
      </c>
      <c r="C1834" s="372" t="s">
        <v>11965</v>
      </c>
      <c r="D1834" s="374">
        <v>1101110952055</v>
      </c>
      <c r="E1834" s="372" t="s">
        <v>11966</v>
      </c>
      <c r="F1834" s="375" t="s">
        <v>2075</v>
      </c>
      <c r="G1834" s="375" t="s">
        <v>2076</v>
      </c>
      <c r="H1834" s="375" t="s">
        <v>861</v>
      </c>
      <c r="I1834" s="375" t="s">
        <v>862</v>
      </c>
      <c r="J1834" s="375">
        <v>216072.66115</v>
      </c>
      <c r="K1834" s="375">
        <v>25325.653490000001</v>
      </c>
      <c r="L1834" s="375">
        <v>45873.325340000003</v>
      </c>
      <c r="M1834" s="375">
        <v>151248.90867</v>
      </c>
      <c r="N1834" s="372">
        <v>0.86399999999999999</v>
      </c>
      <c r="O1834" s="704">
        <v>49.595738308717777</v>
      </c>
      <c r="P1834" s="375" t="s">
        <v>622</v>
      </c>
      <c r="Q1834" s="372" t="s">
        <v>622</v>
      </c>
      <c r="R1834" s="696">
        <v>20131002</v>
      </c>
      <c r="S1834" s="375" t="s">
        <v>11967</v>
      </c>
      <c r="T1834" s="697">
        <v>0.23100000000000001</v>
      </c>
      <c r="U1834" s="372" t="s">
        <v>11968</v>
      </c>
      <c r="V1834" s="723">
        <v>3.34</v>
      </c>
      <c r="W1834" s="723">
        <v>0.6</v>
      </c>
      <c r="X1834" s="723">
        <v>0.43</v>
      </c>
      <c r="Y1834" s="723">
        <v>2.3199999999999998</v>
      </c>
      <c r="Z1834" s="382" t="s">
        <v>927</v>
      </c>
      <c r="AA1834" s="372">
        <v>1610.2077572999999</v>
      </c>
      <c r="AB1834" s="372">
        <v>1224.8790838</v>
      </c>
      <c r="AC1834" s="372">
        <v>1485.4639434999999</v>
      </c>
      <c r="AD1834" s="372">
        <v>1664.1740834</v>
      </c>
      <c r="AE1834" s="372">
        <v>0</v>
      </c>
      <c r="AF1834" s="372">
        <v>0</v>
      </c>
      <c r="AG1834" s="372">
        <v>0</v>
      </c>
      <c r="AH1834" s="372">
        <v>0</v>
      </c>
    </row>
    <row r="1835" spans="1:34">
      <c r="A1835" s="372" t="s">
        <v>11969</v>
      </c>
      <c r="B1835" s="373" t="s">
        <v>11970</v>
      </c>
      <c r="C1835" s="372" t="s">
        <v>11971</v>
      </c>
      <c r="D1835" s="374">
        <v>1954110007168</v>
      </c>
      <c r="E1835" s="372" t="s">
        <v>11972</v>
      </c>
      <c r="F1835" s="372" t="s">
        <v>1128</v>
      </c>
      <c r="G1835" s="375" t="s">
        <v>7422</v>
      </c>
      <c r="H1835" s="375" t="s">
        <v>861</v>
      </c>
      <c r="I1835" s="375" t="s">
        <v>862</v>
      </c>
      <c r="J1835" s="375">
        <v>159793.36533</v>
      </c>
      <c r="K1835" s="375">
        <v>-425.90845000000002</v>
      </c>
      <c r="L1835" s="375">
        <v>-5645.1854999999996</v>
      </c>
      <c r="M1835" s="375">
        <v>288232.87507000001</v>
      </c>
      <c r="N1835" s="372">
        <v>0.64200000000000002</v>
      </c>
      <c r="O1835" s="704">
        <v>98.272759812844029</v>
      </c>
      <c r="P1835" s="375" t="s">
        <v>622</v>
      </c>
      <c r="Q1835" s="375" t="s">
        <v>622</v>
      </c>
      <c r="R1835" s="696">
        <v>20141224</v>
      </c>
      <c r="S1835" s="375" t="s">
        <v>11973</v>
      </c>
      <c r="T1835" s="697" t="s">
        <v>771</v>
      </c>
      <c r="U1835" s="372" t="s">
        <v>11974</v>
      </c>
      <c r="V1835" s="723">
        <v>29.04</v>
      </c>
      <c r="W1835" s="723">
        <v>0.66</v>
      </c>
      <c r="X1835" s="723">
        <v>0.67</v>
      </c>
      <c r="Y1835" s="723" t="s">
        <v>773</v>
      </c>
      <c r="Z1835" s="382" t="s">
        <v>927</v>
      </c>
      <c r="AA1835" s="372">
        <v>579.77510099999995</v>
      </c>
      <c r="AB1835" s="372">
        <v>798.84431059999997</v>
      </c>
      <c r="AC1835" s="372">
        <v>1621.2518279000001</v>
      </c>
      <c r="AD1835" s="372">
        <v>1684.8401779999999</v>
      </c>
      <c r="AE1835" s="372">
        <v>0</v>
      </c>
      <c r="AF1835" s="372">
        <v>0</v>
      </c>
      <c r="AG1835" s="372">
        <v>0</v>
      </c>
      <c r="AH1835" s="372">
        <v>0</v>
      </c>
    </row>
    <row r="1836" spans="1:34">
      <c r="A1836" s="372" t="s">
        <v>11975</v>
      </c>
      <c r="B1836" s="373" t="s">
        <v>11976</v>
      </c>
      <c r="C1836" s="372" t="s">
        <v>11977</v>
      </c>
      <c r="D1836" s="374">
        <v>1345110233665</v>
      </c>
      <c r="E1836" s="372" t="s">
        <v>11978</v>
      </c>
      <c r="F1836" s="375" t="s">
        <v>4871</v>
      </c>
      <c r="G1836" s="375" t="s">
        <v>4871</v>
      </c>
      <c r="H1836" s="375" t="s">
        <v>861</v>
      </c>
      <c r="I1836" s="375" t="s">
        <v>862</v>
      </c>
      <c r="J1836" s="375">
        <v>278131.54197999998</v>
      </c>
      <c r="K1836" s="375">
        <v>-7965.0718100000004</v>
      </c>
      <c r="L1836" s="375">
        <v>-16836.517639999998</v>
      </c>
      <c r="M1836" s="375">
        <v>67117.391900000002</v>
      </c>
      <c r="N1836" s="372">
        <v>0.92200000000000004</v>
      </c>
      <c r="O1836" s="704">
        <v>144.14760696107129</v>
      </c>
      <c r="P1836" s="375" t="s">
        <v>622</v>
      </c>
      <c r="Q1836" s="372" t="s">
        <v>622</v>
      </c>
      <c r="R1836" s="696">
        <v>20140602</v>
      </c>
      <c r="S1836" s="372" t="s">
        <v>11979</v>
      </c>
      <c r="T1836" s="697" t="s">
        <v>771</v>
      </c>
      <c r="U1836" s="372" t="s">
        <v>15937</v>
      </c>
      <c r="V1836" s="723">
        <v>7.17</v>
      </c>
      <c r="W1836" s="723">
        <v>0.81</v>
      </c>
      <c r="X1836" s="723">
        <v>0.18</v>
      </c>
      <c r="Y1836" s="723" t="s">
        <v>773</v>
      </c>
      <c r="Z1836" s="382" t="s">
        <v>927</v>
      </c>
      <c r="AA1836" s="372">
        <v>783.29777909999996</v>
      </c>
      <c r="AB1836" s="372">
        <v>1793.2064071</v>
      </c>
      <c r="AC1836" s="372">
        <v>3832.0295678000002</v>
      </c>
      <c r="AD1836" s="372">
        <v>2939.6711850000002</v>
      </c>
      <c r="AE1836" s="372">
        <v>0</v>
      </c>
      <c r="AF1836" s="372">
        <v>0</v>
      </c>
      <c r="AG1836" s="372">
        <v>0</v>
      </c>
      <c r="AH1836" s="372">
        <v>0</v>
      </c>
    </row>
    <row r="1837" spans="1:34">
      <c r="A1837" s="372" t="s">
        <v>11980</v>
      </c>
      <c r="B1837" s="373" t="s">
        <v>11981</v>
      </c>
      <c r="C1837" s="372" t="s">
        <v>11982</v>
      </c>
      <c r="D1837" s="374">
        <v>1101114722917</v>
      </c>
      <c r="E1837" s="372" t="s">
        <v>11983</v>
      </c>
      <c r="F1837" s="375" t="s">
        <v>10614</v>
      </c>
      <c r="G1837" s="375" t="s">
        <v>10614</v>
      </c>
      <c r="H1837" s="375" t="s">
        <v>861</v>
      </c>
      <c r="I1837" s="375" t="s">
        <v>862</v>
      </c>
      <c r="J1837" s="375">
        <v>31227.051800000001</v>
      </c>
      <c r="K1837" s="375">
        <v>4000.0750899999998</v>
      </c>
      <c r="L1837" s="375">
        <v>7617.3561900000004</v>
      </c>
      <c r="M1837" s="375">
        <v>77646.296830000007</v>
      </c>
      <c r="N1837" s="372">
        <v>1.2310000000000001</v>
      </c>
      <c r="O1837" s="704">
        <v>0.1941566638757618</v>
      </c>
      <c r="P1837" s="375" t="s">
        <v>622</v>
      </c>
      <c r="Q1837" s="375" t="s">
        <v>622</v>
      </c>
      <c r="R1837" s="696">
        <v>20120213</v>
      </c>
      <c r="S1837" s="375" t="s">
        <v>11984</v>
      </c>
      <c r="T1837" s="697">
        <v>0.20900000000000002</v>
      </c>
      <c r="U1837" s="372" t="s">
        <v>11985</v>
      </c>
      <c r="V1837" s="723">
        <v>0</v>
      </c>
      <c r="W1837" s="723">
        <v>0</v>
      </c>
      <c r="X1837" s="723">
        <v>0</v>
      </c>
      <c r="Y1837" s="723">
        <v>0</v>
      </c>
      <c r="Z1837" s="382" t="s">
        <v>927</v>
      </c>
      <c r="AA1837" s="372">
        <v>265.6607879</v>
      </c>
      <c r="AB1837" s="372">
        <v>374.15966090000001</v>
      </c>
      <c r="AC1837" s="372">
        <v>593.07568560000004</v>
      </c>
      <c r="AD1837" s="372">
        <v>408.9590121</v>
      </c>
      <c r="AE1837" s="372">
        <v>0</v>
      </c>
      <c r="AF1837" s="372">
        <v>0</v>
      </c>
      <c r="AG1837" s="372">
        <v>0</v>
      </c>
      <c r="AH1837" s="372">
        <v>0</v>
      </c>
    </row>
    <row r="1838" spans="1:34">
      <c r="A1838" s="372" t="s">
        <v>11986</v>
      </c>
      <c r="B1838" s="373" t="s">
        <v>11987</v>
      </c>
      <c r="C1838" s="372" t="s">
        <v>11988</v>
      </c>
      <c r="D1838" s="374">
        <v>1701110309329</v>
      </c>
      <c r="E1838" s="372" t="s">
        <v>11989</v>
      </c>
      <c r="F1838" s="375" t="s">
        <v>1863</v>
      </c>
      <c r="G1838" s="375" t="s">
        <v>1864</v>
      </c>
      <c r="H1838" s="375" t="s">
        <v>792</v>
      </c>
      <c r="I1838" s="375" t="s">
        <v>754</v>
      </c>
      <c r="J1838" s="375">
        <v>579706.60669000004</v>
      </c>
      <c r="K1838" s="375">
        <v>10951.38012</v>
      </c>
      <c r="L1838" s="375">
        <v>1857.1018999999999</v>
      </c>
      <c r="M1838" s="375">
        <v>45320.271809999998</v>
      </c>
      <c r="N1838" s="372">
        <v>0.92500000000000004</v>
      </c>
      <c r="O1838" s="704">
        <v>148.00233765744821</v>
      </c>
      <c r="P1838" s="375" t="s">
        <v>622</v>
      </c>
      <c r="Q1838" s="375" t="s">
        <v>622</v>
      </c>
      <c r="R1838" s="696">
        <v>20060602</v>
      </c>
      <c r="S1838" s="375" t="s">
        <v>11990</v>
      </c>
      <c r="T1838" s="697">
        <v>0.20900000000000002</v>
      </c>
      <c r="U1838" s="375" t="s">
        <v>11991</v>
      </c>
      <c r="V1838" s="723">
        <v>5.34</v>
      </c>
      <c r="W1838" s="723">
        <v>1.23</v>
      </c>
      <c r="X1838" s="723">
        <v>0.1</v>
      </c>
      <c r="Y1838" s="723">
        <v>50.34</v>
      </c>
      <c r="Z1838" s="382" t="s">
        <v>927</v>
      </c>
      <c r="AA1838" s="372">
        <v>3385.8104337999998</v>
      </c>
      <c r="AB1838" s="372">
        <v>4241.2346625</v>
      </c>
      <c r="AC1838" s="372">
        <v>5199.3224682</v>
      </c>
      <c r="AD1838" s="372">
        <v>5640.3896439999999</v>
      </c>
      <c r="AE1838" s="372">
        <v>0</v>
      </c>
      <c r="AF1838" s="372">
        <v>0</v>
      </c>
      <c r="AG1838" s="372">
        <v>0</v>
      </c>
      <c r="AH1838" s="372">
        <v>0</v>
      </c>
    </row>
    <row r="1839" spans="1:34">
      <c r="A1839" s="372" t="s">
        <v>11992</v>
      </c>
      <c r="B1839" s="373" t="s">
        <v>11993</v>
      </c>
      <c r="C1839" s="372" t="s">
        <v>11994</v>
      </c>
      <c r="D1839" s="374">
        <v>1101111833486</v>
      </c>
      <c r="E1839" s="372" t="s">
        <v>11995</v>
      </c>
      <c r="F1839" s="375" t="s">
        <v>1357</v>
      </c>
      <c r="G1839" s="375" t="s">
        <v>1357</v>
      </c>
      <c r="H1839" s="375" t="s">
        <v>861</v>
      </c>
      <c r="I1839" s="375" t="s">
        <v>862</v>
      </c>
      <c r="J1839" s="375">
        <v>77820.020969999998</v>
      </c>
      <c r="K1839" s="375">
        <v>-19157.448769999999</v>
      </c>
      <c r="L1839" s="375">
        <v>-62600.3367</v>
      </c>
      <c r="M1839" s="375">
        <v>120583.52503999999</v>
      </c>
      <c r="N1839" s="372">
        <v>1.635</v>
      </c>
      <c r="O1839" s="704">
        <v>192.97326434290505</v>
      </c>
      <c r="P1839" s="375" t="s">
        <v>622</v>
      </c>
      <c r="Q1839" s="372" t="s">
        <v>622</v>
      </c>
      <c r="R1839" s="696">
        <v>20020621</v>
      </c>
      <c r="S1839" s="372" t="s">
        <v>11996</v>
      </c>
      <c r="T1839" s="697" t="s">
        <v>771</v>
      </c>
      <c r="U1839" s="372" t="s">
        <v>15938</v>
      </c>
      <c r="V1839" s="723" t="s">
        <v>773</v>
      </c>
      <c r="W1839" s="723">
        <v>0.6</v>
      </c>
      <c r="X1839" s="723">
        <v>0.63</v>
      </c>
      <c r="Y1839" s="723" t="s">
        <v>773</v>
      </c>
      <c r="Z1839" s="382" t="s">
        <v>927</v>
      </c>
      <c r="AA1839" s="372">
        <v>299.28991559999997</v>
      </c>
      <c r="AB1839" s="372">
        <v>293.25732540000001</v>
      </c>
      <c r="AC1839" s="372">
        <v>401.23713029999999</v>
      </c>
      <c r="AD1839" s="372">
        <v>495.19154759999998</v>
      </c>
      <c r="AE1839" s="372">
        <v>0</v>
      </c>
      <c r="AF1839" s="372">
        <v>0</v>
      </c>
      <c r="AG1839" s="372">
        <v>0</v>
      </c>
      <c r="AH1839" s="372">
        <v>0</v>
      </c>
    </row>
    <row r="1840" spans="1:34">
      <c r="A1840" s="372" t="s">
        <v>11997</v>
      </c>
      <c r="B1840" s="373" t="s">
        <v>11998</v>
      </c>
      <c r="C1840" s="372" t="s">
        <v>11999</v>
      </c>
      <c r="D1840" s="374">
        <v>1201110127961</v>
      </c>
      <c r="E1840" s="372" t="s">
        <v>12000</v>
      </c>
      <c r="F1840" s="375" t="s">
        <v>2511</v>
      </c>
      <c r="G1840" s="375" t="s">
        <v>2511</v>
      </c>
      <c r="H1840" s="375" t="s">
        <v>861</v>
      </c>
      <c r="I1840" s="375" t="s">
        <v>862</v>
      </c>
      <c r="J1840" s="375">
        <v>0</v>
      </c>
      <c r="K1840" s="375">
        <v>0</v>
      </c>
      <c r="L1840" s="375">
        <v>0</v>
      </c>
      <c r="M1840" s="375">
        <v>40648.279990000003</v>
      </c>
      <c r="N1840" s="372" t="s">
        <v>1026</v>
      </c>
      <c r="O1840" s="704">
        <v>19.487420282206884</v>
      </c>
      <c r="P1840" s="375" t="s">
        <v>622</v>
      </c>
      <c r="Q1840" s="375" t="s">
        <v>622</v>
      </c>
      <c r="R1840" s="696">
        <v>20230601</v>
      </c>
      <c r="S1840" s="375" t="s">
        <v>12001</v>
      </c>
      <c r="T1840" s="697" t="s">
        <v>771</v>
      </c>
      <c r="U1840" s="372" t="s">
        <v>12002</v>
      </c>
      <c r="V1840" s="723">
        <v>0</v>
      </c>
      <c r="W1840" s="723">
        <v>1.07</v>
      </c>
      <c r="X1840" s="723">
        <v>0</v>
      </c>
      <c r="Y1840" s="723">
        <v>0</v>
      </c>
      <c r="Z1840" s="382" t="s">
        <v>927</v>
      </c>
      <c r="AA1840" s="372">
        <v>354.8515835</v>
      </c>
      <c r="AB1840" s="372">
        <v>592.649359</v>
      </c>
      <c r="AC1840" s="372">
        <v>481.11617669999998</v>
      </c>
      <c r="AD1840" s="372">
        <v>309.03076750000002</v>
      </c>
      <c r="AE1840" s="372">
        <v>0</v>
      </c>
      <c r="AF1840" s="372">
        <v>0</v>
      </c>
      <c r="AG1840" s="372">
        <v>0</v>
      </c>
      <c r="AH1840" s="372">
        <v>0</v>
      </c>
    </row>
    <row r="1841" spans="1:34">
      <c r="A1841" s="372" t="s">
        <v>12003</v>
      </c>
      <c r="B1841" s="373" t="s">
        <v>12004</v>
      </c>
      <c r="C1841" s="372" t="s">
        <v>12005</v>
      </c>
      <c r="D1841" s="374">
        <v>1201110002212</v>
      </c>
      <c r="E1841" s="372" t="s">
        <v>12006</v>
      </c>
      <c r="F1841" s="375" t="s">
        <v>2747</v>
      </c>
      <c r="G1841" s="375" t="s">
        <v>2748</v>
      </c>
      <c r="H1841" s="375" t="s">
        <v>812</v>
      </c>
      <c r="I1841" s="375" t="s">
        <v>754</v>
      </c>
      <c r="J1841" s="375">
        <v>206849.43453999999</v>
      </c>
      <c r="K1841" s="375">
        <v>1592.86456</v>
      </c>
      <c r="L1841" s="375">
        <v>-2865.60131</v>
      </c>
      <c r="M1841" s="375">
        <v>105344.03412</v>
      </c>
      <c r="N1841" s="372">
        <v>1.012</v>
      </c>
      <c r="O1841" s="704">
        <v>27.115566283136367</v>
      </c>
      <c r="P1841" s="375" t="s">
        <v>622</v>
      </c>
      <c r="Q1841" s="375" t="s">
        <v>622</v>
      </c>
      <c r="R1841" s="696">
        <v>19940429</v>
      </c>
      <c r="S1841" s="375" t="s">
        <v>12007</v>
      </c>
      <c r="T1841" s="697" t="s">
        <v>771</v>
      </c>
      <c r="U1841" s="372" t="s">
        <v>12008</v>
      </c>
      <c r="V1841" s="723">
        <v>0</v>
      </c>
      <c r="W1841" s="723">
        <v>0</v>
      </c>
      <c r="X1841" s="723">
        <v>0</v>
      </c>
      <c r="Y1841" s="723">
        <v>0</v>
      </c>
      <c r="Z1841" s="382" t="s">
        <v>927</v>
      </c>
      <c r="AA1841" s="372">
        <v>1404.9548388999999</v>
      </c>
      <c r="AB1841" s="372">
        <v>2034.2390163</v>
      </c>
      <c r="AC1841" s="372">
        <v>2549.6764929000001</v>
      </c>
      <c r="AD1841" s="372">
        <v>2009.6962851000001</v>
      </c>
      <c r="AE1841" s="372">
        <v>0</v>
      </c>
      <c r="AF1841" s="372">
        <v>0</v>
      </c>
      <c r="AG1841" s="372">
        <v>0</v>
      </c>
      <c r="AH1841" s="372">
        <v>0</v>
      </c>
    </row>
    <row r="1842" spans="1:34">
      <c r="A1842" s="372" t="s">
        <v>12009</v>
      </c>
      <c r="B1842" s="373" t="s">
        <v>12010</v>
      </c>
      <c r="C1842" s="372" t="s">
        <v>12011</v>
      </c>
      <c r="D1842" s="374">
        <v>1101116471554</v>
      </c>
      <c r="E1842" s="372" t="s">
        <v>12012</v>
      </c>
      <c r="F1842" s="372" t="s">
        <v>2222</v>
      </c>
      <c r="G1842" s="375" t="s">
        <v>2222</v>
      </c>
      <c r="H1842" s="375" t="s">
        <v>861</v>
      </c>
      <c r="I1842" s="375" t="s">
        <v>862</v>
      </c>
      <c r="J1842" s="375">
        <v>34701.194150000003</v>
      </c>
      <c r="K1842" s="375">
        <v>2537.0244899999998</v>
      </c>
      <c r="L1842" s="375">
        <v>1602.06943</v>
      </c>
      <c r="M1842" s="375">
        <v>64278.283750000002</v>
      </c>
      <c r="N1842" s="372">
        <v>0.58399999999999996</v>
      </c>
      <c r="O1842" s="704">
        <v>62.976421717457058</v>
      </c>
      <c r="P1842" s="375" t="s">
        <v>622</v>
      </c>
      <c r="Q1842" s="372" t="s">
        <v>622</v>
      </c>
      <c r="R1842" s="696">
        <v>20170929</v>
      </c>
      <c r="S1842" s="372" t="s">
        <v>12013</v>
      </c>
      <c r="T1842" s="697">
        <v>0.20900000000000002</v>
      </c>
      <c r="U1842" s="372" t="s">
        <v>12014</v>
      </c>
      <c r="V1842" s="723">
        <v>15.05</v>
      </c>
      <c r="W1842" s="723">
        <v>0.86</v>
      </c>
      <c r="X1842" s="723">
        <v>1.61</v>
      </c>
      <c r="Y1842" s="723">
        <v>39.979999999999997</v>
      </c>
      <c r="Z1842" s="382" t="s">
        <v>927</v>
      </c>
      <c r="AA1842" s="372">
        <v>304.64515490000002</v>
      </c>
      <c r="AB1842" s="372">
        <v>383.07595789999999</v>
      </c>
      <c r="AC1842" s="372">
        <v>335.37795920000002</v>
      </c>
      <c r="AD1842" s="372">
        <v>373.00346739999998</v>
      </c>
      <c r="AE1842" s="372">
        <v>0</v>
      </c>
      <c r="AF1842" s="372">
        <v>0</v>
      </c>
      <c r="AG1842" s="372">
        <v>0</v>
      </c>
      <c r="AH1842" s="372">
        <v>0</v>
      </c>
    </row>
    <row r="1843" spans="1:34">
      <c r="A1843" s="372" t="s">
        <v>12015</v>
      </c>
      <c r="B1843" s="373" t="s">
        <v>12016</v>
      </c>
      <c r="C1843" s="372" t="s">
        <v>12017</v>
      </c>
      <c r="D1843" s="374">
        <v>1311110248194</v>
      </c>
      <c r="E1843" s="372" t="s">
        <v>12018</v>
      </c>
      <c r="F1843" s="375" t="s">
        <v>1249</v>
      </c>
      <c r="G1843" s="375" t="s">
        <v>1249</v>
      </c>
      <c r="H1843" s="375" t="s">
        <v>861</v>
      </c>
      <c r="I1843" s="375" t="s">
        <v>862</v>
      </c>
      <c r="J1843" s="375">
        <v>13723.636689999999</v>
      </c>
      <c r="K1843" s="375">
        <v>-68.121669999999995</v>
      </c>
      <c r="L1843" s="375">
        <v>-551.47667000000001</v>
      </c>
      <c r="M1843" s="375">
        <v>18019.023980000002</v>
      </c>
      <c r="N1843" s="372">
        <v>0.58899999999999997</v>
      </c>
      <c r="O1843" s="704">
        <v>4.1368006930491568</v>
      </c>
      <c r="P1843" s="375" t="s">
        <v>622</v>
      </c>
      <c r="Q1843" s="372" t="s">
        <v>622</v>
      </c>
      <c r="R1843" s="696">
        <v>20160311</v>
      </c>
      <c r="S1843" s="372" t="s">
        <v>12019</v>
      </c>
      <c r="T1843" s="697" t="s">
        <v>771</v>
      </c>
      <c r="U1843" s="372" t="s">
        <v>12020</v>
      </c>
      <c r="V1843" s="723">
        <v>0</v>
      </c>
      <c r="W1843" s="723">
        <v>0</v>
      </c>
      <c r="X1843" s="723">
        <v>0</v>
      </c>
      <c r="Y1843" s="723">
        <v>0</v>
      </c>
      <c r="Z1843" s="382" t="s">
        <v>927</v>
      </c>
      <c r="AA1843" s="372">
        <v>61.9115471</v>
      </c>
      <c r="AB1843" s="372">
        <v>79.355649099999994</v>
      </c>
      <c r="AC1843" s="372">
        <v>65.006579599999995</v>
      </c>
      <c r="AD1843" s="372">
        <v>73.151253699999998</v>
      </c>
      <c r="AE1843" s="372">
        <v>0</v>
      </c>
      <c r="AF1843" s="372">
        <v>0</v>
      </c>
      <c r="AG1843" s="372">
        <v>0</v>
      </c>
      <c r="AH1843" s="372">
        <v>0</v>
      </c>
    </row>
    <row r="1844" spans="1:34">
      <c r="A1844" s="372" t="s">
        <v>12021</v>
      </c>
      <c r="B1844" s="373" t="s">
        <v>12022</v>
      </c>
      <c r="C1844" s="372" t="s">
        <v>12023</v>
      </c>
      <c r="D1844" s="374">
        <v>1101110155683</v>
      </c>
      <c r="E1844" s="372" t="s">
        <v>12024</v>
      </c>
      <c r="F1844" s="375" t="s">
        <v>893</v>
      </c>
      <c r="G1844" s="375" t="s">
        <v>894</v>
      </c>
      <c r="H1844" s="375" t="s">
        <v>855</v>
      </c>
      <c r="I1844" s="375" t="s">
        <v>754</v>
      </c>
      <c r="J1844" s="375">
        <v>610839.54709000001</v>
      </c>
      <c r="K1844" s="375">
        <v>-110203.6488</v>
      </c>
      <c r="L1844" s="375">
        <v>27295.136699999999</v>
      </c>
      <c r="M1844" s="375">
        <v>201183.80923000001</v>
      </c>
      <c r="N1844" s="372">
        <v>0.247</v>
      </c>
      <c r="O1844" s="704">
        <v>795.41500064825618</v>
      </c>
      <c r="P1844" s="375" t="s">
        <v>622</v>
      </c>
      <c r="Q1844" s="372" t="s">
        <v>16116</v>
      </c>
      <c r="R1844" s="696">
        <v>19941105</v>
      </c>
      <c r="S1844" s="372" t="s">
        <v>15939</v>
      </c>
      <c r="T1844" s="697">
        <v>0.23100000000000001</v>
      </c>
      <c r="U1844" s="372" t="s">
        <v>12025</v>
      </c>
      <c r="V1844" s="723" t="s">
        <v>773</v>
      </c>
      <c r="W1844" s="723">
        <v>0.1</v>
      </c>
      <c r="X1844" s="723">
        <v>0.03</v>
      </c>
      <c r="Y1844" s="723">
        <v>0.23</v>
      </c>
      <c r="Z1844" s="382" t="s">
        <v>927</v>
      </c>
      <c r="AA1844" s="372">
        <v>6804.4818183999996</v>
      </c>
      <c r="AB1844" s="372">
        <v>6126.7662099999998</v>
      </c>
      <c r="AC1844" s="372">
        <v>6433.5445824999997</v>
      </c>
      <c r="AD1844" s="372">
        <v>6984.6659364999996</v>
      </c>
      <c r="AE1844" s="372">
        <v>0</v>
      </c>
      <c r="AF1844" s="372">
        <v>0</v>
      </c>
      <c r="AG1844" s="372">
        <v>0</v>
      </c>
      <c r="AH1844" s="372">
        <v>0</v>
      </c>
    </row>
    <row r="1845" spans="1:34">
      <c r="A1845" s="372" t="s">
        <v>12026</v>
      </c>
      <c r="B1845" s="373" t="s">
        <v>12027</v>
      </c>
      <c r="C1845" s="372" t="s">
        <v>12028</v>
      </c>
      <c r="D1845" s="374">
        <v>1101112606171</v>
      </c>
      <c r="E1845" s="372" t="s">
        <v>12029</v>
      </c>
      <c r="F1845" s="375" t="s">
        <v>1055</v>
      </c>
      <c r="G1845" s="375" t="s">
        <v>16104</v>
      </c>
      <c r="H1845" s="375" t="s">
        <v>861</v>
      </c>
      <c r="I1845" s="375" t="s">
        <v>862</v>
      </c>
      <c r="J1845" s="375">
        <v>4372.5080200000002</v>
      </c>
      <c r="K1845" s="375">
        <v>-13009.93779</v>
      </c>
      <c r="L1845" s="375">
        <v>-13753.50742</v>
      </c>
      <c r="M1845" s="375">
        <v>9305.2288200000003</v>
      </c>
      <c r="N1845" s="372">
        <v>0.20699999999999999</v>
      </c>
      <c r="O1845" s="704">
        <v>9.4054389195870449</v>
      </c>
      <c r="P1845" s="375" t="s">
        <v>622</v>
      </c>
      <c r="Q1845" s="375" t="s">
        <v>622</v>
      </c>
      <c r="R1845" s="696">
        <v>20201019</v>
      </c>
      <c r="S1845" s="375" t="s">
        <v>12030</v>
      </c>
      <c r="T1845" s="697" t="s">
        <v>771</v>
      </c>
      <c r="U1845" s="372" t="s">
        <v>12031</v>
      </c>
      <c r="V1845" s="723" t="s">
        <v>773</v>
      </c>
      <c r="W1845" s="723">
        <v>7.54</v>
      </c>
      <c r="X1845" s="723">
        <v>16.97</v>
      </c>
      <c r="Y1845" s="723" t="s">
        <v>773</v>
      </c>
      <c r="Z1845" s="382" t="s">
        <v>927</v>
      </c>
      <c r="AA1845" s="372">
        <v>5.0785095</v>
      </c>
      <c r="AB1845" s="372">
        <v>5.7708349999999999</v>
      </c>
      <c r="AC1845" s="372">
        <v>44.448335800000002</v>
      </c>
      <c r="AD1845" s="372">
        <v>44.528582200000002</v>
      </c>
      <c r="AE1845" s="372">
        <v>200</v>
      </c>
      <c r="AF1845" s="372">
        <v>0</v>
      </c>
      <c r="AG1845" s="372">
        <v>0</v>
      </c>
      <c r="AH1845" s="372">
        <v>0</v>
      </c>
    </row>
    <row r="1846" spans="1:34">
      <c r="A1846" s="372" t="s">
        <v>12032</v>
      </c>
      <c r="B1846" s="373" t="s">
        <v>12033</v>
      </c>
      <c r="C1846" s="372" t="s">
        <v>12034</v>
      </c>
      <c r="D1846" s="374">
        <v>1801110132801</v>
      </c>
      <c r="E1846" s="372" t="s">
        <v>12035</v>
      </c>
      <c r="F1846" s="372" t="s">
        <v>1062</v>
      </c>
      <c r="G1846" s="375" t="s">
        <v>1062</v>
      </c>
      <c r="H1846" s="375" t="s">
        <v>1337</v>
      </c>
      <c r="I1846" s="375" t="s">
        <v>862</v>
      </c>
      <c r="J1846" s="375">
        <v>182141.13764</v>
      </c>
      <c r="K1846" s="375">
        <v>-508.74855000000002</v>
      </c>
      <c r="L1846" s="375">
        <v>8580.6899900000008</v>
      </c>
      <c r="M1846" s="375">
        <v>205768.66260000001</v>
      </c>
      <c r="N1846" s="372">
        <v>0.97499999999999998</v>
      </c>
      <c r="O1846" s="704">
        <v>48.131352110060753</v>
      </c>
      <c r="P1846" s="375" t="s">
        <v>622</v>
      </c>
      <c r="Q1846" s="372" t="s">
        <v>622</v>
      </c>
      <c r="R1846" s="696">
        <v>19970725</v>
      </c>
      <c r="S1846" s="372" t="s">
        <v>12036</v>
      </c>
      <c r="T1846" s="697">
        <v>0.20900000000000002</v>
      </c>
      <c r="U1846" s="372" t="s">
        <v>12037</v>
      </c>
      <c r="V1846" s="723">
        <v>34.33</v>
      </c>
      <c r="W1846" s="723">
        <v>0.28999999999999998</v>
      </c>
      <c r="X1846" s="723">
        <v>0.23</v>
      </c>
      <c r="Y1846" s="723">
        <v>8.51</v>
      </c>
      <c r="Z1846" s="382" t="s">
        <v>927</v>
      </c>
      <c r="AA1846" s="372">
        <v>1352.6581444000001</v>
      </c>
      <c r="AB1846" s="372">
        <v>1450.253301</v>
      </c>
      <c r="AC1846" s="372">
        <v>1916.2155732000001</v>
      </c>
      <c r="AD1846" s="372">
        <v>1909.6843134000001</v>
      </c>
      <c r="AE1846" s="372">
        <v>0</v>
      </c>
      <c r="AF1846" s="372">
        <v>0</v>
      </c>
      <c r="AG1846" s="372">
        <v>0</v>
      </c>
      <c r="AH1846" s="372">
        <v>0</v>
      </c>
    </row>
    <row r="1847" spans="1:34">
      <c r="A1847" s="372" t="s">
        <v>12038</v>
      </c>
      <c r="B1847" s="373" t="s">
        <v>12039</v>
      </c>
      <c r="C1847" s="372" t="s">
        <v>12040</v>
      </c>
      <c r="D1847" s="374">
        <v>1101110074479</v>
      </c>
      <c r="E1847" s="372" t="s">
        <v>12041</v>
      </c>
      <c r="F1847" s="372" t="s">
        <v>5625</v>
      </c>
      <c r="G1847" s="375" t="s">
        <v>5625</v>
      </c>
      <c r="H1847" s="375" t="s">
        <v>753</v>
      </c>
      <c r="I1847" s="375" t="s">
        <v>754</v>
      </c>
      <c r="J1847" s="375">
        <v>50467.649230000003</v>
      </c>
      <c r="K1847" s="375">
        <v>-3892.47435</v>
      </c>
      <c r="L1847" s="375">
        <v>712.83559000000002</v>
      </c>
      <c r="M1847" s="375">
        <v>54374.125330000003</v>
      </c>
      <c r="N1847" s="372">
        <v>0.30199999999999999</v>
      </c>
      <c r="O1847" s="704">
        <v>34.805746998962576</v>
      </c>
      <c r="P1847" s="375" t="s">
        <v>622</v>
      </c>
      <c r="Q1847" s="375" t="s">
        <v>622</v>
      </c>
      <c r="R1847" s="696">
        <v>19891130</v>
      </c>
      <c r="S1847" s="375" t="s">
        <v>12042</v>
      </c>
      <c r="T1847" s="697">
        <v>0.20900000000000002</v>
      </c>
      <c r="U1847" s="375" t="s">
        <v>12043</v>
      </c>
      <c r="V1847" s="723" t="s">
        <v>773</v>
      </c>
      <c r="W1847" s="723">
        <v>1.1599999999999999</v>
      </c>
      <c r="X1847" s="723">
        <v>1.25</v>
      </c>
      <c r="Y1847" s="723">
        <v>608.86</v>
      </c>
      <c r="Z1847" s="382" t="s">
        <v>927</v>
      </c>
      <c r="AA1847" s="372">
        <v>414.33739250000002</v>
      </c>
      <c r="AB1847" s="372">
        <v>472.300725</v>
      </c>
      <c r="AC1847" s="372">
        <v>567.21432609999999</v>
      </c>
      <c r="AD1847" s="372">
        <v>570.50887120000004</v>
      </c>
      <c r="AE1847" s="372">
        <v>0</v>
      </c>
      <c r="AF1847" s="372">
        <v>0</v>
      </c>
      <c r="AG1847" s="372">
        <v>0</v>
      </c>
      <c r="AH1847" s="372">
        <v>0</v>
      </c>
    </row>
    <row r="1848" spans="1:34">
      <c r="A1848" s="372" t="s">
        <v>12044</v>
      </c>
      <c r="B1848" s="373" t="s">
        <v>12045</v>
      </c>
      <c r="C1848" s="372" t="s">
        <v>12046</v>
      </c>
      <c r="D1848" s="374">
        <v>1101115255214</v>
      </c>
      <c r="E1848" s="372" t="s">
        <v>12047</v>
      </c>
      <c r="F1848" s="375" t="s">
        <v>1796</v>
      </c>
      <c r="G1848" s="375" t="s">
        <v>1797</v>
      </c>
      <c r="H1848" s="375" t="s">
        <v>861</v>
      </c>
      <c r="I1848" s="375" t="s">
        <v>862</v>
      </c>
      <c r="J1848" s="375">
        <v>31672.375329999999</v>
      </c>
      <c r="K1848" s="375">
        <v>-9663.0556300000007</v>
      </c>
      <c r="L1848" s="375">
        <v>-9858.5313499999993</v>
      </c>
      <c r="M1848" s="375">
        <v>13661.675380000001</v>
      </c>
      <c r="N1848" s="372">
        <v>0.80800000000000005</v>
      </c>
      <c r="O1848" s="704">
        <v>107.24406760480751</v>
      </c>
      <c r="P1848" s="375" t="s">
        <v>622</v>
      </c>
      <c r="Q1848" s="372" t="s">
        <v>622</v>
      </c>
      <c r="R1848" s="696">
        <v>20211110</v>
      </c>
      <c r="S1848" s="375" t="s">
        <v>12048</v>
      </c>
      <c r="T1848" s="697" t="s">
        <v>771</v>
      </c>
      <c r="U1848" s="375" t="s">
        <v>12049</v>
      </c>
      <c r="V1848" s="723" t="s">
        <v>773</v>
      </c>
      <c r="W1848" s="723">
        <v>2.34</v>
      </c>
      <c r="X1848" s="723">
        <v>0.83</v>
      </c>
      <c r="Y1848" s="723" t="s">
        <v>773</v>
      </c>
      <c r="Z1848" s="382" t="s">
        <v>927</v>
      </c>
      <c r="AA1848" s="372">
        <v>115.7635167</v>
      </c>
      <c r="AB1848" s="372">
        <v>164.14865499999999</v>
      </c>
      <c r="AC1848" s="372">
        <v>191.7515281</v>
      </c>
      <c r="AD1848" s="372">
        <v>278.40337670000002</v>
      </c>
      <c r="AE1848" s="372">
        <v>0</v>
      </c>
      <c r="AF1848" s="372">
        <v>0</v>
      </c>
      <c r="AG1848" s="372">
        <v>0</v>
      </c>
      <c r="AH1848" s="372">
        <v>0</v>
      </c>
    </row>
    <row r="1849" spans="1:34">
      <c r="A1849" s="372" t="s">
        <v>12050</v>
      </c>
      <c r="B1849" s="373" t="s">
        <v>12051</v>
      </c>
      <c r="C1849" s="372" t="s">
        <v>12052</v>
      </c>
      <c r="D1849" s="374">
        <v>1341110025060</v>
      </c>
      <c r="E1849" s="372" t="s">
        <v>12053</v>
      </c>
      <c r="F1849" s="375" t="s">
        <v>1276</v>
      </c>
      <c r="G1849" s="375" t="s">
        <v>1276</v>
      </c>
      <c r="H1849" s="375" t="s">
        <v>861</v>
      </c>
      <c r="I1849" s="375" t="s">
        <v>862</v>
      </c>
      <c r="J1849" s="375">
        <v>118322.88927</v>
      </c>
      <c r="K1849" s="375">
        <v>1371.7818400000001</v>
      </c>
      <c r="L1849" s="375">
        <v>2543.5392999999999</v>
      </c>
      <c r="M1849" s="375">
        <v>44539.529390000003</v>
      </c>
      <c r="N1849" s="372">
        <v>0.80500000000000005</v>
      </c>
      <c r="O1849" s="704">
        <v>46.501289361367384</v>
      </c>
      <c r="P1849" s="375" t="s">
        <v>622</v>
      </c>
      <c r="Q1849" s="372" t="s">
        <v>622</v>
      </c>
      <c r="R1849" s="696">
        <v>20171016</v>
      </c>
      <c r="S1849" s="372" t="s">
        <v>12054</v>
      </c>
      <c r="T1849" s="697">
        <v>0.20900000000000002</v>
      </c>
      <c r="U1849" s="372" t="s">
        <v>12055</v>
      </c>
      <c r="V1849" s="723">
        <v>18.27</v>
      </c>
      <c r="W1849" s="723">
        <v>1.05</v>
      </c>
      <c r="X1849" s="723">
        <v>0.4</v>
      </c>
      <c r="Y1849" s="723">
        <v>21.16</v>
      </c>
      <c r="Z1849" s="382" t="s">
        <v>927</v>
      </c>
      <c r="AA1849" s="372">
        <v>865.19080989999998</v>
      </c>
      <c r="AB1849" s="372">
        <v>1029.6773028</v>
      </c>
      <c r="AC1849" s="372">
        <v>1113.4459995</v>
      </c>
      <c r="AD1849" s="372">
        <v>1097.0375873</v>
      </c>
      <c r="AE1849" s="372">
        <v>0</v>
      </c>
      <c r="AF1849" s="372">
        <v>0</v>
      </c>
      <c r="AG1849" s="372">
        <v>0</v>
      </c>
      <c r="AH1849" s="372">
        <v>0</v>
      </c>
    </row>
    <row r="1850" spans="1:34">
      <c r="A1850" s="372" t="s">
        <v>12056</v>
      </c>
      <c r="B1850" s="373" t="s">
        <v>12057</v>
      </c>
      <c r="C1850" s="372" t="s">
        <v>12058</v>
      </c>
      <c r="D1850" s="374">
        <v>1101111020299</v>
      </c>
      <c r="E1850" s="372" t="s">
        <v>12059</v>
      </c>
      <c r="F1850" s="375" t="s">
        <v>5132</v>
      </c>
      <c r="G1850" s="375" t="s">
        <v>5133</v>
      </c>
      <c r="H1850" s="375" t="s">
        <v>3099</v>
      </c>
      <c r="I1850" s="375" t="s">
        <v>862</v>
      </c>
      <c r="J1850" s="375">
        <v>87767.58541</v>
      </c>
      <c r="K1850" s="375">
        <v>-13210.548779999999</v>
      </c>
      <c r="L1850" s="375">
        <v>-20458.106650000002</v>
      </c>
      <c r="M1850" s="375">
        <v>82642.426720000003</v>
      </c>
      <c r="N1850" s="372">
        <v>1.0649999999999999</v>
      </c>
      <c r="O1850" s="704">
        <v>105.34973702224796</v>
      </c>
      <c r="P1850" s="375" t="s">
        <v>622</v>
      </c>
      <c r="Q1850" s="372" t="s">
        <v>622</v>
      </c>
      <c r="R1850" s="696">
        <v>20090519</v>
      </c>
      <c r="S1850" s="372" t="s">
        <v>12060</v>
      </c>
      <c r="T1850" s="697" t="s">
        <v>771</v>
      </c>
      <c r="U1850" s="372" t="s">
        <v>12061</v>
      </c>
      <c r="V1850" s="723" t="s">
        <v>773</v>
      </c>
      <c r="W1850" s="723">
        <v>0.95</v>
      </c>
      <c r="X1850" s="723">
        <v>0.95</v>
      </c>
      <c r="Y1850" s="723" t="s">
        <v>773</v>
      </c>
      <c r="Z1850" s="382" t="s">
        <v>927</v>
      </c>
      <c r="AA1850" s="372">
        <v>800.00728319999996</v>
      </c>
      <c r="AB1850" s="372">
        <v>928.16027110000005</v>
      </c>
      <c r="AC1850" s="372">
        <v>1044.7110803999999</v>
      </c>
      <c r="AD1850" s="372">
        <v>756.92041589999997</v>
      </c>
      <c r="AE1850" s="372">
        <v>0</v>
      </c>
      <c r="AF1850" s="372">
        <v>0</v>
      </c>
      <c r="AG1850" s="372">
        <v>0</v>
      </c>
      <c r="AH1850" s="372">
        <v>0</v>
      </c>
    </row>
    <row r="1851" spans="1:34">
      <c r="A1851" s="372" t="s">
        <v>12062</v>
      </c>
      <c r="B1851" s="373" t="s">
        <v>12063</v>
      </c>
      <c r="C1851" s="372" t="s">
        <v>12064</v>
      </c>
      <c r="D1851" s="374">
        <v>1753110001158</v>
      </c>
      <c r="E1851" s="372" t="s">
        <v>12065</v>
      </c>
      <c r="F1851" s="372" t="s">
        <v>5132</v>
      </c>
      <c r="G1851" s="375" t="s">
        <v>8123</v>
      </c>
      <c r="H1851" s="375" t="s">
        <v>3099</v>
      </c>
      <c r="I1851" s="375" t="s">
        <v>862</v>
      </c>
      <c r="J1851" s="375">
        <v>138819.21674</v>
      </c>
      <c r="K1851" s="375">
        <v>11597.808940000001</v>
      </c>
      <c r="L1851" s="375">
        <v>-714.55106999999998</v>
      </c>
      <c r="M1851" s="375">
        <v>251937.82921</v>
      </c>
      <c r="N1851" s="372">
        <v>0.82199999999999995</v>
      </c>
      <c r="O1851" s="704">
        <v>70.335593316376603</v>
      </c>
      <c r="P1851" s="375" t="s">
        <v>622</v>
      </c>
      <c r="Q1851" s="372" t="s">
        <v>622</v>
      </c>
      <c r="R1851" s="696">
        <v>19970718</v>
      </c>
      <c r="S1851" s="375" t="s">
        <v>12066</v>
      </c>
      <c r="T1851" s="697" t="s">
        <v>771</v>
      </c>
      <c r="U1851" s="372" t="s">
        <v>12067</v>
      </c>
      <c r="V1851" s="723">
        <v>8.4700000000000006</v>
      </c>
      <c r="W1851" s="723">
        <v>0.3</v>
      </c>
      <c r="X1851" s="723">
        <v>0.54</v>
      </c>
      <c r="Y1851" s="723" t="s">
        <v>773</v>
      </c>
      <c r="Z1851" s="382" t="s">
        <v>927</v>
      </c>
      <c r="AA1851" s="372">
        <v>874.94407980000005</v>
      </c>
      <c r="AB1851" s="372">
        <v>946.7487347</v>
      </c>
      <c r="AC1851" s="372">
        <v>1080.8869153999999</v>
      </c>
      <c r="AD1851" s="372">
        <v>1298.7711881</v>
      </c>
      <c r="AE1851" s="372">
        <v>0</v>
      </c>
      <c r="AF1851" s="372">
        <v>0</v>
      </c>
      <c r="AG1851" s="372">
        <v>0</v>
      </c>
      <c r="AH1851" s="372">
        <v>0</v>
      </c>
    </row>
    <row r="1852" spans="1:34">
      <c r="A1852" s="372" t="s">
        <v>12068</v>
      </c>
      <c r="B1852" s="373" t="s">
        <v>12069</v>
      </c>
      <c r="C1852" s="372" t="s">
        <v>12070</v>
      </c>
      <c r="D1852" s="374">
        <v>1801110006915</v>
      </c>
      <c r="E1852" s="372" t="s">
        <v>12071</v>
      </c>
      <c r="F1852" s="375" t="s">
        <v>12072</v>
      </c>
      <c r="G1852" s="375" t="s">
        <v>12072</v>
      </c>
      <c r="H1852" s="375" t="s">
        <v>909</v>
      </c>
      <c r="I1852" s="375" t="s">
        <v>754</v>
      </c>
      <c r="J1852" s="375">
        <v>44349.405359999997</v>
      </c>
      <c r="K1852" s="375">
        <v>-6494.7151999999996</v>
      </c>
      <c r="L1852" s="375">
        <v>-5977.2223000000004</v>
      </c>
      <c r="M1852" s="375">
        <v>15406.392099999999</v>
      </c>
      <c r="N1852" s="372">
        <v>0.53900000000000003</v>
      </c>
      <c r="O1852" s="704">
        <v>25.20855234886637</v>
      </c>
      <c r="P1852" s="375" t="s">
        <v>622</v>
      </c>
      <c r="Q1852" s="375" t="s">
        <v>622</v>
      </c>
      <c r="R1852" s="696">
        <v>19770623</v>
      </c>
      <c r="S1852" s="375" t="s">
        <v>12073</v>
      </c>
      <c r="T1852" s="697" t="s">
        <v>771</v>
      </c>
      <c r="U1852" s="372" t="s">
        <v>12074</v>
      </c>
      <c r="V1852" s="723">
        <v>0</v>
      </c>
      <c r="W1852" s="723">
        <v>0</v>
      </c>
      <c r="X1852" s="723">
        <v>0</v>
      </c>
      <c r="Y1852" s="723">
        <v>0</v>
      </c>
      <c r="Z1852" s="382" t="s">
        <v>927</v>
      </c>
      <c r="AA1852" s="372">
        <v>311.59428120000001</v>
      </c>
      <c r="AB1852" s="372">
        <v>293.42954500000002</v>
      </c>
      <c r="AC1852" s="372">
        <v>377.03179399999999</v>
      </c>
      <c r="AD1852" s="372">
        <v>439.98455769999998</v>
      </c>
      <c r="AE1852" s="372">
        <v>0</v>
      </c>
      <c r="AF1852" s="372">
        <v>0</v>
      </c>
      <c r="AG1852" s="372">
        <v>0</v>
      </c>
      <c r="AH1852" s="372">
        <v>0</v>
      </c>
    </row>
    <row r="1853" spans="1:34">
      <c r="A1853" s="372" t="s">
        <v>12075</v>
      </c>
      <c r="B1853" s="373" t="s">
        <v>12076</v>
      </c>
      <c r="C1853" s="372" t="s">
        <v>12077</v>
      </c>
      <c r="D1853" s="374">
        <v>1344110015635</v>
      </c>
      <c r="E1853" s="372" t="s">
        <v>12078</v>
      </c>
      <c r="F1853" s="375" t="s">
        <v>10338</v>
      </c>
      <c r="G1853" s="375" t="s">
        <v>12079</v>
      </c>
      <c r="H1853" s="375" t="s">
        <v>1337</v>
      </c>
      <c r="I1853" s="375" t="s">
        <v>862</v>
      </c>
      <c r="J1853" s="375">
        <v>87870.108900000007</v>
      </c>
      <c r="K1853" s="375">
        <v>10406.137189999999</v>
      </c>
      <c r="L1853" s="375">
        <v>9372.8408600000002</v>
      </c>
      <c r="M1853" s="375">
        <v>91053.871549999996</v>
      </c>
      <c r="N1853" s="372">
        <v>0.59799999999999998</v>
      </c>
      <c r="O1853" s="704">
        <v>77.410038471731866</v>
      </c>
      <c r="P1853" s="375" t="s">
        <v>622</v>
      </c>
      <c r="Q1853" s="372" t="s">
        <v>622</v>
      </c>
      <c r="R1853" s="696">
        <v>20161017</v>
      </c>
      <c r="S1853" s="372" t="s">
        <v>12080</v>
      </c>
      <c r="T1853" s="697">
        <v>0.20900000000000002</v>
      </c>
      <c r="U1853" s="372" t="s">
        <v>12081</v>
      </c>
      <c r="V1853" s="723">
        <v>5.2</v>
      </c>
      <c r="W1853" s="723">
        <v>0.87</v>
      </c>
      <c r="X1853" s="723">
        <v>0.9</v>
      </c>
      <c r="Y1853" s="723">
        <v>8.34</v>
      </c>
      <c r="Z1853" s="382">
        <v>8.9704035509477587E-2</v>
      </c>
      <c r="AA1853" s="372">
        <v>533.78373759999999</v>
      </c>
      <c r="AB1853" s="372">
        <v>632.70616340000004</v>
      </c>
      <c r="AC1853" s="372">
        <v>671.14744559999997</v>
      </c>
      <c r="AD1853" s="372">
        <v>741.10894229999997</v>
      </c>
      <c r="AE1853" s="372">
        <v>856</v>
      </c>
      <c r="AF1853" s="372">
        <v>971</v>
      </c>
      <c r="AG1853" s="372">
        <v>1045</v>
      </c>
      <c r="AH1853" s="372">
        <v>1117</v>
      </c>
    </row>
    <row r="1854" spans="1:34">
      <c r="A1854" s="372" t="s">
        <v>12082</v>
      </c>
      <c r="B1854" s="373" t="s">
        <v>12083</v>
      </c>
      <c r="C1854" s="372" t="s">
        <v>12084</v>
      </c>
      <c r="D1854" s="374">
        <v>1501110003058</v>
      </c>
      <c r="E1854" s="372" t="s">
        <v>12085</v>
      </c>
      <c r="F1854" s="372" t="s">
        <v>1849</v>
      </c>
      <c r="G1854" s="375" t="s">
        <v>1850</v>
      </c>
      <c r="H1854" s="375" t="s">
        <v>4847</v>
      </c>
      <c r="I1854" s="375" t="s">
        <v>862</v>
      </c>
      <c r="J1854" s="375">
        <v>301469.48212</v>
      </c>
      <c r="K1854" s="375">
        <v>-39309.802989999996</v>
      </c>
      <c r="L1854" s="375">
        <v>-45900.498420000004</v>
      </c>
      <c r="M1854" s="375">
        <v>288577.62075</v>
      </c>
      <c r="N1854" s="372">
        <v>0.505</v>
      </c>
      <c r="O1854" s="704">
        <v>205.15358816332454</v>
      </c>
      <c r="P1854" s="375" t="s">
        <v>622</v>
      </c>
      <c r="Q1854" s="375" t="s">
        <v>622</v>
      </c>
      <c r="R1854" s="696">
        <v>20171201</v>
      </c>
      <c r="S1854" s="375" t="s">
        <v>12086</v>
      </c>
      <c r="T1854" s="697" t="s">
        <v>771</v>
      </c>
      <c r="U1854" s="372" t="s">
        <v>12087</v>
      </c>
      <c r="V1854" s="723" t="s">
        <v>773</v>
      </c>
      <c r="W1854" s="723">
        <v>0.21</v>
      </c>
      <c r="X1854" s="723">
        <v>0.2</v>
      </c>
      <c r="Y1854" s="723" t="s">
        <v>773</v>
      </c>
      <c r="Z1854" s="382" t="s">
        <v>927</v>
      </c>
      <c r="AA1854" s="372">
        <v>2002.1572772</v>
      </c>
      <c r="AB1854" s="372">
        <v>2892.9648434999999</v>
      </c>
      <c r="AC1854" s="372">
        <v>3583.1181479000002</v>
      </c>
      <c r="AD1854" s="372">
        <v>4360.9200148999998</v>
      </c>
      <c r="AE1854" s="372">
        <v>0</v>
      </c>
      <c r="AF1854" s="372">
        <v>0</v>
      </c>
      <c r="AG1854" s="372">
        <v>0</v>
      </c>
      <c r="AH1854" s="372">
        <v>0</v>
      </c>
    </row>
    <row r="1855" spans="1:34">
      <c r="A1855" s="372" t="s">
        <v>12088</v>
      </c>
      <c r="B1855" s="373" t="s">
        <v>12089</v>
      </c>
      <c r="C1855" s="372" t="s">
        <v>12090</v>
      </c>
      <c r="D1855" s="374">
        <v>0</v>
      </c>
      <c r="E1855" s="372" t="s">
        <v>12091</v>
      </c>
      <c r="F1855" s="372" t="s">
        <v>12092</v>
      </c>
      <c r="G1855" s="375" t="s">
        <v>12092</v>
      </c>
      <c r="H1855" s="375">
        <v>0</v>
      </c>
      <c r="I1855" s="375" t="s">
        <v>862</v>
      </c>
      <c r="J1855" s="375">
        <v>26145.448</v>
      </c>
      <c r="K1855" s="375">
        <v>-13677.86</v>
      </c>
      <c r="L1855" s="375">
        <v>-34848.180999999997</v>
      </c>
      <c r="M1855" s="375">
        <v>38769.682999999997</v>
      </c>
      <c r="N1855" s="372">
        <v>0.98699999999999999</v>
      </c>
      <c r="O1855" s="704">
        <v>6.6442906030663513</v>
      </c>
      <c r="P1855" s="375" t="s">
        <v>622</v>
      </c>
      <c r="Q1855" s="372" t="s">
        <v>622</v>
      </c>
      <c r="R1855" s="696">
        <v>20100421</v>
      </c>
      <c r="S1855" s="372" t="s">
        <v>12093</v>
      </c>
      <c r="T1855" s="697" t="s">
        <v>771</v>
      </c>
      <c r="U1855" s="372" t="s">
        <v>12094</v>
      </c>
      <c r="V1855" s="723" t="s">
        <v>773</v>
      </c>
      <c r="W1855" s="723">
        <v>1.44</v>
      </c>
      <c r="X1855" s="723">
        <v>2.0499999999999998</v>
      </c>
      <c r="Y1855" s="723" t="s">
        <v>773</v>
      </c>
      <c r="Z1855" s="382" t="s">
        <v>927</v>
      </c>
      <c r="AA1855" s="372">
        <v>741.52354000000003</v>
      </c>
      <c r="AB1855" s="372">
        <v>817.18655000000001</v>
      </c>
      <c r="AC1855" s="372">
        <v>660.13058999999998</v>
      </c>
      <c r="AD1855" s="372">
        <v>384.31076000000002</v>
      </c>
      <c r="AE1855" s="372">
        <v>0</v>
      </c>
      <c r="AF1855" s="372">
        <v>0</v>
      </c>
      <c r="AG1855" s="372">
        <v>0</v>
      </c>
      <c r="AH1855" s="372">
        <v>0</v>
      </c>
    </row>
    <row r="1856" spans="1:34">
      <c r="A1856" s="372" t="s">
        <v>12095</v>
      </c>
      <c r="B1856" s="373" t="s">
        <v>12096</v>
      </c>
      <c r="C1856" s="372" t="s">
        <v>12097</v>
      </c>
      <c r="D1856" s="374">
        <v>1101110048987</v>
      </c>
      <c r="E1856" s="372" t="s">
        <v>12098</v>
      </c>
      <c r="F1856" s="375" t="s">
        <v>2089</v>
      </c>
      <c r="G1856" s="375" t="s">
        <v>2089</v>
      </c>
      <c r="H1856" s="375" t="s">
        <v>812</v>
      </c>
      <c r="I1856" s="375" t="s">
        <v>754</v>
      </c>
      <c r="J1856" s="375">
        <v>200596.57386999999</v>
      </c>
      <c r="K1856" s="375">
        <v>-897.92840000000001</v>
      </c>
      <c r="L1856" s="375">
        <v>-2942.5390000000002</v>
      </c>
      <c r="M1856" s="375">
        <v>168648.88639999999</v>
      </c>
      <c r="N1856" s="372">
        <v>0.71699999999999997</v>
      </c>
      <c r="O1856" s="704">
        <v>225.12937717632462</v>
      </c>
      <c r="P1856" s="375" t="s">
        <v>622</v>
      </c>
      <c r="Q1856" s="375" t="s">
        <v>622</v>
      </c>
      <c r="R1856" s="696">
        <v>19881007</v>
      </c>
      <c r="S1856" s="375" t="s">
        <v>12099</v>
      </c>
      <c r="T1856" s="697" t="s">
        <v>771</v>
      </c>
      <c r="U1856" s="372" t="s">
        <v>12100</v>
      </c>
      <c r="V1856" s="723">
        <v>32.380000000000003</v>
      </c>
      <c r="W1856" s="723">
        <v>0.32</v>
      </c>
      <c r="X1856" s="723">
        <v>0.27</v>
      </c>
      <c r="Y1856" s="723" t="s">
        <v>773</v>
      </c>
      <c r="Z1856" s="382" t="s">
        <v>927</v>
      </c>
      <c r="AA1856" s="372">
        <v>1571.1967887999999</v>
      </c>
      <c r="AB1856" s="372">
        <v>2485.9316081000002</v>
      </c>
      <c r="AC1856" s="372">
        <v>2552.2932255000001</v>
      </c>
      <c r="AD1856" s="372">
        <v>2162.5546014000001</v>
      </c>
      <c r="AE1856" s="372">
        <v>0</v>
      </c>
      <c r="AF1856" s="372">
        <v>0</v>
      </c>
      <c r="AG1856" s="372">
        <v>0</v>
      </c>
      <c r="AH1856" s="372">
        <v>0</v>
      </c>
    </row>
    <row r="1857" spans="1:34">
      <c r="A1857" s="372" t="s">
        <v>12101</v>
      </c>
      <c r="B1857" s="373" t="s">
        <v>12102</v>
      </c>
      <c r="C1857" s="372" t="s">
        <v>12103</v>
      </c>
      <c r="D1857" s="374">
        <v>1101113615121</v>
      </c>
      <c r="E1857" s="372" t="s">
        <v>12104</v>
      </c>
      <c r="F1857" s="375" t="s">
        <v>2518</v>
      </c>
      <c r="G1857" s="375" t="s">
        <v>2518</v>
      </c>
      <c r="H1857" s="375" t="s">
        <v>1337</v>
      </c>
      <c r="I1857" s="375" t="s">
        <v>862</v>
      </c>
      <c r="J1857" s="375">
        <v>22478.661</v>
      </c>
      <c r="K1857" s="375">
        <v>-3381.1504399999999</v>
      </c>
      <c r="L1857" s="375">
        <v>-3125.5142700000001</v>
      </c>
      <c r="M1857" s="375">
        <v>33667.212959999997</v>
      </c>
      <c r="N1857" s="372">
        <v>0.997</v>
      </c>
      <c r="O1857" s="704">
        <v>0.55066593430430588</v>
      </c>
      <c r="P1857" s="375" t="s">
        <v>622</v>
      </c>
      <c r="Q1857" s="372" t="s">
        <v>622</v>
      </c>
      <c r="R1857" s="696">
        <v>20131126</v>
      </c>
      <c r="S1857" s="372" t="s">
        <v>8206</v>
      </c>
      <c r="T1857" s="697" t="s">
        <v>771</v>
      </c>
      <c r="U1857" s="372" t="s">
        <v>12105</v>
      </c>
      <c r="V1857" s="723" t="s">
        <v>773</v>
      </c>
      <c r="W1857" s="723">
        <v>1.41</v>
      </c>
      <c r="X1857" s="723">
        <v>2.2000000000000002</v>
      </c>
      <c r="Y1857" s="723" t="s">
        <v>773</v>
      </c>
      <c r="Z1857" s="382">
        <v>0.29597477961484464</v>
      </c>
      <c r="AA1857" s="372">
        <v>199.66274150000001</v>
      </c>
      <c r="AB1857" s="372">
        <v>222.5695834</v>
      </c>
      <c r="AC1857" s="372">
        <v>117.03036729999999</v>
      </c>
      <c r="AD1857" s="372">
        <v>191.78342269999999</v>
      </c>
      <c r="AE1857" s="372">
        <v>291</v>
      </c>
      <c r="AF1857" s="372">
        <v>412</v>
      </c>
      <c r="AG1857" s="372">
        <v>541</v>
      </c>
      <c r="AH1857" s="372">
        <v>0</v>
      </c>
    </row>
    <row r="1858" spans="1:34">
      <c r="A1858" s="372" t="s">
        <v>12106</v>
      </c>
      <c r="B1858" s="373" t="s">
        <v>12107</v>
      </c>
      <c r="C1858" s="372" t="s">
        <v>12108</v>
      </c>
      <c r="D1858" s="374">
        <v>1243110025539</v>
      </c>
      <c r="E1858" s="372" t="s">
        <v>12109</v>
      </c>
      <c r="F1858" s="375" t="s">
        <v>1393</v>
      </c>
      <c r="G1858" s="375" t="s">
        <v>6845</v>
      </c>
      <c r="H1858" s="375" t="s">
        <v>895</v>
      </c>
      <c r="I1858" s="375" t="s">
        <v>862</v>
      </c>
      <c r="J1858" s="375">
        <v>0</v>
      </c>
      <c r="K1858" s="375">
        <v>0</v>
      </c>
      <c r="L1858" s="375">
        <v>0</v>
      </c>
      <c r="M1858" s="375">
        <v>0</v>
      </c>
      <c r="N1858" s="372">
        <v>0.186</v>
      </c>
      <c r="O1858" s="704" t="s">
        <v>16301</v>
      </c>
      <c r="P1858" s="375" t="s">
        <v>622</v>
      </c>
      <c r="Q1858" s="375" t="s">
        <v>622</v>
      </c>
      <c r="R1858" s="696">
        <v>19940930</v>
      </c>
      <c r="S1858" s="375" t="s">
        <v>12110</v>
      </c>
      <c r="T1858" s="697" t="s">
        <v>771</v>
      </c>
      <c r="U1858" s="372" t="s">
        <v>12111</v>
      </c>
      <c r="V1858" s="723">
        <v>0</v>
      </c>
      <c r="W1858" s="723">
        <v>0</v>
      </c>
      <c r="X1858" s="723">
        <v>0</v>
      </c>
      <c r="Y1858" s="723">
        <v>0</v>
      </c>
      <c r="Z1858" s="382" t="s">
        <v>927</v>
      </c>
      <c r="AA1858" s="372">
        <v>885.17364799999996</v>
      </c>
      <c r="AB1858" s="372">
        <v>388.93823600000002</v>
      </c>
      <c r="AC1858" s="372">
        <v>-42.346600000000002</v>
      </c>
      <c r="AD1858" s="372">
        <v>236.597386</v>
      </c>
      <c r="AE1858" s="372">
        <v>0</v>
      </c>
      <c r="AF1858" s="372">
        <v>0</v>
      </c>
      <c r="AG1858" s="372">
        <v>0</v>
      </c>
      <c r="AH1858" s="372">
        <v>0</v>
      </c>
    </row>
    <row r="1859" spans="1:34">
      <c r="A1859" s="372" t="s">
        <v>12112</v>
      </c>
      <c r="B1859" s="373" t="s">
        <v>12113</v>
      </c>
      <c r="C1859" s="372" t="s">
        <v>12114</v>
      </c>
      <c r="D1859" s="374">
        <v>1101116298148</v>
      </c>
      <c r="E1859" s="372" t="s">
        <v>12115</v>
      </c>
      <c r="F1859" s="375" t="s">
        <v>3218</v>
      </c>
      <c r="G1859" s="375" t="s">
        <v>3218</v>
      </c>
      <c r="H1859" s="375" t="s">
        <v>861</v>
      </c>
      <c r="I1859" s="375" t="s">
        <v>862</v>
      </c>
      <c r="J1859" s="375">
        <v>80685.926999999996</v>
      </c>
      <c r="K1859" s="375">
        <v>8178.7423500000004</v>
      </c>
      <c r="L1859" s="375">
        <v>9278.6610000000001</v>
      </c>
      <c r="M1859" s="375">
        <v>81474.137499999997</v>
      </c>
      <c r="N1859" s="372">
        <v>0.77100000000000002</v>
      </c>
      <c r="O1859" s="704">
        <v>39.201873379832392</v>
      </c>
      <c r="P1859" s="375" t="s">
        <v>622</v>
      </c>
      <c r="Q1859" s="372" t="s">
        <v>622</v>
      </c>
      <c r="R1859" s="696">
        <v>20170406</v>
      </c>
      <c r="S1859" s="372" t="s">
        <v>12116</v>
      </c>
      <c r="T1859" s="697">
        <v>0.20900000000000002</v>
      </c>
      <c r="U1859" s="372" t="s">
        <v>12117</v>
      </c>
      <c r="V1859" s="723">
        <v>0</v>
      </c>
      <c r="W1859" s="723">
        <v>0</v>
      </c>
      <c r="X1859" s="723">
        <v>0</v>
      </c>
      <c r="Y1859" s="723">
        <v>0</v>
      </c>
      <c r="Z1859" s="382" t="s">
        <v>927</v>
      </c>
      <c r="AA1859" s="372">
        <v>507.33873499999999</v>
      </c>
      <c r="AB1859" s="372">
        <v>660.70308179999995</v>
      </c>
      <c r="AC1859" s="372">
        <v>998.91130799999996</v>
      </c>
      <c r="AD1859" s="372">
        <v>991.42525260000002</v>
      </c>
      <c r="AE1859" s="372">
        <v>0</v>
      </c>
      <c r="AF1859" s="372">
        <v>0</v>
      </c>
      <c r="AG1859" s="372">
        <v>0</v>
      </c>
      <c r="AH1859" s="372">
        <v>0</v>
      </c>
    </row>
    <row r="1860" spans="1:34">
      <c r="A1860" s="372" t="s">
        <v>12118</v>
      </c>
      <c r="B1860" s="373" t="s">
        <v>12119</v>
      </c>
      <c r="C1860" s="372" t="s">
        <v>16283</v>
      </c>
      <c r="D1860" s="374">
        <v>1243110033334</v>
      </c>
      <c r="E1860" s="372" t="s">
        <v>16284</v>
      </c>
      <c r="F1860" s="375" t="s">
        <v>1743</v>
      </c>
      <c r="G1860" s="375" t="s">
        <v>1743</v>
      </c>
      <c r="H1860" s="375" t="s">
        <v>3099</v>
      </c>
      <c r="I1860" s="375" t="s">
        <v>862</v>
      </c>
      <c r="J1860" s="375">
        <v>4780.7993299999998</v>
      </c>
      <c r="K1860" s="375">
        <v>-399.06146999999999</v>
      </c>
      <c r="L1860" s="375">
        <v>-2795.1709599999999</v>
      </c>
      <c r="M1860" s="375">
        <v>80390.702069999999</v>
      </c>
      <c r="N1860" s="372">
        <v>0.42</v>
      </c>
      <c r="O1860" s="704">
        <v>0.93857142623453438</v>
      </c>
      <c r="P1860" s="375" t="s">
        <v>622</v>
      </c>
      <c r="Q1860" s="375" t="s">
        <v>622</v>
      </c>
      <c r="R1860" s="696">
        <v>20021213</v>
      </c>
      <c r="S1860" s="372" t="s">
        <v>12120</v>
      </c>
      <c r="T1860" s="697" t="s">
        <v>771</v>
      </c>
      <c r="U1860" s="372" t="s">
        <v>16285</v>
      </c>
      <c r="V1860" s="723" t="s">
        <v>773</v>
      </c>
      <c r="W1860" s="723">
        <v>2.59</v>
      </c>
      <c r="X1860" s="723">
        <v>39.1</v>
      </c>
      <c r="Y1860" s="723" t="s">
        <v>773</v>
      </c>
      <c r="Z1860" s="382" t="s">
        <v>927</v>
      </c>
      <c r="AA1860" s="372">
        <v>302.36805270000002</v>
      </c>
      <c r="AB1860" s="372">
        <v>303.00618070000002</v>
      </c>
      <c r="AC1860" s="372">
        <v>293.67045489999998</v>
      </c>
      <c r="AD1860" s="372">
        <v>69.007447600000006</v>
      </c>
      <c r="AE1860" s="372">
        <v>0</v>
      </c>
      <c r="AF1860" s="372">
        <v>0</v>
      </c>
      <c r="AG1860" s="372">
        <v>0</v>
      </c>
      <c r="AH1860" s="372">
        <v>0</v>
      </c>
    </row>
    <row r="1861" spans="1:34">
      <c r="A1861" s="372" t="s">
        <v>12121</v>
      </c>
      <c r="B1861" s="373" t="s">
        <v>12122</v>
      </c>
      <c r="C1861" s="372" t="s">
        <v>12123</v>
      </c>
      <c r="D1861" s="374">
        <v>1101116417590</v>
      </c>
      <c r="E1861" s="372" t="s">
        <v>12124</v>
      </c>
      <c r="F1861" s="372" t="s">
        <v>7030</v>
      </c>
      <c r="G1861" s="375" t="s">
        <v>7030</v>
      </c>
      <c r="H1861" s="375" t="s">
        <v>1337</v>
      </c>
      <c r="I1861" s="375" t="s">
        <v>862</v>
      </c>
      <c r="J1861" s="375">
        <v>26595.79767</v>
      </c>
      <c r="K1861" s="375">
        <v>3400.6785300000001</v>
      </c>
      <c r="L1861" s="375">
        <v>15.014889999999999</v>
      </c>
      <c r="M1861" s="375">
        <v>42766.464999999997</v>
      </c>
      <c r="N1861" s="372">
        <v>1.1200000000000001</v>
      </c>
      <c r="O1861" s="704">
        <v>118.01916343624028</v>
      </c>
      <c r="P1861" s="375" t="s">
        <v>622</v>
      </c>
      <c r="Q1861" s="372" t="s">
        <v>622</v>
      </c>
      <c r="R1861" s="696">
        <v>20170807</v>
      </c>
      <c r="S1861" s="372" t="s">
        <v>9452</v>
      </c>
      <c r="T1861" s="697">
        <v>9.9000000000000005E-2</v>
      </c>
      <c r="U1861" s="372" t="s">
        <v>12125</v>
      </c>
      <c r="V1861" s="723">
        <v>14.86</v>
      </c>
      <c r="W1861" s="723">
        <v>1.1499999999999999</v>
      </c>
      <c r="X1861" s="723">
        <v>1.85</v>
      </c>
      <c r="Y1861" s="723" t="s">
        <v>773</v>
      </c>
      <c r="Z1861" s="382" t="s">
        <v>927</v>
      </c>
      <c r="AA1861" s="372">
        <v>122.70204</v>
      </c>
      <c r="AB1861" s="372">
        <v>122.6207718</v>
      </c>
      <c r="AC1861" s="372">
        <v>157.73791750000001</v>
      </c>
      <c r="AD1861" s="372">
        <v>138.58493759999999</v>
      </c>
      <c r="AE1861" s="372">
        <v>0</v>
      </c>
      <c r="AF1861" s="372">
        <v>0</v>
      </c>
      <c r="AG1861" s="372">
        <v>0</v>
      </c>
      <c r="AH1861" s="372">
        <v>0</v>
      </c>
    </row>
    <row r="1862" spans="1:34">
      <c r="A1862" s="372" t="s">
        <v>12126</v>
      </c>
      <c r="B1862" s="373" t="s">
        <v>12127</v>
      </c>
      <c r="C1862" s="372" t="s">
        <v>12128</v>
      </c>
      <c r="D1862" s="374">
        <v>1101112246414</v>
      </c>
      <c r="E1862" s="372" t="s">
        <v>12129</v>
      </c>
      <c r="F1862" s="372" t="s">
        <v>1116</v>
      </c>
      <c r="G1862" s="375" t="s">
        <v>3303</v>
      </c>
      <c r="H1862" s="375" t="s">
        <v>1337</v>
      </c>
      <c r="I1862" s="375" t="s">
        <v>862</v>
      </c>
      <c r="J1862" s="375">
        <v>24031.659800000001</v>
      </c>
      <c r="K1862" s="375">
        <v>-3838.3719900000001</v>
      </c>
      <c r="L1862" s="375">
        <v>-5644.9448400000001</v>
      </c>
      <c r="M1862" s="375">
        <v>27959.984960000002</v>
      </c>
      <c r="N1862" s="372">
        <v>0.78</v>
      </c>
      <c r="O1862" s="704">
        <v>5.5706896800151311</v>
      </c>
      <c r="P1862" s="375" t="s">
        <v>622</v>
      </c>
      <c r="Q1862" s="375" t="s">
        <v>622</v>
      </c>
      <c r="R1862" s="696">
        <v>20131031</v>
      </c>
      <c r="S1862" s="375" t="s">
        <v>12130</v>
      </c>
      <c r="T1862" s="697" t="s">
        <v>771</v>
      </c>
      <c r="U1862" s="372" t="s">
        <v>12131</v>
      </c>
      <c r="V1862" s="723" t="s">
        <v>773</v>
      </c>
      <c r="W1862" s="723">
        <v>1.57</v>
      </c>
      <c r="X1862" s="723">
        <v>2.2200000000000002</v>
      </c>
      <c r="Y1862" s="723" t="s">
        <v>773</v>
      </c>
      <c r="Z1862" s="382" t="s">
        <v>927</v>
      </c>
      <c r="AA1862" s="372">
        <v>132.47175759999999</v>
      </c>
      <c r="AB1862" s="372">
        <v>146.95674</v>
      </c>
      <c r="AC1862" s="372">
        <v>139.50826979999999</v>
      </c>
      <c r="AD1862" s="372">
        <v>187.9026145</v>
      </c>
      <c r="AE1862" s="372">
        <v>0</v>
      </c>
      <c r="AF1862" s="372">
        <v>0</v>
      </c>
      <c r="AG1862" s="372">
        <v>0</v>
      </c>
      <c r="AH1862" s="372">
        <v>0</v>
      </c>
    </row>
    <row r="1863" spans="1:34">
      <c r="A1863" s="372" t="s">
        <v>12132</v>
      </c>
      <c r="B1863" s="373" t="s">
        <v>12133</v>
      </c>
      <c r="C1863" s="372" t="s">
        <v>12134</v>
      </c>
      <c r="D1863" s="374">
        <v>1101110723969</v>
      </c>
      <c r="E1863" s="372" t="s">
        <v>12135</v>
      </c>
      <c r="F1863" s="372" t="s">
        <v>1796</v>
      </c>
      <c r="G1863" s="375" t="s">
        <v>2797</v>
      </c>
      <c r="H1863" s="375" t="s">
        <v>861</v>
      </c>
      <c r="I1863" s="375" t="s">
        <v>862</v>
      </c>
      <c r="J1863" s="375">
        <v>30436.619050000001</v>
      </c>
      <c r="K1863" s="375">
        <v>-1740.7248</v>
      </c>
      <c r="L1863" s="375">
        <v>-2320.5710600000002</v>
      </c>
      <c r="M1863" s="375">
        <v>30626.556560000001</v>
      </c>
      <c r="N1863" s="372">
        <v>0.88900000000000001</v>
      </c>
      <c r="O1863" s="704">
        <v>96.400733156436317</v>
      </c>
      <c r="P1863" s="375" t="s">
        <v>622</v>
      </c>
      <c r="Q1863" s="372" t="s">
        <v>622</v>
      </c>
      <c r="R1863" s="696">
        <v>20180402</v>
      </c>
      <c r="S1863" s="372" t="s">
        <v>12136</v>
      </c>
      <c r="T1863" s="697" t="s">
        <v>771</v>
      </c>
      <c r="U1863" s="372" t="s">
        <v>12137</v>
      </c>
      <c r="V1863" s="723" t="s">
        <v>773</v>
      </c>
      <c r="W1863" s="723">
        <v>0.95</v>
      </c>
      <c r="X1863" s="723">
        <v>1.1499999999999999</v>
      </c>
      <c r="Y1863" s="723" t="s">
        <v>773</v>
      </c>
      <c r="Z1863" s="382" t="s">
        <v>927</v>
      </c>
      <c r="AA1863" s="372">
        <v>248.62449000000001</v>
      </c>
      <c r="AB1863" s="372">
        <v>340.64031790000001</v>
      </c>
      <c r="AC1863" s="372">
        <v>378.9206542</v>
      </c>
      <c r="AD1863" s="372">
        <v>276.25153460000001</v>
      </c>
      <c r="AE1863" s="372">
        <v>0</v>
      </c>
      <c r="AF1863" s="372">
        <v>0</v>
      </c>
      <c r="AG1863" s="372">
        <v>0</v>
      </c>
      <c r="AH1863" s="372">
        <v>0</v>
      </c>
    </row>
    <row r="1864" spans="1:34">
      <c r="A1864" s="372" t="s">
        <v>12138</v>
      </c>
      <c r="B1864" s="373" t="s">
        <v>12139</v>
      </c>
      <c r="C1864" s="372" t="s">
        <v>12140</v>
      </c>
      <c r="D1864" s="374">
        <v>1101111023889</v>
      </c>
      <c r="E1864" s="372" t="s">
        <v>12141</v>
      </c>
      <c r="F1864" s="375" t="s">
        <v>4266</v>
      </c>
      <c r="G1864" s="375" t="s">
        <v>4267</v>
      </c>
      <c r="H1864" s="375" t="s">
        <v>1337</v>
      </c>
      <c r="I1864" s="375" t="s">
        <v>862</v>
      </c>
      <c r="J1864" s="375">
        <v>49737.177250000001</v>
      </c>
      <c r="K1864" s="375">
        <v>9456.4703499999996</v>
      </c>
      <c r="L1864" s="375">
        <v>10622.953649999999</v>
      </c>
      <c r="M1864" s="375">
        <v>60053.808080000003</v>
      </c>
      <c r="N1864" s="372">
        <v>0.69899999999999995</v>
      </c>
      <c r="O1864" s="704">
        <v>1.0113471242439203</v>
      </c>
      <c r="P1864" s="375" t="s">
        <v>622</v>
      </c>
      <c r="Q1864" s="372" t="s">
        <v>622</v>
      </c>
      <c r="R1864" s="696">
        <v>20020308</v>
      </c>
      <c r="S1864" s="372" t="s">
        <v>12142</v>
      </c>
      <c r="T1864" s="697">
        <v>0.20900000000000002</v>
      </c>
      <c r="U1864" s="372" t="s">
        <v>12143</v>
      </c>
      <c r="V1864" s="723">
        <v>5.38</v>
      </c>
      <c r="W1864" s="723">
        <v>0.96</v>
      </c>
      <c r="X1864" s="723">
        <v>1.27</v>
      </c>
      <c r="Y1864" s="723">
        <v>7</v>
      </c>
      <c r="Z1864" s="382" t="s">
        <v>927</v>
      </c>
      <c r="AA1864" s="372">
        <v>421.29577339999997</v>
      </c>
      <c r="AB1864" s="372">
        <v>496.34479750000003</v>
      </c>
      <c r="AC1864" s="372">
        <v>503.0253247</v>
      </c>
      <c r="AD1864" s="372">
        <v>509.29305240000002</v>
      </c>
      <c r="AE1864" s="372">
        <v>0</v>
      </c>
      <c r="AF1864" s="372">
        <v>0</v>
      </c>
      <c r="AG1864" s="372">
        <v>0</v>
      </c>
      <c r="AH1864" s="372">
        <v>0</v>
      </c>
    </row>
    <row r="1865" spans="1:34">
      <c r="A1865" s="372" t="s">
        <v>12144</v>
      </c>
      <c r="B1865" s="373" t="s">
        <v>12145</v>
      </c>
      <c r="C1865" s="372" t="s">
        <v>12146</v>
      </c>
      <c r="D1865" s="374">
        <v>1101110361008</v>
      </c>
      <c r="E1865" s="372" t="s">
        <v>12147</v>
      </c>
      <c r="F1865" s="375" t="s">
        <v>845</v>
      </c>
      <c r="G1865" s="375" t="s">
        <v>845</v>
      </c>
      <c r="H1865" s="375" t="s">
        <v>3099</v>
      </c>
      <c r="I1865" s="375" t="s">
        <v>862</v>
      </c>
      <c r="J1865" s="375">
        <v>41568.986239999998</v>
      </c>
      <c r="K1865" s="375">
        <v>3033.5455999999999</v>
      </c>
      <c r="L1865" s="375">
        <v>3170.5283399999998</v>
      </c>
      <c r="M1865" s="375">
        <v>47518.877699999997</v>
      </c>
      <c r="N1865" s="372">
        <v>0.55400000000000005</v>
      </c>
      <c r="O1865" s="704">
        <v>12.21579458892816</v>
      </c>
      <c r="P1865" s="375" t="s">
        <v>622</v>
      </c>
      <c r="Q1865" s="372" t="s">
        <v>622</v>
      </c>
      <c r="R1865" s="696">
        <v>20001114</v>
      </c>
      <c r="S1865" s="372" t="s">
        <v>12148</v>
      </c>
      <c r="T1865" s="697">
        <v>0.20900000000000002</v>
      </c>
      <c r="U1865" s="372" t="s">
        <v>12149</v>
      </c>
      <c r="V1865" s="723">
        <v>0</v>
      </c>
      <c r="W1865" s="723">
        <v>0</v>
      </c>
      <c r="X1865" s="723">
        <v>0</v>
      </c>
      <c r="Y1865" s="723">
        <v>0</v>
      </c>
      <c r="Z1865" s="382" t="s">
        <v>927</v>
      </c>
      <c r="AA1865" s="372">
        <v>403.56576949999999</v>
      </c>
      <c r="AB1865" s="372">
        <v>404.36845310000001</v>
      </c>
      <c r="AC1865" s="372">
        <v>435.39693970000002</v>
      </c>
      <c r="AD1865" s="372">
        <v>427.93696740000001</v>
      </c>
      <c r="AE1865" s="372">
        <v>0</v>
      </c>
      <c r="AF1865" s="372">
        <v>0</v>
      </c>
      <c r="AG1865" s="372">
        <v>0</v>
      </c>
      <c r="AH1865" s="372">
        <v>0</v>
      </c>
    </row>
    <row r="1866" spans="1:34">
      <c r="A1866" s="372" t="s">
        <v>12150</v>
      </c>
      <c r="B1866" s="373" t="s">
        <v>12151</v>
      </c>
      <c r="C1866" s="372" t="s">
        <v>12152</v>
      </c>
      <c r="D1866" s="374">
        <v>1101115733509</v>
      </c>
      <c r="E1866" s="372" t="s">
        <v>12153</v>
      </c>
      <c r="F1866" s="372" t="s">
        <v>2170</v>
      </c>
      <c r="G1866" s="375" t="s">
        <v>12154</v>
      </c>
      <c r="H1866" s="375" t="s">
        <v>861</v>
      </c>
      <c r="I1866" s="375" t="s">
        <v>862</v>
      </c>
      <c r="J1866" s="375">
        <v>29496.60053</v>
      </c>
      <c r="K1866" s="375">
        <v>-403.71226999999999</v>
      </c>
      <c r="L1866" s="375">
        <v>-4088.4544099999998</v>
      </c>
      <c r="M1866" s="375">
        <v>35155.47969</v>
      </c>
      <c r="N1866" s="372">
        <v>0.91900000000000004</v>
      </c>
      <c r="O1866" s="704">
        <v>123.38437191828243</v>
      </c>
      <c r="P1866" s="375" t="s">
        <v>622</v>
      </c>
      <c r="Q1866" s="372" t="s">
        <v>622</v>
      </c>
      <c r="R1866" s="696">
        <v>20150806</v>
      </c>
      <c r="S1866" s="372" t="s">
        <v>12155</v>
      </c>
      <c r="T1866" s="697" t="s">
        <v>771</v>
      </c>
      <c r="U1866" s="372" t="s">
        <v>12156</v>
      </c>
      <c r="V1866" s="723">
        <v>0</v>
      </c>
      <c r="W1866" s="723">
        <v>0</v>
      </c>
      <c r="X1866" s="723">
        <v>0</v>
      </c>
      <c r="Y1866" s="723">
        <v>0</v>
      </c>
      <c r="Z1866" s="382" t="s">
        <v>927</v>
      </c>
      <c r="AA1866" s="372">
        <v>234.08469980000001</v>
      </c>
      <c r="AB1866" s="372">
        <v>328.85094370000002</v>
      </c>
      <c r="AC1866" s="372">
        <v>347.31413620000001</v>
      </c>
      <c r="AD1866" s="372">
        <v>311.11152859999999</v>
      </c>
      <c r="AE1866" s="372">
        <v>0</v>
      </c>
      <c r="AF1866" s="372">
        <v>0</v>
      </c>
      <c r="AG1866" s="372">
        <v>0</v>
      </c>
      <c r="AH1866" s="372">
        <v>0</v>
      </c>
    </row>
    <row r="1867" spans="1:34">
      <c r="A1867" s="372" t="s">
        <v>12157</v>
      </c>
      <c r="B1867" s="373" t="s">
        <v>12158</v>
      </c>
      <c r="C1867" s="372" t="s">
        <v>12159</v>
      </c>
      <c r="D1867" s="374">
        <v>1345110001228</v>
      </c>
      <c r="E1867" s="372" t="s">
        <v>12160</v>
      </c>
      <c r="F1867" s="375" t="s">
        <v>1282</v>
      </c>
      <c r="G1867" s="375" t="s">
        <v>1283</v>
      </c>
      <c r="H1867" s="375" t="s">
        <v>861</v>
      </c>
      <c r="I1867" s="375" t="s">
        <v>862</v>
      </c>
      <c r="J1867" s="375">
        <v>133925.43627000001</v>
      </c>
      <c r="K1867" s="375">
        <v>10223.83611</v>
      </c>
      <c r="L1867" s="375">
        <v>11174.30472</v>
      </c>
      <c r="M1867" s="375">
        <v>104977.30076</v>
      </c>
      <c r="N1867" s="372">
        <v>0.78900000000000003</v>
      </c>
      <c r="O1867" s="704">
        <v>11.443544144131462</v>
      </c>
      <c r="P1867" s="375" t="s">
        <v>622</v>
      </c>
      <c r="Q1867" s="375" t="s">
        <v>622</v>
      </c>
      <c r="R1867" s="696">
        <v>20090512</v>
      </c>
      <c r="S1867" s="375" t="s">
        <v>12161</v>
      </c>
      <c r="T1867" s="697">
        <v>0.20900000000000002</v>
      </c>
      <c r="U1867" s="372" t="s">
        <v>12162</v>
      </c>
      <c r="V1867" s="723">
        <v>4.54</v>
      </c>
      <c r="W1867" s="723">
        <v>0.54</v>
      </c>
      <c r="X1867" s="723">
        <v>0.45</v>
      </c>
      <c r="Y1867" s="723">
        <v>6.95</v>
      </c>
      <c r="Z1867" s="382" t="s">
        <v>927</v>
      </c>
      <c r="AA1867" s="372">
        <v>1191.1641884999999</v>
      </c>
      <c r="AB1867" s="372">
        <v>1418.1379380000001</v>
      </c>
      <c r="AC1867" s="372">
        <v>1345.5528028000001</v>
      </c>
      <c r="AD1867" s="372">
        <v>1493.8325098</v>
      </c>
      <c r="AE1867" s="372">
        <v>0</v>
      </c>
      <c r="AF1867" s="372">
        <v>0</v>
      </c>
      <c r="AG1867" s="372">
        <v>0</v>
      </c>
      <c r="AH1867" s="372">
        <v>0</v>
      </c>
    </row>
    <row r="1868" spans="1:34">
      <c r="A1868" s="372" t="s">
        <v>12163</v>
      </c>
      <c r="B1868" s="373" t="s">
        <v>12164</v>
      </c>
      <c r="C1868" s="372" t="s">
        <v>12165</v>
      </c>
      <c r="D1868" s="374">
        <v>1101111187031</v>
      </c>
      <c r="E1868" s="372" t="s">
        <v>12166</v>
      </c>
      <c r="F1868" s="375" t="s">
        <v>10063</v>
      </c>
      <c r="G1868" s="375" t="s">
        <v>10063</v>
      </c>
      <c r="H1868" s="375" t="s">
        <v>861</v>
      </c>
      <c r="I1868" s="375" t="s">
        <v>862</v>
      </c>
      <c r="J1868" s="375">
        <v>39759.170550000003</v>
      </c>
      <c r="K1868" s="375">
        <v>1712.13976</v>
      </c>
      <c r="L1868" s="375">
        <v>3017.4515999999999</v>
      </c>
      <c r="M1868" s="375">
        <v>68171.563179999997</v>
      </c>
      <c r="N1868" s="372">
        <v>0.56999999999999995</v>
      </c>
      <c r="O1868" s="704">
        <v>12.465506636930176</v>
      </c>
      <c r="P1868" s="375" t="s">
        <v>622</v>
      </c>
      <c r="Q1868" s="372" t="s">
        <v>622</v>
      </c>
      <c r="R1868" s="696">
        <v>20010914</v>
      </c>
      <c r="S1868" s="372" t="s">
        <v>12167</v>
      </c>
      <c r="T1868" s="697">
        <v>0.20900000000000002</v>
      </c>
      <c r="U1868" s="372" t="s">
        <v>12168</v>
      </c>
      <c r="V1868" s="723">
        <v>18.46</v>
      </c>
      <c r="W1868" s="723">
        <v>0.92</v>
      </c>
      <c r="X1868" s="723">
        <v>1.52</v>
      </c>
      <c r="Y1868" s="723">
        <v>23.75</v>
      </c>
      <c r="Z1868" s="382" t="s">
        <v>927</v>
      </c>
      <c r="AA1868" s="372">
        <v>324.8528341</v>
      </c>
      <c r="AB1868" s="372">
        <v>382.63528450000001</v>
      </c>
      <c r="AC1868" s="372">
        <v>390.52752800000002</v>
      </c>
      <c r="AD1868" s="372">
        <v>419.56462579999999</v>
      </c>
      <c r="AE1868" s="372">
        <v>0</v>
      </c>
      <c r="AF1868" s="372">
        <v>0</v>
      </c>
      <c r="AG1868" s="372">
        <v>0</v>
      </c>
      <c r="AH1868" s="372">
        <v>0</v>
      </c>
    </row>
    <row r="1869" spans="1:34">
      <c r="A1869" s="372" t="s">
        <v>12169</v>
      </c>
      <c r="B1869" s="373" t="s">
        <v>12170</v>
      </c>
      <c r="C1869" s="372" t="s">
        <v>12171</v>
      </c>
      <c r="D1869" s="374">
        <v>1211110078395</v>
      </c>
      <c r="E1869" s="372" t="s">
        <v>12172</v>
      </c>
      <c r="F1869" s="375" t="s">
        <v>1185</v>
      </c>
      <c r="G1869" s="375" t="s">
        <v>3115</v>
      </c>
      <c r="H1869" s="375" t="s">
        <v>861</v>
      </c>
      <c r="I1869" s="375" t="s">
        <v>862</v>
      </c>
      <c r="J1869" s="375">
        <v>11756.6836</v>
      </c>
      <c r="K1869" s="375">
        <v>-1003.51075</v>
      </c>
      <c r="L1869" s="375">
        <v>-1558.48578</v>
      </c>
      <c r="M1869" s="375">
        <v>58132.490960000003</v>
      </c>
      <c r="N1869" s="372">
        <v>1.8819999999999999</v>
      </c>
      <c r="O1869" s="704">
        <v>2.7327409864654157</v>
      </c>
      <c r="P1869" s="375" t="s">
        <v>622</v>
      </c>
      <c r="Q1869" s="372" t="s">
        <v>622</v>
      </c>
      <c r="R1869" s="696">
        <v>20200706</v>
      </c>
      <c r="S1869" s="375" t="s">
        <v>12173</v>
      </c>
      <c r="T1869" s="697" t="s">
        <v>771</v>
      </c>
      <c r="U1869" s="372" t="s">
        <v>12174</v>
      </c>
      <c r="V1869" s="723" t="s">
        <v>773</v>
      </c>
      <c r="W1869" s="723">
        <v>0.6</v>
      </c>
      <c r="X1869" s="723">
        <v>3.14</v>
      </c>
      <c r="Y1869" s="723" t="s">
        <v>773</v>
      </c>
      <c r="Z1869" s="382" t="s">
        <v>927</v>
      </c>
      <c r="AA1869" s="372">
        <v>415.7249453</v>
      </c>
      <c r="AB1869" s="372">
        <v>397.94110060000003</v>
      </c>
      <c r="AC1869" s="372">
        <v>218.1530913</v>
      </c>
      <c r="AD1869" s="372">
        <v>207.548384</v>
      </c>
      <c r="AE1869" s="372">
        <v>0</v>
      </c>
      <c r="AF1869" s="372">
        <v>0</v>
      </c>
      <c r="AG1869" s="372">
        <v>0</v>
      </c>
      <c r="AH1869" s="372">
        <v>0</v>
      </c>
    </row>
    <row r="1870" spans="1:34">
      <c r="A1870" s="372" t="s">
        <v>12175</v>
      </c>
      <c r="B1870" s="373" t="s">
        <v>12176</v>
      </c>
      <c r="C1870" s="372" t="s">
        <v>12177</v>
      </c>
      <c r="D1870" s="374">
        <v>1101116748507</v>
      </c>
      <c r="E1870" s="372" t="s">
        <v>12178</v>
      </c>
      <c r="F1870" s="375" t="s">
        <v>1569</v>
      </c>
      <c r="G1870" s="375" t="s">
        <v>1569</v>
      </c>
      <c r="H1870" s="375" t="s">
        <v>3099</v>
      </c>
      <c r="I1870" s="375" t="s">
        <v>862</v>
      </c>
      <c r="J1870" s="375">
        <v>36903.364529999999</v>
      </c>
      <c r="K1870" s="375">
        <v>3111.8255600000002</v>
      </c>
      <c r="L1870" s="375">
        <v>1273.7355700000001</v>
      </c>
      <c r="M1870" s="375">
        <v>43380.917690000002</v>
      </c>
      <c r="N1870" s="372">
        <v>0.72399999999999998</v>
      </c>
      <c r="O1870" s="704">
        <v>53.196352752040077</v>
      </c>
      <c r="P1870" s="375" t="s">
        <v>622</v>
      </c>
      <c r="Q1870" s="372" t="s">
        <v>622</v>
      </c>
      <c r="R1870" s="696">
        <v>20180921</v>
      </c>
      <c r="S1870" s="372" t="s">
        <v>9018</v>
      </c>
      <c r="T1870" s="697">
        <v>0.20900000000000002</v>
      </c>
      <c r="U1870" s="372" t="s">
        <v>12179</v>
      </c>
      <c r="V1870" s="723">
        <v>16.61</v>
      </c>
      <c r="W1870" s="723">
        <v>1.18</v>
      </c>
      <c r="X1870" s="723">
        <v>1.29</v>
      </c>
      <c r="Y1870" s="723">
        <v>44.56</v>
      </c>
      <c r="Z1870" s="382" t="s">
        <v>927</v>
      </c>
      <c r="AA1870" s="372">
        <v>263.86235499999998</v>
      </c>
      <c r="AB1870" s="372">
        <v>277.7561255</v>
      </c>
      <c r="AC1870" s="372">
        <v>271.28845280000002</v>
      </c>
      <c r="AD1870" s="372">
        <v>308.77345380000003</v>
      </c>
      <c r="AE1870" s="372">
        <v>0</v>
      </c>
      <c r="AF1870" s="372">
        <v>0</v>
      </c>
      <c r="AG1870" s="372">
        <v>0</v>
      </c>
      <c r="AH1870" s="372">
        <v>0</v>
      </c>
    </row>
    <row r="1871" spans="1:34">
      <c r="A1871" s="372" t="s">
        <v>12180</v>
      </c>
      <c r="B1871" s="373" t="s">
        <v>12181</v>
      </c>
      <c r="C1871" s="372" t="s">
        <v>12182</v>
      </c>
      <c r="D1871" s="374">
        <v>1101112214429</v>
      </c>
      <c r="E1871" s="372" t="s">
        <v>12183</v>
      </c>
      <c r="F1871" s="375" t="s">
        <v>2222</v>
      </c>
      <c r="G1871" s="375" t="s">
        <v>2222</v>
      </c>
      <c r="H1871" s="375" t="s">
        <v>861</v>
      </c>
      <c r="I1871" s="375" t="s">
        <v>862</v>
      </c>
      <c r="J1871" s="375">
        <v>138488.75221000001</v>
      </c>
      <c r="K1871" s="375">
        <v>15232.794019999999</v>
      </c>
      <c r="L1871" s="375">
        <v>11309.53289</v>
      </c>
      <c r="M1871" s="375">
        <v>108019.26399000001</v>
      </c>
      <c r="N1871" s="372">
        <v>0.89300000000000002</v>
      </c>
      <c r="O1871" s="704">
        <v>29.555828285580755</v>
      </c>
      <c r="P1871" s="375" t="s">
        <v>622</v>
      </c>
      <c r="Q1871" s="372" t="s">
        <v>622</v>
      </c>
      <c r="R1871" s="696">
        <v>20181213</v>
      </c>
      <c r="S1871" s="372" t="s">
        <v>12184</v>
      </c>
      <c r="T1871" s="697">
        <v>0.20900000000000002</v>
      </c>
      <c r="U1871" s="372" t="s">
        <v>12185</v>
      </c>
      <c r="V1871" s="723">
        <v>5.47</v>
      </c>
      <c r="W1871" s="723">
        <v>0.82</v>
      </c>
      <c r="X1871" s="723">
        <v>0.66</v>
      </c>
      <c r="Y1871" s="723">
        <v>10.130000000000001</v>
      </c>
      <c r="Z1871" s="382" t="s">
        <v>927</v>
      </c>
      <c r="AA1871" s="372">
        <v>1893.9879389</v>
      </c>
      <c r="AB1871" s="372">
        <v>2469.5787663000001</v>
      </c>
      <c r="AC1871" s="372">
        <v>1852.8594230000001</v>
      </c>
      <c r="AD1871" s="372">
        <v>1513.7730832</v>
      </c>
      <c r="AE1871" s="372">
        <v>0</v>
      </c>
      <c r="AF1871" s="372">
        <v>0</v>
      </c>
      <c r="AG1871" s="372">
        <v>0</v>
      </c>
      <c r="AH1871" s="372">
        <v>0</v>
      </c>
    </row>
    <row r="1872" spans="1:34">
      <c r="A1872" s="372" t="s">
        <v>12186</v>
      </c>
      <c r="B1872" s="373" t="s">
        <v>12187</v>
      </c>
      <c r="C1872" s="372" t="s">
        <v>12188</v>
      </c>
      <c r="D1872" s="374">
        <v>1211110060136</v>
      </c>
      <c r="E1872" s="372" t="s">
        <v>12189</v>
      </c>
      <c r="F1872" s="375" t="s">
        <v>769</v>
      </c>
      <c r="G1872" s="375" t="s">
        <v>769</v>
      </c>
      <c r="H1872" s="375" t="s">
        <v>861</v>
      </c>
      <c r="I1872" s="375" t="s">
        <v>862</v>
      </c>
      <c r="J1872" s="375">
        <v>0</v>
      </c>
      <c r="K1872" s="375">
        <v>0</v>
      </c>
      <c r="L1872" s="375">
        <v>0</v>
      </c>
      <c r="M1872" s="375">
        <v>98318.634170000005</v>
      </c>
      <c r="N1872" s="372">
        <v>0.32200000000000001</v>
      </c>
      <c r="O1872" s="704">
        <v>4.0020537994439005</v>
      </c>
      <c r="P1872" s="375" t="s">
        <v>622</v>
      </c>
      <c r="Q1872" s="375" t="s">
        <v>622</v>
      </c>
      <c r="R1872" s="696">
        <v>20021202</v>
      </c>
      <c r="S1872" s="372" t="s">
        <v>12190</v>
      </c>
      <c r="T1872" s="697" t="s">
        <v>771</v>
      </c>
      <c r="U1872" s="372" t="s">
        <v>12191</v>
      </c>
      <c r="V1872" s="723">
        <v>0</v>
      </c>
      <c r="W1872" s="723">
        <v>0.56999999999999995</v>
      </c>
      <c r="X1872" s="723">
        <v>0</v>
      </c>
      <c r="Y1872" s="723">
        <v>0</v>
      </c>
      <c r="Z1872" s="382" t="s">
        <v>927</v>
      </c>
      <c r="AA1872" s="372">
        <v>229.87923169999999</v>
      </c>
      <c r="AB1872" s="372">
        <v>421.57381079999999</v>
      </c>
      <c r="AC1872" s="372">
        <v>206.55878759999999</v>
      </c>
      <c r="AD1872" s="372">
        <v>219.28276510000001</v>
      </c>
      <c r="AE1872" s="372">
        <v>0</v>
      </c>
      <c r="AF1872" s="372">
        <v>0</v>
      </c>
      <c r="AG1872" s="372">
        <v>0</v>
      </c>
      <c r="AH1872" s="372">
        <v>0</v>
      </c>
    </row>
    <row r="1873" spans="1:34">
      <c r="A1873" s="372" t="s">
        <v>12192</v>
      </c>
      <c r="B1873" s="373" t="s">
        <v>12193</v>
      </c>
      <c r="C1873" s="372" t="s">
        <v>12194</v>
      </c>
      <c r="D1873" s="374">
        <v>1101117889821</v>
      </c>
      <c r="E1873" s="372" t="s">
        <v>12195</v>
      </c>
      <c r="F1873" s="372" t="s">
        <v>621</v>
      </c>
      <c r="G1873" s="375" t="s">
        <v>621</v>
      </c>
      <c r="H1873" s="375" t="s">
        <v>861</v>
      </c>
      <c r="I1873" s="375" t="s">
        <v>862</v>
      </c>
      <c r="J1873" s="375">
        <v>12048.623600000001</v>
      </c>
      <c r="K1873" s="375">
        <v>-4062.9718200000002</v>
      </c>
      <c r="L1873" s="375">
        <v>-3701.8155999999999</v>
      </c>
      <c r="M1873" s="375">
        <v>22113.820940000001</v>
      </c>
      <c r="N1873" s="372">
        <v>0.87</v>
      </c>
      <c r="O1873" s="704">
        <v>2.3778861636974389</v>
      </c>
      <c r="P1873" s="375" t="s">
        <v>622</v>
      </c>
      <c r="Q1873" s="375" t="s">
        <v>622</v>
      </c>
      <c r="R1873" s="696">
        <v>20210903</v>
      </c>
      <c r="S1873" s="375" t="s">
        <v>12196</v>
      </c>
      <c r="T1873" s="697" t="s">
        <v>771</v>
      </c>
      <c r="U1873" s="372" t="s">
        <v>12197</v>
      </c>
      <c r="V1873" s="723">
        <v>0</v>
      </c>
      <c r="W1873" s="723">
        <v>0</v>
      </c>
      <c r="X1873" s="723">
        <v>0</v>
      </c>
      <c r="Y1873" s="723">
        <v>0</v>
      </c>
      <c r="Z1873" s="382" t="s">
        <v>927</v>
      </c>
      <c r="AA1873" s="372">
        <v>306.04300979999999</v>
      </c>
      <c r="AB1873" s="372">
        <v>280.33010710000002</v>
      </c>
      <c r="AC1873" s="372">
        <v>343.34226169999999</v>
      </c>
      <c r="AD1873" s="372">
        <v>194.63077250000001</v>
      </c>
      <c r="AE1873" s="372">
        <v>0</v>
      </c>
      <c r="AF1873" s="372">
        <v>0</v>
      </c>
      <c r="AG1873" s="372">
        <v>0</v>
      </c>
      <c r="AH1873" s="372">
        <v>0</v>
      </c>
    </row>
    <row r="1874" spans="1:34">
      <c r="A1874" s="372" t="s">
        <v>12198</v>
      </c>
      <c r="B1874" s="373" t="s">
        <v>12199</v>
      </c>
      <c r="C1874" s="372" t="s">
        <v>12200</v>
      </c>
      <c r="D1874" s="374">
        <v>1648110001094</v>
      </c>
      <c r="E1874" s="372" t="s">
        <v>12201</v>
      </c>
      <c r="F1874" s="372" t="s">
        <v>4099</v>
      </c>
      <c r="G1874" s="375" t="s">
        <v>4099</v>
      </c>
      <c r="H1874" s="375" t="s">
        <v>861</v>
      </c>
      <c r="I1874" s="375" t="s">
        <v>862</v>
      </c>
      <c r="J1874" s="375">
        <v>35021.212979999997</v>
      </c>
      <c r="K1874" s="375">
        <v>4663.2635300000002</v>
      </c>
      <c r="L1874" s="375">
        <v>6380.4481800000003</v>
      </c>
      <c r="M1874" s="375">
        <v>78509.102180000002</v>
      </c>
      <c r="N1874" s="372">
        <v>0.73599999999999999</v>
      </c>
      <c r="O1874" s="704">
        <v>18.157304001448487</v>
      </c>
      <c r="P1874" s="375" t="s">
        <v>622</v>
      </c>
      <c r="Q1874" s="372" t="s">
        <v>622</v>
      </c>
      <c r="R1874" s="696">
        <v>20080408</v>
      </c>
      <c r="S1874" s="372" t="s">
        <v>12202</v>
      </c>
      <c r="T1874" s="697">
        <v>0.20900000000000002</v>
      </c>
      <c r="U1874" s="372" t="s">
        <v>12203</v>
      </c>
      <c r="V1874" s="723">
        <v>10.68</v>
      </c>
      <c r="W1874" s="723">
        <v>0.79</v>
      </c>
      <c r="X1874" s="723">
        <v>1.8</v>
      </c>
      <c r="Y1874" s="723">
        <v>12.07</v>
      </c>
      <c r="Z1874" s="382" t="s">
        <v>927</v>
      </c>
      <c r="AA1874" s="372">
        <v>292.94118129999998</v>
      </c>
      <c r="AB1874" s="372">
        <v>301.43893020000002</v>
      </c>
      <c r="AC1874" s="372">
        <v>340.26098710000002</v>
      </c>
      <c r="AD1874" s="372">
        <v>296.60837670000001</v>
      </c>
      <c r="AE1874" s="372">
        <v>0</v>
      </c>
      <c r="AF1874" s="372">
        <v>0</v>
      </c>
      <c r="AG1874" s="372">
        <v>0</v>
      </c>
      <c r="AH1874" s="372">
        <v>0</v>
      </c>
    </row>
    <row r="1875" spans="1:34">
      <c r="A1875" s="372" t="s">
        <v>12204</v>
      </c>
      <c r="B1875" s="373" t="s">
        <v>12205</v>
      </c>
      <c r="C1875" s="372" t="s">
        <v>12206</v>
      </c>
      <c r="D1875" s="374">
        <v>1101110825624</v>
      </c>
      <c r="E1875" s="372" t="s">
        <v>12207</v>
      </c>
      <c r="F1875" s="375" t="s">
        <v>12208</v>
      </c>
      <c r="G1875" s="375" t="s">
        <v>12208</v>
      </c>
      <c r="H1875" s="375" t="s">
        <v>3957</v>
      </c>
      <c r="I1875" s="375" t="s">
        <v>754</v>
      </c>
      <c r="J1875" s="375">
        <v>336533.20403000002</v>
      </c>
      <c r="K1875" s="375">
        <v>9931.7634899999994</v>
      </c>
      <c r="L1875" s="375">
        <v>-8806.2520999999997</v>
      </c>
      <c r="M1875" s="375">
        <v>138795.95168</v>
      </c>
      <c r="N1875" s="372">
        <v>0.79300000000000004</v>
      </c>
      <c r="O1875" s="704">
        <v>212.81876701867071</v>
      </c>
      <c r="P1875" s="375" t="s">
        <v>622</v>
      </c>
      <c r="Q1875" s="372" t="s">
        <v>622</v>
      </c>
      <c r="R1875" s="696">
        <v>20031104</v>
      </c>
      <c r="S1875" s="372" t="s">
        <v>12209</v>
      </c>
      <c r="T1875" s="697" t="s">
        <v>771</v>
      </c>
      <c r="U1875" s="372" t="s">
        <v>12210</v>
      </c>
      <c r="V1875" s="723">
        <v>7.5</v>
      </c>
      <c r="W1875" s="723">
        <v>0.42</v>
      </c>
      <c r="X1875" s="723">
        <v>0.17</v>
      </c>
      <c r="Y1875" s="723" t="s">
        <v>773</v>
      </c>
      <c r="Z1875" s="382" t="s">
        <v>927</v>
      </c>
      <c r="AA1875" s="372">
        <v>2532.1340184000001</v>
      </c>
      <c r="AB1875" s="372">
        <v>2632.4968806000002</v>
      </c>
      <c r="AC1875" s="372">
        <v>2834.1419944999998</v>
      </c>
      <c r="AD1875" s="372">
        <v>3000.0332193999998</v>
      </c>
      <c r="AE1875" s="372">
        <v>0</v>
      </c>
      <c r="AF1875" s="372">
        <v>0</v>
      </c>
      <c r="AG1875" s="372">
        <v>0</v>
      </c>
      <c r="AH1875" s="372">
        <v>0</v>
      </c>
    </row>
    <row r="1876" spans="1:34">
      <c r="A1876" s="372" t="s">
        <v>12211</v>
      </c>
      <c r="B1876" s="373" t="s">
        <v>12212</v>
      </c>
      <c r="C1876" s="372" t="s">
        <v>12213</v>
      </c>
      <c r="D1876" s="374">
        <v>1101112937857</v>
      </c>
      <c r="E1876" s="372" t="s">
        <v>12214</v>
      </c>
      <c r="F1876" s="372" t="s">
        <v>2856</v>
      </c>
      <c r="G1876" s="375" t="s">
        <v>2857</v>
      </c>
      <c r="H1876" s="375" t="s">
        <v>1337</v>
      </c>
      <c r="I1876" s="375" t="s">
        <v>862</v>
      </c>
      <c r="J1876" s="375">
        <v>36089.242550000003</v>
      </c>
      <c r="K1876" s="375">
        <v>1489.8475100000001</v>
      </c>
      <c r="L1876" s="375">
        <v>2066.3930799999998</v>
      </c>
      <c r="M1876" s="375">
        <v>65642.532819999993</v>
      </c>
      <c r="N1876" s="372">
        <v>0.69599999999999995</v>
      </c>
      <c r="O1876" s="704">
        <v>7.7923664906986154</v>
      </c>
      <c r="P1876" s="375" t="s">
        <v>622</v>
      </c>
      <c r="Q1876" s="372" t="s">
        <v>622</v>
      </c>
      <c r="R1876" s="696">
        <v>20151218</v>
      </c>
      <c r="S1876" s="372" t="s">
        <v>12215</v>
      </c>
      <c r="T1876" s="697">
        <v>0.20900000000000002</v>
      </c>
      <c r="U1876" s="372" t="s">
        <v>12216</v>
      </c>
      <c r="V1876" s="723">
        <v>7.88</v>
      </c>
      <c r="W1876" s="723">
        <v>0.79</v>
      </c>
      <c r="X1876" s="723">
        <v>1.44</v>
      </c>
      <c r="Y1876" s="723">
        <v>35.67</v>
      </c>
      <c r="Z1876" s="382" t="s">
        <v>927</v>
      </c>
      <c r="AA1876" s="372">
        <v>824.39762189999999</v>
      </c>
      <c r="AB1876" s="372">
        <v>794.34903989999998</v>
      </c>
      <c r="AC1876" s="372">
        <v>644.68046389999995</v>
      </c>
      <c r="AD1876" s="372">
        <v>360.41389500000002</v>
      </c>
      <c r="AE1876" s="372">
        <v>0</v>
      </c>
      <c r="AF1876" s="372">
        <v>0</v>
      </c>
      <c r="AG1876" s="372">
        <v>0</v>
      </c>
      <c r="AH1876" s="372">
        <v>0</v>
      </c>
    </row>
    <row r="1877" spans="1:34">
      <c r="A1877" s="372" t="s">
        <v>12217</v>
      </c>
      <c r="B1877" s="373" t="s">
        <v>12218</v>
      </c>
      <c r="C1877" s="372" t="s">
        <v>12219</v>
      </c>
      <c r="D1877" s="374">
        <v>1601110063240</v>
      </c>
      <c r="E1877" s="372" t="s">
        <v>12220</v>
      </c>
      <c r="F1877" s="375" t="s">
        <v>1796</v>
      </c>
      <c r="G1877" s="375" t="s">
        <v>2797</v>
      </c>
      <c r="H1877" s="375" t="s">
        <v>861</v>
      </c>
      <c r="I1877" s="375" t="s">
        <v>862</v>
      </c>
      <c r="J1877" s="375">
        <v>37050.333310000002</v>
      </c>
      <c r="K1877" s="375">
        <v>-1744.98965</v>
      </c>
      <c r="L1877" s="375">
        <v>1105.45958</v>
      </c>
      <c r="M1877" s="375">
        <v>111528.55725</v>
      </c>
      <c r="N1877" s="372">
        <v>0.61899999999999999</v>
      </c>
      <c r="O1877" s="704">
        <v>0.24786263790051369</v>
      </c>
      <c r="P1877" s="375" t="s">
        <v>622</v>
      </c>
      <c r="Q1877" s="375" t="s">
        <v>622</v>
      </c>
      <c r="R1877" s="696">
        <v>20011113</v>
      </c>
      <c r="S1877" s="372" t="s">
        <v>12221</v>
      </c>
      <c r="T1877" s="697">
        <v>0.20900000000000002</v>
      </c>
      <c r="U1877" s="372" t="s">
        <v>12222</v>
      </c>
      <c r="V1877" s="723">
        <v>0</v>
      </c>
      <c r="W1877" s="723">
        <v>0</v>
      </c>
      <c r="X1877" s="723">
        <v>0</v>
      </c>
      <c r="Y1877" s="723">
        <v>0</v>
      </c>
      <c r="Z1877" s="382" t="s">
        <v>927</v>
      </c>
      <c r="AA1877" s="372">
        <v>2919.548804</v>
      </c>
      <c r="AB1877" s="372">
        <v>502.55619330000002</v>
      </c>
      <c r="AC1877" s="372">
        <v>538.34114790000001</v>
      </c>
      <c r="AD1877" s="372">
        <v>456.50974070000001</v>
      </c>
      <c r="AE1877" s="372">
        <v>0</v>
      </c>
      <c r="AF1877" s="372">
        <v>0</v>
      </c>
      <c r="AG1877" s="372">
        <v>0</v>
      </c>
      <c r="AH1877" s="372">
        <v>0</v>
      </c>
    </row>
    <row r="1878" spans="1:34">
      <c r="A1878" s="372" t="s">
        <v>12223</v>
      </c>
      <c r="B1878" s="373" t="s">
        <v>12224</v>
      </c>
      <c r="C1878" s="372" t="s">
        <v>12225</v>
      </c>
      <c r="D1878" s="374">
        <v>1156110003902</v>
      </c>
      <c r="E1878" s="372" t="s">
        <v>12226</v>
      </c>
      <c r="F1878" s="375" t="s">
        <v>1710</v>
      </c>
      <c r="G1878" s="375" t="s">
        <v>1711</v>
      </c>
      <c r="H1878" s="375" t="s">
        <v>861</v>
      </c>
      <c r="I1878" s="375" t="s">
        <v>862</v>
      </c>
      <c r="J1878" s="375">
        <v>180624.33142</v>
      </c>
      <c r="K1878" s="375">
        <v>13628.90064</v>
      </c>
      <c r="L1878" s="375">
        <v>13762.708979999999</v>
      </c>
      <c r="M1878" s="375">
        <v>110142.11195000001</v>
      </c>
      <c r="N1878" s="372">
        <v>0.78300000000000003</v>
      </c>
      <c r="O1878" s="704">
        <v>32.597039469038535</v>
      </c>
      <c r="P1878" s="375" t="s">
        <v>622</v>
      </c>
      <c r="Q1878" s="372" t="s">
        <v>622</v>
      </c>
      <c r="R1878" s="696">
        <v>20030207</v>
      </c>
      <c r="S1878" s="372" t="s">
        <v>12227</v>
      </c>
      <c r="T1878" s="697">
        <v>0.20900000000000002</v>
      </c>
      <c r="U1878" s="372" t="s">
        <v>12228</v>
      </c>
      <c r="V1878" s="723">
        <v>0</v>
      </c>
      <c r="W1878" s="723">
        <v>0</v>
      </c>
      <c r="X1878" s="723">
        <v>0</v>
      </c>
      <c r="Y1878" s="723">
        <v>0</v>
      </c>
      <c r="Z1878" s="382" t="s">
        <v>927</v>
      </c>
      <c r="AA1878" s="372">
        <v>1250.7838340999999</v>
      </c>
      <c r="AB1878" s="372">
        <v>1371.8508578999999</v>
      </c>
      <c r="AC1878" s="372">
        <v>1431.3013212999999</v>
      </c>
      <c r="AD1878" s="372">
        <v>1546.2278716000001</v>
      </c>
      <c r="AE1878" s="372">
        <v>0</v>
      </c>
      <c r="AF1878" s="372">
        <v>0</v>
      </c>
      <c r="AG1878" s="372">
        <v>0</v>
      </c>
      <c r="AH1878" s="372">
        <v>0</v>
      </c>
    </row>
    <row r="1879" spans="1:34">
      <c r="A1879" s="372" t="s">
        <v>12229</v>
      </c>
      <c r="B1879" s="373" t="s">
        <v>12230</v>
      </c>
      <c r="C1879" s="372" t="s">
        <v>12231</v>
      </c>
      <c r="D1879" s="374">
        <v>1101114941038</v>
      </c>
      <c r="E1879" s="372" t="s">
        <v>12232</v>
      </c>
      <c r="F1879" s="375" t="s">
        <v>1696</v>
      </c>
      <c r="G1879" s="375" t="s">
        <v>1696</v>
      </c>
      <c r="H1879" s="375" t="s">
        <v>1337</v>
      </c>
      <c r="I1879" s="375" t="s">
        <v>862</v>
      </c>
      <c r="J1879" s="375">
        <v>0</v>
      </c>
      <c r="K1879" s="375">
        <v>0</v>
      </c>
      <c r="L1879" s="375">
        <v>0</v>
      </c>
      <c r="M1879" s="375">
        <v>32527.779480000001</v>
      </c>
      <c r="N1879" s="372" t="s">
        <v>1026</v>
      </c>
      <c r="O1879" s="704">
        <v>23.073334743398576</v>
      </c>
      <c r="P1879" s="375" t="s">
        <v>622</v>
      </c>
      <c r="Q1879" s="375" t="s">
        <v>622</v>
      </c>
      <c r="R1879" s="696">
        <v>20240125</v>
      </c>
      <c r="S1879" s="375" t="s">
        <v>9452</v>
      </c>
      <c r="T1879" s="697" t="s">
        <v>771</v>
      </c>
      <c r="U1879" s="372" t="s">
        <v>12233</v>
      </c>
      <c r="V1879" s="723">
        <v>0</v>
      </c>
      <c r="W1879" s="723">
        <v>0.92</v>
      </c>
      <c r="X1879" s="723">
        <v>0</v>
      </c>
      <c r="Y1879" s="723">
        <v>0</v>
      </c>
      <c r="Z1879" s="382" t="s">
        <v>927</v>
      </c>
      <c r="AA1879" s="372">
        <v>91.6113517</v>
      </c>
      <c r="AB1879" s="372">
        <v>122.30867840000001</v>
      </c>
      <c r="AC1879" s="372">
        <v>151.31063879999999</v>
      </c>
      <c r="AD1879" s="372">
        <v>173.7444486</v>
      </c>
      <c r="AE1879" s="372">
        <v>0</v>
      </c>
      <c r="AF1879" s="372">
        <v>0</v>
      </c>
      <c r="AG1879" s="372">
        <v>0</v>
      </c>
      <c r="AH1879" s="372">
        <v>0</v>
      </c>
    </row>
    <row r="1880" spans="1:34">
      <c r="A1880" s="372" t="s">
        <v>12234</v>
      </c>
      <c r="B1880" s="373" t="s">
        <v>12235</v>
      </c>
      <c r="C1880" s="372" t="s">
        <v>12236</v>
      </c>
      <c r="D1880" s="374">
        <v>1101111622540</v>
      </c>
      <c r="E1880" s="372" t="s">
        <v>12237</v>
      </c>
      <c r="F1880" s="375" t="s">
        <v>2184</v>
      </c>
      <c r="G1880" s="375" t="s">
        <v>12238</v>
      </c>
      <c r="H1880" s="375" t="s">
        <v>861</v>
      </c>
      <c r="I1880" s="375" t="s">
        <v>862</v>
      </c>
      <c r="J1880" s="375">
        <v>151525.75464</v>
      </c>
      <c r="K1880" s="375">
        <v>2253.4437699999999</v>
      </c>
      <c r="L1880" s="375">
        <v>175.01245</v>
      </c>
      <c r="M1880" s="375">
        <v>99493.912620000003</v>
      </c>
      <c r="N1880" s="372">
        <v>0.9</v>
      </c>
      <c r="O1880" s="704">
        <v>100.05098411771651</v>
      </c>
      <c r="P1880" s="375" t="s">
        <v>622</v>
      </c>
      <c r="Q1880" s="372" t="s">
        <v>622</v>
      </c>
      <c r="R1880" s="696">
        <v>20061128</v>
      </c>
      <c r="S1880" s="372" t="s">
        <v>12239</v>
      </c>
      <c r="T1880" s="697">
        <v>9.9000000000000005E-2</v>
      </c>
      <c r="U1880" s="372" t="s">
        <v>12240</v>
      </c>
      <c r="V1880" s="723">
        <v>8.1300000000000008</v>
      </c>
      <c r="W1880" s="723">
        <v>0.41</v>
      </c>
      <c r="X1880" s="723">
        <v>0.26</v>
      </c>
      <c r="Y1880" s="723" t="s">
        <v>773</v>
      </c>
      <c r="Z1880" s="382" t="s">
        <v>927</v>
      </c>
      <c r="AA1880" s="372">
        <v>1252.1218071000001</v>
      </c>
      <c r="AB1880" s="372">
        <v>1630.9535533000001</v>
      </c>
      <c r="AC1880" s="372">
        <v>1743.6592292</v>
      </c>
      <c r="AD1880" s="372">
        <v>1521.5045190999999</v>
      </c>
      <c r="AE1880" s="372">
        <v>0</v>
      </c>
      <c r="AF1880" s="372">
        <v>0</v>
      </c>
      <c r="AG1880" s="372">
        <v>0</v>
      </c>
      <c r="AH1880" s="372">
        <v>0</v>
      </c>
    </row>
    <row r="1881" spans="1:34">
      <c r="A1881" s="372" t="s">
        <v>12241</v>
      </c>
      <c r="B1881" s="373" t="s">
        <v>12242</v>
      </c>
      <c r="C1881" s="372" t="s">
        <v>12243</v>
      </c>
      <c r="D1881" s="374">
        <v>1101111887491</v>
      </c>
      <c r="E1881" s="372" t="s">
        <v>12244</v>
      </c>
      <c r="F1881" s="375" t="s">
        <v>1796</v>
      </c>
      <c r="G1881" s="375" t="s">
        <v>1797</v>
      </c>
      <c r="H1881" s="375" t="s">
        <v>861</v>
      </c>
      <c r="I1881" s="375" t="s">
        <v>862</v>
      </c>
      <c r="J1881" s="375">
        <v>20286.122439999999</v>
      </c>
      <c r="K1881" s="375">
        <v>1961.2810999999999</v>
      </c>
      <c r="L1881" s="375">
        <v>3764.7765100000001</v>
      </c>
      <c r="M1881" s="375">
        <v>55978.947809999998</v>
      </c>
      <c r="N1881" s="372">
        <v>0.53500000000000003</v>
      </c>
      <c r="O1881" s="704">
        <v>1.4695275055840811</v>
      </c>
      <c r="P1881" s="375" t="s">
        <v>622</v>
      </c>
      <c r="Q1881" s="375" t="s">
        <v>622</v>
      </c>
      <c r="R1881" s="696">
        <v>20100525</v>
      </c>
      <c r="S1881" s="375" t="s">
        <v>12245</v>
      </c>
      <c r="T1881" s="697">
        <v>0.20900000000000002</v>
      </c>
      <c r="U1881" s="372" t="s">
        <v>12246</v>
      </c>
      <c r="V1881" s="723">
        <v>19.77</v>
      </c>
      <c r="W1881" s="723">
        <v>0.98</v>
      </c>
      <c r="X1881" s="723">
        <v>2.99</v>
      </c>
      <c r="Y1881" s="723">
        <v>18.559999999999999</v>
      </c>
      <c r="Z1881" s="382" t="s">
        <v>927</v>
      </c>
      <c r="AA1881" s="372">
        <v>201.69959729999999</v>
      </c>
      <c r="AB1881" s="372">
        <v>211.0095699</v>
      </c>
      <c r="AC1881" s="372">
        <v>235.60257899999999</v>
      </c>
      <c r="AD1881" s="372">
        <v>242.0510506</v>
      </c>
      <c r="AE1881" s="372">
        <v>0</v>
      </c>
      <c r="AF1881" s="372">
        <v>0</v>
      </c>
      <c r="AG1881" s="372">
        <v>0</v>
      </c>
      <c r="AH1881" s="372">
        <v>0</v>
      </c>
    </row>
    <row r="1882" spans="1:34">
      <c r="A1882" s="372" t="s">
        <v>12247</v>
      </c>
      <c r="B1882" s="373" t="s">
        <v>12248</v>
      </c>
      <c r="C1882" s="372" t="s">
        <v>12249</v>
      </c>
      <c r="D1882" s="374">
        <v>1101111346439</v>
      </c>
      <c r="E1882" s="372" t="s">
        <v>12250</v>
      </c>
      <c r="F1882" s="375" t="s">
        <v>1796</v>
      </c>
      <c r="G1882" s="375" t="s">
        <v>1797</v>
      </c>
      <c r="H1882" s="375" t="s">
        <v>861</v>
      </c>
      <c r="I1882" s="375" t="s">
        <v>862</v>
      </c>
      <c r="J1882" s="375">
        <v>40615.534979999997</v>
      </c>
      <c r="K1882" s="375">
        <v>2690.89239</v>
      </c>
      <c r="L1882" s="375">
        <v>3910.5010400000001</v>
      </c>
      <c r="M1882" s="375">
        <v>53103.5052</v>
      </c>
      <c r="N1882" s="372">
        <v>0.72199999999999998</v>
      </c>
      <c r="O1882" s="704">
        <v>1.4034938335355347</v>
      </c>
      <c r="P1882" s="375" t="s">
        <v>622</v>
      </c>
      <c r="Q1882" s="372" t="s">
        <v>622</v>
      </c>
      <c r="R1882" s="696">
        <v>20210205</v>
      </c>
      <c r="S1882" s="372" t="s">
        <v>12251</v>
      </c>
      <c r="T1882" s="697">
        <v>0.20900000000000002</v>
      </c>
      <c r="U1882" s="372" t="s">
        <v>12252</v>
      </c>
      <c r="V1882" s="723">
        <v>14.04</v>
      </c>
      <c r="W1882" s="723">
        <v>0.96</v>
      </c>
      <c r="X1882" s="723">
        <v>1.1299999999999999</v>
      </c>
      <c r="Y1882" s="723">
        <v>13.22</v>
      </c>
      <c r="Z1882" s="382" t="s">
        <v>927</v>
      </c>
      <c r="AA1882" s="372">
        <v>152.70479180000001</v>
      </c>
      <c r="AB1882" s="372">
        <v>156.7747277</v>
      </c>
      <c r="AC1882" s="372">
        <v>263.66936659999999</v>
      </c>
      <c r="AD1882" s="372">
        <v>400.78912559999998</v>
      </c>
      <c r="AE1882" s="372">
        <v>0</v>
      </c>
      <c r="AF1882" s="372">
        <v>0</v>
      </c>
      <c r="AG1882" s="372">
        <v>0</v>
      </c>
      <c r="AH1882" s="372">
        <v>0</v>
      </c>
    </row>
    <row r="1883" spans="1:34">
      <c r="A1883" s="372" t="s">
        <v>12253</v>
      </c>
      <c r="B1883" s="373" t="s">
        <v>12254</v>
      </c>
      <c r="C1883" s="372" t="s">
        <v>12255</v>
      </c>
      <c r="D1883" s="374">
        <v>1311110423499</v>
      </c>
      <c r="E1883" s="372" t="s">
        <v>12256</v>
      </c>
      <c r="F1883" s="372" t="s">
        <v>16101</v>
      </c>
      <c r="G1883" s="375" t="s">
        <v>16101</v>
      </c>
      <c r="H1883" s="375" t="s">
        <v>861</v>
      </c>
      <c r="I1883" s="375" t="s">
        <v>862</v>
      </c>
      <c r="J1883" s="375">
        <v>1.0803799999999999</v>
      </c>
      <c r="K1883" s="375">
        <v>-26926.726569999999</v>
      </c>
      <c r="L1883" s="375">
        <v>-29938.91445</v>
      </c>
      <c r="M1883" s="375">
        <v>29442.491849999999</v>
      </c>
      <c r="N1883" s="372">
        <v>0.68700000000000006</v>
      </c>
      <c r="O1883" s="704">
        <v>1.3102739757675745</v>
      </c>
      <c r="P1883" s="375" t="s">
        <v>622</v>
      </c>
      <c r="Q1883" s="375" t="s">
        <v>622</v>
      </c>
      <c r="R1883" s="696">
        <v>20191220</v>
      </c>
      <c r="S1883" s="375" t="s">
        <v>12257</v>
      </c>
      <c r="T1883" s="697" t="s">
        <v>771</v>
      </c>
      <c r="U1883" s="372" t="s">
        <v>12258</v>
      </c>
      <c r="V1883" s="723" t="s">
        <v>773</v>
      </c>
      <c r="W1883" s="723">
        <v>6.84</v>
      </c>
      <c r="X1883" s="723">
        <v>153891.62</v>
      </c>
      <c r="Y1883" s="723" t="s">
        <v>773</v>
      </c>
      <c r="Z1883" s="382" t="s">
        <v>927</v>
      </c>
      <c r="AA1883" s="372">
        <v>63.399464700000003</v>
      </c>
      <c r="AB1883" s="372">
        <v>19.241581499999999</v>
      </c>
      <c r="AC1883" s="372">
        <v>30.2374185</v>
      </c>
      <c r="AD1883" s="372">
        <v>1</v>
      </c>
      <c r="AE1883" s="372">
        <v>0</v>
      </c>
      <c r="AF1883" s="372">
        <v>0</v>
      </c>
      <c r="AG1883" s="372">
        <v>0</v>
      </c>
      <c r="AH1883" s="372">
        <v>0</v>
      </c>
    </row>
    <row r="1884" spans="1:34">
      <c r="A1884" s="372" t="s">
        <v>12259</v>
      </c>
      <c r="B1884" s="373" t="s">
        <v>12260</v>
      </c>
      <c r="C1884" s="372" t="s">
        <v>12261</v>
      </c>
      <c r="D1884" s="374">
        <v>1313110055652</v>
      </c>
      <c r="E1884" s="372" t="s">
        <v>12262</v>
      </c>
      <c r="F1884" s="372" t="s">
        <v>998</v>
      </c>
      <c r="G1884" s="375" t="s">
        <v>7129</v>
      </c>
      <c r="H1884" s="375" t="s">
        <v>861</v>
      </c>
      <c r="I1884" s="375" t="s">
        <v>862</v>
      </c>
      <c r="J1884" s="375">
        <v>273649.12974</v>
      </c>
      <c r="K1884" s="375">
        <v>11166.61102</v>
      </c>
      <c r="L1884" s="375">
        <v>11303.21559</v>
      </c>
      <c r="M1884" s="375">
        <v>108694.57882</v>
      </c>
      <c r="N1884" s="372">
        <v>0.66200000000000003</v>
      </c>
      <c r="O1884" s="704">
        <v>16.54976279437059</v>
      </c>
      <c r="P1884" s="375" t="s">
        <v>622</v>
      </c>
      <c r="Q1884" s="372" t="s">
        <v>622</v>
      </c>
      <c r="R1884" s="696">
        <v>20211008</v>
      </c>
      <c r="S1884" s="372" t="s">
        <v>12263</v>
      </c>
      <c r="T1884" s="697">
        <v>0.20900000000000002</v>
      </c>
      <c r="U1884" s="372" t="s">
        <v>12264</v>
      </c>
      <c r="V1884" s="723">
        <v>3.66</v>
      </c>
      <c r="W1884" s="723">
        <v>0.51</v>
      </c>
      <c r="X1884" s="723">
        <v>0.2</v>
      </c>
      <c r="Y1884" s="723">
        <v>7.37</v>
      </c>
      <c r="Z1884" s="382" t="s">
        <v>927</v>
      </c>
      <c r="AA1884" s="372">
        <v>2216.9806856999999</v>
      </c>
      <c r="AB1884" s="372">
        <v>2638.4532356</v>
      </c>
      <c r="AC1884" s="372">
        <v>2164.4088783000002</v>
      </c>
      <c r="AD1884" s="372">
        <v>1729.2895533999999</v>
      </c>
      <c r="AE1884" s="372">
        <v>0</v>
      </c>
      <c r="AF1884" s="372">
        <v>0</v>
      </c>
      <c r="AG1884" s="372">
        <v>0</v>
      </c>
      <c r="AH1884" s="372">
        <v>0</v>
      </c>
    </row>
    <row r="1885" spans="1:34">
      <c r="A1885" s="372" t="s">
        <v>12265</v>
      </c>
      <c r="B1885" s="373" t="s">
        <v>12266</v>
      </c>
      <c r="C1885" s="372" t="s">
        <v>12267</v>
      </c>
      <c r="D1885" s="374">
        <v>1358110109364</v>
      </c>
      <c r="E1885" s="372" t="s">
        <v>12268</v>
      </c>
      <c r="F1885" s="372" t="s">
        <v>880</v>
      </c>
      <c r="G1885" s="375" t="s">
        <v>880</v>
      </c>
      <c r="H1885" s="375" t="s">
        <v>861</v>
      </c>
      <c r="I1885" s="375" t="s">
        <v>862</v>
      </c>
      <c r="J1885" s="375">
        <v>223371.86634000001</v>
      </c>
      <c r="K1885" s="375">
        <v>-15936.326150000001</v>
      </c>
      <c r="L1885" s="375">
        <v>17863.913789999999</v>
      </c>
      <c r="M1885" s="375">
        <v>256708.98103</v>
      </c>
      <c r="N1885" s="372">
        <v>0.78300000000000003</v>
      </c>
      <c r="O1885" s="704">
        <v>14.996550974876277</v>
      </c>
      <c r="P1885" s="375" t="s">
        <v>622</v>
      </c>
      <c r="Q1885" s="372" t="s">
        <v>622</v>
      </c>
      <c r="R1885" s="696">
        <v>20080123</v>
      </c>
      <c r="S1885" s="372" t="s">
        <v>12269</v>
      </c>
      <c r="T1885" s="697">
        <v>0.20900000000000002</v>
      </c>
      <c r="U1885" s="372" t="s">
        <v>15940</v>
      </c>
      <c r="V1885" s="723" t="s">
        <v>773</v>
      </c>
      <c r="W1885" s="723">
        <v>0.25</v>
      </c>
      <c r="X1885" s="723">
        <v>0.27</v>
      </c>
      <c r="Y1885" s="723">
        <v>2.58</v>
      </c>
      <c r="Z1885" s="382" t="s">
        <v>927</v>
      </c>
      <c r="AA1885" s="372">
        <v>2163.4561453000001</v>
      </c>
      <c r="AB1885" s="372">
        <v>1126.9108240999999</v>
      </c>
      <c r="AC1885" s="372">
        <v>1552.7481167999999</v>
      </c>
      <c r="AD1885" s="372">
        <v>1801.6448241999999</v>
      </c>
      <c r="AE1885" s="372">
        <v>0</v>
      </c>
      <c r="AF1885" s="372">
        <v>0</v>
      </c>
      <c r="AG1885" s="372">
        <v>0</v>
      </c>
      <c r="AH1885" s="372">
        <v>0</v>
      </c>
    </row>
    <row r="1886" spans="1:34">
      <c r="A1886" s="372" t="s">
        <v>12270</v>
      </c>
      <c r="B1886" s="373" t="s">
        <v>12271</v>
      </c>
      <c r="C1886" s="372" t="s">
        <v>12272</v>
      </c>
      <c r="D1886" s="374">
        <v>1101116891801</v>
      </c>
      <c r="E1886" s="372" t="s">
        <v>12273</v>
      </c>
      <c r="F1886" s="372" t="s">
        <v>12274</v>
      </c>
      <c r="G1886" s="375" t="s">
        <v>12274</v>
      </c>
      <c r="H1886" s="375" t="s">
        <v>3099</v>
      </c>
      <c r="I1886" s="375" t="s">
        <v>862</v>
      </c>
      <c r="J1886" s="375">
        <v>0</v>
      </c>
      <c r="K1886" s="375">
        <v>0</v>
      </c>
      <c r="L1886" s="375">
        <v>0</v>
      </c>
      <c r="M1886" s="375">
        <v>25558.816159999998</v>
      </c>
      <c r="N1886" s="372">
        <v>0.88100000000000001</v>
      </c>
      <c r="O1886" s="704">
        <v>50.373208780187809</v>
      </c>
      <c r="P1886" s="375" t="s">
        <v>622</v>
      </c>
      <c r="Q1886" s="372" t="s">
        <v>622</v>
      </c>
      <c r="R1886" s="696">
        <v>20181220</v>
      </c>
      <c r="S1886" s="372" t="s">
        <v>9018</v>
      </c>
      <c r="T1886" s="697" t="s">
        <v>771</v>
      </c>
      <c r="U1886" s="372" t="s">
        <v>12275</v>
      </c>
      <c r="V1886" s="723">
        <v>0</v>
      </c>
      <c r="W1886" s="723">
        <v>1.44</v>
      </c>
      <c r="X1886" s="723">
        <v>0</v>
      </c>
      <c r="Y1886" s="723">
        <v>0</v>
      </c>
      <c r="Z1886" s="382" t="s">
        <v>927</v>
      </c>
      <c r="AA1886" s="372">
        <v>278.05576550000001</v>
      </c>
      <c r="AB1886" s="372">
        <v>323.28893859999999</v>
      </c>
      <c r="AC1886" s="372">
        <v>324.10293760000002</v>
      </c>
      <c r="AD1886" s="372">
        <v>410.39115320000002</v>
      </c>
      <c r="AE1886" s="372">
        <v>0</v>
      </c>
      <c r="AF1886" s="372">
        <v>0</v>
      </c>
      <c r="AG1886" s="372">
        <v>0</v>
      </c>
      <c r="AH1886" s="372">
        <v>0</v>
      </c>
    </row>
    <row r="1887" spans="1:34">
      <c r="A1887" s="372" t="s">
        <v>12276</v>
      </c>
      <c r="B1887" s="373" t="s">
        <v>12277</v>
      </c>
      <c r="C1887" s="372" t="s">
        <v>12278</v>
      </c>
      <c r="D1887" s="374">
        <v>1615110000037</v>
      </c>
      <c r="E1887" s="372" t="s">
        <v>12279</v>
      </c>
      <c r="F1887" s="372" t="s">
        <v>1863</v>
      </c>
      <c r="G1887" s="375" t="s">
        <v>1864</v>
      </c>
      <c r="H1887" s="375" t="s">
        <v>792</v>
      </c>
      <c r="I1887" s="375" t="s">
        <v>754</v>
      </c>
      <c r="J1887" s="375">
        <v>98085.549209999997</v>
      </c>
      <c r="K1887" s="375">
        <v>6814.6806399999996</v>
      </c>
      <c r="L1887" s="375">
        <v>24585.152969999999</v>
      </c>
      <c r="M1887" s="375">
        <v>145395.65861000001</v>
      </c>
      <c r="N1887" s="372">
        <v>0.76900000000000002</v>
      </c>
      <c r="O1887" s="704">
        <v>19.584428725642638</v>
      </c>
      <c r="P1887" s="375" t="s">
        <v>622</v>
      </c>
      <c r="Q1887" s="372" t="s">
        <v>622</v>
      </c>
      <c r="R1887" s="696">
        <v>19760629</v>
      </c>
      <c r="S1887" s="372" t="s">
        <v>12280</v>
      </c>
      <c r="T1887" s="697">
        <v>0.23100000000000001</v>
      </c>
      <c r="U1887" s="372" t="s">
        <v>12281</v>
      </c>
      <c r="V1887" s="723">
        <v>11.82</v>
      </c>
      <c r="W1887" s="723">
        <v>0.91</v>
      </c>
      <c r="X1887" s="723">
        <v>1.35</v>
      </c>
      <c r="Y1887" s="723">
        <v>6.45</v>
      </c>
      <c r="Z1887" s="382" t="s">
        <v>927</v>
      </c>
      <c r="AA1887" s="372">
        <v>850.60365620000005</v>
      </c>
      <c r="AB1887" s="372">
        <v>577.71768369999995</v>
      </c>
      <c r="AC1887" s="372">
        <v>676.61514910000005</v>
      </c>
      <c r="AD1887" s="372">
        <v>965.77221550000002</v>
      </c>
      <c r="AE1887" s="372">
        <v>0</v>
      </c>
      <c r="AF1887" s="372">
        <v>0</v>
      </c>
      <c r="AG1887" s="372">
        <v>0</v>
      </c>
      <c r="AH1887" s="372">
        <v>0</v>
      </c>
    </row>
    <row r="1888" spans="1:34">
      <c r="A1888" s="372" t="s">
        <v>12282</v>
      </c>
      <c r="B1888" s="373" t="s">
        <v>12283</v>
      </c>
      <c r="C1888" s="372" t="s">
        <v>12284</v>
      </c>
      <c r="D1888" s="374">
        <v>1955110069249</v>
      </c>
      <c r="E1888" s="372" t="s">
        <v>12285</v>
      </c>
      <c r="F1888" s="375" t="s">
        <v>4490</v>
      </c>
      <c r="G1888" s="375" t="s">
        <v>4490</v>
      </c>
      <c r="H1888" s="375" t="s">
        <v>861</v>
      </c>
      <c r="I1888" s="375" t="s">
        <v>862</v>
      </c>
      <c r="J1888" s="375">
        <v>108746.87282</v>
      </c>
      <c r="K1888" s="375">
        <v>890.08285999999998</v>
      </c>
      <c r="L1888" s="375">
        <v>146.94279</v>
      </c>
      <c r="M1888" s="375">
        <v>80185.343370000002</v>
      </c>
      <c r="N1888" s="372">
        <v>0.77700000000000002</v>
      </c>
      <c r="O1888" s="704">
        <v>66.997493414943023</v>
      </c>
      <c r="P1888" s="375" t="s">
        <v>622</v>
      </c>
      <c r="Q1888" s="372" t="s">
        <v>622</v>
      </c>
      <c r="R1888" s="696">
        <v>20040211</v>
      </c>
      <c r="S1888" s="372" t="s">
        <v>12286</v>
      </c>
      <c r="T1888" s="697">
        <v>9.9000000000000005E-2</v>
      </c>
      <c r="U1888" s="372" t="s">
        <v>12287</v>
      </c>
      <c r="V1888" s="723">
        <v>15.84</v>
      </c>
      <c r="W1888" s="723">
        <v>0.6</v>
      </c>
      <c r="X1888" s="723">
        <v>0.42</v>
      </c>
      <c r="Y1888" s="723">
        <v>108.84</v>
      </c>
      <c r="Z1888" s="382" t="s">
        <v>927</v>
      </c>
      <c r="AA1888" s="372">
        <v>933.80714320000004</v>
      </c>
      <c r="AB1888" s="372">
        <v>1041.4090005</v>
      </c>
      <c r="AC1888" s="372">
        <v>1181.8174266999999</v>
      </c>
      <c r="AD1888" s="372">
        <v>1083.9054120999999</v>
      </c>
      <c r="AE1888" s="372">
        <v>0</v>
      </c>
      <c r="AF1888" s="372">
        <v>0</v>
      </c>
      <c r="AG1888" s="372">
        <v>0</v>
      </c>
      <c r="AH1888" s="372">
        <v>0</v>
      </c>
    </row>
    <row r="1889" spans="1:34">
      <c r="A1889" s="372" t="s">
        <v>12288</v>
      </c>
      <c r="B1889" s="373" t="s">
        <v>12289</v>
      </c>
      <c r="C1889" s="372" t="s">
        <v>12290</v>
      </c>
      <c r="D1889" s="374">
        <v>1301110008771</v>
      </c>
      <c r="E1889" s="372" t="s">
        <v>12291</v>
      </c>
      <c r="F1889" s="372" t="s">
        <v>12292</v>
      </c>
      <c r="G1889" s="375" t="s">
        <v>12292</v>
      </c>
      <c r="H1889" s="375" t="s">
        <v>817</v>
      </c>
      <c r="I1889" s="375" t="s">
        <v>754</v>
      </c>
      <c r="J1889" s="375">
        <v>34763.695079999998</v>
      </c>
      <c r="K1889" s="375">
        <v>3582.9124700000002</v>
      </c>
      <c r="L1889" s="375">
        <v>4304.6520399999999</v>
      </c>
      <c r="M1889" s="375">
        <v>66101.449930000002</v>
      </c>
      <c r="N1889" s="372">
        <v>0.63800000000000001</v>
      </c>
      <c r="O1889" s="704">
        <v>1.9370962797672246</v>
      </c>
      <c r="P1889" s="375" t="s">
        <v>622</v>
      </c>
      <c r="Q1889" s="372" t="s">
        <v>622</v>
      </c>
      <c r="R1889" s="696">
        <v>19891114</v>
      </c>
      <c r="S1889" s="372" t="s">
        <v>12293</v>
      </c>
      <c r="T1889" s="697">
        <v>0.20900000000000002</v>
      </c>
      <c r="U1889" s="372" t="s">
        <v>12294</v>
      </c>
      <c r="V1889" s="723">
        <v>0</v>
      </c>
      <c r="W1889" s="723">
        <v>0</v>
      </c>
      <c r="X1889" s="723">
        <v>0</v>
      </c>
      <c r="Y1889" s="723">
        <v>0</v>
      </c>
      <c r="Z1889" s="382" t="s">
        <v>927</v>
      </c>
      <c r="AA1889" s="372">
        <v>195.39593869999999</v>
      </c>
      <c r="AB1889" s="372">
        <v>288.99466699999999</v>
      </c>
      <c r="AC1889" s="372">
        <v>300.93883440000002</v>
      </c>
      <c r="AD1889" s="372">
        <v>329.50221499999998</v>
      </c>
      <c r="AE1889" s="372">
        <v>0</v>
      </c>
      <c r="AF1889" s="372">
        <v>0</v>
      </c>
      <c r="AG1889" s="372">
        <v>0</v>
      </c>
      <c r="AH1889" s="372">
        <v>0</v>
      </c>
    </row>
    <row r="1890" spans="1:34">
      <c r="A1890" s="372" t="s">
        <v>12295</v>
      </c>
      <c r="B1890" s="373" t="s">
        <v>12296</v>
      </c>
      <c r="C1890" s="372" t="s">
        <v>12297</v>
      </c>
      <c r="D1890" s="374">
        <v>1101111182726</v>
      </c>
      <c r="E1890" s="372" t="s">
        <v>12298</v>
      </c>
      <c r="F1890" s="375" t="s">
        <v>1962</v>
      </c>
      <c r="G1890" s="375" t="s">
        <v>1962</v>
      </c>
      <c r="H1890" s="375" t="s">
        <v>861</v>
      </c>
      <c r="I1890" s="375" t="s">
        <v>862</v>
      </c>
      <c r="J1890" s="375">
        <v>22836.876520000002</v>
      </c>
      <c r="K1890" s="375">
        <v>-4840.2914000000001</v>
      </c>
      <c r="L1890" s="375">
        <v>-7986.3031000000001</v>
      </c>
      <c r="M1890" s="375">
        <v>67160.876950000005</v>
      </c>
      <c r="N1890" s="372">
        <v>1.208</v>
      </c>
      <c r="O1890" s="704">
        <v>58.94491861770009</v>
      </c>
      <c r="P1890" s="375" t="s">
        <v>622</v>
      </c>
      <c r="Q1890" s="372" t="s">
        <v>622</v>
      </c>
      <c r="R1890" s="696">
        <v>20010629</v>
      </c>
      <c r="S1890" s="372" t="s">
        <v>12299</v>
      </c>
      <c r="T1890" s="697" t="s">
        <v>771</v>
      </c>
      <c r="U1890" s="372" t="s">
        <v>15941</v>
      </c>
      <c r="V1890" s="723" t="s">
        <v>773</v>
      </c>
      <c r="W1890" s="723">
        <v>1.21</v>
      </c>
      <c r="X1890" s="723">
        <v>4.08</v>
      </c>
      <c r="Y1890" s="723" t="s">
        <v>773</v>
      </c>
      <c r="Z1890" s="382" t="s">
        <v>927</v>
      </c>
      <c r="AA1890" s="372">
        <v>227.61832419999999</v>
      </c>
      <c r="AB1890" s="372">
        <v>185.37583319999999</v>
      </c>
      <c r="AC1890" s="372">
        <v>255.0254549</v>
      </c>
      <c r="AD1890" s="372">
        <v>265.45557980000001</v>
      </c>
      <c r="AE1890" s="372">
        <v>0</v>
      </c>
      <c r="AF1890" s="372">
        <v>0</v>
      </c>
      <c r="AG1890" s="372">
        <v>0</v>
      </c>
      <c r="AH1890" s="372">
        <v>0</v>
      </c>
    </row>
    <row r="1891" spans="1:34">
      <c r="A1891" s="372" t="s">
        <v>12300</v>
      </c>
      <c r="B1891" s="373" t="s">
        <v>12301</v>
      </c>
      <c r="C1891" s="372" t="s">
        <v>12302</v>
      </c>
      <c r="D1891" s="374">
        <v>1101112099425</v>
      </c>
      <c r="E1891" s="372" t="s">
        <v>12303</v>
      </c>
      <c r="F1891" s="375" t="s">
        <v>1370</v>
      </c>
      <c r="G1891" s="375" t="s">
        <v>1370</v>
      </c>
      <c r="H1891" s="375" t="s">
        <v>861</v>
      </c>
      <c r="I1891" s="375" t="s">
        <v>862</v>
      </c>
      <c r="J1891" s="375">
        <v>0</v>
      </c>
      <c r="K1891" s="375">
        <v>0</v>
      </c>
      <c r="L1891" s="375">
        <v>0</v>
      </c>
      <c r="M1891" s="375">
        <v>29052.682659999999</v>
      </c>
      <c r="N1891" s="372">
        <v>0.63100000000000001</v>
      </c>
      <c r="O1891" s="704">
        <v>0.29806159016796319</v>
      </c>
      <c r="P1891" s="375" t="s">
        <v>622</v>
      </c>
      <c r="Q1891" s="372" t="s">
        <v>622</v>
      </c>
      <c r="R1891" s="696">
        <v>20211014</v>
      </c>
      <c r="S1891" s="372" t="s">
        <v>12304</v>
      </c>
      <c r="T1891" s="697" t="s">
        <v>771</v>
      </c>
      <c r="U1891" s="372" t="s">
        <v>12305</v>
      </c>
      <c r="V1891" s="723">
        <v>0</v>
      </c>
      <c r="W1891" s="723">
        <v>3.92</v>
      </c>
      <c r="X1891" s="723">
        <v>0</v>
      </c>
      <c r="Y1891" s="723">
        <v>0</v>
      </c>
      <c r="Z1891" s="382" t="s">
        <v>927</v>
      </c>
      <c r="AA1891" s="372">
        <v>189.15588740000001</v>
      </c>
      <c r="AB1891" s="372">
        <v>228.56123579999999</v>
      </c>
      <c r="AC1891" s="372">
        <v>270.899271</v>
      </c>
      <c r="AD1891" s="372">
        <v>265.72393879999998</v>
      </c>
      <c r="AE1891" s="372">
        <v>0</v>
      </c>
      <c r="AF1891" s="372">
        <v>0</v>
      </c>
      <c r="AG1891" s="372">
        <v>0</v>
      </c>
      <c r="AH1891" s="372">
        <v>0</v>
      </c>
    </row>
    <row r="1892" spans="1:34">
      <c r="A1892" s="372" t="s">
        <v>12306</v>
      </c>
      <c r="B1892" s="373" t="s">
        <v>12307</v>
      </c>
      <c r="C1892" s="372" t="s">
        <v>12308</v>
      </c>
      <c r="D1892" s="374">
        <v>1201110002022</v>
      </c>
      <c r="E1892" s="372" t="s">
        <v>12309</v>
      </c>
      <c r="F1892" s="372" t="s">
        <v>12310</v>
      </c>
      <c r="G1892" s="375" t="s">
        <v>12311</v>
      </c>
      <c r="H1892" s="375" t="s">
        <v>1468</v>
      </c>
      <c r="I1892" s="375" t="s">
        <v>754</v>
      </c>
      <c r="J1892" s="375">
        <v>257148.15140999999</v>
      </c>
      <c r="K1892" s="375">
        <v>11038.4354</v>
      </c>
      <c r="L1892" s="375">
        <v>-2863.3626100000001</v>
      </c>
      <c r="M1892" s="375">
        <v>124595.30114</v>
      </c>
      <c r="N1892" s="372">
        <v>0.53700000000000003</v>
      </c>
      <c r="O1892" s="704">
        <v>247.92309042792957</v>
      </c>
      <c r="P1892" s="375" t="s">
        <v>622</v>
      </c>
      <c r="Q1892" s="372" t="s">
        <v>622</v>
      </c>
      <c r="R1892" s="696">
        <v>19900608</v>
      </c>
      <c r="S1892" s="372" t="s">
        <v>12312</v>
      </c>
      <c r="T1892" s="697" t="s">
        <v>771</v>
      </c>
      <c r="U1892" s="372" t="s">
        <v>12313</v>
      </c>
      <c r="V1892" s="723">
        <v>7.32</v>
      </c>
      <c r="W1892" s="723">
        <v>0.73</v>
      </c>
      <c r="X1892" s="723">
        <v>0.24</v>
      </c>
      <c r="Y1892" s="723" t="s">
        <v>773</v>
      </c>
      <c r="Z1892" s="382" t="s">
        <v>927</v>
      </c>
      <c r="AA1892" s="372">
        <v>2192.5839535999999</v>
      </c>
      <c r="AB1892" s="372">
        <v>2285.8117444</v>
      </c>
      <c r="AC1892" s="372">
        <v>2349.5239283000001</v>
      </c>
      <c r="AD1892" s="372">
        <v>2509.5827202999999</v>
      </c>
      <c r="AE1892" s="372">
        <v>0</v>
      </c>
      <c r="AF1892" s="372">
        <v>0</v>
      </c>
      <c r="AG1892" s="372">
        <v>0</v>
      </c>
      <c r="AH1892" s="372">
        <v>0</v>
      </c>
    </row>
    <row r="1893" spans="1:34">
      <c r="A1893" s="372" t="s">
        <v>12314</v>
      </c>
      <c r="B1893" s="373" t="s">
        <v>12315</v>
      </c>
      <c r="C1893" s="372" t="s">
        <v>12316</v>
      </c>
      <c r="D1893" s="374">
        <v>1101110045347</v>
      </c>
      <c r="E1893" s="372" t="s">
        <v>12317</v>
      </c>
      <c r="F1893" s="372" t="s">
        <v>2747</v>
      </c>
      <c r="G1893" s="375" t="s">
        <v>9398</v>
      </c>
      <c r="H1893" s="375" t="s">
        <v>861</v>
      </c>
      <c r="I1893" s="375" t="s">
        <v>862</v>
      </c>
      <c r="J1893" s="375">
        <v>29579.435799999999</v>
      </c>
      <c r="K1893" s="375">
        <v>-13511.635840000001</v>
      </c>
      <c r="L1893" s="375">
        <v>-26501.757010000001</v>
      </c>
      <c r="M1893" s="375">
        <v>63775.281060000001</v>
      </c>
      <c r="N1893" s="372">
        <v>9.8000000000000004E-2</v>
      </c>
      <c r="O1893" s="704">
        <v>41.977007353142923</v>
      </c>
      <c r="P1893" s="375" t="s">
        <v>622</v>
      </c>
      <c r="Q1893" s="372" t="s">
        <v>622</v>
      </c>
      <c r="R1893" s="696">
        <v>19940930</v>
      </c>
      <c r="S1893" s="372" t="s">
        <v>12318</v>
      </c>
      <c r="T1893" s="697" t="s">
        <v>771</v>
      </c>
      <c r="U1893" s="372" t="s">
        <v>15942</v>
      </c>
      <c r="V1893" s="723" t="s">
        <v>773</v>
      </c>
      <c r="W1893" s="723">
        <v>1.26</v>
      </c>
      <c r="X1893" s="723">
        <v>2.7</v>
      </c>
      <c r="Y1893" s="723" t="s">
        <v>773</v>
      </c>
      <c r="Z1893" s="382" t="s">
        <v>927</v>
      </c>
      <c r="AA1893" s="372">
        <v>375.20548939999998</v>
      </c>
      <c r="AB1893" s="372">
        <v>844.71062500000005</v>
      </c>
      <c r="AC1893" s="372">
        <v>841.43041879999998</v>
      </c>
      <c r="AD1893" s="372">
        <v>553.49435840000001</v>
      </c>
      <c r="AE1893" s="372">
        <v>0</v>
      </c>
      <c r="AF1893" s="372">
        <v>0</v>
      </c>
      <c r="AG1893" s="372">
        <v>0</v>
      </c>
      <c r="AH1893" s="372">
        <v>0</v>
      </c>
    </row>
    <row r="1894" spans="1:34">
      <c r="A1894" s="372" t="s">
        <v>12319</v>
      </c>
      <c r="B1894" s="373" t="s">
        <v>12320</v>
      </c>
      <c r="C1894" s="372" t="s">
        <v>12321</v>
      </c>
      <c r="D1894" s="374">
        <v>1101110530687</v>
      </c>
      <c r="E1894" s="372" t="s">
        <v>12322</v>
      </c>
      <c r="F1894" s="372" t="s">
        <v>7044</v>
      </c>
      <c r="G1894" s="375" t="s">
        <v>8267</v>
      </c>
      <c r="H1894" s="375" t="s">
        <v>861</v>
      </c>
      <c r="I1894" s="375" t="s">
        <v>862</v>
      </c>
      <c r="J1894" s="375">
        <v>24400.28313</v>
      </c>
      <c r="K1894" s="375">
        <v>-812.09571000000005</v>
      </c>
      <c r="L1894" s="375">
        <v>-1020.80951</v>
      </c>
      <c r="M1894" s="375">
        <v>41124.39417</v>
      </c>
      <c r="N1894" s="372">
        <v>0.89200000000000002</v>
      </c>
      <c r="O1894" s="704">
        <v>0</v>
      </c>
      <c r="P1894" s="375" t="s">
        <v>622</v>
      </c>
      <c r="Q1894" s="375" t="s">
        <v>622</v>
      </c>
      <c r="R1894" s="696">
        <v>20060201</v>
      </c>
      <c r="S1894" s="375" t="s">
        <v>12323</v>
      </c>
      <c r="T1894" s="697" t="s">
        <v>771</v>
      </c>
      <c r="U1894" s="372" t="s">
        <v>12324</v>
      </c>
      <c r="V1894" s="723">
        <v>192.56</v>
      </c>
      <c r="W1894" s="723">
        <v>1.43</v>
      </c>
      <c r="X1894" s="723">
        <v>2.4700000000000002</v>
      </c>
      <c r="Y1894" s="723" t="s">
        <v>773</v>
      </c>
      <c r="Z1894" s="382" t="s">
        <v>927</v>
      </c>
      <c r="AA1894" s="372">
        <v>229.44976389999999</v>
      </c>
      <c r="AB1894" s="372">
        <v>225.74207999999999</v>
      </c>
      <c r="AC1894" s="372">
        <v>262.87076330000002</v>
      </c>
      <c r="AD1894" s="372">
        <v>269.43911900000001</v>
      </c>
      <c r="AE1894" s="372">
        <v>0</v>
      </c>
      <c r="AF1894" s="372">
        <v>0</v>
      </c>
      <c r="AG1894" s="372">
        <v>0</v>
      </c>
      <c r="AH1894" s="372">
        <v>0</v>
      </c>
    </row>
    <row r="1895" spans="1:34">
      <c r="A1895" s="372" t="s">
        <v>12325</v>
      </c>
      <c r="B1895" s="373" t="s">
        <v>12326</v>
      </c>
      <c r="C1895" s="372" t="s">
        <v>12327</v>
      </c>
      <c r="D1895" s="374">
        <v>1101111600794</v>
      </c>
      <c r="E1895" s="372" t="s">
        <v>12328</v>
      </c>
      <c r="F1895" s="372" t="s">
        <v>6235</v>
      </c>
      <c r="G1895" s="375" t="s">
        <v>10947</v>
      </c>
      <c r="H1895" s="375" t="s">
        <v>4847</v>
      </c>
      <c r="I1895" s="375" t="s">
        <v>862</v>
      </c>
      <c r="J1895" s="375">
        <v>275488.66859000002</v>
      </c>
      <c r="K1895" s="375">
        <v>1646.45136</v>
      </c>
      <c r="L1895" s="375">
        <v>3683.7788999999998</v>
      </c>
      <c r="M1895" s="375">
        <v>105054.71786999999</v>
      </c>
      <c r="N1895" s="372">
        <v>0.80500000000000005</v>
      </c>
      <c r="O1895" s="704">
        <v>59.382244274765675</v>
      </c>
      <c r="P1895" s="375" t="s">
        <v>622</v>
      </c>
      <c r="Q1895" s="372" t="s">
        <v>622</v>
      </c>
      <c r="R1895" s="696">
        <v>20020614</v>
      </c>
      <c r="S1895" s="372" t="s">
        <v>12329</v>
      </c>
      <c r="T1895" s="697">
        <v>0.20900000000000002</v>
      </c>
      <c r="U1895" s="372" t="s">
        <v>12330</v>
      </c>
      <c r="V1895" s="723">
        <v>11.72</v>
      </c>
      <c r="W1895" s="723">
        <v>0.45</v>
      </c>
      <c r="X1895" s="723">
        <v>0.17</v>
      </c>
      <c r="Y1895" s="723">
        <v>23.12</v>
      </c>
      <c r="Z1895" s="382" t="s">
        <v>927</v>
      </c>
      <c r="AA1895" s="372">
        <v>3163.0583413999998</v>
      </c>
      <c r="AB1895" s="372">
        <v>1743.03666</v>
      </c>
      <c r="AC1895" s="372">
        <v>1962.9205168999999</v>
      </c>
      <c r="AD1895" s="372">
        <v>2525.0856942</v>
      </c>
      <c r="AE1895" s="372">
        <v>0</v>
      </c>
      <c r="AF1895" s="372">
        <v>0</v>
      </c>
      <c r="AG1895" s="372">
        <v>0</v>
      </c>
      <c r="AH1895" s="372">
        <v>0</v>
      </c>
    </row>
    <row r="1896" spans="1:34">
      <c r="A1896" s="372" t="s">
        <v>12331</v>
      </c>
      <c r="B1896" s="373" t="s">
        <v>12332</v>
      </c>
      <c r="C1896" s="372" t="s">
        <v>12333</v>
      </c>
      <c r="D1896" s="374">
        <v>1101110033839</v>
      </c>
      <c r="E1896" s="372" t="s">
        <v>12334</v>
      </c>
      <c r="F1896" s="375" t="s">
        <v>2259</v>
      </c>
      <c r="G1896" s="375" t="s">
        <v>2259</v>
      </c>
      <c r="H1896" s="375" t="s">
        <v>4847</v>
      </c>
      <c r="I1896" s="375" t="s">
        <v>862</v>
      </c>
      <c r="J1896" s="375">
        <v>145040.12332000001</v>
      </c>
      <c r="K1896" s="375">
        <v>-5874.0645599999998</v>
      </c>
      <c r="L1896" s="375">
        <v>-5814.7999099999997</v>
      </c>
      <c r="M1896" s="375">
        <v>37425.874589999999</v>
      </c>
      <c r="N1896" s="372">
        <v>0.81499999999999995</v>
      </c>
      <c r="O1896" s="704">
        <v>48.134495944436871</v>
      </c>
      <c r="P1896" s="375" t="s">
        <v>622</v>
      </c>
      <c r="Q1896" s="372" t="s">
        <v>622</v>
      </c>
      <c r="R1896" s="696">
        <v>19941116</v>
      </c>
      <c r="S1896" s="372" t="s">
        <v>5043</v>
      </c>
      <c r="T1896" s="697" t="s">
        <v>771</v>
      </c>
      <c r="U1896" s="372" t="s">
        <v>12335</v>
      </c>
      <c r="V1896" s="723">
        <v>0</v>
      </c>
      <c r="W1896" s="723">
        <v>0</v>
      </c>
      <c r="X1896" s="723">
        <v>0</v>
      </c>
      <c r="Y1896" s="723">
        <v>0</v>
      </c>
      <c r="Z1896" s="382" t="s">
        <v>927</v>
      </c>
      <c r="AA1896" s="372">
        <v>1532.3296307999999</v>
      </c>
      <c r="AB1896" s="372">
        <v>1949.3537193</v>
      </c>
      <c r="AC1896" s="372">
        <v>1945.5825295</v>
      </c>
      <c r="AD1896" s="372">
        <v>1511.8871936999999</v>
      </c>
      <c r="AE1896" s="372">
        <v>0</v>
      </c>
      <c r="AF1896" s="372">
        <v>0</v>
      </c>
      <c r="AG1896" s="372">
        <v>0</v>
      </c>
      <c r="AH1896" s="372">
        <v>0</v>
      </c>
    </row>
    <row r="1897" spans="1:34">
      <c r="A1897" s="372" t="s">
        <v>12336</v>
      </c>
      <c r="B1897" s="373" t="s">
        <v>12337</v>
      </c>
      <c r="C1897" s="372" t="s">
        <v>12338</v>
      </c>
      <c r="D1897" s="374">
        <v>1101111909865</v>
      </c>
      <c r="E1897" s="372" t="s">
        <v>12339</v>
      </c>
      <c r="F1897" s="372" t="s">
        <v>1796</v>
      </c>
      <c r="G1897" s="375" t="s">
        <v>2797</v>
      </c>
      <c r="H1897" s="375" t="s">
        <v>861</v>
      </c>
      <c r="I1897" s="375" t="s">
        <v>862</v>
      </c>
      <c r="J1897" s="375">
        <v>26922.78327</v>
      </c>
      <c r="K1897" s="375">
        <v>1893.0249899999999</v>
      </c>
      <c r="L1897" s="375">
        <v>3515.0072799999998</v>
      </c>
      <c r="M1897" s="375">
        <v>46544.411829999997</v>
      </c>
      <c r="N1897" s="372">
        <v>1.016</v>
      </c>
      <c r="O1897" s="704">
        <v>2.7280381523227777</v>
      </c>
      <c r="P1897" s="375" t="s">
        <v>622</v>
      </c>
      <c r="Q1897" s="372" t="s">
        <v>622</v>
      </c>
      <c r="R1897" s="696">
        <v>20210819</v>
      </c>
      <c r="S1897" s="372" t="s">
        <v>12340</v>
      </c>
      <c r="T1897" s="697">
        <v>0.20900000000000002</v>
      </c>
      <c r="U1897" s="372" t="s">
        <v>12341</v>
      </c>
      <c r="V1897" s="723">
        <v>21.49</v>
      </c>
      <c r="W1897" s="723">
        <v>1.08</v>
      </c>
      <c r="X1897" s="723">
        <v>1.97</v>
      </c>
      <c r="Y1897" s="723">
        <v>14.98</v>
      </c>
      <c r="Z1897" s="382" t="s">
        <v>927</v>
      </c>
      <c r="AA1897" s="372">
        <v>148.294094</v>
      </c>
      <c r="AB1897" s="372">
        <v>176.91442119999999</v>
      </c>
      <c r="AC1897" s="372">
        <v>182.52937739999999</v>
      </c>
      <c r="AD1897" s="372">
        <v>258.1928987</v>
      </c>
      <c r="AE1897" s="372">
        <v>295</v>
      </c>
      <c r="AF1897" s="372">
        <v>0</v>
      </c>
      <c r="AG1897" s="372">
        <v>0</v>
      </c>
      <c r="AH1897" s="372">
        <v>0</v>
      </c>
    </row>
    <row r="1898" spans="1:34">
      <c r="A1898" s="372" t="s">
        <v>12342</v>
      </c>
      <c r="B1898" s="373" t="s">
        <v>12343</v>
      </c>
      <c r="C1898" s="372" t="s">
        <v>12344</v>
      </c>
      <c r="D1898" s="374">
        <v>1601110165806</v>
      </c>
      <c r="E1898" s="372" t="s">
        <v>12345</v>
      </c>
      <c r="F1898" s="372" t="s">
        <v>1431</v>
      </c>
      <c r="G1898" s="375" t="s">
        <v>12346</v>
      </c>
      <c r="H1898" s="375" t="s">
        <v>861</v>
      </c>
      <c r="I1898" s="375" t="s">
        <v>862</v>
      </c>
      <c r="J1898" s="375">
        <v>67528.962190000006</v>
      </c>
      <c r="K1898" s="375">
        <v>4278.8950999999997</v>
      </c>
      <c r="L1898" s="375">
        <v>5200.8723600000003</v>
      </c>
      <c r="M1898" s="375">
        <v>56565.468289999997</v>
      </c>
      <c r="N1898" s="372">
        <v>0.72499999999999998</v>
      </c>
      <c r="O1898" s="704">
        <v>0</v>
      </c>
      <c r="P1898" s="375" t="s">
        <v>622</v>
      </c>
      <c r="Q1898" s="372" t="s">
        <v>622</v>
      </c>
      <c r="R1898" s="696">
        <v>20190905</v>
      </c>
      <c r="S1898" s="372" t="s">
        <v>12347</v>
      </c>
      <c r="T1898" s="697">
        <v>0.20900000000000002</v>
      </c>
      <c r="U1898" s="372" t="s">
        <v>12348</v>
      </c>
      <c r="V1898" s="723">
        <v>0</v>
      </c>
      <c r="W1898" s="723">
        <v>0</v>
      </c>
      <c r="X1898" s="723">
        <v>0</v>
      </c>
      <c r="Y1898" s="723">
        <v>0</v>
      </c>
      <c r="Z1898" s="382" t="s">
        <v>927</v>
      </c>
      <c r="AA1898" s="372">
        <v>610.27594199999999</v>
      </c>
      <c r="AB1898" s="372">
        <v>526.58011269999997</v>
      </c>
      <c r="AC1898" s="372">
        <v>591.49129430000005</v>
      </c>
      <c r="AD1898" s="372">
        <v>650.7007509</v>
      </c>
      <c r="AE1898" s="372">
        <v>0</v>
      </c>
      <c r="AF1898" s="372">
        <v>0</v>
      </c>
      <c r="AG1898" s="372">
        <v>0</v>
      </c>
      <c r="AH1898" s="372">
        <v>0</v>
      </c>
    </row>
    <row r="1899" spans="1:34">
      <c r="A1899" s="372" t="s">
        <v>12349</v>
      </c>
      <c r="B1899" s="373" t="s">
        <v>12350</v>
      </c>
      <c r="C1899" s="372" t="s">
        <v>12351</v>
      </c>
      <c r="D1899" s="374">
        <v>1101110073877</v>
      </c>
      <c r="E1899" s="372" t="s">
        <v>12352</v>
      </c>
      <c r="F1899" s="375" t="s">
        <v>8672</v>
      </c>
      <c r="G1899" s="375" t="s">
        <v>8828</v>
      </c>
      <c r="H1899" s="375" t="s">
        <v>861</v>
      </c>
      <c r="I1899" s="375" t="s">
        <v>862</v>
      </c>
      <c r="J1899" s="375">
        <v>268656.88604000001</v>
      </c>
      <c r="K1899" s="375">
        <v>17350.058669999999</v>
      </c>
      <c r="L1899" s="375">
        <v>17191.41834</v>
      </c>
      <c r="M1899" s="375">
        <v>148914.31254000001</v>
      </c>
      <c r="N1899" s="372">
        <v>0.60899999999999999</v>
      </c>
      <c r="O1899" s="704">
        <v>17.216828786784674</v>
      </c>
      <c r="P1899" s="375" t="s">
        <v>622</v>
      </c>
      <c r="Q1899" s="372" t="s">
        <v>622</v>
      </c>
      <c r="R1899" s="696">
        <v>19941222</v>
      </c>
      <c r="S1899" s="372" t="s">
        <v>12353</v>
      </c>
      <c r="T1899" s="697">
        <v>0.20900000000000002</v>
      </c>
      <c r="U1899" s="372" t="s">
        <v>12354</v>
      </c>
      <c r="V1899" s="723">
        <v>0</v>
      </c>
      <c r="W1899" s="723">
        <v>0</v>
      </c>
      <c r="X1899" s="723">
        <v>0</v>
      </c>
      <c r="Y1899" s="723">
        <v>0</v>
      </c>
      <c r="Z1899" s="382" t="s">
        <v>927</v>
      </c>
      <c r="AA1899" s="372">
        <v>2122.2165909</v>
      </c>
      <c r="AB1899" s="372">
        <v>2359.4055389</v>
      </c>
      <c r="AC1899" s="372">
        <v>2759.7961983</v>
      </c>
      <c r="AD1899" s="372">
        <v>2711.0169900000001</v>
      </c>
      <c r="AE1899" s="372">
        <v>0</v>
      </c>
      <c r="AF1899" s="372">
        <v>0</v>
      </c>
      <c r="AG1899" s="372">
        <v>0</v>
      </c>
      <c r="AH1899" s="372">
        <v>0</v>
      </c>
    </row>
    <row r="1900" spans="1:34">
      <c r="A1900" s="372" t="s">
        <v>12355</v>
      </c>
      <c r="B1900" s="373" t="s">
        <v>12356</v>
      </c>
      <c r="C1900" s="372" t="s">
        <v>12357</v>
      </c>
      <c r="D1900" s="374">
        <v>1201110087834</v>
      </c>
      <c r="E1900" s="372" t="s">
        <v>12358</v>
      </c>
      <c r="F1900" s="375" t="s">
        <v>7044</v>
      </c>
      <c r="G1900" s="375" t="s">
        <v>8267</v>
      </c>
      <c r="H1900" s="375" t="s">
        <v>861</v>
      </c>
      <c r="I1900" s="375" t="s">
        <v>862</v>
      </c>
      <c r="J1900" s="375">
        <v>52273.566379999997</v>
      </c>
      <c r="K1900" s="375">
        <v>-3428.9185299999999</v>
      </c>
      <c r="L1900" s="375">
        <v>-5667.2293300000001</v>
      </c>
      <c r="M1900" s="375">
        <v>25720.414669999998</v>
      </c>
      <c r="N1900" s="372">
        <v>0.68500000000000005</v>
      </c>
      <c r="O1900" s="704">
        <v>91.87781354652455</v>
      </c>
      <c r="P1900" s="375" t="s">
        <v>622</v>
      </c>
      <c r="Q1900" s="372" t="s">
        <v>622</v>
      </c>
      <c r="R1900" s="696">
        <v>20000825</v>
      </c>
      <c r="S1900" s="372" t="s">
        <v>12359</v>
      </c>
      <c r="T1900" s="697" t="s">
        <v>771</v>
      </c>
      <c r="U1900" s="372" t="s">
        <v>12360</v>
      </c>
      <c r="V1900" s="723">
        <v>0</v>
      </c>
      <c r="W1900" s="723">
        <v>0</v>
      </c>
      <c r="X1900" s="723">
        <v>0</v>
      </c>
      <c r="Y1900" s="723">
        <v>0</v>
      </c>
      <c r="Z1900" s="382" t="s">
        <v>927</v>
      </c>
      <c r="AA1900" s="372">
        <v>500.1926363</v>
      </c>
      <c r="AB1900" s="372">
        <v>565.95680689999995</v>
      </c>
      <c r="AC1900" s="372">
        <v>625.71779530000003</v>
      </c>
      <c r="AD1900" s="372">
        <v>476.40536049999997</v>
      </c>
      <c r="AE1900" s="372">
        <v>0</v>
      </c>
      <c r="AF1900" s="372">
        <v>0</v>
      </c>
      <c r="AG1900" s="372">
        <v>0</v>
      </c>
      <c r="AH1900" s="372">
        <v>0</v>
      </c>
    </row>
    <row r="1901" spans="1:34">
      <c r="A1901" s="372" t="s">
        <v>12361</v>
      </c>
      <c r="B1901" s="373" t="s">
        <v>12362</v>
      </c>
      <c r="C1901" s="372" t="s">
        <v>12363</v>
      </c>
      <c r="D1901" s="374">
        <v>1101110254344</v>
      </c>
      <c r="E1901" s="372" t="s">
        <v>12364</v>
      </c>
      <c r="F1901" s="372" t="s">
        <v>5625</v>
      </c>
      <c r="G1901" s="375" t="s">
        <v>5625</v>
      </c>
      <c r="H1901" s="375" t="s">
        <v>861</v>
      </c>
      <c r="I1901" s="375" t="s">
        <v>862</v>
      </c>
      <c r="J1901" s="375">
        <v>369763.19721999997</v>
      </c>
      <c r="K1901" s="375">
        <v>-2402.5352499999999</v>
      </c>
      <c r="L1901" s="375">
        <v>-282.76337999999998</v>
      </c>
      <c r="M1901" s="375">
        <v>67160.904020000002</v>
      </c>
      <c r="N1901" s="372">
        <v>0.64100000000000001</v>
      </c>
      <c r="O1901" s="704">
        <v>367.86217670649688</v>
      </c>
      <c r="P1901" s="375" t="s">
        <v>16115</v>
      </c>
      <c r="Q1901" s="372" t="s">
        <v>622</v>
      </c>
      <c r="R1901" s="696">
        <v>19950515</v>
      </c>
      <c r="S1901" s="372" t="s">
        <v>12365</v>
      </c>
      <c r="T1901" s="697" t="s">
        <v>771</v>
      </c>
      <c r="U1901" s="372" t="s">
        <v>15943</v>
      </c>
      <c r="V1901" s="723">
        <v>52.17</v>
      </c>
      <c r="W1901" s="723">
        <v>0.53</v>
      </c>
      <c r="X1901" s="723">
        <v>0.1</v>
      </c>
      <c r="Y1901" s="723" t="s">
        <v>773</v>
      </c>
      <c r="Z1901" s="382" t="s">
        <v>927</v>
      </c>
      <c r="AA1901" s="372">
        <v>3041.7946075999998</v>
      </c>
      <c r="AB1901" s="372">
        <v>3331.0157754000002</v>
      </c>
      <c r="AC1901" s="372">
        <v>3818.0999323999999</v>
      </c>
      <c r="AD1901" s="372">
        <v>3931.3171401999998</v>
      </c>
      <c r="AE1901" s="372">
        <v>0</v>
      </c>
      <c r="AF1901" s="372">
        <v>0</v>
      </c>
      <c r="AG1901" s="372">
        <v>0</v>
      </c>
      <c r="AH1901" s="372">
        <v>0</v>
      </c>
    </row>
    <row r="1902" spans="1:34">
      <c r="A1902" s="372" t="s">
        <v>12366</v>
      </c>
      <c r="B1902" s="373" t="s">
        <v>12367</v>
      </c>
      <c r="C1902" s="372" t="s">
        <v>12368</v>
      </c>
      <c r="D1902" s="374">
        <v>1311110157098</v>
      </c>
      <c r="E1902" s="372" t="s">
        <v>12369</v>
      </c>
      <c r="F1902" s="375" t="s">
        <v>1055</v>
      </c>
      <c r="G1902" s="375" t="s">
        <v>16104</v>
      </c>
      <c r="H1902" s="375" t="s">
        <v>861</v>
      </c>
      <c r="I1902" s="375" t="s">
        <v>862</v>
      </c>
      <c r="J1902" s="375">
        <v>2482.47172</v>
      </c>
      <c r="K1902" s="375">
        <v>-3406.4425500000002</v>
      </c>
      <c r="L1902" s="375">
        <v>-3548.8659299999999</v>
      </c>
      <c r="M1902" s="375">
        <v>4795.3206200000004</v>
      </c>
      <c r="N1902" s="372">
        <v>0.996</v>
      </c>
      <c r="O1902" s="704">
        <v>2.6069956136287282</v>
      </c>
      <c r="P1902" s="375" t="s">
        <v>622</v>
      </c>
      <c r="Q1902" s="372" t="s">
        <v>622</v>
      </c>
      <c r="R1902" s="696">
        <v>20170320</v>
      </c>
      <c r="S1902" s="372" t="s">
        <v>12370</v>
      </c>
      <c r="T1902" s="697" t="s">
        <v>771</v>
      </c>
      <c r="U1902" s="372" t="s">
        <v>12371</v>
      </c>
      <c r="V1902" s="723">
        <v>0</v>
      </c>
      <c r="W1902" s="723">
        <v>0</v>
      </c>
      <c r="X1902" s="723">
        <v>0</v>
      </c>
      <c r="Y1902" s="723">
        <v>0</v>
      </c>
      <c r="Z1902" s="382" t="s">
        <v>927</v>
      </c>
      <c r="AA1902" s="372">
        <v>12.6171074</v>
      </c>
      <c r="AB1902" s="372">
        <v>25.639900000000001</v>
      </c>
      <c r="AC1902" s="372">
        <v>33.4540407</v>
      </c>
      <c r="AD1902" s="372">
        <v>31.332344599999999</v>
      </c>
      <c r="AE1902" s="372">
        <v>0</v>
      </c>
      <c r="AF1902" s="372">
        <v>0</v>
      </c>
      <c r="AG1902" s="372">
        <v>0</v>
      </c>
      <c r="AH1902" s="372">
        <v>0</v>
      </c>
    </row>
    <row r="1903" spans="1:34">
      <c r="A1903" s="372" t="s">
        <v>12372</v>
      </c>
      <c r="B1903" s="373" t="s">
        <v>12373</v>
      </c>
      <c r="C1903" s="372" t="s">
        <v>12374</v>
      </c>
      <c r="D1903" s="374">
        <v>1101113629841</v>
      </c>
      <c r="E1903" s="372" t="s">
        <v>16325</v>
      </c>
      <c r="F1903" s="375" t="s">
        <v>5600</v>
      </c>
      <c r="G1903" s="375" t="s">
        <v>5600</v>
      </c>
      <c r="H1903" s="375" t="s">
        <v>1531</v>
      </c>
      <c r="I1903" s="375" t="s">
        <v>862</v>
      </c>
      <c r="J1903" s="375">
        <v>31539.883580000002</v>
      </c>
      <c r="K1903" s="375">
        <v>-7103.6074900000003</v>
      </c>
      <c r="L1903" s="375">
        <v>-6030.0979699999998</v>
      </c>
      <c r="M1903" s="375">
        <v>67993.21961</v>
      </c>
      <c r="N1903" s="372">
        <v>1.1319999999999999</v>
      </c>
      <c r="O1903" s="704">
        <v>3.2390188668900484</v>
      </c>
      <c r="P1903" s="375" t="s">
        <v>622</v>
      </c>
      <c r="Q1903" s="375" t="s">
        <v>622</v>
      </c>
      <c r="R1903" s="696">
        <v>20141224</v>
      </c>
      <c r="S1903" s="375" t="s">
        <v>12375</v>
      </c>
      <c r="T1903" s="697" t="s">
        <v>771</v>
      </c>
      <c r="U1903" s="372" t="s">
        <v>12376</v>
      </c>
      <c r="V1903" s="723" t="s">
        <v>773</v>
      </c>
      <c r="W1903" s="723">
        <v>1.93</v>
      </c>
      <c r="X1903" s="723">
        <v>3.55</v>
      </c>
      <c r="Y1903" s="723" t="s">
        <v>773</v>
      </c>
      <c r="Z1903" s="382" t="s">
        <v>927</v>
      </c>
      <c r="AA1903" s="372">
        <v>346.50306519999998</v>
      </c>
      <c r="AB1903" s="372">
        <v>410.24304419999999</v>
      </c>
      <c r="AC1903" s="372">
        <v>444.22278779999999</v>
      </c>
      <c r="AD1903" s="372">
        <v>418.63614130000002</v>
      </c>
      <c r="AE1903" s="372">
        <v>500</v>
      </c>
      <c r="AF1903" s="372">
        <v>0</v>
      </c>
      <c r="AG1903" s="372">
        <v>0</v>
      </c>
      <c r="AH1903" s="372">
        <v>0</v>
      </c>
    </row>
    <row r="1904" spans="1:34">
      <c r="A1904" s="372" t="s">
        <v>12377</v>
      </c>
      <c r="B1904" s="373" t="s">
        <v>12378</v>
      </c>
      <c r="C1904" s="372" t="s">
        <v>12379</v>
      </c>
      <c r="D1904" s="374">
        <v>1101115829407</v>
      </c>
      <c r="E1904" s="372" t="s">
        <v>12380</v>
      </c>
      <c r="F1904" s="375" t="s">
        <v>1962</v>
      </c>
      <c r="G1904" s="375" t="s">
        <v>1962</v>
      </c>
      <c r="H1904" s="375" t="s">
        <v>861</v>
      </c>
      <c r="I1904" s="375" t="s">
        <v>862</v>
      </c>
      <c r="J1904" s="375">
        <v>33669.942849999999</v>
      </c>
      <c r="K1904" s="375">
        <v>-2186.11735</v>
      </c>
      <c r="L1904" s="375">
        <v>-26096.260839999999</v>
      </c>
      <c r="M1904" s="375">
        <v>103146.55284</v>
      </c>
      <c r="N1904" s="372">
        <v>0.98499999999999999</v>
      </c>
      <c r="O1904" s="704">
        <v>0.70780216120249029</v>
      </c>
      <c r="P1904" s="375" t="s">
        <v>622</v>
      </c>
      <c r="Q1904" s="375" t="s">
        <v>622</v>
      </c>
      <c r="R1904" s="696">
        <v>20151118</v>
      </c>
      <c r="S1904" s="375" t="s">
        <v>12381</v>
      </c>
      <c r="T1904" s="697" t="s">
        <v>771</v>
      </c>
      <c r="U1904" s="375" t="s">
        <v>12382</v>
      </c>
      <c r="V1904" s="723" t="s">
        <v>773</v>
      </c>
      <c r="W1904" s="723">
        <v>0.5</v>
      </c>
      <c r="X1904" s="723">
        <v>1.51</v>
      </c>
      <c r="Y1904" s="723" t="s">
        <v>773</v>
      </c>
      <c r="Z1904" s="382" t="s">
        <v>927</v>
      </c>
      <c r="AA1904" s="372">
        <v>574.75214849999998</v>
      </c>
      <c r="AB1904" s="372">
        <v>292.45133370000002</v>
      </c>
      <c r="AC1904" s="372">
        <v>295.65637099999998</v>
      </c>
      <c r="AD1904" s="372">
        <v>343.05986610000002</v>
      </c>
      <c r="AE1904" s="372">
        <v>0</v>
      </c>
      <c r="AF1904" s="372">
        <v>0</v>
      </c>
      <c r="AG1904" s="372">
        <v>0</v>
      </c>
      <c r="AH1904" s="372">
        <v>0</v>
      </c>
    </row>
    <row r="1905" spans="1:34">
      <c r="A1905" s="372" t="s">
        <v>12383</v>
      </c>
      <c r="B1905" s="373" t="s">
        <v>12384</v>
      </c>
      <c r="C1905" s="372" t="s">
        <v>12385</v>
      </c>
      <c r="D1905" s="374">
        <v>1101110574669</v>
      </c>
      <c r="E1905" s="372" t="s">
        <v>12386</v>
      </c>
      <c r="F1905" s="372" t="s">
        <v>3011</v>
      </c>
      <c r="G1905" s="375" t="s">
        <v>3011</v>
      </c>
      <c r="H1905" s="375" t="s">
        <v>1337</v>
      </c>
      <c r="I1905" s="375" t="s">
        <v>862</v>
      </c>
      <c r="J1905" s="375">
        <v>908430.43128000002</v>
      </c>
      <c r="K1905" s="375">
        <v>46190.059739999997</v>
      </c>
      <c r="L1905" s="375">
        <v>40300.507319999997</v>
      </c>
      <c r="M1905" s="375">
        <v>295123.61102999997</v>
      </c>
      <c r="N1905" s="372">
        <v>1.135</v>
      </c>
      <c r="O1905" s="704">
        <v>115.9130979225621</v>
      </c>
      <c r="P1905" s="375" t="s">
        <v>622</v>
      </c>
      <c r="Q1905" s="372" t="s">
        <v>622</v>
      </c>
      <c r="R1905" s="696">
        <v>20000111</v>
      </c>
      <c r="S1905" s="372" t="s">
        <v>12387</v>
      </c>
      <c r="T1905" s="697">
        <v>0.23100000000000001</v>
      </c>
      <c r="U1905" s="372" t="s">
        <v>12388</v>
      </c>
      <c r="V1905" s="723">
        <v>1.58</v>
      </c>
      <c r="W1905" s="723">
        <v>0.26</v>
      </c>
      <c r="X1905" s="723">
        <v>0.09</v>
      </c>
      <c r="Y1905" s="723">
        <v>2.66</v>
      </c>
      <c r="Z1905" s="382" t="s">
        <v>927</v>
      </c>
      <c r="AA1905" s="372">
        <v>5375.1387879000004</v>
      </c>
      <c r="AB1905" s="372">
        <v>5556.1754344000001</v>
      </c>
      <c r="AC1905" s="372">
        <v>7058.0348523000002</v>
      </c>
      <c r="AD1905" s="372">
        <v>6785.9901363999998</v>
      </c>
      <c r="AE1905" s="372">
        <v>0</v>
      </c>
      <c r="AF1905" s="372">
        <v>0</v>
      </c>
      <c r="AG1905" s="372">
        <v>0</v>
      </c>
      <c r="AH1905" s="372">
        <v>0</v>
      </c>
    </row>
    <row r="1906" spans="1:34">
      <c r="A1906" s="372" t="s">
        <v>12389</v>
      </c>
      <c r="B1906" s="373" t="s">
        <v>12390</v>
      </c>
      <c r="C1906" s="372" t="s">
        <v>12391</v>
      </c>
      <c r="D1906" s="374">
        <v>1341110026480</v>
      </c>
      <c r="E1906" s="372" t="s">
        <v>12392</v>
      </c>
      <c r="F1906" s="372" t="s">
        <v>880</v>
      </c>
      <c r="G1906" s="375" t="s">
        <v>880</v>
      </c>
      <c r="H1906" s="375" t="s">
        <v>861</v>
      </c>
      <c r="I1906" s="375" t="s">
        <v>862</v>
      </c>
      <c r="J1906" s="375">
        <v>627459.31960000005</v>
      </c>
      <c r="K1906" s="375">
        <v>16918.419529999999</v>
      </c>
      <c r="L1906" s="375">
        <v>8498.6245899999994</v>
      </c>
      <c r="M1906" s="375">
        <v>198705.7836</v>
      </c>
      <c r="N1906" s="372">
        <v>0.96699999999999997</v>
      </c>
      <c r="O1906" s="704">
        <v>247.77578851740239</v>
      </c>
      <c r="P1906" s="375" t="s">
        <v>622</v>
      </c>
      <c r="Q1906" s="372" t="s">
        <v>622</v>
      </c>
      <c r="R1906" s="696">
        <v>20031024</v>
      </c>
      <c r="S1906" s="372" t="s">
        <v>12393</v>
      </c>
      <c r="T1906" s="697">
        <v>0.20900000000000002</v>
      </c>
      <c r="U1906" s="372" t="s">
        <v>12394</v>
      </c>
      <c r="V1906" s="723">
        <v>5.79</v>
      </c>
      <c r="W1906" s="723">
        <v>0.44</v>
      </c>
      <c r="X1906" s="723">
        <v>0.09</v>
      </c>
      <c r="Y1906" s="723">
        <v>20.13</v>
      </c>
      <c r="Z1906" s="382" t="s">
        <v>927</v>
      </c>
      <c r="AA1906" s="372">
        <v>3546.9392039999998</v>
      </c>
      <c r="AB1906" s="372">
        <v>3843.3556846000001</v>
      </c>
      <c r="AC1906" s="372">
        <v>4955.2237527999996</v>
      </c>
      <c r="AD1906" s="372">
        <v>5752.7352840000003</v>
      </c>
      <c r="AE1906" s="372">
        <v>0</v>
      </c>
      <c r="AF1906" s="372">
        <v>0</v>
      </c>
      <c r="AG1906" s="372">
        <v>0</v>
      </c>
      <c r="AH1906" s="372">
        <v>0</v>
      </c>
    </row>
    <row r="1907" spans="1:34">
      <c r="A1907" s="372" t="s">
        <v>12395</v>
      </c>
      <c r="B1907" s="373" t="s">
        <v>12396</v>
      </c>
      <c r="C1907" s="372" t="s">
        <v>12397</v>
      </c>
      <c r="D1907" s="374">
        <v>1201110715352</v>
      </c>
      <c r="E1907" s="372" t="s">
        <v>12398</v>
      </c>
      <c r="F1907" s="375" t="s">
        <v>1249</v>
      </c>
      <c r="G1907" s="375" t="s">
        <v>1249</v>
      </c>
      <c r="H1907" s="375" t="s">
        <v>861</v>
      </c>
      <c r="I1907" s="375" t="s">
        <v>862</v>
      </c>
      <c r="J1907" s="375">
        <v>889.44371999999998</v>
      </c>
      <c r="K1907" s="375">
        <v>-11947.353660000001</v>
      </c>
      <c r="L1907" s="375">
        <v>-15908.0753</v>
      </c>
      <c r="M1907" s="375">
        <v>11786.796990000001</v>
      </c>
      <c r="N1907" s="372">
        <v>0.92</v>
      </c>
      <c r="O1907" s="704">
        <v>10.610344190056049</v>
      </c>
      <c r="P1907" s="375" t="s">
        <v>622</v>
      </c>
      <c r="Q1907" s="372" t="s">
        <v>622</v>
      </c>
      <c r="R1907" s="696">
        <v>20200617</v>
      </c>
      <c r="S1907" s="372" t="s">
        <v>12399</v>
      </c>
      <c r="T1907" s="697" t="s">
        <v>771</v>
      </c>
      <c r="U1907" s="372" t="s">
        <v>12400</v>
      </c>
      <c r="V1907" s="723">
        <v>0</v>
      </c>
      <c r="W1907" s="723">
        <v>0</v>
      </c>
      <c r="X1907" s="723">
        <v>0</v>
      </c>
      <c r="Y1907" s="723">
        <v>0</v>
      </c>
      <c r="Z1907" s="382" t="s">
        <v>927</v>
      </c>
      <c r="AA1907" s="372">
        <v>3.2000609</v>
      </c>
      <c r="AB1907" s="372">
        <v>4.3926261000000002</v>
      </c>
      <c r="AC1907" s="372">
        <v>3.9598230000000001</v>
      </c>
      <c r="AD1907" s="372">
        <v>6.9569790999999999</v>
      </c>
      <c r="AE1907" s="372">
        <v>0</v>
      </c>
      <c r="AF1907" s="372">
        <v>0</v>
      </c>
      <c r="AG1907" s="372">
        <v>0</v>
      </c>
      <c r="AH1907" s="372">
        <v>0</v>
      </c>
    </row>
    <row r="1908" spans="1:34">
      <c r="A1908" s="372" t="s">
        <v>12401</v>
      </c>
      <c r="B1908" s="373" t="s">
        <v>12402</v>
      </c>
      <c r="C1908" s="372" t="s">
        <v>12403</v>
      </c>
      <c r="D1908" s="374">
        <v>1101116679992</v>
      </c>
      <c r="E1908" s="372" t="s">
        <v>12404</v>
      </c>
      <c r="F1908" s="372" t="s">
        <v>3180</v>
      </c>
      <c r="G1908" s="375" t="s">
        <v>3181</v>
      </c>
      <c r="H1908" s="375" t="s">
        <v>1337</v>
      </c>
      <c r="I1908" s="375" t="s">
        <v>862</v>
      </c>
      <c r="J1908" s="375">
        <v>18520.299360000001</v>
      </c>
      <c r="K1908" s="375">
        <v>1532.2844600000001</v>
      </c>
      <c r="L1908" s="375">
        <v>1100.9288100000001</v>
      </c>
      <c r="M1908" s="375">
        <v>25295.778600000001</v>
      </c>
      <c r="N1908" s="372">
        <v>0.98599999999999999</v>
      </c>
      <c r="O1908" s="704">
        <v>8.9010220843883303</v>
      </c>
      <c r="P1908" s="375" t="s">
        <v>622</v>
      </c>
      <c r="Q1908" s="375" t="s">
        <v>622</v>
      </c>
      <c r="R1908" s="696">
        <v>20221208</v>
      </c>
      <c r="S1908" s="375" t="s">
        <v>12405</v>
      </c>
      <c r="T1908" s="697">
        <v>0.20900000000000002</v>
      </c>
      <c r="U1908" s="372" t="s">
        <v>12406</v>
      </c>
      <c r="V1908" s="723">
        <v>0</v>
      </c>
      <c r="W1908" s="723">
        <v>0</v>
      </c>
      <c r="X1908" s="723">
        <v>0</v>
      </c>
      <c r="Y1908" s="723">
        <v>0</v>
      </c>
      <c r="Z1908" s="382" t="s">
        <v>927</v>
      </c>
      <c r="AA1908" s="372">
        <v>130.79275150000001</v>
      </c>
      <c r="AB1908" s="372">
        <v>163.39165790000001</v>
      </c>
      <c r="AC1908" s="372">
        <v>174.0914995</v>
      </c>
      <c r="AD1908" s="372">
        <v>184.24903119999999</v>
      </c>
      <c r="AE1908" s="372">
        <v>0</v>
      </c>
      <c r="AF1908" s="372">
        <v>0</v>
      </c>
      <c r="AG1908" s="372">
        <v>0</v>
      </c>
      <c r="AH1908" s="372">
        <v>0</v>
      </c>
    </row>
    <row r="1909" spans="1:34">
      <c r="A1909" s="372" t="s">
        <v>12407</v>
      </c>
      <c r="B1909" s="373" t="s">
        <v>12408</v>
      </c>
      <c r="C1909" s="372" t="s">
        <v>12409</v>
      </c>
      <c r="D1909" s="374">
        <v>1101112029456</v>
      </c>
      <c r="E1909" s="372" t="s">
        <v>12410</v>
      </c>
      <c r="F1909" s="375" t="s">
        <v>1796</v>
      </c>
      <c r="G1909" s="375" t="s">
        <v>2797</v>
      </c>
      <c r="H1909" s="375" t="s">
        <v>861</v>
      </c>
      <c r="I1909" s="375" t="s">
        <v>862</v>
      </c>
      <c r="J1909" s="375">
        <v>45630.709020000002</v>
      </c>
      <c r="K1909" s="375">
        <v>-1880.1694600000001</v>
      </c>
      <c r="L1909" s="375">
        <v>-1558.02503</v>
      </c>
      <c r="M1909" s="375">
        <v>49196.810129999998</v>
      </c>
      <c r="N1909" s="372">
        <v>0.8</v>
      </c>
      <c r="O1909" s="704">
        <v>4.3570332439499539</v>
      </c>
      <c r="P1909" s="375" t="s">
        <v>622</v>
      </c>
      <c r="Q1909" s="372" t="s">
        <v>622</v>
      </c>
      <c r="R1909" s="696">
        <v>20070620</v>
      </c>
      <c r="S1909" s="372" t="s">
        <v>12411</v>
      </c>
      <c r="T1909" s="697" t="s">
        <v>771</v>
      </c>
      <c r="U1909" s="372" t="s">
        <v>12412</v>
      </c>
      <c r="V1909" s="723" t="s">
        <v>773</v>
      </c>
      <c r="W1909" s="723">
        <v>0.66</v>
      </c>
      <c r="X1909" s="723">
        <v>0.76</v>
      </c>
      <c r="Y1909" s="723" t="s">
        <v>773</v>
      </c>
      <c r="Z1909" s="382" t="s">
        <v>927</v>
      </c>
      <c r="AA1909" s="372">
        <v>566.91223360000004</v>
      </c>
      <c r="AB1909" s="372">
        <v>575.00385659999995</v>
      </c>
      <c r="AC1909" s="372">
        <v>535.82322390000002</v>
      </c>
      <c r="AD1909" s="372">
        <v>448.86674879999998</v>
      </c>
      <c r="AE1909" s="372">
        <v>0</v>
      </c>
      <c r="AF1909" s="372">
        <v>0</v>
      </c>
      <c r="AG1909" s="372">
        <v>0</v>
      </c>
      <c r="AH1909" s="372">
        <v>0</v>
      </c>
    </row>
    <row r="1910" spans="1:34">
      <c r="A1910" s="372" t="s">
        <v>12413</v>
      </c>
      <c r="B1910" s="373" t="s">
        <v>12414</v>
      </c>
      <c r="C1910" s="372" t="s">
        <v>12415</v>
      </c>
      <c r="D1910" s="374">
        <v>1350110040291</v>
      </c>
      <c r="E1910" s="372" t="s">
        <v>12416</v>
      </c>
      <c r="F1910" s="375" t="s">
        <v>12417</v>
      </c>
      <c r="G1910" s="375" t="s">
        <v>12418</v>
      </c>
      <c r="H1910" s="375" t="s">
        <v>861</v>
      </c>
      <c r="I1910" s="375" t="s">
        <v>862</v>
      </c>
      <c r="J1910" s="375">
        <v>229230.37984000001</v>
      </c>
      <c r="K1910" s="375">
        <v>7944.3859300000004</v>
      </c>
      <c r="L1910" s="375">
        <v>4592.8019700000004</v>
      </c>
      <c r="M1910" s="375">
        <v>108161.09711</v>
      </c>
      <c r="N1910" s="372">
        <v>0.58899999999999997</v>
      </c>
      <c r="O1910" s="704">
        <v>123.53234417548586</v>
      </c>
      <c r="P1910" s="375" t="s">
        <v>622</v>
      </c>
      <c r="Q1910" s="375" t="s">
        <v>622</v>
      </c>
      <c r="R1910" s="696">
        <v>19991218</v>
      </c>
      <c r="S1910" s="375" t="s">
        <v>12419</v>
      </c>
      <c r="T1910" s="697">
        <v>0.20900000000000002</v>
      </c>
      <c r="U1910" s="372" t="s">
        <v>12420</v>
      </c>
      <c r="V1910" s="723">
        <v>0</v>
      </c>
      <c r="W1910" s="723">
        <v>0</v>
      </c>
      <c r="X1910" s="723">
        <v>0</v>
      </c>
      <c r="Y1910" s="723">
        <v>0</v>
      </c>
      <c r="Z1910" s="382" t="s">
        <v>927</v>
      </c>
      <c r="AA1910" s="372">
        <v>564.9579774</v>
      </c>
      <c r="AB1910" s="372">
        <v>562.23518379999996</v>
      </c>
      <c r="AC1910" s="372">
        <v>2173.1929203999998</v>
      </c>
      <c r="AD1910" s="372">
        <v>2280.6858547000002</v>
      </c>
      <c r="AE1910" s="372">
        <v>0</v>
      </c>
      <c r="AF1910" s="372">
        <v>0</v>
      </c>
      <c r="AG1910" s="372">
        <v>0</v>
      </c>
      <c r="AH1910" s="372">
        <v>0</v>
      </c>
    </row>
    <row r="1911" spans="1:34">
      <c r="A1911" s="372" t="s">
        <v>12421</v>
      </c>
      <c r="B1911" s="373" t="s">
        <v>12422</v>
      </c>
      <c r="C1911" s="372" t="s">
        <v>12423</v>
      </c>
      <c r="D1911" s="374">
        <v>1101111079155</v>
      </c>
      <c r="E1911" s="372" t="s">
        <v>12424</v>
      </c>
      <c r="F1911" s="372" t="s">
        <v>1431</v>
      </c>
      <c r="G1911" s="375" t="s">
        <v>12425</v>
      </c>
      <c r="H1911" s="375" t="s">
        <v>861</v>
      </c>
      <c r="I1911" s="375" t="s">
        <v>862</v>
      </c>
      <c r="J1911" s="375">
        <v>10885.11803</v>
      </c>
      <c r="K1911" s="375">
        <v>3841.8161799999998</v>
      </c>
      <c r="L1911" s="375">
        <v>5266.3376600000001</v>
      </c>
      <c r="M1911" s="375">
        <v>58757.481950000001</v>
      </c>
      <c r="N1911" s="372">
        <v>1.026</v>
      </c>
      <c r="O1911" s="704">
        <v>0</v>
      </c>
      <c r="P1911" s="375" t="s">
        <v>622</v>
      </c>
      <c r="Q1911" s="375" t="s">
        <v>622</v>
      </c>
      <c r="R1911" s="696">
        <v>20071226</v>
      </c>
      <c r="S1911" s="375" t="s">
        <v>12426</v>
      </c>
      <c r="T1911" s="697">
        <v>0.20900000000000002</v>
      </c>
      <c r="U1911" s="372" t="s">
        <v>12427</v>
      </c>
      <c r="V1911" s="723">
        <v>0</v>
      </c>
      <c r="W1911" s="723">
        <v>0</v>
      </c>
      <c r="X1911" s="723">
        <v>0</v>
      </c>
      <c r="Y1911" s="723">
        <v>0</v>
      </c>
      <c r="Z1911" s="382" t="s">
        <v>927</v>
      </c>
      <c r="AA1911" s="372">
        <v>210.3541797</v>
      </c>
      <c r="AB1911" s="372">
        <v>243.7893541</v>
      </c>
      <c r="AC1911" s="372">
        <v>204.33366770000001</v>
      </c>
      <c r="AD1911" s="372">
        <v>164.37046599999999</v>
      </c>
      <c r="AE1911" s="372">
        <v>0</v>
      </c>
      <c r="AF1911" s="372">
        <v>0</v>
      </c>
      <c r="AG1911" s="372">
        <v>0</v>
      </c>
      <c r="AH1911" s="372">
        <v>0</v>
      </c>
    </row>
    <row r="1912" spans="1:34">
      <c r="A1912" s="372" t="s">
        <v>12428</v>
      </c>
      <c r="B1912" s="373" t="s">
        <v>12429</v>
      </c>
      <c r="C1912" s="372" t="s">
        <v>12430</v>
      </c>
      <c r="D1912" s="374">
        <v>1101111144073</v>
      </c>
      <c r="E1912" s="372" t="s">
        <v>12431</v>
      </c>
      <c r="F1912" s="375" t="s">
        <v>3198</v>
      </c>
      <c r="G1912" s="375" t="s">
        <v>3199</v>
      </c>
      <c r="H1912" s="375" t="s">
        <v>846</v>
      </c>
      <c r="I1912" s="375" t="s">
        <v>754</v>
      </c>
      <c r="J1912" s="375">
        <v>268007.35746000003</v>
      </c>
      <c r="K1912" s="375">
        <v>-11177.8346</v>
      </c>
      <c r="L1912" s="375">
        <v>-21559.601259999999</v>
      </c>
      <c r="M1912" s="375">
        <v>68396.313760000005</v>
      </c>
      <c r="N1912" s="372">
        <v>0.42899999999999999</v>
      </c>
      <c r="O1912" s="704">
        <v>332.32524479109196</v>
      </c>
      <c r="P1912" s="375" t="s">
        <v>622</v>
      </c>
      <c r="Q1912" s="372" t="s">
        <v>622</v>
      </c>
      <c r="R1912" s="696">
        <v>20110621</v>
      </c>
      <c r="S1912" s="372" t="s">
        <v>12432</v>
      </c>
      <c r="T1912" s="697" t="s">
        <v>771</v>
      </c>
      <c r="U1912" s="372" t="s">
        <v>12433</v>
      </c>
      <c r="V1912" s="723" t="s">
        <v>773</v>
      </c>
      <c r="W1912" s="723">
        <v>0.6</v>
      </c>
      <c r="X1912" s="723">
        <v>0.19</v>
      </c>
      <c r="Y1912" s="723" t="s">
        <v>773</v>
      </c>
      <c r="Z1912" s="382" t="s">
        <v>927</v>
      </c>
      <c r="AA1912" s="372">
        <v>2202.1437225999998</v>
      </c>
      <c r="AB1912" s="372">
        <v>2076.6525559000002</v>
      </c>
      <c r="AC1912" s="372">
        <v>2714.7974829</v>
      </c>
      <c r="AD1912" s="372">
        <v>3167.6579473000002</v>
      </c>
      <c r="AE1912" s="372">
        <v>0</v>
      </c>
      <c r="AF1912" s="372">
        <v>0</v>
      </c>
      <c r="AG1912" s="372">
        <v>0</v>
      </c>
      <c r="AH1912" s="372">
        <v>0</v>
      </c>
    </row>
    <row r="1913" spans="1:34">
      <c r="A1913" s="372" t="s">
        <v>12434</v>
      </c>
      <c r="B1913" s="373" t="s">
        <v>12435</v>
      </c>
      <c r="C1913" s="372" t="s">
        <v>12436</v>
      </c>
      <c r="D1913" s="374">
        <v>1101110139190</v>
      </c>
      <c r="E1913" s="372" t="s">
        <v>12437</v>
      </c>
      <c r="F1913" s="375" t="s">
        <v>2089</v>
      </c>
      <c r="G1913" s="375" t="s">
        <v>2089</v>
      </c>
      <c r="H1913" s="375" t="s">
        <v>812</v>
      </c>
      <c r="I1913" s="375" t="s">
        <v>754</v>
      </c>
      <c r="J1913" s="375">
        <v>143851.06878999999</v>
      </c>
      <c r="K1913" s="375">
        <v>-4051.1063399999998</v>
      </c>
      <c r="L1913" s="375">
        <v>7667.1716699999997</v>
      </c>
      <c r="M1913" s="375">
        <v>188819.92283</v>
      </c>
      <c r="N1913" s="372">
        <v>0.96799999999999997</v>
      </c>
      <c r="O1913" s="704">
        <v>49.420161248256633</v>
      </c>
      <c r="P1913" s="375" t="s">
        <v>622</v>
      </c>
      <c r="Q1913" s="372" t="s">
        <v>622</v>
      </c>
      <c r="R1913" s="696">
        <v>19941105</v>
      </c>
      <c r="S1913" s="372" t="s">
        <v>12438</v>
      </c>
      <c r="T1913" s="697">
        <v>0.20900000000000002</v>
      </c>
      <c r="U1913" s="372" t="s">
        <v>12439</v>
      </c>
      <c r="V1913" s="723">
        <v>0</v>
      </c>
      <c r="W1913" s="723">
        <v>0</v>
      </c>
      <c r="X1913" s="723">
        <v>0</v>
      </c>
      <c r="Y1913" s="723">
        <v>0</v>
      </c>
      <c r="Z1913" s="382" t="s">
        <v>927</v>
      </c>
      <c r="AA1913" s="372">
        <v>1526.780669</v>
      </c>
      <c r="AB1913" s="372">
        <v>2048.7326754000001</v>
      </c>
      <c r="AC1913" s="372">
        <v>1922.0673065999999</v>
      </c>
      <c r="AD1913" s="372">
        <v>1636.3390202999999</v>
      </c>
      <c r="AE1913" s="372">
        <v>0</v>
      </c>
      <c r="AF1913" s="372">
        <v>0</v>
      </c>
      <c r="AG1913" s="372">
        <v>0</v>
      </c>
      <c r="AH1913" s="372">
        <v>0</v>
      </c>
    </row>
    <row r="1914" spans="1:34">
      <c r="A1914" s="372" t="s">
        <v>12440</v>
      </c>
      <c r="B1914" s="373" t="s">
        <v>12441</v>
      </c>
      <c r="C1914" s="372" t="s">
        <v>12442</v>
      </c>
      <c r="D1914" s="374">
        <v>1101110038326</v>
      </c>
      <c r="E1914" s="372" t="s">
        <v>12443</v>
      </c>
      <c r="F1914" s="372" t="s">
        <v>1081</v>
      </c>
      <c r="G1914" s="375" t="s">
        <v>5314</v>
      </c>
      <c r="H1914" s="375" t="s">
        <v>817</v>
      </c>
      <c r="I1914" s="375" t="s">
        <v>754</v>
      </c>
      <c r="J1914" s="375">
        <v>418657.39191000001</v>
      </c>
      <c r="K1914" s="375">
        <v>2204.0279399999999</v>
      </c>
      <c r="L1914" s="375">
        <v>10994.80264</v>
      </c>
      <c r="M1914" s="375">
        <v>155783.28899999999</v>
      </c>
      <c r="N1914" s="372">
        <v>0.85699999999999998</v>
      </c>
      <c r="O1914" s="704">
        <v>56.755521209822831</v>
      </c>
      <c r="P1914" s="375" t="s">
        <v>622</v>
      </c>
      <c r="Q1914" s="372" t="s">
        <v>622</v>
      </c>
      <c r="R1914" s="696">
        <v>20110428</v>
      </c>
      <c r="S1914" s="372" t="s">
        <v>12444</v>
      </c>
      <c r="T1914" s="697">
        <v>0.20900000000000002</v>
      </c>
      <c r="U1914" s="372" t="s">
        <v>12445</v>
      </c>
      <c r="V1914" s="723">
        <v>0</v>
      </c>
      <c r="W1914" s="723">
        <v>0</v>
      </c>
      <c r="X1914" s="723">
        <v>0</v>
      </c>
      <c r="Y1914" s="723">
        <v>0</v>
      </c>
      <c r="Z1914" s="382" t="s">
        <v>927</v>
      </c>
      <c r="AA1914" s="372">
        <v>2882.3015713</v>
      </c>
      <c r="AB1914" s="372">
        <v>2682.5176096999999</v>
      </c>
      <c r="AC1914" s="372">
        <v>2837.0251616</v>
      </c>
      <c r="AD1914" s="372">
        <v>3769.1943738</v>
      </c>
      <c r="AE1914" s="372">
        <v>0</v>
      </c>
      <c r="AF1914" s="372">
        <v>0</v>
      </c>
      <c r="AG1914" s="372">
        <v>0</v>
      </c>
      <c r="AH1914" s="372">
        <v>0</v>
      </c>
    </row>
    <row r="1915" spans="1:34">
      <c r="A1915" s="372" t="s">
        <v>12446</v>
      </c>
      <c r="B1915" s="373" t="s">
        <v>12447</v>
      </c>
      <c r="C1915" s="372" t="s">
        <v>12448</v>
      </c>
      <c r="D1915" s="374">
        <v>1101110522618</v>
      </c>
      <c r="E1915" s="372" t="s">
        <v>12449</v>
      </c>
      <c r="F1915" s="375" t="s">
        <v>2650</v>
      </c>
      <c r="G1915" s="375" t="s">
        <v>2650</v>
      </c>
      <c r="H1915" s="375" t="s">
        <v>1468</v>
      </c>
      <c r="I1915" s="375" t="s">
        <v>754</v>
      </c>
      <c r="J1915" s="375">
        <v>121943.22882</v>
      </c>
      <c r="K1915" s="375">
        <v>2948.9182300000002</v>
      </c>
      <c r="L1915" s="375">
        <v>-1017.44112</v>
      </c>
      <c r="M1915" s="375">
        <v>171753.87878999999</v>
      </c>
      <c r="N1915" s="372">
        <v>0.74</v>
      </c>
      <c r="O1915" s="704">
        <v>171.11817114786257</v>
      </c>
      <c r="P1915" s="375" t="s">
        <v>622</v>
      </c>
      <c r="Q1915" s="375" t="s">
        <v>622</v>
      </c>
      <c r="R1915" s="696">
        <v>19900914</v>
      </c>
      <c r="S1915" s="372" t="s">
        <v>12450</v>
      </c>
      <c r="T1915" s="697" t="s">
        <v>771</v>
      </c>
      <c r="U1915" s="372" t="s">
        <v>12451</v>
      </c>
      <c r="V1915" s="723">
        <v>18.420000000000002</v>
      </c>
      <c r="W1915" s="723">
        <v>0.41</v>
      </c>
      <c r="X1915" s="723">
        <v>0.43</v>
      </c>
      <c r="Y1915" s="723" t="s">
        <v>773</v>
      </c>
      <c r="Z1915" s="382" t="s">
        <v>927</v>
      </c>
      <c r="AA1915" s="372">
        <v>1156.3755911999999</v>
      </c>
      <c r="AB1915" s="372">
        <v>1280.1497236</v>
      </c>
      <c r="AC1915" s="372">
        <v>1526.1020312999999</v>
      </c>
      <c r="AD1915" s="372">
        <v>1404.8342388999999</v>
      </c>
      <c r="AE1915" s="372">
        <v>0</v>
      </c>
      <c r="AF1915" s="372">
        <v>0</v>
      </c>
      <c r="AG1915" s="372">
        <v>0</v>
      </c>
      <c r="AH1915" s="372">
        <v>0</v>
      </c>
    </row>
    <row r="1916" spans="1:34">
      <c r="A1916" s="372" t="s">
        <v>12452</v>
      </c>
      <c r="B1916" s="373" t="s">
        <v>12453</v>
      </c>
      <c r="C1916" s="372" t="s">
        <v>12454</v>
      </c>
      <c r="D1916" s="374">
        <v>1347110000333</v>
      </c>
      <c r="E1916" s="372" t="s">
        <v>12455</v>
      </c>
      <c r="F1916" s="372" t="s">
        <v>7212</v>
      </c>
      <c r="G1916" s="375" t="s">
        <v>7212</v>
      </c>
      <c r="H1916" s="375" t="s">
        <v>3957</v>
      </c>
      <c r="I1916" s="375" t="s">
        <v>754</v>
      </c>
      <c r="J1916" s="375">
        <v>162487.59546000001</v>
      </c>
      <c r="K1916" s="375">
        <v>4366.2598699999999</v>
      </c>
      <c r="L1916" s="375">
        <v>49477.826710000001</v>
      </c>
      <c r="M1916" s="375">
        <v>261236.94706000001</v>
      </c>
      <c r="N1916" s="372">
        <v>0.53300000000000003</v>
      </c>
      <c r="O1916" s="704">
        <v>17.483100993915659</v>
      </c>
      <c r="P1916" s="375" t="s">
        <v>622</v>
      </c>
      <c r="Q1916" s="372" t="s">
        <v>622</v>
      </c>
      <c r="R1916" s="696">
        <v>20061017</v>
      </c>
      <c r="S1916" s="372" t="s">
        <v>12456</v>
      </c>
      <c r="T1916" s="697">
        <v>0.23100000000000001</v>
      </c>
      <c r="U1916" s="372" t="s">
        <v>12457</v>
      </c>
      <c r="V1916" s="723">
        <v>0</v>
      </c>
      <c r="W1916" s="723">
        <v>0</v>
      </c>
      <c r="X1916" s="723">
        <v>0</v>
      </c>
      <c r="Y1916" s="723">
        <v>0</v>
      </c>
      <c r="Z1916" s="382" t="s">
        <v>927</v>
      </c>
      <c r="AA1916" s="372">
        <v>1463.3101709</v>
      </c>
      <c r="AB1916" s="372">
        <v>1381.3718137999999</v>
      </c>
      <c r="AC1916" s="372">
        <v>1744.6409177999999</v>
      </c>
      <c r="AD1916" s="372">
        <v>1783.0805894</v>
      </c>
      <c r="AE1916" s="372">
        <v>0</v>
      </c>
      <c r="AF1916" s="372">
        <v>0</v>
      </c>
      <c r="AG1916" s="372">
        <v>0</v>
      </c>
      <c r="AH1916" s="372">
        <v>0</v>
      </c>
    </row>
    <row r="1917" spans="1:34">
      <c r="A1917" s="372" t="s">
        <v>12458</v>
      </c>
      <c r="B1917" s="373" t="s">
        <v>12459</v>
      </c>
      <c r="C1917" s="372" t="s">
        <v>12460</v>
      </c>
      <c r="D1917" s="374">
        <v>1243110015051</v>
      </c>
      <c r="E1917" s="372" t="s">
        <v>12461</v>
      </c>
      <c r="F1917" s="375" t="s">
        <v>1459</v>
      </c>
      <c r="G1917" s="375" t="s">
        <v>5643</v>
      </c>
      <c r="H1917" s="375" t="s">
        <v>909</v>
      </c>
      <c r="I1917" s="375" t="s">
        <v>754</v>
      </c>
      <c r="J1917" s="375">
        <v>704334.56131000002</v>
      </c>
      <c r="K1917" s="375">
        <v>3970.0861599999998</v>
      </c>
      <c r="L1917" s="375">
        <v>-23835.186549999999</v>
      </c>
      <c r="M1917" s="375">
        <v>80910.288310000004</v>
      </c>
      <c r="N1917" s="372">
        <v>0.91500000000000004</v>
      </c>
      <c r="O1917" s="704">
        <v>696.95597154963673</v>
      </c>
      <c r="P1917" s="375" t="s">
        <v>622</v>
      </c>
      <c r="Q1917" s="372" t="s">
        <v>622</v>
      </c>
      <c r="R1917" s="696">
        <v>19890725</v>
      </c>
      <c r="S1917" s="372" t="s">
        <v>12462</v>
      </c>
      <c r="T1917" s="697" t="s">
        <v>771</v>
      </c>
      <c r="U1917" s="372" t="s">
        <v>12463</v>
      </c>
      <c r="V1917" s="723">
        <v>9.5</v>
      </c>
      <c r="W1917" s="723">
        <v>0.59</v>
      </c>
      <c r="X1917" s="723">
        <v>0.06</v>
      </c>
      <c r="Y1917" s="723" t="s">
        <v>773</v>
      </c>
      <c r="Z1917" s="382" t="s">
        <v>927</v>
      </c>
      <c r="AA1917" s="372">
        <v>6152.5883911999999</v>
      </c>
      <c r="AB1917" s="372">
        <v>7762.5156411999997</v>
      </c>
      <c r="AC1917" s="372">
        <v>8581.3176089999997</v>
      </c>
      <c r="AD1917" s="372">
        <v>6684.1064065999999</v>
      </c>
      <c r="AE1917" s="372">
        <v>0</v>
      </c>
      <c r="AF1917" s="372">
        <v>0</v>
      </c>
      <c r="AG1917" s="372">
        <v>0</v>
      </c>
      <c r="AH1917" s="372">
        <v>0</v>
      </c>
    </row>
    <row r="1918" spans="1:34">
      <c r="A1918" s="372" t="s">
        <v>12464</v>
      </c>
      <c r="B1918" s="373" t="s">
        <v>12465</v>
      </c>
      <c r="C1918" s="372" t="s">
        <v>12466</v>
      </c>
      <c r="D1918" s="374">
        <v>1101117417458</v>
      </c>
      <c r="E1918" s="372" t="s">
        <v>12467</v>
      </c>
      <c r="F1918" s="372" t="s">
        <v>1185</v>
      </c>
      <c r="G1918" s="375" t="s">
        <v>3115</v>
      </c>
      <c r="H1918" s="375" t="s">
        <v>861</v>
      </c>
      <c r="I1918" s="375" t="s">
        <v>862</v>
      </c>
      <c r="J1918" s="375">
        <v>9211.0278199999993</v>
      </c>
      <c r="K1918" s="375">
        <v>-9482.6458600000005</v>
      </c>
      <c r="L1918" s="375">
        <v>-9802.60196</v>
      </c>
      <c r="M1918" s="375">
        <v>16527.18016</v>
      </c>
      <c r="N1918" s="372">
        <v>0.89400000000000002</v>
      </c>
      <c r="O1918" s="704">
        <v>41.628073381881805</v>
      </c>
      <c r="P1918" s="375" t="s">
        <v>622</v>
      </c>
      <c r="Q1918" s="372" t="s">
        <v>622</v>
      </c>
      <c r="R1918" s="696">
        <v>20200622</v>
      </c>
      <c r="S1918" s="372" t="s">
        <v>12468</v>
      </c>
      <c r="T1918" s="697" t="s">
        <v>771</v>
      </c>
      <c r="U1918" s="372" t="s">
        <v>12469</v>
      </c>
      <c r="V1918" s="723" t="s">
        <v>773</v>
      </c>
      <c r="W1918" s="723">
        <v>2.64</v>
      </c>
      <c r="X1918" s="723">
        <v>4.21</v>
      </c>
      <c r="Y1918" s="723" t="s">
        <v>773</v>
      </c>
      <c r="Z1918" s="382" t="s">
        <v>927</v>
      </c>
      <c r="AA1918" s="372">
        <v>361.60149940000002</v>
      </c>
      <c r="AB1918" s="372">
        <v>378.55500669999998</v>
      </c>
      <c r="AC1918" s="372">
        <v>329.43720400000001</v>
      </c>
      <c r="AD1918" s="372">
        <v>161.78824950000001</v>
      </c>
      <c r="AE1918" s="372">
        <v>0</v>
      </c>
      <c r="AF1918" s="372">
        <v>0</v>
      </c>
      <c r="AG1918" s="372">
        <v>0</v>
      </c>
      <c r="AH1918" s="372">
        <v>0</v>
      </c>
    </row>
    <row r="1919" spans="1:34">
      <c r="A1919" s="372" t="s">
        <v>12470</v>
      </c>
      <c r="B1919" s="373" t="s">
        <v>12471</v>
      </c>
      <c r="C1919" s="372" t="s">
        <v>12472</v>
      </c>
      <c r="D1919" s="374">
        <v>1601110001167</v>
      </c>
      <c r="E1919" s="372" t="s">
        <v>12473</v>
      </c>
      <c r="F1919" s="372" t="s">
        <v>4833</v>
      </c>
      <c r="G1919" s="375" t="s">
        <v>4833</v>
      </c>
      <c r="H1919" s="375" t="s">
        <v>1316</v>
      </c>
      <c r="I1919" s="375" t="s">
        <v>754</v>
      </c>
      <c r="J1919" s="375">
        <v>617224.53108999995</v>
      </c>
      <c r="K1919" s="375">
        <v>8110.97462</v>
      </c>
      <c r="L1919" s="375">
        <v>15106.59261</v>
      </c>
      <c r="M1919" s="375">
        <v>184406.42173999999</v>
      </c>
      <c r="N1919" s="372">
        <v>0.82</v>
      </c>
      <c r="O1919" s="704">
        <v>384.38570209246541</v>
      </c>
      <c r="P1919" s="375" t="s">
        <v>622</v>
      </c>
      <c r="Q1919" s="372" t="s">
        <v>622</v>
      </c>
      <c r="R1919" s="696">
        <v>19881010</v>
      </c>
      <c r="S1919" s="372" t="s">
        <v>12474</v>
      </c>
      <c r="T1919" s="697">
        <v>0.20900000000000002</v>
      </c>
      <c r="U1919" s="372" t="s">
        <v>12475</v>
      </c>
      <c r="V1919" s="723">
        <v>9.32</v>
      </c>
      <c r="W1919" s="723">
        <v>0.26</v>
      </c>
      <c r="X1919" s="723">
        <v>0.08</v>
      </c>
      <c r="Y1919" s="723">
        <v>4</v>
      </c>
      <c r="Z1919" s="382" t="s">
        <v>927</v>
      </c>
      <c r="AA1919" s="372">
        <v>3885.5813839000002</v>
      </c>
      <c r="AB1919" s="372">
        <v>4804.7519751999998</v>
      </c>
      <c r="AC1919" s="372">
        <v>6123.2238513000002</v>
      </c>
      <c r="AD1919" s="372">
        <v>6348.3809417000002</v>
      </c>
      <c r="AE1919" s="372">
        <v>0</v>
      </c>
      <c r="AF1919" s="372">
        <v>0</v>
      </c>
      <c r="AG1919" s="372">
        <v>0</v>
      </c>
      <c r="AH1919" s="372">
        <v>0</v>
      </c>
    </row>
    <row r="1920" spans="1:34">
      <c r="A1920" s="372" t="s">
        <v>12476</v>
      </c>
      <c r="B1920" s="373" t="s">
        <v>12477</v>
      </c>
      <c r="C1920" s="372" t="s">
        <v>12478</v>
      </c>
      <c r="D1920" s="374">
        <v>1101111773799</v>
      </c>
      <c r="E1920" s="372" t="s">
        <v>12479</v>
      </c>
      <c r="F1920" s="372" t="s">
        <v>5278</v>
      </c>
      <c r="G1920" s="375" t="s">
        <v>5278</v>
      </c>
      <c r="H1920" s="375" t="s">
        <v>861</v>
      </c>
      <c r="I1920" s="375" t="s">
        <v>862</v>
      </c>
      <c r="J1920" s="375">
        <v>190927.67683000001</v>
      </c>
      <c r="K1920" s="375">
        <v>11646.358340000001</v>
      </c>
      <c r="L1920" s="375">
        <v>12223.811729999999</v>
      </c>
      <c r="M1920" s="375">
        <v>83042.961939999994</v>
      </c>
      <c r="N1920" s="372">
        <v>0.73</v>
      </c>
      <c r="O1920" s="704">
        <v>14.246293814110732</v>
      </c>
      <c r="P1920" s="375" t="s">
        <v>622</v>
      </c>
      <c r="Q1920" s="372" t="s">
        <v>622</v>
      </c>
      <c r="R1920" s="696">
        <v>20180723</v>
      </c>
      <c r="S1920" s="372" t="s">
        <v>12480</v>
      </c>
      <c r="T1920" s="697">
        <v>0.20900000000000002</v>
      </c>
      <c r="U1920" s="372" t="s">
        <v>12481</v>
      </c>
      <c r="V1920" s="723">
        <v>3.42</v>
      </c>
      <c r="W1920" s="723">
        <v>0.64</v>
      </c>
      <c r="X1920" s="723">
        <v>0.28000000000000003</v>
      </c>
      <c r="Y1920" s="723">
        <v>5.34</v>
      </c>
      <c r="Z1920" s="382" t="s">
        <v>927</v>
      </c>
      <c r="AA1920" s="372">
        <v>1234.6230639</v>
      </c>
      <c r="AB1920" s="372">
        <v>1087.0466704999999</v>
      </c>
      <c r="AC1920" s="372">
        <v>1431.1638178999999</v>
      </c>
      <c r="AD1920" s="372">
        <v>1761.0243344999999</v>
      </c>
      <c r="AE1920" s="372">
        <v>0</v>
      </c>
      <c r="AF1920" s="372">
        <v>0</v>
      </c>
      <c r="AG1920" s="372">
        <v>0</v>
      </c>
      <c r="AH1920" s="372">
        <v>0</v>
      </c>
    </row>
    <row r="1921" spans="1:34">
      <c r="A1921" s="372" t="s">
        <v>12482</v>
      </c>
      <c r="B1921" s="373" t="s">
        <v>12483</v>
      </c>
      <c r="C1921" s="372" t="s">
        <v>12484</v>
      </c>
      <c r="D1921" s="374">
        <v>1812110008538</v>
      </c>
      <c r="E1921" s="372" t="s">
        <v>12485</v>
      </c>
      <c r="F1921" s="372" t="s">
        <v>2344</v>
      </c>
      <c r="G1921" s="375" t="s">
        <v>2344</v>
      </c>
      <c r="H1921" s="375" t="s">
        <v>861</v>
      </c>
      <c r="I1921" s="375" t="s">
        <v>862</v>
      </c>
      <c r="J1921" s="375">
        <v>235541.15325</v>
      </c>
      <c r="K1921" s="375">
        <v>-7452.2280000000001</v>
      </c>
      <c r="L1921" s="375">
        <v>-11401.86004</v>
      </c>
      <c r="M1921" s="375">
        <v>48797.118569999999</v>
      </c>
      <c r="N1921" s="372">
        <v>1.042</v>
      </c>
      <c r="O1921" s="704">
        <v>227.3739284223756</v>
      </c>
      <c r="P1921" s="375" t="s">
        <v>622</v>
      </c>
      <c r="Q1921" s="375" t="s">
        <v>622</v>
      </c>
      <c r="R1921" s="696">
        <v>20140812</v>
      </c>
      <c r="S1921" s="375" t="s">
        <v>12486</v>
      </c>
      <c r="T1921" s="697" t="s">
        <v>771</v>
      </c>
      <c r="U1921" s="372" t="s">
        <v>12487</v>
      </c>
      <c r="V1921" s="723">
        <v>16.93</v>
      </c>
      <c r="W1921" s="723">
        <v>0.84</v>
      </c>
      <c r="X1921" s="723">
        <v>0.13</v>
      </c>
      <c r="Y1921" s="723" t="s">
        <v>773</v>
      </c>
      <c r="Z1921" s="382" t="s">
        <v>927</v>
      </c>
      <c r="AA1921" s="372">
        <v>1659.6847700000001</v>
      </c>
      <c r="AB1921" s="372">
        <v>1890.2378097000001</v>
      </c>
      <c r="AC1921" s="372">
        <v>2324.9684679000002</v>
      </c>
      <c r="AD1921" s="372">
        <v>2209.8185235999999</v>
      </c>
      <c r="AE1921" s="372">
        <v>2980</v>
      </c>
      <c r="AF1921" s="372">
        <v>3324</v>
      </c>
      <c r="AG1921" s="372">
        <v>0</v>
      </c>
      <c r="AH1921" s="372">
        <v>0</v>
      </c>
    </row>
    <row r="1922" spans="1:34">
      <c r="A1922" s="372" t="s">
        <v>12488</v>
      </c>
      <c r="B1922" s="373" t="s">
        <v>12489</v>
      </c>
      <c r="C1922" s="372" t="s">
        <v>12490</v>
      </c>
      <c r="D1922" s="374">
        <v>1201110000323</v>
      </c>
      <c r="E1922" s="372" t="s">
        <v>12491</v>
      </c>
      <c r="F1922" s="375" t="s">
        <v>1863</v>
      </c>
      <c r="G1922" s="375" t="s">
        <v>1864</v>
      </c>
      <c r="H1922" s="375" t="s">
        <v>792</v>
      </c>
      <c r="I1922" s="375" t="s">
        <v>754</v>
      </c>
      <c r="J1922" s="375">
        <v>743788.13567999995</v>
      </c>
      <c r="K1922" s="375">
        <v>-62443.618419999999</v>
      </c>
      <c r="L1922" s="375">
        <v>-87681.250889999996</v>
      </c>
      <c r="M1922" s="375">
        <v>223500.03601000001</v>
      </c>
      <c r="N1922" s="372">
        <v>0.34699999999999998</v>
      </c>
      <c r="O1922" s="704">
        <v>1250.8715129187335</v>
      </c>
      <c r="P1922" s="375" t="s">
        <v>622</v>
      </c>
      <c r="Q1922" s="372" t="s">
        <v>622</v>
      </c>
      <c r="R1922" s="696">
        <v>20161202</v>
      </c>
      <c r="S1922" s="372" t="s">
        <v>12492</v>
      </c>
      <c r="T1922" s="697" t="s">
        <v>771</v>
      </c>
      <c r="U1922" s="372" t="s">
        <v>12493</v>
      </c>
      <c r="V1922" s="723" t="s">
        <v>773</v>
      </c>
      <c r="W1922" s="723">
        <v>0.21</v>
      </c>
      <c r="X1922" s="723">
        <v>7.0000000000000007E-2</v>
      </c>
      <c r="Y1922" s="723" t="s">
        <v>773</v>
      </c>
      <c r="Z1922" s="382" t="s">
        <v>927</v>
      </c>
      <c r="AA1922" s="372">
        <v>5726.7423332999997</v>
      </c>
      <c r="AB1922" s="372">
        <v>5622.1339066999999</v>
      </c>
      <c r="AC1922" s="372">
        <v>7782.5450916999998</v>
      </c>
      <c r="AD1922" s="372">
        <v>7494.9756364000004</v>
      </c>
      <c r="AE1922" s="372">
        <v>0</v>
      </c>
      <c r="AF1922" s="372">
        <v>0</v>
      </c>
      <c r="AG1922" s="372">
        <v>0</v>
      </c>
      <c r="AH1922" s="372">
        <v>0</v>
      </c>
    </row>
    <row r="1923" spans="1:34">
      <c r="A1923" s="372" t="s">
        <v>12494</v>
      </c>
      <c r="B1923" s="373" t="s">
        <v>12495</v>
      </c>
      <c r="C1923" s="372" t="s">
        <v>12496</v>
      </c>
      <c r="D1923" s="374">
        <v>1101110339691</v>
      </c>
      <c r="E1923" s="372" t="s">
        <v>12497</v>
      </c>
      <c r="F1923" s="375" t="s">
        <v>2103</v>
      </c>
      <c r="G1923" s="375" t="s">
        <v>2103</v>
      </c>
      <c r="H1923" s="375" t="s">
        <v>895</v>
      </c>
      <c r="I1923" s="375" t="s">
        <v>862</v>
      </c>
      <c r="J1923" s="375">
        <v>0</v>
      </c>
      <c r="K1923" s="375">
        <v>0</v>
      </c>
      <c r="L1923" s="375">
        <v>0</v>
      </c>
      <c r="M1923" s="375">
        <v>0</v>
      </c>
      <c r="N1923" s="372">
        <v>0.752</v>
      </c>
      <c r="O1923" s="704" t="s">
        <v>16301</v>
      </c>
      <c r="P1923" s="375" t="s">
        <v>622</v>
      </c>
      <c r="Q1923" s="372" t="s">
        <v>622</v>
      </c>
      <c r="R1923" s="696">
        <v>19930614</v>
      </c>
      <c r="S1923" s="372" t="s">
        <v>12498</v>
      </c>
      <c r="T1923" s="697" t="s">
        <v>771</v>
      </c>
      <c r="U1923" s="372" t="s">
        <v>12499</v>
      </c>
      <c r="V1923" s="723">
        <v>0</v>
      </c>
      <c r="W1923" s="723">
        <v>0</v>
      </c>
      <c r="X1923" s="723">
        <v>0</v>
      </c>
      <c r="Y1923" s="723">
        <v>0</v>
      </c>
      <c r="Z1923" s="382" t="s">
        <v>927</v>
      </c>
      <c r="AA1923" s="372">
        <v>133.68699580000001</v>
      </c>
      <c r="AB1923" s="372">
        <v>113.95965080000001</v>
      </c>
      <c r="AC1923" s="372">
        <v>72.170295600000003</v>
      </c>
      <c r="AD1923" s="372">
        <v>250.5840962</v>
      </c>
      <c r="AE1923" s="372">
        <v>0</v>
      </c>
      <c r="AF1923" s="372">
        <v>0</v>
      </c>
      <c r="AG1923" s="372">
        <v>0</v>
      </c>
      <c r="AH1923" s="372">
        <v>0</v>
      </c>
    </row>
    <row r="1924" spans="1:34">
      <c r="A1924" s="372" t="s">
        <v>12500</v>
      </c>
      <c r="B1924" s="373" t="s">
        <v>12501</v>
      </c>
      <c r="C1924" s="372" t="s">
        <v>12502</v>
      </c>
      <c r="D1924" s="374">
        <v>1301110028935</v>
      </c>
      <c r="E1924" s="372" t="s">
        <v>12503</v>
      </c>
      <c r="F1924" s="375" t="s">
        <v>12208</v>
      </c>
      <c r="G1924" s="375" t="s">
        <v>12208</v>
      </c>
      <c r="H1924" s="375" t="s">
        <v>861</v>
      </c>
      <c r="I1924" s="375" t="s">
        <v>862</v>
      </c>
      <c r="J1924" s="375">
        <v>464134.06117</v>
      </c>
      <c r="K1924" s="375">
        <v>-3735.0556299999998</v>
      </c>
      <c r="L1924" s="375">
        <v>-18424.068139999999</v>
      </c>
      <c r="M1924" s="375">
        <v>360246.63598000002</v>
      </c>
      <c r="N1924" s="372">
        <v>0.56399999999999995</v>
      </c>
      <c r="O1924" s="704">
        <v>361.05602014188941</v>
      </c>
      <c r="P1924" s="375" t="s">
        <v>622</v>
      </c>
      <c r="Q1924" s="372" t="s">
        <v>622</v>
      </c>
      <c r="R1924" s="696">
        <v>20000502</v>
      </c>
      <c r="S1924" s="372" t="s">
        <v>12504</v>
      </c>
      <c r="T1924" s="697" t="s">
        <v>771</v>
      </c>
      <c r="U1924" s="372" t="s">
        <v>15944</v>
      </c>
      <c r="V1924" s="723">
        <v>25.89</v>
      </c>
      <c r="W1924" s="723">
        <v>0.36</v>
      </c>
      <c r="X1924" s="723">
        <v>0.15</v>
      </c>
      <c r="Y1924" s="723" t="s">
        <v>773</v>
      </c>
      <c r="Z1924" s="382" t="s">
        <v>927</v>
      </c>
      <c r="AA1924" s="372">
        <v>4135.1147266999997</v>
      </c>
      <c r="AB1924" s="372">
        <v>4748.7648418999997</v>
      </c>
      <c r="AC1924" s="372">
        <v>5075.5761978999999</v>
      </c>
      <c r="AD1924" s="372">
        <v>4585.1675598000002</v>
      </c>
      <c r="AE1924" s="372">
        <v>0</v>
      </c>
      <c r="AF1924" s="372">
        <v>0</v>
      </c>
      <c r="AG1924" s="372">
        <v>0</v>
      </c>
      <c r="AH1924" s="372">
        <v>0</v>
      </c>
    </row>
    <row r="1925" spans="1:34">
      <c r="A1925" s="372" t="s">
        <v>12505</v>
      </c>
      <c r="B1925" s="373" t="s">
        <v>12506</v>
      </c>
      <c r="C1925" s="372" t="s">
        <v>12507</v>
      </c>
      <c r="D1925" s="374">
        <v>1101118466280</v>
      </c>
      <c r="E1925" s="372" t="s">
        <v>12508</v>
      </c>
      <c r="F1925" s="375" t="s">
        <v>12208</v>
      </c>
      <c r="G1925" s="375" t="s">
        <v>12509</v>
      </c>
      <c r="H1925" s="375" t="s">
        <v>3957</v>
      </c>
      <c r="I1925" s="375" t="s">
        <v>754</v>
      </c>
      <c r="J1925" s="375">
        <v>191298.95277</v>
      </c>
      <c r="K1925" s="375">
        <v>2661.34031</v>
      </c>
      <c r="L1925" s="375">
        <v>7725.7688500000004</v>
      </c>
      <c r="M1925" s="375">
        <v>196405.19886999999</v>
      </c>
      <c r="N1925" s="372">
        <v>0.67600000000000005</v>
      </c>
      <c r="O1925" s="704">
        <v>45.873394906142991</v>
      </c>
      <c r="P1925" s="375" t="s">
        <v>622</v>
      </c>
      <c r="Q1925" s="372" t="s">
        <v>622</v>
      </c>
      <c r="R1925" s="696">
        <v>20221128</v>
      </c>
      <c r="S1925" s="372" t="s">
        <v>12510</v>
      </c>
      <c r="T1925" s="697">
        <v>0.20900000000000002</v>
      </c>
      <c r="U1925" s="372" t="s">
        <v>12511</v>
      </c>
      <c r="V1925" s="723">
        <v>0</v>
      </c>
      <c r="W1925" s="723">
        <v>0</v>
      </c>
      <c r="X1925" s="723">
        <v>0</v>
      </c>
      <c r="Y1925" s="723">
        <v>0</v>
      </c>
      <c r="Z1925" s="382" t="s">
        <v>927</v>
      </c>
      <c r="AA1925" s="372">
        <v>0</v>
      </c>
      <c r="AB1925" s="372">
        <v>0</v>
      </c>
      <c r="AC1925" s="372">
        <v>292.21282150000002</v>
      </c>
      <c r="AD1925" s="372">
        <v>1687.8561327</v>
      </c>
      <c r="AE1925" s="372">
        <v>0</v>
      </c>
      <c r="AF1925" s="372">
        <v>0</v>
      </c>
      <c r="AG1925" s="372">
        <v>0</v>
      </c>
      <c r="AH1925" s="372">
        <v>0</v>
      </c>
    </row>
    <row r="1926" spans="1:34">
      <c r="A1926" s="372" t="s">
        <v>12512</v>
      </c>
      <c r="B1926" s="373" t="s">
        <v>12513</v>
      </c>
      <c r="C1926" s="372" t="s">
        <v>12514</v>
      </c>
      <c r="D1926" s="374">
        <v>1156110001401</v>
      </c>
      <c r="E1926" s="372" t="s">
        <v>12515</v>
      </c>
      <c r="F1926" s="375" t="s">
        <v>12417</v>
      </c>
      <c r="G1926" s="375" t="s">
        <v>12418</v>
      </c>
      <c r="H1926" s="375" t="s">
        <v>861</v>
      </c>
      <c r="I1926" s="375" t="s">
        <v>862</v>
      </c>
      <c r="J1926" s="375">
        <v>92783.848639999997</v>
      </c>
      <c r="K1926" s="375">
        <v>2873.3880100000001</v>
      </c>
      <c r="L1926" s="375">
        <v>2625.4560999999999</v>
      </c>
      <c r="M1926" s="375">
        <v>59865.705269999999</v>
      </c>
      <c r="N1926" s="372">
        <v>0.73799999999999999</v>
      </c>
      <c r="O1926" s="704">
        <v>56.028396679167912</v>
      </c>
      <c r="P1926" s="375" t="s">
        <v>622</v>
      </c>
      <c r="Q1926" s="372" t="s">
        <v>622</v>
      </c>
      <c r="R1926" s="696">
        <v>19921222</v>
      </c>
      <c r="S1926" s="372" t="s">
        <v>12516</v>
      </c>
      <c r="T1926" s="697">
        <v>0.20900000000000002</v>
      </c>
      <c r="U1926" s="372" t="s">
        <v>12517</v>
      </c>
      <c r="V1926" s="723">
        <v>12.16</v>
      </c>
      <c r="W1926" s="723">
        <v>0.99</v>
      </c>
      <c r="X1926" s="723">
        <v>0.65</v>
      </c>
      <c r="Y1926" s="723">
        <v>27.35</v>
      </c>
      <c r="Z1926" s="382" t="s">
        <v>927</v>
      </c>
      <c r="AA1926" s="372">
        <v>869.05996100000004</v>
      </c>
      <c r="AB1926" s="372">
        <v>876.92633479999995</v>
      </c>
      <c r="AC1926" s="372">
        <v>902.80280010000001</v>
      </c>
      <c r="AD1926" s="372">
        <v>862.80033370000001</v>
      </c>
      <c r="AE1926" s="372">
        <v>0</v>
      </c>
      <c r="AF1926" s="372">
        <v>0</v>
      </c>
      <c r="AG1926" s="372">
        <v>0</v>
      </c>
      <c r="AH1926" s="372">
        <v>0</v>
      </c>
    </row>
    <row r="1927" spans="1:34">
      <c r="A1927" s="372" t="s">
        <v>12518</v>
      </c>
      <c r="B1927" s="373" t="s">
        <v>12519</v>
      </c>
      <c r="C1927" s="372" t="s">
        <v>12520</v>
      </c>
      <c r="D1927" s="374">
        <v>1101115877480</v>
      </c>
      <c r="E1927" s="372" t="s">
        <v>12521</v>
      </c>
      <c r="F1927" s="375" t="s">
        <v>2718</v>
      </c>
      <c r="G1927" s="375" t="s">
        <v>2718</v>
      </c>
      <c r="H1927" s="375" t="s">
        <v>1337</v>
      </c>
      <c r="I1927" s="375" t="s">
        <v>862</v>
      </c>
      <c r="J1927" s="375">
        <v>6169.8570399999999</v>
      </c>
      <c r="K1927" s="375">
        <v>-13131.16066</v>
      </c>
      <c r="L1927" s="375">
        <v>-16648.355780000002</v>
      </c>
      <c r="M1927" s="375">
        <v>9635.4049099999993</v>
      </c>
      <c r="N1927" s="372">
        <v>0.998</v>
      </c>
      <c r="O1927" s="704">
        <v>32.370946463302197</v>
      </c>
      <c r="P1927" s="375" t="s">
        <v>622</v>
      </c>
      <c r="Q1927" s="372" t="s">
        <v>622</v>
      </c>
      <c r="R1927" s="696">
        <v>20201210</v>
      </c>
      <c r="S1927" s="372" t="s">
        <v>12522</v>
      </c>
      <c r="T1927" s="697" t="s">
        <v>771</v>
      </c>
      <c r="U1927" s="372" t="s">
        <v>12523</v>
      </c>
      <c r="V1927" s="723" t="s">
        <v>773</v>
      </c>
      <c r="W1927" s="723">
        <v>5.47</v>
      </c>
      <c r="X1927" s="723">
        <v>7.71</v>
      </c>
      <c r="Y1927" s="723" t="s">
        <v>773</v>
      </c>
      <c r="Z1927" s="382" t="s">
        <v>927</v>
      </c>
      <c r="AA1927" s="372">
        <v>24.792770399999998</v>
      </c>
      <c r="AB1927" s="372">
        <v>71.631972899999994</v>
      </c>
      <c r="AC1927" s="372">
        <v>110.1755714</v>
      </c>
      <c r="AD1927" s="372">
        <v>43.508732500000001</v>
      </c>
      <c r="AE1927" s="372">
        <v>0</v>
      </c>
      <c r="AF1927" s="372">
        <v>0</v>
      </c>
      <c r="AG1927" s="372">
        <v>0</v>
      </c>
      <c r="AH1927" s="372">
        <v>0</v>
      </c>
    </row>
    <row r="1928" spans="1:34">
      <c r="A1928" s="372" t="s">
        <v>12524</v>
      </c>
      <c r="B1928" s="373" t="s">
        <v>12525</v>
      </c>
      <c r="C1928" s="372" t="s">
        <v>12526</v>
      </c>
      <c r="D1928" s="374">
        <v>1101110028939</v>
      </c>
      <c r="E1928" s="372" t="s">
        <v>12527</v>
      </c>
      <c r="F1928" s="372" t="s">
        <v>1863</v>
      </c>
      <c r="G1928" s="375" t="s">
        <v>1864</v>
      </c>
      <c r="H1928" s="375" t="s">
        <v>792</v>
      </c>
      <c r="I1928" s="375" t="s">
        <v>754</v>
      </c>
      <c r="J1928" s="375">
        <v>673064.03803000005</v>
      </c>
      <c r="K1928" s="375">
        <v>-3720.3304699999999</v>
      </c>
      <c r="L1928" s="375">
        <v>15681.20549</v>
      </c>
      <c r="M1928" s="375">
        <v>205598.85060999999</v>
      </c>
      <c r="N1928" s="372">
        <v>0.61599999999999999</v>
      </c>
      <c r="O1928" s="704">
        <v>327.58494000546636</v>
      </c>
      <c r="P1928" s="375" t="s">
        <v>622</v>
      </c>
      <c r="Q1928" s="375" t="s">
        <v>622</v>
      </c>
      <c r="R1928" s="696">
        <v>19900915</v>
      </c>
      <c r="S1928" s="375" t="s">
        <v>12528</v>
      </c>
      <c r="T1928" s="697">
        <v>0.20900000000000002</v>
      </c>
      <c r="U1928" s="372" t="s">
        <v>15945</v>
      </c>
      <c r="V1928" s="723">
        <v>7.03</v>
      </c>
      <c r="W1928" s="723">
        <v>0.32</v>
      </c>
      <c r="X1928" s="723">
        <v>0.1</v>
      </c>
      <c r="Y1928" s="723">
        <v>5.5</v>
      </c>
      <c r="Z1928" s="382" t="s">
        <v>927</v>
      </c>
      <c r="AA1928" s="372">
        <v>5307.8695009000003</v>
      </c>
      <c r="AB1928" s="372">
        <v>5214.4097456</v>
      </c>
      <c r="AC1928" s="372">
        <v>6141.7227581999996</v>
      </c>
      <c r="AD1928" s="372">
        <v>6494.1849301000002</v>
      </c>
      <c r="AE1928" s="372">
        <v>0</v>
      </c>
      <c r="AF1928" s="372">
        <v>0</v>
      </c>
      <c r="AG1928" s="372">
        <v>0</v>
      </c>
      <c r="AH1928" s="372">
        <v>0</v>
      </c>
    </row>
    <row r="1929" spans="1:34">
      <c r="A1929" s="372" t="s">
        <v>12529</v>
      </c>
      <c r="B1929" s="373" t="s">
        <v>12530</v>
      </c>
      <c r="C1929" s="372" t="s">
        <v>12531</v>
      </c>
      <c r="D1929" s="374">
        <v>1101111539597</v>
      </c>
      <c r="E1929" s="372" t="s">
        <v>12532</v>
      </c>
      <c r="F1929" s="375" t="s">
        <v>6610</v>
      </c>
      <c r="G1929" s="375" t="s">
        <v>6610</v>
      </c>
      <c r="H1929" s="375" t="s">
        <v>861</v>
      </c>
      <c r="I1929" s="375" t="s">
        <v>862</v>
      </c>
      <c r="J1929" s="375">
        <v>161546.20525</v>
      </c>
      <c r="K1929" s="375">
        <v>9196.8192400000007</v>
      </c>
      <c r="L1929" s="375">
        <v>14187.491679999999</v>
      </c>
      <c r="M1929" s="375">
        <v>96379.261369999993</v>
      </c>
      <c r="N1929" s="372">
        <v>0.79900000000000004</v>
      </c>
      <c r="O1929" s="704">
        <v>1.3072031523133709</v>
      </c>
      <c r="P1929" s="375" t="s">
        <v>622</v>
      </c>
      <c r="Q1929" s="372" t="s">
        <v>622</v>
      </c>
      <c r="R1929" s="696">
        <v>20000718</v>
      </c>
      <c r="S1929" s="372" t="s">
        <v>12533</v>
      </c>
      <c r="T1929" s="697">
        <v>0.20900000000000002</v>
      </c>
      <c r="U1929" s="372" t="s">
        <v>12534</v>
      </c>
      <c r="V1929" s="723">
        <v>0</v>
      </c>
      <c r="W1929" s="723">
        <v>0</v>
      </c>
      <c r="X1929" s="723">
        <v>0</v>
      </c>
      <c r="Y1929" s="723">
        <v>0</v>
      </c>
      <c r="Z1929" s="382" t="s">
        <v>927</v>
      </c>
      <c r="AA1929" s="372">
        <v>1036.8313333000001</v>
      </c>
      <c r="AB1929" s="372">
        <v>959.28421879999996</v>
      </c>
      <c r="AC1929" s="372">
        <v>1049.4224248</v>
      </c>
      <c r="AD1929" s="372">
        <v>1314.1644085</v>
      </c>
      <c r="AE1929" s="372">
        <v>0</v>
      </c>
      <c r="AF1929" s="372">
        <v>0</v>
      </c>
      <c r="AG1929" s="372">
        <v>0</v>
      </c>
      <c r="AH1929" s="372">
        <v>0</v>
      </c>
    </row>
    <row r="1930" spans="1:34">
      <c r="A1930" s="372" t="s">
        <v>12535</v>
      </c>
      <c r="B1930" s="373" t="s">
        <v>12536</v>
      </c>
      <c r="C1930" s="372" t="s">
        <v>12537</v>
      </c>
      <c r="D1930" s="374">
        <v>1101114256924</v>
      </c>
      <c r="E1930" s="372" t="s">
        <v>12538</v>
      </c>
      <c r="F1930" s="372" t="s">
        <v>2668</v>
      </c>
      <c r="G1930" s="375" t="s">
        <v>2668</v>
      </c>
      <c r="H1930" s="375" t="s">
        <v>861</v>
      </c>
      <c r="I1930" s="375" t="s">
        <v>862</v>
      </c>
      <c r="J1930" s="375">
        <v>63530.270949999998</v>
      </c>
      <c r="K1930" s="375">
        <v>9211.4376799999991</v>
      </c>
      <c r="L1930" s="375">
        <v>7215.6068299999997</v>
      </c>
      <c r="M1930" s="375">
        <v>44935.789920000003</v>
      </c>
      <c r="N1930" s="372">
        <v>0.58299999999999996</v>
      </c>
      <c r="O1930" s="704">
        <v>60.721230468235099</v>
      </c>
      <c r="P1930" s="375" t="s">
        <v>622</v>
      </c>
      <c r="Q1930" s="372" t="s">
        <v>622</v>
      </c>
      <c r="R1930" s="696">
        <v>20180201</v>
      </c>
      <c r="S1930" s="372" t="s">
        <v>12539</v>
      </c>
      <c r="T1930" s="697">
        <v>0.20900000000000002</v>
      </c>
      <c r="U1930" s="372" t="s">
        <v>12540</v>
      </c>
      <c r="V1930" s="723">
        <v>3.46</v>
      </c>
      <c r="W1930" s="723">
        <v>0.99</v>
      </c>
      <c r="X1930" s="723">
        <v>0.7</v>
      </c>
      <c r="Y1930" s="723">
        <v>8.68</v>
      </c>
      <c r="Z1930" s="382" t="s">
        <v>927</v>
      </c>
      <c r="AA1930" s="372">
        <v>266.97239539999998</v>
      </c>
      <c r="AB1930" s="372">
        <v>215.28383160000001</v>
      </c>
      <c r="AC1930" s="372">
        <v>380.31771170000002</v>
      </c>
      <c r="AD1930" s="372">
        <v>581.63177759999996</v>
      </c>
      <c r="AE1930" s="372">
        <v>611</v>
      </c>
      <c r="AF1930" s="372">
        <v>654</v>
      </c>
      <c r="AG1930" s="372">
        <v>0</v>
      </c>
      <c r="AH1930" s="372">
        <v>0</v>
      </c>
    </row>
    <row r="1931" spans="1:34">
      <c r="A1931" s="372" t="s">
        <v>12541</v>
      </c>
      <c r="B1931" s="373" t="s">
        <v>12542</v>
      </c>
      <c r="C1931" s="372" t="s">
        <v>12543</v>
      </c>
      <c r="D1931" s="374">
        <v>1412110006738</v>
      </c>
      <c r="E1931" s="372" t="s">
        <v>12544</v>
      </c>
      <c r="F1931" s="372" t="s">
        <v>2075</v>
      </c>
      <c r="G1931" s="375" t="s">
        <v>2075</v>
      </c>
      <c r="H1931" s="375" t="s">
        <v>861</v>
      </c>
      <c r="I1931" s="375" t="s">
        <v>862</v>
      </c>
      <c r="J1931" s="375">
        <v>265720.33954000002</v>
      </c>
      <c r="K1931" s="375">
        <v>11698.23064</v>
      </c>
      <c r="L1931" s="375">
        <v>25313.96038</v>
      </c>
      <c r="M1931" s="375">
        <v>273741.78402999998</v>
      </c>
      <c r="N1931" s="372">
        <v>0.94599999999999995</v>
      </c>
      <c r="O1931" s="704">
        <v>63.394264043142933</v>
      </c>
      <c r="P1931" s="375" t="s">
        <v>622</v>
      </c>
      <c r="Q1931" s="375" t="s">
        <v>622</v>
      </c>
      <c r="R1931" s="696">
        <v>19991222</v>
      </c>
      <c r="S1931" s="375" t="s">
        <v>12545</v>
      </c>
      <c r="T1931" s="697">
        <v>0.23100000000000001</v>
      </c>
      <c r="U1931" s="372" t="s">
        <v>12546</v>
      </c>
      <c r="V1931" s="723">
        <v>13.1</v>
      </c>
      <c r="W1931" s="723">
        <v>0.47</v>
      </c>
      <c r="X1931" s="723">
        <v>0.2</v>
      </c>
      <c r="Y1931" s="723">
        <v>2.52</v>
      </c>
      <c r="Z1931" s="382" t="s">
        <v>927</v>
      </c>
      <c r="AA1931" s="372">
        <v>1471.8441330000001</v>
      </c>
      <c r="AB1931" s="372">
        <v>2078.5648461999999</v>
      </c>
      <c r="AC1931" s="372">
        <v>2110.8743426000001</v>
      </c>
      <c r="AD1931" s="372">
        <v>1861.5877582999999</v>
      </c>
      <c r="AE1931" s="372">
        <v>0</v>
      </c>
      <c r="AF1931" s="372">
        <v>0</v>
      </c>
      <c r="AG1931" s="372">
        <v>0</v>
      </c>
      <c r="AH1931" s="372">
        <v>0</v>
      </c>
    </row>
    <row r="1932" spans="1:34">
      <c r="A1932" s="372" t="s">
        <v>12547</v>
      </c>
      <c r="B1932" s="373" t="s">
        <v>12548</v>
      </c>
      <c r="C1932" s="372" t="s">
        <v>12549</v>
      </c>
      <c r="D1932" s="374">
        <v>1350110029881</v>
      </c>
      <c r="E1932" s="372" t="s">
        <v>12550</v>
      </c>
      <c r="F1932" s="375" t="s">
        <v>12551</v>
      </c>
      <c r="G1932" s="375" t="s">
        <v>16129</v>
      </c>
      <c r="H1932" s="375" t="s">
        <v>812</v>
      </c>
      <c r="I1932" s="375" t="s">
        <v>754</v>
      </c>
      <c r="J1932" s="375">
        <v>911164.46071999997</v>
      </c>
      <c r="K1932" s="375">
        <v>6554.6595100000004</v>
      </c>
      <c r="L1932" s="375">
        <v>15014.31668</v>
      </c>
      <c r="M1932" s="375">
        <v>356367.34396000003</v>
      </c>
      <c r="N1932" s="372">
        <v>0.57499999999999996</v>
      </c>
      <c r="O1932" s="704">
        <v>939.8753670750242</v>
      </c>
      <c r="P1932" s="375" t="s">
        <v>622</v>
      </c>
      <c r="Q1932" s="372" t="s">
        <v>622</v>
      </c>
      <c r="R1932" s="696">
        <v>19960130</v>
      </c>
      <c r="S1932" s="372" t="s">
        <v>12552</v>
      </c>
      <c r="T1932" s="697">
        <v>0.20900000000000002</v>
      </c>
      <c r="U1932" s="372" t="s">
        <v>12553</v>
      </c>
      <c r="V1932" s="723">
        <v>60.49</v>
      </c>
      <c r="W1932" s="723">
        <v>0.42</v>
      </c>
      <c r="X1932" s="723">
        <v>7.0000000000000007E-2</v>
      </c>
      <c r="Y1932" s="723">
        <v>2.5499999999999998</v>
      </c>
      <c r="Z1932" s="382" t="s">
        <v>927</v>
      </c>
      <c r="AA1932" s="372">
        <v>1946.8374421000001</v>
      </c>
      <c r="AB1932" s="372">
        <v>2616.3639395</v>
      </c>
      <c r="AC1932" s="372">
        <v>2756.7921252000001</v>
      </c>
      <c r="AD1932" s="372">
        <v>2331.7926919000001</v>
      </c>
      <c r="AE1932" s="372">
        <v>0</v>
      </c>
      <c r="AF1932" s="372">
        <v>0</v>
      </c>
      <c r="AG1932" s="372">
        <v>0</v>
      </c>
      <c r="AH1932" s="372">
        <v>0</v>
      </c>
    </row>
    <row r="1933" spans="1:34">
      <c r="A1933" s="372" t="s">
        <v>12554</v>
      </c>
      <c r="B1933" s="373" t="s">
        <v>12555</v>
      </c>
      <c r="C1933" s="372" t="s">
        <v>12556</v>
      </c>
      <c r="D1933" s="374">
        <v>1101110271596</v>
      </c>
      <c r="E1933" s="372" t="s">
        <v>12557</v>
      </c>
      <c r="F1933" s="375" t="s">
        <v>11054</v>
      </c>
      <c r="G1933" s="375" t="s">
        <v>11054</v>
      </c>
      <c r="H1933" s="375" t="s">
        <v>1316</v>
      </c>
      <c r="I1933" s="375" t="s">
        <v>754</v>
      </c>
      <c r="J1933" s="375">
        <v>185745.00313999999</v>
      </c>
      <c r="K1933" s="375">
        <v>-5024.8486300000004</v>
      </c>
      <c r="L1933" s="375">
        <v>-261.76220000000001</v>
      </c>
      <c r="M1933" s="375">
        <v>251614.97901000001</v>
      </c>
      <c r="N1933" s="372">
        <v>0.79700000000000004</v>
      </c>
      <c r="O1933" s="704">
        <v>73.795127160327851</v>
      </c>
      <c r="P1933" s="375" t="s">
        <v>622</v>
      </c>
      <c r="Q1933" s="375" t="s">
        <v>622</v>
      </c>
      <c r="R1933" s="696">
        <v>20120629</v>
      </c>
      <c r="S1933" s="375" t="s">
        <v>12558</v>
      </c>
      <c r="T1933" s="697" t="s">
        <v>771</v>
      </c>
      <c r="U1933" s="372" t="s">
        <v>12559</v>
      </c>
      <c r="V1933" s="723" t="s">
        <v>773</v>
      </c>
      <c r="W1933" s="723">
        <v>0.55000000000000004</v>
      </c>
      <c r="X1933" s="723">
        <v>0.75</v>
      </c>
      <c r="Y1933" s="723">
        <v>67.59</v>
      </c>
      <c r="Z1933" s="382" t="s">
        <v>927</v>
      </c>
      <c r="AA1933" s="372">
        <v>2144.5696438999998</v>
      </c>
      <c r="AB1933" s="372">
        <v>1746.1493029000001</v>
      </c>
      <c r="AC1933" s="372">
        <v>2011.1616988999999</v>
      </c>
      <c r="AD1933" s="372">
        <v>1760.238656</v>
      </c>
      <c r="AE1933" s="372">
        <v>0</v>
      </c>
      <c r="AF1933" s="372">
        <v>0</v>
      </c>
      <c r="AG1933" s="372">
        <v>0</v>
      </c>
      <c r="AH1933" s="372">
        <v>0</v>
      </c>
    </row>
    <row r="1934" spans="1:34">
      <c r="A1934" s="372" t="s">
        <v>12560</v>
      </c>
      <c r="B1934" s="373" t="s">
        <v>12561</v>
      </c>
      <c r="C1934" s="372" t="s">
        <v>12562</v>
      </c>
      <c r="D1934" s="374">
        <v>1311110051034</v>
      </c>
      <c r="E1934" s="372" t="s">
        <v>12563</v>
      </c>
      <c r="F1934" s="375" t="s">
        <v>1962</v>
      </c>
      <c r="G1934" s="375" t="s">
        <v>1962</v>
      </c>
      <c r="H1934" s="375" t="s">
        <v>861</v>
      </c>
      <c r="I1934" s="375" t="s">
        <v>862</v>
      </c>
      <c r="J1934" s="375">
        <v>0</v>
      </c>
      <c r="K1934" s="375">
        <v>0</v>
      </c>
      <c r="L1934" s="375">
        <v>0</v>
      </c>
      <c r="M1934" s="375">
        <v>0</v>
      </c>
      <c r="N1934" s="372">
        <v>0.96799999999999997</v>
      </c>
      <c r="O1934" s="704" t="s">
        <v>16301</v>
      </c>
      <c r="P1934" s="375" t="s">
        <v>16115</v>
      </c>
      <c r="Q1934" s="372" t="s">
        <v>16116</v>
      </c>
      <c r="R1934" s="696">
        <v>20160310</v>
      </c>
      <c r="S1934" s="372" t="s">
        <v>12564</v>
      </c>
      <c r="T1934" s="697" t="s">
        <v>771</v>
      </c>
      <c r="U1934" s="372" t="s">
        <v>12565</v>
      </c>
      <c r="V1934" s="723">
        <v>0</v>
      </c>
      <c r="W1934" s="723">
        <v>0</v>
      </c>
      <c r="X1934" s="723">
        <v>0</v>
      </c>
      <c r="Y1934" s="723">
        <v>0</v>
      </c>
      <c r="Z1934" s="382" t="s">
        <v>927</v>
      </c>
      <c r="AA1934" s="372">
        <v>161.14977949999999</v>
      </c>
      <c r="AB1934" s="372">
        <v>223.0473552</v>
      </c>
      <c r="AC1934" s="372">
        <v>124.5630996</v>
      </c>
      <c r="AD1934" s="372">
        <v>36.890644600000002</v>
      </c>
      <c r="AE1934" s="372">
        <v>0</v>
      </c>
      <c r="AF1934" s="372">
        <v>0</v>
      </c>
      <c r="AG1934" s="372">
        <v>0</v>
      </c>
      <c r="AH1934" s="372">
        <v>0</v>
      </c>
    </row>
    <row r="1935" spans="1:34">
      <c r="A1935" s="372" t="s">
        <v>12566</v>
      </c>
      <c r="B1935" s="373" t="s">
        <v>12567</v>
      </c>
      <c r="C1935" s="372" t="s">
        <v>12568</v>
      </c>
      <c r="D1935" s="374">
        <v>1545110001571</v>
      </c>
      <c r="E1935" s="372" t="s">
        <v>12569</v>
      </c>
      <c r="F1935" s="372" t="s">
        <v>2864</v>
      </c>
      <c r="G1935" s="375" t="s">
        <v>12570</v>
      </c>
      <c r="H1935" s="375" t="s">
        <v>861</v>
      </c>
      <c r="I1935" s="375" t="s">
        <v>862</v>
      </c>
      <c r="J1935" s="375">
        <v>66288.933340000003</v>
      </c>
      <c r="K1935" s="375">
        <v>-489.01134999999999</v>
      </c>
      <c r="L1935" s="375">
        <v>613.46488999999997</v>
      </c>
      <c r="M1935" s="375">
        <v>100420.76521</v>
      </c>
      <c r="N1935" s="372">
        <v>0.755</v>
      </c>
      <c r="O1935" s="704">
        <v>1.3523110751127065</v>
      </c>
      <c r="P1935" s="375" t="s">
        <v>622</v>
      </c>
      <c r="Q1935" s="375" t="s">
        <v>622</v>
      </c>
      <c r="R1935" s="696">
        <v>19931214</v>
      </c>
      <c r="S1935" s="375" t="s">
        <v>12571</v>
      </c>
      <c r="T1935" s="697">
        <v>0.20900000000000002</v>
      </c>
      <c r="U1935" s="372" t="s">
        <v>12572</v>
      </c>
      <c r="V1935" s="723">
        <v>0</v>
      </c>
      <c r="W1935" s="723">
        <v>0</v>
      </c>
      <c r="X1935" s="723">
        <v>0</v>
      </c>
      <c r="Y1935" s="723">
        <v>0</v>
      </c>
      <c r="Z1935" s="382" t="s">
        <v>927</v>
      </c>
      <c r="AA1935" s="372">
        <v>590.19698740000001</v>
      </c>
      <c r="AB1935" s="372">
        <v>666.15076109999995</v>
      </c>
      <c r="AC1935" s="372">
        <v>760.51374310000006</v>
      </c>
      <c r="AD1935" s="372">
        <v>781.48269259999995</v>
      </c>
      <c r="AE1935" s="372">
        <v>0</v>
      </c>
      <c r="AF1935" s="372">
        <v>0</v>
      </c>
      <c r="AG1935" s="372">
        <v>0</v>
      </c>
      <c r="AH1935" s="372">
        <v>0</v>
      </c>
    </row>
    <row r="1936" spans="1:34">
      <c r="A1936" s="372" t="s">
        <v>12573</v>
      </c>
      <c r="B1936" s="373" t="s">
        <v>12574</v>
      </c>
      <c r="C1936" s="372" t="s">
        <v>12575</v>
      </c>
      <c r="D1936" s="374">
        <v>1101110061228</v>
      </c>
      <c r="E1936" s="372" t="s">
        <v>12576</v>
      </c>
      <c r="F1936" s="372" t="s">
        <v>2705</v>
      </c>
      <c r="G1936" s="375" t="s">
        <v>12577</v>
      </c>
      <c r="H1936" s="375" t="s">
        <v>1468</v>
      </c>
      <c r="I1936" s="375" t="s">
        <v>754</v>
      </c>
      <c r="J1936" s="375">
        <v>219026.21471999999</v>
      </c>
      <c r="K1936" s="375">
        <v>1819.6840299999999</v>
      </c>
      <c r="L1936" s="375">
        <v>-1141.1731</v>
      </c>
      <c r="M1936" s="375">
        <v>267238.84950999997</v>
      </c>
      <c r="N1936" s="372">
        <v>0.68100000000000005</v>
      </c>
      <c r="O1936" s="704">
        <v>65.198367127696997</v>
      </c>
      <c r="P1936" s="375" t="s">
        <v>622</v>
      </c>
      <c r="Q1936" s="375" t="s">
        <v>622</v>
      </c>
      <c r="R1936" s="696">
        <v>20160330</v>
      </c>
      <c r="S1936" s="375" t="s">
        <v>12578</v>
      </c>
      <c r="T1936" s="697" t="s">
        <v>771</v>
      </c>
      <c r="U1936" s="372" t="s">
        <v>12579</v>
      </c>
      <c r="V1936" s="723">
        <v>6.02</v>
      </c>
      <c r="W1936" s="723">
        <v>0.19</v>
      </c>
      <c r="X1936" s="723">
        <v>0.24</v>
      </c>
      <c r="Y1936" s="723" t="s">
        <v>773</v>
      </c>
      <c r="Z1936" s="382" t="s">
        <v>927</v>
      </c>
      <c r="AA1936" s="372">
        <v>1860.7086489000001</v>
      </c>
      <c r="AB1936" s="372">
        <v>2266.0627709</v>
      </c>
      <c r="AC1936" s="372">
        <v>2412.4119145</v>
      </c>
      <c r="AD1936" s="372">
        <v>2164.4781612000002</v>
      </c>
      <c r="AE1936" s="372">
        <v>0</v>
      </c>
      <c r="AF1936" s="372">
        <v>0</v>
      </c>
      <c r="AG1936" s="372">
        <v>0</v>
      </c>
      <c r="AH1936" s="372">
        <v>0</v>
      </c>
    </row>
    <row r="1937" spans="1:34">
      <c r="A1937" s="372" t="s">
        <v>12580</v>
      </c>
      <c r="B1937" s="373" t="s">
        <v>12581</v>
      </c>
      <c r="C1937" s="372" t="s">
        <v>12582</v>
      </c>
      <c r="D1937" s="374">
        <v>1243110003379</v>
      </c>
      <c r="E1937" s="372" t="s">
        <v>12583</v>
      </c>
      <c r="F1937" s="375" t="s">
        <v>2014</v>
      </c>
      <c r="G1937" s="375" t="s">
        <v>2014</v>
      </c>
      <c r="H1937" s="375" t="s">
        <v>792</v>
      </c>
      <c r="I1937" s="375" t="s">
        <v>754</v>
      </c>
      <c r="J1937" s="375">
        <v>438194.61927000002</v>
      </c>
      <c r="K1937" s="375">
        <v>12300.495999999999</v>
      </c>
      <c r="L1937" s="375">
        <v>4971.7783099999997</v>
      </c>
      <c r="M1937" s="375">
        <v>125877.86328999999</v>
      </c>
      <c r="N1937" s="372">
        <v>0.78500000000000003</v>
      </c>
      <c r="O1937" s="704">
        <v>230.50743113891409</v>
      </c>
      <c r="P1937" s="375" t="s">
        <v>622</v>
      </c>
      <c r="Q1937" s="372" t="s">
        <v>622</v>
      </c>
      <c r="R1937" s="696">
        <v>20171208</v>
      </c>
      <c r="S1937" s="372" t="s">
        <v>12584</v>
      </c>
      <c r="T1937" s="697">
        <v>0.20900000000000002</v>
      </c>
      <c r="U1937" s="372" t="s">
        <v>12585</v>
      </c>
      <c r="V1937" s="723">
        <v>5.99</v>
      </c>
      <c r="W1937" s="723">
        <v>0.6</v>
      </c>
      <c r="X1937" s="723">
        <v>0.17</v>
      </c>
      <c r="Y1937" s="723">
        <v>21.24</v>
      </c>
      <c r="Z1937" s="382" t="s">
        <v>927</v>
      </c>
      <c r="AA1937" s="372">
        <v>3215.4908722999999</v>
      </c>
      <c r="AB1937" s="372">
        <v>3545.9052603</v>
      </c>
      <c r="AC1937" s="372">
        <v>3978.8309774999998</v>
      </c>
      <c r="AD1937" s="372">
        <v>4217.3245803999998</v>
      </c>
      <c r="AE1937" s="372">
        <v>0</v>
      </c>
      <c r="AF1937" s="372">
        <v>0</v>
      </c>
      <c r="AG1937" s="372">
        <v>0</v>
      </c>
      <c r="AH1937" s="372">
        <v>0</v>
      </c>
    </row>
    <row r="1938" spans="1:34">
      <c r="A1938" s="372" t="s">
        <v>12586</v>
      </c>
      <c r="B1938" s="373" t="s">
        <v>12587</v>
      </c>
      <c r="C1938" s="372" t="s">
        <v>12588</v>
      </c>
      <c r="D1938" s="374">
        <v>1101111907760</v>
      </c>
      <c r="E1938" s="372" t="s">
        <v>12589</v>
      </c>
      <c r="F1938" s="375" t="s">
        <v>1116</v>
      </c>
      <c r="G1938" s="375" t="s">
        <v>3303</v>
      </c>
      <c r="H1938" s="375" t="s">
        <v>1337</v>
      </c>
      <c r="I1938" s="375" t="s">
        <v>862</v>
      </c>
      <c r="J1938" s="375">
        <v>19041.732660000001</v>
      </c>
      <c r="K1938" s="375">
        <v>-7080.4190200000003</v>
      </c>
      <c r="L1938" s="375">
        <v>-11314.18168</v>
      </c>
      <c r="M1938" s="375">
        <v>26390.656370000001</v>
      </c>
      <c r="N1938" s="372">
        <v>0.626</v>
      </c>
      <c r="O1938" s="704">
        <v>18.332434427014491</v>
      </c>
      <c r="P1938" s="375" t="s">
        <v>622</v>
      </c>
      <c r="Q1938" s="372" t="s">
        <v>622</v>
      </c>
      <c r="R1938" s="696">
        <v>20111226</v>
      </c>
      <c r="S1938" s="372" t="s">
        <v>12590</v>
      </c>
      <c r="T1938" s="697" t="s">
        <v>771</v>
      </c>
      <c r="U1938" s="372" t="s">
        <v>12591</v>
      </c>
      <c r="V1938" s="723" t="s">
        <v>773</v>
      </c>
      <c r="W1938" s="723">
        <v>2.5099999999999998</v>
      </c>
      <c r="X1938" s="723">
        <v>2.94</v>
      </c>
      <c r="Y1938" s="723" t="s">
        <v>773</v>
      </c>
      <c r="Z1938" s="382" t="s">
        <v>927</v>
      </c>
      <c r="AA1938" s="372">
        <v>152.8568606</v>
      </c>
      <c r="AB1938" s="372">
        <v>229.91546529999999</v>
      </c>
      <c r="AC1938" s="372">
        <v>169.8107751</v>
      </c>
      <c r="AD1938" s="372">
        <v>219.48990480000001</v>
      </c>
      <c r="AE1938" s="372">
        <v>0</v>
      </c>
      <c r="AF1938" s="372">
        <v>0</v>
      </c>
      <c r="AG1938" s="372">
        <v>0</v>
      </c>
      <c r="AH1938" s="372">
        <v>0</v>
      </c>
    </row>
    <row r="1939" spans="1:34">
      <c r="A1939" s="372" t="s">
        <v>12592</v>
      </c>
      <c r="B1939" s="373" t="s">
        <v>12593</v>
      </c>
      <c r="C1939" s="372" t="s">
        <v>12594</v>
      </c>
      <c r="D1939" s="374">
        <v>1101111908338</v>
      </c>
      <c r="E1939" s="372" t="s">
        <v>12595</v>
      </c>
      <c r="F1939" s="375" t="s">
        <v>2222</v>
      </c>
      <c r="G1939" s="375" t="s">
        <v>2222</v>
      </c>
      <c r="H1939" s="375" t="s">
        <v>861</v>
      </c>
      <c r="I1939" s="375" t="s">
        <v>862</v>
      </c>
      <c r="J1939" s="375">
        <v>17922.987120000002</v>
      </c>
      <c r="K1939" s="375">
        <v>-1032.0144700000001</v>
      </c>
      <c r="L1939" s="375">
        <v>1213.0906299999999</v>
      </c>
      <c r="M1939" s="375">
        <v>63691.043290000001</v>
      </c>
      <c r="N1939" s="372">
        <v>0.51100000000000001</v>
      </c>
      <c r="O1939" s="704">
        <v>1.4160551114991493</v>
      </c>
      <c r="P1939" s="375" t="s">
        <v>622</v>
      </c>
      <c r="Q1939" s="372" t="s">
        <v>622</v>
      </c>
      <c r="R1939" s="696">
        <v>20191022</v>
      </c>
      <c r="S1939" s="375" t="s">
        <v>12596</v>
      </c>
      <c r="T1939" s="697">
        <v>0.20900000000000002</v>
      </c>
      <c r="U1939" s="372" t="s">
        <v>12597</v>
      </c>
      <c r="V1939" s="723">
        <v>16208.17</v>
      </c>
      <c r="W1939" s="723">
        <v>0.63</v>
      </c>
      <c r="X1939" s="723">
        <v>2.29</v>
      </c>
      <c r="Y1939" s="723">
        <v>44.47</v>
      </c>
      <c r="Z1939" s="382" t="s">
        <v>927</v>
      </c>
      <c r="AA1939" s="372">
        <v>394.08554229999999</v>
      </c>
      <c r="AB1939" s="372">
        <v>390.27506829999999</v>
      </c>
      <c r="AC1939" s="372">
        <v>261.13221449999998</v>
      </c>
      <c r="AD1939" s="372">
        <v>213.94730369999999</v>
      </c>
      <c r="AE1939" s="372">
        <v>0</v>
      </c>
      <c r="AF1939" s="372">
        <v>0</v>
      </c>
      <c r="AG1939" s="372">
        <v>0</v>
      </c>
      <c r="AH1939" s="372">
        <v>0</v>
      </c>
    </row>
    <row r="1940" spans="1:34">
      <c r="A1940" s="372" t="s">
        <v>12598</v>
      </c>
      <c r="B1940" s="373" t="s">
        <v>12599</v>
      </c>
      <c r="C1940" s="372" t="s">
        <v>12600</v>
      </c>
      <c r="D1940" s="374">
        <v>1350110030490</v>
      </c>
      <c r="E1940" s="372" t="s">
        <v>12601</v>
      </c>
      <c r="F1940" s="372" t="s">
        <v>4638</v>
      </c>
      <c r="G1940" s="375" t="s">
        <v>4638</v>
      </c>
      <c r="H1940" s="375" t="s">
        <v>861</v>
      </c>
      <c r="I1940" s="375" t="s">
        <v>862</v>
      </c>
      <c r="J1940" s="375">
        <v>23680.28441</v>
      </c>
      <c r="K1940" s="375">
        <v>-1211.59611</v>
      </c>
      <c r="L1940" s="375">
        <v>-870.10670000000005</v>
      </c>
      <c r="M1940" s="375">
        <v>30656.36147</v>
      </c>
      <c r="N1940" s="372">
        <v>0.69799999999999995</v>
      </c>
      <c r="O1940" s="704">
        <v>0.20735255020259219</v>
      </c>
      <c r="P1940" s="375" t="s">
        <v>16115</v>
      </c>
      <c r="Q1940" s="372" t="s">
        <v>16116</v>
      </c>
      <c r="R1940" s="696">
        <v>20020122</v>
      </c>
      <c r="S1940" s="372" t="s">
        <v>12602</v>
      </c>
      <c r="T1940" s="697" t="s">
        <v>771</v>
      </c>
      <c r="U1940" s="372" t="s">
        <v>12603</v>
      </c>
      <c r="V1940" s="723">
        <v>0</v>
      </c>
      <c r="W1940" s="723">
        <v>0</v>
      </c>
      <c r="X1940" s="723">
        <v>0</v>
      </c>
      <c r="Y1940" s="723">
        <v>0</v>
      </c>
      <c r="Z1940" s="382" t="s">
        <v>927</v>
      </c>
      <c r="AA1940" s="372">
        <v>189.9912271</v>
      </c>
      <c r="AB1940" s="372">
        <v>169.12382890000001</v>
      </c>
      <c r="AC1940" s="372">
        <v>153.48596140000001</v>
      </c>
      <c r="AD1940" s="372">
        <v>121.10806940000001</v>
      </c>
      <c r="AE1940" s="372">
        <v>0</v>
      </c>
      <c r="AF1940" s="372">
        <v>0</v>
      </c>
      <c r="AG1940" s="372">
        <v>0</v>
      </c>
      <c r="AH1940" s="372">
        <v>0</v>
      </c>
    </row>
    <row r="1941" spans="1:34">
      <c r="A1941" s="372" t="s">
        <v>12604</v>
      </c>
      <c r="B1941" s="373" t="s">
        <v>12605</v>
      </c>
      <c r="C1941" s="372" t="s">
        <v>12606</v>
      </c>
      <c r="D1941" s="374">
        <v>1101111883225</v>
      </c>
      <c r="E1941" s="372" t="s">
        <v>12607</v>
      </c>
      <c r="F1941" s="372" t="s">
        <v>6610</v>
      </c>
      <c r="G1941" s="375" t="s">
        <v>6610</v>
      </c>
      <c r="H1941" s="375" t="s">
        <v>861</v>
      </c>
      <c r="I1941" s="375" t="s">
        <v>862</v>
      </c>
      <c r="J1941" s="375">
        <v>66222.578150000001</v>
      </c>
      <c r="K1941" s="375">
        <v>-4852.5690500000001</v>
      </c>
      <c r="L1941" s="375">
        <v>4670.76937</v>
      </c>
      <c r="M1941" s="375">
        <v>127491.77952</v>
      </c>
      <c r="N1941" s="372">
        <v>0.56699999999999995</v>
      </c>
      <c r="O1941" s="704">
        <v>28.168596946533132</v>
      </c>
      <c r="P1941" s="375" t="s">
        <v>622</v>
      </c>
      <c r="Q1941" s="372" t="s">
        <v>622</v>
      </c>
      <c r="R1941" s="696">
        <v>20011130</v>
      </c>
      <c r="S1941" s="372" t="s">
        <v>12608</v>
      </c>
      <c r="T1941" s="697">
        <v>0.20900000000000002</v>
      </c>
      <c r="U1941" s="372" t="s">
        <v>12609</v>
      </c>
      <c r="V1941" s="723" t="s">
        <v>773</v>
      </c>
      <c r="W1941" s="723">
        <v>0.36</v>
      </c>
      <c r="X1941" s="723">
        <v>0.7</v>
      </c>
      <c r="Y1941" s="723">
        <v>12.37</v>
      </c>
      <c r="Z1941" s="382" t="s">
        <v>927</v>
      </c>
      <c r="AA1941" s="372">
        <v>809.25043219999998</v>
      </c>
      <c r="AB1941" s="372">
        <v>857.32205950000002</v>
      </c>
      <c r="AC1941" s="372">
        <v>896.38154229999998</v>
      </c>
      <c r="AD1941" s="372">
        <v>833.5420378</v>
      </c>
      <c r="AE1941" s="372">
        <v>0</v>
      </c>
      <c r="AF1941" s="372">
        <v>0</v>
      </c>
      <c r="AG1941" s="372">
        <v>0</v>
      </c>
      <c r="AH1941" s="372">
        <v>0</v>
      </c>
    </row>
    <row r="1942" spans="1:34">
      <c r="A1942" s="372" t="s">
        <v>12610</v>
      </c>
      <c r="B1942" s="373" t="s">
        <v>12611</v>
      </c>
      <c r="C1942" s="372" t="s">
        <v>12612</v>
      </c>
      <c r="D1942" s="374">
        <v>1615110006118</v>
      </c>
      <c r="E1942" s="372" t="s">
        <v>12613</v>
      </c>
      <c r="F1942" s="375" t="s">
        <v>8672</v>
      </c>
      <c r="G1942" s="375" t="s">
        <v>8828</v>
      </c>
      <c r="H1942" s="375" t="s">
        <v>861</v>
      </c>
      <c r="I1942" s="375" t="s">
        <v>862</v>
      </c>
      <c r="J1942" s="375">
        <v>149594.59641</v>
      </c>
      <c r="K1942" s="375">
        <v>1986.7139500000001</v>
      </c>
      <c r="L1942" s="375">
        <v>5624.3011200000001</v>
      </c>
      <c r="M1942" s="375">
        <v>179665.33999000001</v>
      </c>
      <c r="N1942" s="372">
        <v>0.61299999999999999</v>
      </c>
      <c r="O1942" s="704">
        <v>1.4021105884241138</v>
      </c>
      <c r="P1942" s="375" t="s">
        <v>622</v>
      </c>
      <c r="Q1942" s="372" t="s">
        <v>622</v>
      </c>
      <c r="R1942" s="696">
        <v>20010803</v>
      </c>
      <c r="S1942" s="375" t="s">
        <v>12614</v>
      </c>
      <c r="T1942" s="697">
        <v>0.20900000000000002</v>
      </c>
      <c r="U1942" s="375" t="s">
        <v>12615</v>
      </c>
      <c r="V1942" s="723">
        <v>5.77</v>
      </c>
      <c r="W1942" s="723">
        <v>0.28999999999999998</v>
      </c>
      <c r="X1942" s="723">
        <v>0.35</v>
      </c>
      <c r="Y1942" s="723">
        <v>12.01</v>
      </c>
      <c r="Z1942" s="382" t="s">
        <v>927</v>
      </c>
      <c r="AA1942" s="372">
        <v>1415.0684621</v>
      </c>
      <c r="AB1942" s="372">
        <v>1500.3479892</v>
      </c>
      <c r="AC1942" s="372">
        <v>1742.3767442000001</v>
      </c>
      <c r="AD1942" s="372">
        <v>1570.1552735</v>
      </c>
      <c r="AE1942" s="372">
        <v>0</v>
      </c>
      <c r="AF1942" s="372">
        <v>0</v>
      </c>
      <c r="AG1942" s="372">
        <v>0</v>
      </c>
      <c r="AH1942" s="372">
        <v>0</v>
      </c>
    </row>
    <row r="1943" spans="1:34">
      <c r="A1943" s="372" t="s">
        <v>12616</v>
      </c>
      <c r="B1943" s="373" t="s">
        <v>12617</v>
      </c>
      <c r="C1943" s="372" t="s">
        <v>12618</v>
      </c>
      <c r="D1943" s="374">
        <v>1801110004753</v>
      </c>
      <c r="E1943" s="372" t="s">
        <v>12619</v>
      </c>
      <c r="F1943" s="375" t="s">
        <v>2747</v>
      </c>
      <c r="G1943" s="375" t="s">
        <v>6512</v>
      </c>
      <c r="H1943" s="375" t="s">
        <v>812</v>
      </c>
      <c r="I1943" s="375" t="s">
        <v>754</v>
      </c>
      <c r="J1943" s="375">
        <v>213497.76285</v>
      </c>
      <c r="K1943" s="375">
        <v>19561.174309999999</v>
      </c>
      <c r="L1943" s="375">
        <v>-26408.72539</v>
      </c>
      <c r="M1943" s="375">
        <v>160242.54616999999</v>
      </c>
      <c r="N1943" s="372">
        <v>0.82899999999999996</v>
      </c>
      <c r="O1943" s="704">
        <v>17.674960873015873</v>
      </c>
      <c r="P1943" s="375" t="s">
        <v>622</v>
      </c>
      <c r="Q1943" s="372" t="s">
        <v>622</v>
      </c>
      <c r="R1943" s="696">
        <v>20030128</v>
      </c>
      <c r="S1943" s="372" t="s">
        <v>12620</v>
      </c>
      <c r="T1943" s="697" t="s">
        <v>771</v>
      </c>
      <c r="U1943" s="372" t="s">
        <v>11921</v>
      </c>
      <c r="V1943" s="723">
        <v>0</v>
      </c>
      <c r="W1943" s="723">
        <v>0</v>
      </c>
      <c r="X1943" s="723">
        <v>0</v>
      </c>
      <c r="Y1943" s="723">
        <v>0</v>
      </c>
      <c r="Z1943" s="382" t="s">
        <v>927</v>
      </c>
      <c r="AA1943" s="372">
        <v>1762.0656678</v>
      </c>
      <c r="AB1943" s="372">
        <v>2071.4275959000001</v>
      </c>
      <c r="AC1943" s="372">
        <v>2616.8716174000001</v>
      </c>
      <c r="AD1943" s="372">
        <v>2129.5362061999999</v>
      </c>
      <c r="AE1943" s="372">
        <v>0</v>
      </c>
      <c r="AF1943" s="372">
        <v>0</v>
      </c>
      <c r="AG1943" s="372">
        <v>0</v>
      </c>
      <c r="AH1943" s="372">
        <v>0</v>
      </c>
    </row>
    <row r="1944" spans="1:34">
      <c r="A1944" s="372" t="s">
        <v>12621</v>
      </c>
      <c r="B1944" s="373" t="s">
        <v>12622</v>
      </c>
      <c r="C1944" s="372" t="s">
        <v>12623</v>
      </c>
      <c r="D1944" s="374">
        <v>1101110822993</v>
      </c>
      <c r="E1944" s="372" t="s">
        <v>12624</v>
      </c>
      <c r="F1944" s="375" t="s">
        <v>2426</v>
      </c>
      <c r="G1944" s="375" t="s">
        <v>12625</v>
      </c>
      <c r="H1944" s="375" t="s">
        <v>1043</v>
      </c>
      <c r="I1944" s="375" t="s">
        <v>754</v>
      </c>
      <c r="J1944" s="375">
        <v>204321.82277</v>
      </c>
      <c r="K1944" s="375">
        <v>655.75930000000005</v>
      </c>
      <c r="L1944" s="375">
        <v>-2200.1980800000001</v>
      </c>
      <c r="M1944" s="375">
        <v>102342.63391999999</v>
      </c>
      <c r="N1944" s="372">
        <v>0.74399999999999999</v>
      </c>
      <c r="O1944" s="704">
        <v>276.57947666666666</v>
      </c>
      <c r="P1944" s="375" t="s">
        <v>622</v>
      </c>
      <c r="Q1944" s="372" t="s">
        <v>622</v>
      </c>
      <c r="R1944" s="696">
        <v>20010724</v>
      </c>
      <c r="S1944" s="372" t="s">
        <v>12626</v>
      </c>
      <c r="T1944" s="697" t="s">
        <v>771</v>
      </c>
      <c r="U1944" s="372" t="s">
        <v>12627</v>
      </c>
      <c r="V1944" s="723">
        <v>15.62</v>
      </c>
      <c r="W1944" s="723">
        <v>0.45</v>
      </c>
      <c r="X1944" s="723">
        <v>0.22</v>
      </c>
      <c r="Y1944" s="723" t="s">
        <v>773</v>
      </c>
      <c r="Z1944" s="382" t="s">
        <v>927</v>
      </c>
      <c r="AA1944" s="372">
        <v>2049.9613408999999</v>
      </c>
      <c r="AB1944" s="372">
        <v>2339.8944504999999</v>
      </c>
      <c r="AC1944" s="372">
        <v>2545.7873601000001</v>
      </c>
      <c r="AD1944" s="372">
        <v>2121.2626426000002</v>
      </c>
      <c r="AE1944" s="372">
        <v>2791</v>
      </c>
      <c r="AF1944" s="372">
        <v>0</v>
      </c>
      <c r="AG1944" s="372">
        <v>0</v>
      </c>
      <c r="AH1944" s="372">
        <v>0</v>
      </c>
    </row>
    <row r="1945" spans="1:34">
      <c r="A1945" s="372" t="s">
        <v>12628</v>
      </c>
      <c r="B1945" s="373" t="s">
        <v>12629</v>
      </c>
      <c r="C1945" s="372" t="s">
        <v>16309</v>
      </c>
      <c r="D1945" s="374">
        <v>1341110000822</v>
      </c>
      <c r="E1945" s="372" t="s">
        <v>16310</v>
      </c>
      <c r="F1945" s="372" t="s">
        <v>880</v>
      </c>
      <c r="G1945" s="375" t="s">
        <v>880</v>
      </c>
      <c r="H1945" s="375" t="s">
        <v>792</v>
      </c>
      <c r="I1945" s="375" t="s">
        <v>754</v>
      </c>
      <c r="J1945" s="375">
        <v>130018.88587</v>
      </c>
      <c r="K1945" s="375">
        <v>4774.4247800000003</v>
      </c>
      <c r="L1945" s="375">
        <v>1038.4991199999999</v>
      </c>
      <c r="M1945" s="375">
        <v>28397.037769999999</v>
      </c>
      <c r="N1945" s="372">
        <v>0.70099999999999996</v>
      </c>
      <c r="O1945" s="704">
        <v>75.584565970639431</v>
      </c>
      <c r="P1945" s="375" t="s">
        <v>622</v>
      </c>
      <c r="Q1945" s="372" t="s">
        <v>622</v>
      </c>
      <c r="R1945" s="696">
        <v>19890825</v>
      </c>
      <c r="S1945" s="372" t="s">
        <v>12630</v>
      </c>
      <c r="T1945" s="697">
        <v>0.20900000000000002</v>
      </c>
      <c r="U1945" s="372" t="s">
        <v>12631</v>
      </c>
      <c r="V1945" s="723">
        <v>8.3800000000000008</v>
      </c>
      <c r="W1945" s="723">
        <v>1.89</v>
      </c>
      <c r="X1945" s="723">
        <v>0.41</v>
      </c>
      <c r="Y1945" s="723">
        <v>65.84</v>
      </c>
      <c r="Z1945" s="382" t="s">
        <v>927</v>
      </c>
      <c r="AA1945" s="372">
        <v>759.48847239999998</v>
      </c>
      <c r="AB1945" s="372">
        <v>991.83663200000001</v>
      </c>
      <c r="AC1945" s="372">
        <v>1005.0193426</v>
      </c>
      <c r="AD1945" s="372">
        <v>1134.4415485</v>
      </c>
      <c r="AE1945" s="372">
        <v>0</v>
      </c>
      <c r="AF1945" s="372">
        <v>0</v>
      </c>
      <c r="AG1945" s="372">
        <v>0</v>
      </c>
      <c r="AH1945" s="372">
        <v>0</v>
      </c>
    </row>
    <row r="1946" spans="1:34">
      <c r="A1946" s="372" t="s">
        <v>12632</v>
      </c>
      <c r="B1946" s="373" t="s">
        <v>12633</v>
      </c>
      <c r="C1946" s="372" t="s">
        <v>12634</v>
      </c>
      <c r="D1946" s="374">
        <v>1543110001997</v>
      </c>
      <c r="E1946" s="372" t="s">
        <v>12635</v>
      </c>
      <c r="F1946" s="375" t="s">
        <v>3975</v>
      </c>
      <c r="G1946" s="375" t="s">
        <v>11341</v>
      </c>
      <c r="H1946" s="375" t="s">
        <v>861</v>
      </c>
      <c r="I1946" s="375" t="s">
        <v>862</v>
      </c>
      <c r="J1946" s="375">
        <v>390125.48657000001</v>
      </c>
      <c r="K1946" s="375">
        <v>11678.026879999999</v>
      </c>
      <c r="L1946" s="375">
        <v>7171.14347</v>
      </c>
      <c r="M1946" s="375">
        <v>115888.59110000001</v>
      </c>
      <c r="N1946" s="372">
        <v>0.71399999999999997</v>
      </c>
      <c r="O1946" s="704">
        <v>367.58919410686599</v>
      </c>
      <c r="P1946" s="375" t="s">
        <v>622</v>
      </c>
      <c r="Q1946" s="375" t="s">
        <v>622</v>
      </c>
      <c r="R1946" s="696">
        <v>20171204</v>
      </c>
      <c r="S1946" s="375" t="s">
        <v>12636</v>
      </c>
      <c r="T1946" s="697">
        <v>0.20900000000000002</v>
      </c>
      <c r="U1946" s="372" t="s">
        <v>12637</v>
      </c>
      <c r="V1946" s="723">
        <v>4.21</v>
      </c>
      <c r="W1946" s="723">
        <v>0.47</v>
      </c>
      <c r="X1946" s="723">
        <v>0.1</v>
      </c>
      <c r="Y1946" s="723">
        <v>7.51</v>
      </c>
      <c r="Z1946" s="382" t="s">
        <v>927</v>
      </c>
      <c r="AA1946" s="372">
        <v>3030.9205348999999</v>
      </c>
      <c r="AB1946" s="372">
        <v>3635.6683991</v>
      </c>
      <c r="AC1946" s="372">
        <v>4023.9002165000002</v>
      </c>
      <c r="AD1946" s="372">
        <v>3990.0034009999999</v>
      </c>
      <c r="AE1946" s="372">
        <v>0</v>
      </c>
      <c r="AF1946" s="372">
        <v>0</v>
      </c>
      <c r="AG1946" s="372">
        <v>0</v>
      </c>
      <c r="AH1946" s="372">
        <v>0</v>
      </c>
    </row>
    <row r="1947" spans="1:34">
      <c r="A1947" s="372" t="s">
        <v>12638</v>
      </c>
      <c r="B1947" s="373" t="s">
        <v>12639</v>
      </c>
      <c r="C1947" s="372" t="s">
        <v>12640</v>
      </c>
      <c r="D1947" s="374">
        <v>1701110273433</v>
      </c>
      <c r="E1947" s="372" t="s">
        <v>12641</v>
      </c>
      <c r="F1947" s="372" t="s">
        <v>1764</v>
      </c>
      <c r="G1947" s="375" t="s">
        <v>1764</v>
      </c>
      <c r="H1947" s="375" t="s">
        <v>861</v>
      </c>
      <c r="I1947" s="375" t="s">
        <v>862</v>
      </c>
      <c r="J1947" s="375">
        <v>19959.054049999999</v>
      </c>
      <c r="K1947" s="375">
        <v>1127.46542</v>
      </c>
      <c r="L1947" s="375">
        <v>977.66600000000005</v>
      </c>
      <c r="M1947" s="375">
        <v>17415.360290000001</v>
      </c>
      <c r="N1947" s="372">
        <v>0.56599999999999995</v>
      </c>
      <c r="O1947" s="704">
        <v>1.7829996981380485</v>
      </c>
      <c r="P1947" s="375" t="s">
        <v>622</v>
      </c>
      <c r="Q1947" s="372" t="s">
        <v>622</v>
      </c>
      <c r="R1947" s="696">
        <v>20181214</v>
      </c>
      <c r="S1947" s="372" t="s">
        <v>12642</v>
      </c>
      <c r="T1947" s="697">
        <v>0.20900000000000002</v>
      </c>
      <c r="U1947" s="372" t="s">
        <v>12643</v>
      </c>
      <c r="V1947" s="723">
        <v>0</v>
      </c>
      <c r="W1947" s="723">
        <v>0</v>
      </c>
      <c r="X1947" s="723">
        <v>0</v>
      </c>
      <c r="Y1947" s="723">
        <v>0</v>
      </c>
      <c r="Z1947" s="382" t="s">
        <v>927</v>
      </c>
      <c r="AA1947" s="372">
        <v>38.665959200000003</v>
      </c>
      <c r="AB1947" s="372">
        <v>32.143638899999999</v>
      </c>
      <c r="AC1947" s="372">
        <v>77.941758899999996</v>
      </c>
      <c r="AD1947" s="372">
        <v>156.8055205</v>
      </c>
      <c r="AE1947" s="372">
        <v>0</v>
      </c>
      <c r="AF1947" s="372">
        <v>0</v>
      </c>
      <c r="AG1947" s="372">
        <v>0</v>
      </c>
      <c r="AH1947" s="372">
        <v>0</v>
      </c>
    </row>
    <row r="1948" spans="1:34">
      <c r="A1948" s="372" t="s">
        <v>12644</v>
      </c>
      <c r="B1948" s="373" t="s">
        <v>12645</v>
      </c>
      <c r="C1948" s="372" t="s">
        <v>16037</v>
      </c>
      <c r="D1948" s="374">
        <v>1101110327555</v>
      </c>
      <c r="E1948" s="372" t="s">
        <v>15946</v>
      </c>
      <c r="F1948" s="372" t="s">
        <v>4846</v>
      </c>
      <c r="G1948" s="375" t="s">
        <v>12646</v>
      </c>
      <c r="H1948" s="375" t="s">
        <v>4847</v>
      </c>
      <c r="I1948" s="375" t="s">
        <v>862</v>
      </c>
      <c r="J1948" s="375">
        <v>1222829.70099</v>
      </c>
      <c r="K1948" s="375">
        <v>-17923.52837</v>
      </c>
      <c r="L1948" s="375">
        <v>-55113.982069999998</v>
      </c>
      <c r="M1948" s="375">
        <v>301417.83980000002</v>
      </c>
      <c r="N1948" s="372">
        <v>0.73599999999999999</v>
      </c>
      <c r="O1948" s="704">
        <v>936.96538681578443</v>
      </c>
      <c r="P1948" s="375" t="s">
        <v>622</v>
      </c>
      <c r="Q1948" s="372" t="s">
        <v>622</v>
      </c>
      <c r="R1948" s="696">
        <v>19991224</v>
      </c>
      <c r="S1948" s="375" t="s">
        <v>12647</v>
      </c>
      <c r="T1948" s="697" t="s">
        <v>771</v>
      </c>
      <c r="U1948" s="372" t="s">
        <v>12648</v>
      </c>
      <c r="V1948" s="723" t="s">
        <v>773</v>
      </c>
      <c r="W1948" s="723">
        <v>0.2</v>
      </c>
      <c r="X1948" s="723">
        <v>0.05</v>
      </c>
      <c r="Y1948" s="723" t="s">
        <v>773</v>
      </c>
      <c r="Z1948" s="382">
        <v>-1.0171913638643226E-2</v>
      </c>
      <c r="AA1948" s="372">
        <v>11357.509872799999</v>
      </c>
      <c r="AB1948" s="372">
        <v>13079.216625499999</v>
      </c>
      <c r="AC1948" s="372">
        <v>15233.3346767</v>
      </c>
      <c r="AD1948" s="372">
        <v>18636.795920600001</v>
      </c>
      <c r="AE1948" s="372">
        <v>12320</v>
      </c>
      <c r="AF1948" s="372">
        <v>15210</v>
      </c>
      <c r="AG1948" s="372">
        <v>17890</v>
      </c>
      <c r="AH1948" s="372">
        <v>0</v>
      </c>
    </row>
    <row r="1949" spans="1:34">
      <c r="A1949" s="372" t="s">
        <v>12649</v>
      </c>
      <c r="B1949" s="373" t="s">
        <v>12650</v>
      </c>
      <c r="C1949" s="372" t="s">
        <v>12651</v>
      </c>
      <c r="D1949" s="374">
        <v>1801110068668</v>
      </c>
      <c r="E1949" s="372" t="s">
        <v>12652</v>
      </c>
      <c r="F1949" s="375" t="s">
        <v>1743</v>
      </c>
      <c r="G1949" s="375" t="s">
        <v>1743</v>
      </c>
      <c r="H1949" s="375" t="s">
        <v>3099</v>
      </c>
      <c r="I1949" s="375" t="s">
        <v>862</v>
      </c>
      <c r="J1949" s="375">
        <v>140113.54905</v>
      </c>
      <c r="K1949" s="375">
        <v>-1216.2640799999999</v>
      </c>
      <c r="L1949" s="375">
        <v>637.43866000000003</v>
      </c>
      <c r="M1949" s="375">
        <v>112352.57801</v>
      </c>
      <c r="N1949" s="372">
        <v>0.52700000000000002</v>
      </c>
      <c r="O1949" s="704">
        <v>25.788365821550318</v>
      </c>
      <c r="P1949" s="375" t="s">
        <v>622</v>
      </c>
      <c r="Q1949" s="372" t="s">
        <v>622</v>
      </c>
      <c r="R1949" s="696">
        <v>19931230</v>
      </c>
      <c r="S1949" s="372" t="s">
        <v>12653</v>
      </c>
      <c r="T1949" s="697">
        <v>0.20900000000000002</v>
      </c>
      <c r="U1949" s="372" t="s">
        <v>15947</v>
      </c>
      <c r="V1949" s="723">
        <v>81.150000000000006</v>
      </c>
      <c r="W1949" s="723">
        <v>0.64</v>
      </c>
      <c r="X1949" s="723">
        <v>0.51</v>
      </c>
      <c r="Y1949" s="723">
        <v>139.4</v>
      </c>
      <c r="Z1949" s="382" t="s">
        <v>927</v>
      </c>
      <c r="AA1949" s="372">
        <v>1397.7198934999999</v>
      </c>
      <c r="AB1949" s="372">
        <v>1503.9072117999999</v>
      </c>
      <c r="AC1949" s="372">
        <v>1709.7264992999999</v>
      </c>
      <c r="AD1949" s="372">
        <v>1599.4640070999999</v>
      </c>
      <c r="AE1949" s="372">
        <v>0</v>
      </c>
      <c r="AF1949" s="372">
        <v>0</v>
      </c>
      <c r="AG1949" s="372">
        <v>0</v>
      </c>
      <c r="AH1949" s="372">
        <v>0</v>
      </c>
    </row>
    <row r="1950" spans="1:34">
      <c r="A1950" s="372" t="s">
        <v>12654</v>
      </c>
      <c r="B1950" s="373" t="s">
        <v>12655</v>
      </c>
      <c r="C1950" s="372" t="s">
        <v>12656</v>
      </c>
      <c r="D1950" s="374">
        <v>1101113572636</v>
      </c>
      <c r="E1950" s="372" t="s">
        <v>12657</v>
      </c>
      <c r="F1950" s="375" t="s">
        <v>3672</v>
      </c>
      <c r="G1950" s="375" t="s">
        <v>3672</v>
      </c>
      <c r="H1950" s="375" t="s">
        <v>1337</v>
      </c>
      <c r="I1950" s="375" t="s">
        <v>862</v>
      </c>
      <c r="J1950" s="375">
        <v>2283.4231500000001</v>
      </c>
      <c r="K1950" s="375">
        <v>-10921.526159999999</v>
      </c>
      <c r="L1950" s="375">
        <v>-10059.056850000001</v>
      </c>
      <c r="M1950" s="375">
        <v>54737.118970000003</v>
      </c>
      <c r="N1950" s="372">
        <v>1.07</v>
      </c>
      <c r="O1950" s="704">
        <v>11.189594990957088</v>
      </c>
      <c r="P1950" s="375" t="s">
        <v>622</v>
      </c>
      <c r="Q1950" s="372" t="s">
        <v>622</v>
      </c>
      <c r="R1950" s="696">
        <v>20190220</v>
      </c>
      <c r="S1950" s="372" t="s">
        <v>12658</v>
      </c>
      <c r="T1950" s="697" t="s">
        <v>771</v>
      </c>
      <c r="U1950" s="372" t="s">
        <v>12659</v>
      </c>
      <c r="V1950" s="723">
        <v>0</v>
      </c>
      <c r="W1950" s="723">
        <v>0</v>
      </c>
      <c r="X1950" s="723">
        <v>0</v>
      </c>
      <c r="Y1950" s="723">
        <v>0</v>
      </c>
      <c r="Z1950" s="382" t="s">
        <v>773</v>
      </c>
      <c r="AA1950" s="372">
        <v>0</v>
      </c>
      <c r="AB1950" s="372">
        <v>9.0909090999999993</v>
      </c>
      <c r="AC1950" s="372">
        <v>4.8</v>
      </c>
      <c r="AD1950" s="372">
        <v>0</v>
      </c>
      <c r="AE1950" s="372">
        <v>0</v>
      </c>
      <c r="AF1950" s="372">
        <v>0</v>
      </c>
      <c r="AG1950" s="372">
        <v>0</v>
      </c>
      <c r="AH1950" s="372">
        <v>0</v>
      </c>
    </row>
    <row r="1951" spans="1:34">
      <c r="A1951" s="372" t="s">
        <v>12660</v>
      </c>
      <c r="B1951" s="373" t="s">
        <v>12661</v>
      </c>
      <c r="C1951" s="372" t="s">
        <v>12662</v>
      </c>
      <c r="D1951" s="374">
        <v>1311110053874</v>
      </c>
      <c r="E1951" s="372" t="s">
        <v>12663</v>
      </c>
      <c r="F1951" s="372" t="s">
        <v>7453</v>
      </c>
      <c r="G1951" s="375" t="s">
        <v>7453</v>
      </c>
      <c r="H1951" s="375" t="s">
        <v>1337</v>
      </c>
      <c r="I1951" s="375" t="s">
        <v>862</v>
      </c>
      <c r="J1951" s="375">
        <v>101647.11926000001</v>
      </c>
      <c r="K1951" s="375">
        <v>-15326.31422</v>
      </c>
      <c r="L1951" s="375">
        <v>-25504.295689999999</v>
      </c>
      <c r="M1951" s="375">
        <v>101747.5658</v>
      </c>
      <c r="N1951" s="372">
        <v>0.67800000000000005</v>
      </c>
      <c r="O1951" s="704">
        <v>203.5932063196114</v>
      </c>
      <c r="P1951" s="375" t="s">
        <v>622</v>
      </c>
      <c r="Q1951" s="372" t="s">
        <v>622</v>
      </c>
      <c r="R1951" s="696">
        <v>20141217</v>
      </c>
      <c r="S1951" s="372" t="s">
        <v>12664</v>
      </c>
      <c r="T1951" s="697" t="s">
        <v>771</v>
      </c>
      <c r="U1951" s="372" t="s">
        <v>12665</v>
      </c>
      <c r="V1951" s="723">
        <v>115.69</v>
      </c>
      <c r="W1951" s="723">
        <v>0.41</v>
      </c>
      <c r="X1951" s="723">
        <v>0.35</v>
      </c>
      <c r="Y1951" s="723" t="s">
        <v>773</v>
      </c>
      <c r="Z1951" s="382" t="s">
        <v>927</v>
      </c>
      <c r="AA1951" s="372">
        <v>844.37232349999999</v>
      </c>
      <c r="AB1951" s="372">
        <v>977.90760160000002</v>
      </c>
      <c r="AC1951" s="372">
        <v>1105.350117</v>
      </c>
      <c r="AD1951" s="372">
        <v>967.37112179999997</v>
      </c>
      <c r="AE1951" s="372">
        <v>0</v>
      </c>
      <c r="AF1951" s="372">
        <v>0</v>
      </c>
      <c r="AG1951" s="372">
        <v>0</v>
      </c>
      <c r="AH1951" s="372">
        <v>0</v>
      </c>
    </row>
    <row r="1952" spans="1:34">
      <c r="A1952" s="372" t="s">
        <v>12666</v>
      </c>
      <c r="B1952" s="373" t="s">
        <v>12667</v>
      </c>
      <c r="C1952" s="372" t="s">
        <v>12668</v>
      </c>
      <c r="D1952" s="374">
        <v>1601110265995</v>
      </c>
      <c r="E1952" s="372" t="s">
        <v>12669</v>
      </c>
      <c r="F1952" s="372" t="s">
        <v>2124</v>
      </c>
      <c r="G1952" s="375" t="s">
        <v>4231</v>
      </c>
      <c r="H1952" s="375" t="s">
        <v>861</v>
      </c>
      <c r="I1952" s="375" t="s">
        <v>862</v>
      </c>
      <c r="J1952" s="375">
        <v>18215.460319999998</v>
      </c>
      <c r="K1952" s="375">
        <v>-7103.7819900000004</v>
      </c>
      <c r="L1952" s="375">
        <v>-8709.2500700000001</v>
      </c>
      <c r="M1952" s="375">
        <v>27292.785070000002</v>
      </c>
      <c r="N1952" s="372">
        <v>0.6</v>
      </c>
      <c r="O1952" s="704">
        <v>43.269444393908515</v>
      </c>
      <c r="P1952" s="375" t="s">
        <v>622</v>
      </c>
      <c r="Q1952" s="372" t="s">
        <v>622</v>
      </c>
      <c r="R1952" s="696">
        <v>20201222</v>
      </c>
      <c r="S1952" s="372" t="s">
        <v>8952</v>
      </c>
      <c r="T1952" s="697" t="s">
        <v>771</v>
      </c>
      <c r="U1952" s="372" t="s">
        <v>12670</v>
      </c>
      <c r="V1952" s="723" t="s">
        <v>773</v>
      </c>
      <c r="W1952" s="723">
        <v>1.47</v>
      </c>
      <c r="X1952" s="723">
        <v>2.2000000000000002</v>
      </c>
      <c r="Y1952" s="723" t="s">
        <v>773</v>
      </c>
      <c r="Z1952" s="382" t="s">
        <v>927</v>
      </c>
      <c r="AA1952" s="372">
        <v>86.849473000000003</v>
      </c>
      <c r="AB1952" s="372">
        <v>158.8716781</v>
      </c>
      <c r="AC1952" s="372">
        <v>204.58017810000001</v>
      </c>
      <c r="AD1952" s="372">
        <v>203.9116832</v>
      </c>
      <c r="AE1952" s="372">
        <v>0</v>
      </c>
      <c r="AF1952" s="372">
        <v>0</v>
      </c>
      <c r="AG1952" s="372">
        <v>0</v>
      </c>
      <c r="AH1952" s="372">
        <v>0</v>
      </c>
    </row>
    <row r="1953" spans="1:34">
      <c r="A1953" s="372" t="s">
        <v>12671</v>
      </c>
      <c r="B1953" s="373" t="s">
        <v>12672</v>
      </c>
      <c r="C1953" s="372" t="s">
        <v>12673</v>
      </c>
      <c r="D1953" s="374">
        <v>1101115794494</v>
      </c>
      <c r="E1953" s="372" t="s">
        <v>12674</v>
      </c>
      <c r="F1953" s="372" t="s">
        <v>1879</v>
      </c>
      <c r="G1953" s="375" t="s">
        <v>1879</v>
      </c>
      <c r="H1953" s="375" t="s">
        <v>4847</v>
      </c>
      <c r="I1953" s="375" t="s">
        <v>862</v>
      </c>
      <c r="J1953" s="375">
        <v>30198.403200000001</v>
      </c>
      <c r="K1953" s="375">
        <v>-3009.2503400000001</v>
      </c>
      <c r="L1953" s="375">
        <v>-4257.5259699999997</v>
      </c>
      <c r="M1953" s="375">
        <v>139342.71290000001</v>
      </c>
      <c r="N1953" s="372">
        <v>0.2</v>
      </c>
      <c r="O1953" s="704">
        <v>0.49202290465787746</v>
      </c>
      <c r="P1953" s="375" t="s">
        <v>16115</v>
      </c>
      <c r="Q1953" s="372" t="s">
        <v>16116</v>
      </c>
      <c r="R1953" s="696">
        <v>20151022</v>
      </c>
      <c r="S1953" s="372" t="s">
        <v>9018</v>
      </c>
      <c r="T1953" s="697" t="s">
        <v>771</v>
      </c>
      <c r="U1953" s="372" t="s">
        <v>15948</v>
      </c>
      <c r="V1953" s="723" t="s">
        <v>773</v>
      </c>
      <c r="W1953" s="723">
        <v>0.42</v>
      </c>
      <c r="X1953" s="723">
        <v>2.0099999999999998</v>
      </c>
      <c r="Y1953" s="723">
        <v>34.19</v>
      </c>
      <c r="Z1953" s="382" t="s">
        <v>927</v>
      </c>
      <c r="AA1953" s="372">
        <v>497.74499600000001</v>
      </c>
      <c r="AB1953" s="372">
        <v>491.41456390000002</v>
      </c>
      <c r="AC1953" s="372">
        <v>560.82241850000003</v>
      </c>
      <c r="AD1953" s="372">
        <v>373.88366839999998</v>
      </c>
      <c r="AE1953" s="372">
        <v>0</v>
      </c>
      <c r="AF1953" s="372">
        <v>0</v>
      </c>
      <c r="AG1953" s="372">
        <v>0</v>
      </c>
      <c r="AH1953" s="372">
        <v>0</v>
      </c>
    </row>
    <row r="1954" spans="1:34">
      <c r="A1954" s="372" t="s">
        <v>12675</v>
      </c>
      <c r="B1954" s="373" t="s">
        <v>12676</v>
      </c>
      <c r="C1954" s="372" t="s">
        <v>12677</v>
      </c>
      <c r="D1954" s="374">
        <v>1753110000126</v>
      </c>
      <c r="E1954" s="372" t="s">
        <v>12678</v>
      </c>
      <c r="F1954" s="372" t="s">
        <v>1836</v>
      </c>
      <c r="G1954" s="375" t="s">
        <v>1836</v>
      </c>
      <c r="H1954" s="375" t="s">
        <v>3099</v>
      </c>
      <c r="I1954" s="375" t="s">
        <v>862</v>
      </c>
      <c r="J1954" s="375">
        <v>98533.922149999999</v>
      </c>
      <c r="K1954" s="375">
        <v>-8166.0639899999996</v>
      </c>
      <c r="L1954" s="375">
        <v>-18374.752970000001</v>
      </c>
      <c r="M1954" s="375">
        <v>35177.141369999998</v>
      </c>
      <c r="N1954" s="372">
        <v>1.1000000000000001</v>
      </c>
      <c r="O1954" s="704">
        <v>25.408465310156625</v>
      </c>
      <c r="P1954" s="375" t="s">
        <v>622</v>
      </c>
      <c r="Q1954" s="375" t="s">
        <v>622</v>
      </c>
      <c r="R1954" s="696">
        <v>19970626</v>
      </c>
      <c r="S1954" s="375" t="s">
        <v>12679</v>
      </c>
      <c r="T1954" s="697" t="s">
        <v>771</v>
      </c>
      <c r="U1954" s="372" t="s">
        <v>12680</v>
      </c>
      <c r="V1954" s="723" t="s">
        <v>773</v>
      </c>
      <c r="W1954" s="723">
        <v>1.79</v>
      </c>
      <c r="X1954" s="723">
        <v>0.6</v>
      </c>
      <c r="Y1954" s="723" t="s">
        <v>773</v>
      </c>
      <c r="Z1954" s="382" t="s">
        <v>927</v>
      </c>
      <c r="AA1954" s="372">
        <v>511.1335196</v>
      </c>
      <c r="AB1954" s="372">
        <v>714.5008851</v>
      </c>
      <c r="AC1954" s="372">
        <v>1097.9117670000001</v>
      </c>
      <c r="AD1954" s="372">
        <v>905.34369609999999</v>
      </c>
      <c r="AE1954" s="372">
        <v>0</v>
      </c>
      <c r="AF1954" s="372">
        <v>0</v>
      </c>
      <c r="AG1954" s="372">
        <v>0</v>
      </c>
      <c r="AH1954" s="372">
        <v>0</v>
      </c>
    </row>
    <row r="1955" spans="1:34">
      <c r="A1955" s="372" t="s">
        <v>12681</v>
      </c>
      <c r="B1955" s="373" t="s">
        <v>12682</v>
      </c>
      <c r="C1955" s="372" t="s">
        <v>12683</v>
      </c>
      <c r="D1955" s="374">
        <v>1101116860442</v>
      </c>
      <c r="E1955" s="372" t="s">
        <v>12684</v>
      </c>
      <c r="F1955" s="375" t="s">
        <v>1055</v>
      </c>
      <c r="G1955" s="375" t="s">
        <v>16104</v>
      </c>
      <c r="H1955" s="375" t="s">
        <v>861</v>
      </c>
      <c r="I1955" s="375" t="s">
        <v>862</v>
      </c>
      <c r="J1955" s="375">
        <v>29357.931400000001</v>
      </c>
      <c r="K1955" s="375">
        <v>6631.51044</v>
      </c>
      <c r="L1955" s="375">
        <v>6756.7715500000004</v>
      </c>
      <c r="M1955" s="375">
        <v>35911.861579999997</v>
      </c>
      <c r="N1955" s="372">
        <v>0.80900000000000005</v>
      </c>
      <c r="O1955" s="704">
        <v>13.882877421254175</v>
      </c>
      <c r="P1955" s="375" t="s">
        <v>622</v>
      </c>
      <c r="Q1955" s="372" t="s">
        <v>622</v>
      </c>
      <c r="R1955" s="696">
        <v>20181205</v>
      </c>
      <c r="S1955" s="372" t="s">
        <v>12685</v>
      </c>
      <c r="T1955" s="697">
        <v>0.20900000000000002</v>
      </c>
      <c r="U1955" s="372" t="s">
        <v>12686</v>
      </c>
      <c r="V1955" s="723">
        <v>6.21</v>
      </c>
      <c r="W1955" s="723">
        <v>1.32</v>
      </c>
      <c r="X1955" s="723">
        <v>1.74</v>
      </c>
      <c r="Y1955" s="723">
        <v>9.32</v>
      </c>
      <c r="Z1955" s="382" t="s">
        <v>927</v>
      </c>
      <c r="AA1955" s="372">
        <v>120.1765477</v>
      </c>
      <c r="AB1955" s="372">
        <v>177.20824350000001</v>
      </c>
      <c r="AC1955" s="372">
        <v>267.47721810000002</v>
      </c>
      <c r="AD1955" s="372">
        <v>296.14740089999998</v>
      </c>
      <c r="AE1955" s="372">
        <v>419</v>
      </c>
      <c r="AF1955" s="372">
        <v>530</v>
      </c>
      <c r="AG1955" s="372">
        <v>0</v>
      </c>
      <c r="AH1955" s="372">
        <v>0</v>
      </c>
    </row>
    <row r="1956" spans="1:34">
      <c r="A1956" s="372" t="s">
        <v>12687</v>
      </c>
      <c r="B1956" s="373" t="s">
        <v>12688</v>
      </c>
      <c r="C1956" s="372" t="s">
        <v>12689</v>
      </c>
      <c r="D1956" s="374">
        <v>1601110243678</v>
      </c>
      <c r="E1956" s="372" t="s">
        <v>12690</v>
      </c>
      <c r="F1956" s="372" t="s">
        <v>1357</v>
      </c>
      <c r="G1956" s="375" t="s">
        <v>1357</v>
      </c>
      <c r="H1956" s="375" t="s">
        <v>861</v>
      </c>
      <c r="I1956" s="375" t="s">
        <v>862</v>
      </c>
      <c r="J1956" s="375">
        <v>61327.00475</v>
      </c>
      <c r="K1956" s="375">
        <v>5650.1108899999999</v>
      </c>
      <c r="L1956" s="375">
        <v>7092.9697100000003</v>
      </c>
      <c r="M1956" s="375">
        <v>76536.077709999998</v>
      </c>
      <c r="N1956" s="372">
        <v>0.76900000000000002</v>
      </c>
      <c r="O1956" s="704">
        <v>11.71193831806154</v>
      </c>
      <c r="P1956" s="375" t="s">
        <v>622</v>
      </c>
      <c r="Q1956" s="372" t="s">
        <v>622</v>
      </c>
      <c r="R1956" s="696">
        <v>20200921</v>
      </c>
      <c r="S1956" s="372" t="s">
        <v>12692</v>
      </c>
      <c r="T1956" s="697">
        <v>0.20900000000000002</v>
      </c>
      <c r="U1956" s="372" t="s">
        <v>12693</v>
      </c>
      <c r="V1956" s="723">
        <v>5.51</v>
      </c>
      <c r="W1956" s="723">
        <v>0.65</v>
      </c>
      <c r="X1956" s="723">
        <v>0.82</v>
      </c>
      <c r="Y1956" s="723">
        <v>7.63</v>
      </c>
      <c r="Z1956" s="382" t="s">
        <v>927</v>
      </c>
      <c r="AA1956" s="372">
        <v>375.55717559999999</v>
      </c>
      <c r="AB1956" s="372">
        <v>367.9140362</v>
      </c>
      <c r="AC1956" s="372">
        <v>452.66822989999997</v>
      </c>
      <c r="AD1956" s="372">
        <v>536.015941</v>
      </c>
      <c r="AE1956" s="372">
        <v>0</v>
      </c>
      <c r="AF1956" s="372">
        <v>0</v>
      </c>
      <c r="AG1956" s="372">
        <v>0</v>
      </c>
      <c r="AH1956" s="372">
        <v>0</v>
      </c>
    </row>
    <row r="1957" spans="1:34">
      <c r="A1957" s="372" t="s">
        <v>12694</v>
      </c>
      <c r="B1957" s="373" t="s">
        <v>12695</v>
      </c>
      <c r="C1957" s="372" t="s">
        <v>12696</v>
      </c>
      <c r="D1957" s="374">
        <v>1201110007204</v>
      </c>
      <c r="E1957" s="372" t="s">
        <v>12697</v>
      </c>
      <c r="F1957" s="372" t="s">
        <v>5619</v>
      </c>
      <c r="G1957" s="375" t="s">
        <v>5619</v>
      </c>
      <c r="H1957" s="375" t="s">
        <v>861</v>
      </c>
      <c r="I1957" s="375" t="s">
        <v>862</v>
      </c>
      <c r="J1957" s="375">
        <v>142158.04926</v>
      </c>
      <c r="K1957" s="375">
        <v>2426.8745199999998</v>
      </c>
      <c r="L1957" s="375">
        <v>3014.8981699999999</v>
      </c>
      <c r="M1957" s="375">
        <v>147802.27314</v>
      </c>
      <c r="N1957" s="372">
        <v>0.86199999999999999</v>
      </c>
      <c r="O1957" s="704">
        <v>6.0785487540181515</v>
      </c>
      <c r="P1957" s="375" t="s">
        <v>622</v>
      </c>
      <c r="Q1957" s="375" t="s">
        <v>622</v>
      </c>
      <c r="R1957" s="696">
        <v>20010116</v>
      </c>
      <c r="S1957" s="375" t="s">
        <v>12698</v>
      </c>
      <c r="T1957" s="697">
        <v>0.20900000000000002</v>
      </c>
      <c r="U1957" s="372" t="s">
        <v>12699</v>
      </c>
      <c r="V1957" s="723">
        <v>0</v>
      </c>
      <c r="W1957" s="723">
        <v>0</v>
      </c>
      <c r="X1957" s="723">
        <v>0</v>
      </c>
      <c r="Y1957" s="723">
        <v>0</v>
      </c>
      <c r="Z1957" s="382" t="s">
        <v>927</v>
      </c>
      <c r="AA1957" s="372">
        <v>1327.9871596999999</v>
      </c>
      <c r="AB1957" s="372">
        <v>1472.7473653</v>
      </c>
      <c r="AC1957" s="372">
        <v>1589.3939508999999</v>
      </c>
      <c r="AD1957" s="372">
        <v>1419.4841653000001</v>
      </c>
      <c r="AE1957" s="372">
        <v>0</v>
      </c>
      <c r="AF1957" s="372">
        <v>0</v>
      </c>
      <c r="AG1957" s="372">
        <v>0</v>
      </c>
      <c r="AH1957" s="372">
        <v>0</v>
      </c>
    </row>
    <row r="1958" spans="1:34">
      <c r="A1958" s="372" t="s">
        <v>12700</v>
      </c>
      <c r="B1958" s="373" t="s">
        <v>12701</v>
      </c>
      <c r="C1958" s="372" t="s">
        <v>12702</v>
      </c>
      <c r="D1958" s="374">
        <v>1211110142596</v>
      </c>
      <c r="E1958" s="372" t="s">
        <v>12703</v>
      </c>
      <c r="F1958" s="372" t="s">
        <v>975</v>
      </c>
      <c r="G1958" s="375" t="s">
        <v>976</v>
      </c>
      <c r="H1958" s="375" t="s">
        <v>1337</v>
      </c>
      <c r="I1958" s="375" t="s">
        <v>862</v>
      </c>
      <c r="J1958" s="375">
        <v>22032.50071</v>
      </c>
      <c r="K1958" s="375">
        <v>-7750.7384700000002</v>
      </c>
      <c r="L1958" s="375">
        <v>-35575.312180000001</v>
      </c>
      <c r="M1958" s="375">
        <v>33257.182150000001</v>
      </c>
      <c r="N1958" s="372">
        <v>0.40300000000000002</v>
      </c>
      <c r="O1958" s="704">
        <v>43.709521329805909</v>
      </c>
      <c r="P1958" s="375" t="s">
        <v>16115</v>
      </c>
      <c r="Q1958" s="375" t="s">
        <v>16116</v>
      </c>
      <c r="R1958" s="696">
        <v>20110729</v>
      </c>
      <c r="S1958" s="375" t="s">
        <v>12704</v>
      </c>
      <c r="T1958" s="697" t="s">
        <v>771</v>
      </c>
      <c r="U1958" s="372" t="s">
        <v>12705</v>
      </c>
      <c r="V1958" s="723" t="s">
        <v>773</v>
      </c>
      <c r="W1958" s="723">
        <v>0.73</v>
      </c>
      <c r="X1958" s="723">
        <v>1.1000000000000001</v>
      </c>
      <c r="Y1958" s="723" t="s">
        <v>773</v>
      </c>
      <c r="Z1958" s="382" t="s">
        <v>927</v>
      </c>
      <c r="AA1958" s="372">
        <v>369.83857210000002</v>
      </c>
      <c r="AB1958" s="372">
        <v>277.98623850000001</v>
      </c>
      <c r="AC1958" s="372">
        <v>283.55416050000002</v>
      </c>
      <c r="AD1958" s="372">
        <v>287.89792180000001</v>
      </c>
      <c r="AE1958" s="372">
        <v>0</v>
      </c>
      <c r="AF1958" s="372">
        <v>0</v>
      </c>
      <c r="AG1958" s="372">
        <v>0</v>
      </c>
      <c r="AH1958" s="372">
        <v>0</v>
      </c>
    </row>
    <row r="1959" spans="1:34">
      <c r="A1959" s="372" t="s">
        <v>12706</v>
      </c>
      <c r="B1959" s="373" t="s">
        <v>12707</v>
      </c>
      <c r="C1959" s="372" t="s">
        <v>12708</v>
      </c>
      <c r="D1959" s="374">
        <v>1701110022781</v>
      </c>
      <c r="E1959" s="372" t="s">
        <v>12709</v>
      </c>
      <c r="F1959" s="372" t="s">
        <v>5687</v>
      </c>
      <c r="G1959" s="375" t="s">
        <v>5687</v>
      </c>
      <c r="H1959" s="375" t="s">
        <v>753</v>
      </c>
      <c r="I1959" s="375" t="s">
        <v>754</v>
      </c>
      <c r="J1959" s="375">
        <v>643144.02627000003</v>
      </c>
      <c r="K1959" s="375">
        <v>44838.919459999997</v>
      </c>
      <c r="L1959" s="375">
        <v>35343.145920000003</v>
      </c>
      <c r="M1959" s="375">
        <v>147347.20908999999</v>
      </c>
      <c r="N1959" s="372">
        <v>0.63500000000000001</v>
      </c>
      <c r="O1959" s="704">
        <v>206.68381730533682</v>
      </c>
      <c r="P1959" s="375" t="s">
        <v>622</v>
      </c>
      <c r="Q1959" s="372" t="s">
        <v>622</v>
      </c>
      <c r="R1959" s="696">
        <v>19960731</v>
      </c>
      <c r="S1959" s="372" t="s">
        <v>12710</v>
      </c>
      <c r="T1959" s="697">
        <v>0.23100000000000001</v>
      </c>
      <c r="U1959" s="372" t="s">
        <v>12711</v>
      </c>
      <c r="V1959" s="723">
        <v>2.1</v>
      </c>
      <c r="W1959" s="723">
        <v>0.44</v>
      </c>
      <c r="X1959" s="723">
        <v>0.09</v>
      </c>
      <c r="Y1959" s="723">
        <v>2.15</v>
      </c>
      <c r="Z1959" s="382" t="s">
        <v>927</v>
      </c>
      <c r="AA1959" s="372">
        <v>3463.9944753</v>
      </c>
      <c r="AB1959" s="372">
        <v>4027.3309915999998</v>
      </c>
      <c r="AC1959" s="372">
        <v>4696.6679077999997</v>
      </c>
      <c r="AD1959" s="372">
        <v>5862.9830599999996</v>
      </c>
      <c r="AE1959" s="372">
        <v>0</v>
      </c>
      <c r="AF1959" s="372">
        <v>0</v>
      </c>
      <c r="AG1959" s="372">
        <v>0</v>
      </c>
      <c r="AH1959" s="372">
        <v>0</v>
      </c>
    </row>
    <row r="1960" spans="1:34">
      <c r="A1960" s="372" t="s">
        <v>12712</v>
      </c>
      <c r="B1960" s="373" t="s">
        <v>12713</v>
      </c>
      <c r="C1960" s="372" t="s">
        <v>12714</v>
      </c>
      <c r="D1960" s="374">
        <v>1345110132792</v>
      </c>
      <c r="E1960" s="372" t="s">
        <v>12715</v>
      </c>
      <c r="F1960" s="375" t="s">
        <v>2075</v>
      </c>
      <c r="G1960" s="375" t="s">
        <v>2075</v>
      </c>
      <c r="H1960" s="375" t="s">
        <v>861</v>
      </c>
      <c r="I1960" s="375" t="s">
        <v>862</v>
      </c>
      <c r="J1960" s="375">
        <v>39552.47176</v>
      </c>
      <c r="K1960" s="375">
        <v>-4354.1378199999999</v>
      </c>
      <c r="L1960" s="375">
        <v>-3678.66849</v>
      </c>
      <c r="M1960" s="375">
        <v>53235.934789999999</v>
      </c>
      <c r="N1960" s="372">
        <v>0.93899999999999995</v>
      </c>
      <c r="O1960" s="704">
        <v>17.976552520641516</v>
      </c>
      <c r="P1960" s="375" t="s">
        <v>622</v>
      </c>
      <c r="Q1960" s="372" t="s">
        <v>622</v>
      </c>
      <c r="R1960" s="696">
        <v>20220204</v>
      </c>
      <c r="S1960" s="372" t="s">
        <v>12545</v>
      </c>
      <c r="T1960" s="697" t="s">
        <v>771</v>
      </c>
      <c r="U1960" s="372" t="s">
        <v>12716</v>
      </c>
      <c r="V1960" s="723" t="s">
        <v>773</v>
      </c>
      <c r="W1960" s="723">
        <v>0.95</v>
      </c>
      <c r="X1960" s="723">
        <v>1.32</v>
      </c>
      <c r="Y1960" s="723" t="s">
        <v>773</v>
      </c>
      <c r="Z1960" s="382" t="s">
        <v>927</v>
      </c>
      <c r="AA1960" s="372">
        <v>153.4858108</v>
      </c>
      <c r="AB1960" s="372">
        <v>177.4780744</v>
      </c>
      <c r="AC1960" s="372">
        <v>216.0902878</v>
      </c>
      <c r="AD1960" s="372">
        <v>351.98119910000003</v>
      </c>
      <c r="AE1960" s="372">
        <v>0</v>
      </c>
      <c r="AF1960" s="372">
        <v>0</v>
      </c>
      <c r="AG1960" s="372">
        <v>0</v>
      </c>
      <c r="AH1960" s="372">
        <v>0</v>
      </c>
    </row>
    <row r="1961" spans="1:34">
      <c r="A1961" s="372" t="s">
        <v>12717</v>
      </c>
      <c r="B1961" s="373" t="s">
        <v>12718</v>
      </c>
      <c r="C1961" s="372" t="s">
        <v>12719</v>
      </c>
      <c r="D1961" s="374">
        <v>1101110036148</v>
      </c>
      <c r="E1961" s="372" t="s">
        <v>12720</v>
      </c>
      <c r="F1961" s="372" t="s">
        <v>5301</v>
      </c>
      <c r="G1961" s="375" t="s">
        <v>5301</v>
      </c>
      <c r="H1961" s="375" t="s">
        <v>861</v>
      </c>
      <c r="I1961" s="375" t="s">
        <v>862</v>
      </c>
      <c r="J1961" s="375">
        <v>106528.85068</v>
      </c>
      <c r="K1961" s="375">
        <v>10116.35786</v>
      </c>
      <c r="L1961" s="375">
        <v>11759.715</v>
      </c>
      <c r="M1961" s="375">
        <v>80972.797829999996</v>
      </c>
      <c r="N1961" s="372">
        <v>0.873</v>
      </c>
      <c r="O1961" s="704">
        <v>19.045841380863301</v>
      </c>
      <c r="P1961" s="375" t="s">
        <v>622</v>
      </c>
      <c r="Q1961" s="375" t="s">
        <v>622</v>
      </c>
      <c r="R1961" s="696">
        <v>19920725</v>
      </c>
      <c r="S1961" s="375" t="s">
        <v>6767</v>
      </c>
      <c r="T1961" s="697">
        <v>0.20900000000000002</v>
      </c>
      <c r="U1961" s="372" t="s">
        <v>12721</v>
      </c>
      <c r="V1961" s="723">
        <v>4.03</v>
      </c>
      <c r="W1961" s="723">
        <v>0.63</v>
      </c>
      <c r="X1961" s="723">
        <v>0.48</v>
      </c>
      <c r="Y1961" s="723">
        <v>4.1399999999999997</v>
      </c>
      <c r="Z1961" s="382" t="s">
        <v>927</v>
      </c>
      <c r="AA1961" s="372">
        <v>851.68570560000001</v>
      </c>
      <c r="AB1961" s="372">
        <v>843.74637749999999</v>
      </c>
      <c r="AC1961" s="372">
        <v>992.35803610000005</v>
      </c>
      <c r="AD1961" s="372">
        <v>1050.1455738</v>
      </c>
      <c r="AE1961" s="372">
        <v>0</v>
      </c>
      <c r="AF1961" s="372">
        <v>0</v>
      </c>
      <c r="AG1961" s="372">
        <v>0</v>
      </c>
      <c r="AH1961" s="372">
        <v>0</v>
      </c>
    </row>
    <row r="1962" spans="1:34">
      <c r="A1962" s="372" t="s">
        <v>12722</v>
      </c>
      <c r="B1962" s="373" t="s">
        <v>12723</v>
      </c>
      <c r="C1962" s="372" t="s">
        <v>12724</v>
      </c>
      <c r="D1962" s="374">
        <v>1101110307870</v>
      </c>
      <c r="E1962" s="372" t="s">
        <v>12725</v>
      </c>
      <c r="F1962" s="372" t="s">
        <v>975</v>
      </c>
      <c r="G1962" s="375" t="s">
        <v>976</v>
      </c>
      <c r="H1962" s="375" t="s">
        <v>1337</v>
      </c>
      <c r="I1962" s="375" t="s">
        <v>862</v>
      </c>
      <c r="J1962" s="375">
        <v>361481.60895000002</v>
      </c>
      <c r="K1962" s="375">
        <v>5301.8245200000001</v>
      </c>
      <c r="L1962" s="375">
        <v>3944.7591600000001</v>
      </c>
      <c r="M1962" s="375">
        <v>66753.296539999996</v>
      </c>
      <c r="N1962" s="372">
        <v>0.501</v>
      </c>
      <c r="O1962" s="704">
        <v>59.045157166020211</v>
      </c>
      <c r="P1962" s="375" t="s">
        <v>622</v>
      </c>
      <c r="Q1962" s="375" t="s">
        <v>622</v>
      </c>
      <c r="R1962" s="696">
        <v>20000411</v>
      </c>
      <c r="S1962" s="375" t="s">
        <v>12726</v>
      </c>
      <c r="T1962" s="697">
        <v>0.20900000000000002</v>
      </c>
      <c r="U1962" s="372" t="s">
        <v>12727</v>
      </c>
      <c r="V1962" s="723">
        <v>4.1399999999999997</v>
      </c>
      <c r="W1962" s="723">
        <v>0.6</v>
      </c>
      <c r="X1962" s="723">
        <v>0.11</v>
      </c>
      <c r="Y1962" s="723">
        <v>19.39</v>
      </c>
      <c r="Z1962" s="382" t="s">
        <v>927</v>
      </c>
      <c r="AA1962" s="372">
        <v>1199.5754030000001</v>
      </c>
      <c r="AB1962" s="372">
        <v>2425.8936758999998</v>
      </c>
      <c r="AC1962" s="372">
        <v>3252.1448058999999</v>
      </c>
      <c r="AD1962" s="372">
        <v>3924.5183422999999</v>
      </c>
      <c r="AE1962" s="372">
        <v>5131</v>
      </c>
      <c r="AF1962" s="372">
        <v>0</v>
      </c>
      <c r="AG1962" s="372">
        <v>0</v>
      </c>
      <c r="AH1962" s="372">
        <v>0</v>
      </c>
    </row>
    <row r="1963" spans="1:34">
      <c r="A1963" s="372" t="s">
        <v>12728</v>
      </c>
      <c r="B1963" s="373" t="s">
        <v>12729</v>
      </c>
      <c r="C1963" s="372" t="s">
        <v>12730</v>
      </c>
      <c r="D1963" s="374">
        <v>1101110042393</v>
      </c>
      <c r="E1963" s="372" t="s">
        <v>12730</v>
      </c>
      <c r="F1963" s="372" t="s">
        <v>5600</v>
      </c>
      <c r="G1963" s="375" t="s">
        <v>5600</v>
      </c>
      <c r="H1963" s="375" t="s">
        <v>817</v>
      </c>
      <c r="I1963" s="375" t="s">
        <v>754</v>
      </c>
      <c r="J1963" s="375">
        <v>32136.77159</v>
      </c>
      <c r="K1963" s="375">
        <v>-7919.2551800000001</v>
      </c>
      <c r="L1963" s="375">
        <v>-33017.456630000001</v>
      </c>
      <c r="M1963" s="375">
        <v>98909.084220000004</v>
      </c>
      <c r="N1963" s="372">
        <v>0.48399999999999999</v>
      </c>
      <c r="O1963" s="704">
        <v>27.557570258655321</v>
      </c>
      <c r="P1963" s="375" t="s">
        <v>16115</v>
      </c>
      <c r="Q1963" s="372" t="s">
        <v>16116</v>
      </c>
      <c r="R1963" s="696">
        <v>19731218</v>
      </c>
      <c r="S1963" s="372" t="s">
        <v>12731</v>
      </c>
      <c r="T1963" s="697" t="s">
        <v>771</v>
      </c>
      <c r="U1963" s="372" t="s">
        <v>12732</v>
      </c>
      <c r="V1963" s="723">
        <v>16.28</v>
      </c>
      <c r="W1963" s="723">
        <v>0.64</v>
      </c>
      <c r="X1963" s="723">
        <v>1.95</v>
      </c>
      <c r="Y1963" s="723" t="s">
        <v>773</v>
      </c>
      <c r="Z1963" s="382" t="s">
        <v>927</v>
      </c>
      <c r="AA1963" s="372">
        <v>810.49278890000005</v>
      </c>
      <c r="AB1963" s="372">
        <v>600.07423249999999</v>
      </c>
      <c r="AC1963" s="372">
        <v>467.94198790000002</v>
      </c>
      <c r="AD1963" s="372">
        <v>363.002815</v>
      </c>
      <c r="AE1963" s="372">
        <v>0</v>
      </c>
      <c r="AF1963" s="372">
        <v>0</v>
      </c>
      <c r="AG1963" s="372">
        <v>0</v>
      </c>
      <c r="AH1963" s="372">
        <v>0</v>
      </c>
    </row>
    <row r="1964" spans="1:34">
      <c r="A1964" s="372" t="s">
        <v>12733</v>
      </c>
      <c r="B1964" s="373" t="s">
        <v>12734</v>
      </c>
      <c r="C1964" s="372" t="s">
        <v>12735</v>
      </c>
      <c r="D1964" s="374">
        <v>1301110038918</v>
      </c>
      <c r="E1964" s="372" t="s">
        <v>12736</v>
      </c>
      <c r="F1964" s="375" t="s">
        <v>769</v>
      </c>
      <c r="G1964" s="375" t="s">
        <v>769</v>
      </c>
      <c r="H1964" s="375" t="s">
        <v>861</v>
      </c>
      <c r="I1964" s="375" t="s">
        <v>862</v>
      </c>
      <c r="J1964" s="375">
        <v>168311.13196999999</v>
      </c>
      <c r="K1964" s="375">
        <v>1786.5952</v>
      </c>
      <c r="L1964" s="375">
        <v>4525.8147900000004</v>
      </c>
      <c r="M1964" s="375">
        <v>106068.76498000001</v>
      </c>
      <c r="N1964" s="372">
        <v>0.73699999999999999</v>
      </c>
      <c r="O1964" s="704">
        <v>15.927889947366175</v>
      </c>
      <c r="P1964" s="375" t="s">
        <v>622</v>
      </c>
      <c r="Q1964" s="375" t="s">
        <v>622</v>
      </c>
      <c r="R1964" s="696">
        <v>20060808</v>
      </c>
      <c r="S1964" s="375" t="s">
        <v>12737</v>
      </c>
      <c r="T1964" s="697">
        <v>0.20900000000000002</v>
      </c>
      <c r="U1964" s="372" t="s">
        <v>12738</v>
      </c>
      <c r="V1964" s="723">
        <v>10.17</v>
      </c>
      <c r="W1964" s="723">
        <v>0.48</v>
      </c>
      <c r="X1964" s="723">
        <v>0.3</v>
      </c>
      <c r="Y1964" s="723">
        <v>19.03</v>
      </c>
      <c r="Z1964" s="382" t="s">
        <v>927</v>
      </c>
      <c r="AA1964" s="372">
        <v>2052.5142847000002</v>
      </c>
      <c r="AB1964" s="372">
        <v>1723.391042</v>
      </c>
      <c r="AC1964" s="372">
        <v>1663.0488733</v>
      </c>
      <c r="AD1964" s="372">
        <v>1712.3688167</v>
      </c>
      <c r="AE1964" s="372">
        <v>0</v>
      </c>
      <c r="AF1964" s="372">
        <v>0</v>
      </c>
      <c r="AG1964" s="372">
        <v>0</v>
      </c>
      <c r="AH1964" s="372">
        <v>0</v>
      </c>
    </row>
    <row r="1965" spans="1:34">
      <c r="A1965" s="372" t="s">
        <v>12739</v>
      </c>
      <c r="B1965" s="373" t="s">
        <v>12740</v>
      </c>
      <c r="C1965" s="372" t="s">
        <v>12741</v>
      </c>
      <c r="D1965" s="374">
        <v>1801110020246</v>
      </c>
      <c r="E1965" s="372" t="s">
        <v>12742</v>
      </c>
      <c r="F1965" s="375" t="s">
        <v>2116</v>
      </c>
      <c r="G1965" s="375" t="s">
        <v>2117</v>
      </c>
      <c r="H1965" s="375" t="s">
        <v>861</v>
      </c>
      <c r="I1965" s="375" t="s">
        <v>862</v>
      </c>
      <c r="J1965" s="375">
        <v>363084.13264999999</v>
      </c>
      <c r="K1965" s="375">
        <v>-654.7396</v>
      </c>
      <c r="L1965" s="375">
        <v>-18468.737980000002</v>
      </c>
      <c r="M1965" s="375">
        <v>33443.588819999997</v>
      </c>
      <c r="N1965" s="372">
        <v>0.255</v>
      </c>
      <c r="O1965" s="704">
        <v>898.81715415069505</v>
      </c>
      <c r="P1965" s="375" t="s">
        <v>622</v>
      </c>
      <c r="Q1965" s="372" t="s">
        <v>622</v>
      </c>
      <c r="R1965" s="696">
        <v>19931130</v>
      </c>
      <c r="S1965" s="372" t="s">
        <v>12743</v>
      </c>
      <c r="T1965" s="697" t="s">
        <v>771</v>
      </c>
      <c r="U1965" s="372" t="s">
        <v>12744</v>
      </c>
      <c r="V1965" s="723">
        <v>18.14</v>
      </c>
      <c r="W1965" s="723">
        <v>5.08</v>
      </c>
      <c r="X1965" s="723">
        <v>7.0000000000000007E-2</v>
      </c>
      <c r="Y1965" s="723" t="s">
        <v>773</v>
      </c>
      <c r="Z1965" s="382" t="s">
        <v>927</v>
      </c>
      <c r="AA1965" s="372">
        <v>2999.3625579999998</v>
      </c>
      <c r="AB1965" s="372">
        <v>3560.254504</v>
      </c>
      <c r="AC1965" s="372">
        <v>4550.1635232999997</v>
      </c>
      <c r="AD1965" s="372">
        <v>4271.2251611000002</v>
      </c>
      <c r="AE1965" s="372">
        <v>0</v>
      </c>
      <c r="AF1965" s="372">
        <v>0</v>
      </c>
      <c r="AG1965" s="372">
        <v>0</v>
      </c>
      <c r="AH1965" s="372">
        <v>0</v>
      </c>
    </row>
    <row r="1966" spans="1:34">
      <c r="A1966" s="372" t="s">
        <v>12745</v>
      </c>
      <c r="B1966" s="373" t="s">
        <v>12746</v>
      </c>
      <c r="C1966" s="372" t="s">
        <v>12747</v>
      </c>
      <c r="D1966" s="374">
        <v>1314110212929</v>
      </c>
      <c r="E1966" s="372" t="s">
        <v>12748</v>
      </c>
      <c r="F1966" s="375" t="s">
        <v>769</v>
      </c>
      <c r="G1966" s="375" t="s">
        <v>769</v>
      </c>
      <c r="H1966" s="375" t="s">
        <v>861</v>
      </c>
      <c r="I1966" s="375" t="s">
        <v>862</v>
      </c>
      <c r="J1966" s="375">
        <v>151619.76496</v>
      </c>
      <c r="K1966" s="375">
        <v>9351.3727299999991</v>
      </c>
      <c r="L1966" s="375">
        <v>7587.0956999999999</v>
      </c>
      <c r="M1966" s="375">
        <v>87755.780540000007</v>
      </c>
      <c r="N1966" s="372">
        <v>0.93400000000000005</v>
      </c>
      <c r="O1966" s="704">
        <v>20.784001355493498</v>
      </c>
      <c r="P1966" s="375" t="s">
        <v>622</v>
      </c>
      <c r="Q1966" s="375" t="s">
        <v>622</v>
      </c>
      <c r="R1966" s="696">
        <v>20130205</v>
      </c>
      <c r="S1966" s="375" t="s">
        <v>12749</v>
      </c>
      <c r="T1966" s="697">
        <v>0.20900000000000002</v>
      </c>
      <c r="U1966" s="372" t="s">
        <v>12750</v>
      </c>
      <c r="V1966" s="723">
        <v>3.31</v>
      </c>
      <c r="W1966" s="723">
        <v>0.49</v>
      </c>
      <c r="X1966" s="723">
        <v>0.28999999999999998</v>
      </c>
      <c r="Y1966" s="723">
        <v>7.46</v>
      </c>
      <c r="Z1966" s="382" t="s">
        <v>927</v>
      </c>
      <c r="AA1966" s="372">
        <v>1223.0635010999999</v>
      </c>
      <c r="AB1966" s="372">
        <v>1557.3678293</v>
      </c>
      <c r="AC1966" s="372">
        <v>1361.6209260999999</v>
      </c>
      <c r="AD1966" s="372">
        <v>1419.6438357</v>
      </c>
      <c r="AE1966" s="372">
        <v>0</v>
      </c>
      <c r="AF1966" s="372">
        <v>0</v>
      </c>
      <c r="AG1966" s="372">
        <v>0</v>
      </c>
      <c r="AH1966" s="372">
        <v>0</v>
      </c>
    </row>
    <row r="1967" spans="1:34">
      <c r="A1967" s="372" t="s">
        <v>12751</v>
      </c>
      <c r="B1967" s="373" t="s">
        <v>12752</v>
      </c>
      <c r="C1967" s="372" t="s">
        <v>12753</v>
      </c>
      <c r="D1967" s="374">
        <v>1147110000402</v>
      </c>
      <c r="E1967" s="372" t="s">
        <v>12754</v>
      </c>
      <c r="F1967" s="372" t="s">
        <v>16123</v>
      </c>
      <c r="G1967" s="375" t="s">
        <v>16123</v>
      </c>
      <c r="H1967" s="375" t="s">
        <v>826</v>
      </c>
      <c r="I1967" s="375" t="s">
        <v>754</v>
      </c>
      <c r="J1967" s="375">
        <v>61105.022689999998</v>
      </c>
      <c r="K1967" s="375">
        <v>-1216.8920499999999</v>
      </c>
      <c r="L1967" s="375">
        <v>-593.86523999999997</v>
      </c>
      <c r="M1967" s="375">
        <v>131537.56129000001</v>
      </c>
      <c r="N1967" s="372">
        <v>0.66800000000000004</v>
      </c>
      <c r="O1967" s="704">
        <v>38.987846766997549</v>
      </c>
      <c r="P1967" s="375" t="s">
        <v>622</v>
      </c>
      <c r="Q1967" s="372" t="s">
        <v>622</v>
      </c>
      <c r="R1967" s="696">
        <v>19761223</v>
      </c>
      <c r="S1967" s="372" t="s">
        <v>12755</v>
      </c>
      <c r="T1967" s="697" t="s">
        <v>771</v>
      </c>
      <c r="U1967" s="372" t="s">
        <v>12756</v>
      </c>
      <c r="V1967" s="723">
        <v>31.12</v>
      </c>
      <c r="W1967" s="723">
        <v>0.39</v>
      </c>
      <c r="X1967" s="723">
        <v>0.86</v>
      </c>
      <c r="Y1967" s="723" t="s">
        <v>773</v>
      </c>
      <c r="Z1967" s="382" t="s">
        <v>927</v>
      </c>
      <c r="AA1967" s="372">
        <v>517.33628520000002</v>
      </c>
      <c r="AB1967" s="372">
        <v>576.75736219999999</v>
      </c>
      <c r="AC1967" s="372">
        <v>663.7925798</v>
      </c>
      <c r="AD1967" s="372">
        <v>626.12439870000003</v>
      </c>
      <c r="AE1967" s="372">
        <v>0</v>
      </c>
      <c r="AF1967" s="372">
        <v>0</v>
      </c>
      <c r="AG1967" s="372">
        <v>0</v>
      </c>
      <c r="AH1967" s="372">
        <v>0</v>
      </c>
    </row>
    <row r="1968" spans="1:34">
      <c r="A1968" s="372" t="s">
        <v>12757</v>
      </c>
      <c r="B1968" s="373" t="s">
        <v>12758</v>
      </c>
      <c r="C1968" s="372" t="s">
        <v>12759</v>
      </c>
      <c r="D1968" s="374">
        <v>1101110413990</v>
      </c>
      <c r="E1968" s="372" t="s">
        <v>12760</v>
      </c>
      <c r="F1968" s="372" t="s">
        <v>1569</v>
      </c>
      <c r="G1968" s="375" t="s">
        <v>1569</v>
      </c>
      <c r="H1968" s="375" t="s">
        <v>3099</v>
      </c>
      <c r="I1968" s="375" t="s">
        <v>862</v>
      </c>
      <c r="J1968" s="375">
        <v>66085.461729999995</v>
      </c>
      <c r="K1968" s="375">
        <v>-6229.0473599999996</v>
      </c>
      <c r="L1968" s="375">
        <v>-15104.72623</v>
      </c>
      <c r="M1968" s="375">
        <v>37219.586340000002</v>
      </c>
      <c r="N1968" s="372">
        <v>0.878</v>
      </c>
      <c r="O1968" s="704">
        <v>10.245934715604406</v>
      </c>
      <c r="P1968" s="375" t="s">
        <v>622</v>
      </c>
      <c r="Q1968" s="375" t="s">
        <v>622</v>
      </c>
      <c r="R1968" s="696">
        <v>19940311</v>
      </c>
      <c r="S1968" s="375" t="s">
        <v>12761</v>
      </c>
      <c r="T1968" s="697" t="s">
        <v>771</v>
      </c>
      <c r="U1968" s="372" t="s">
        <v>12762</v>
      </c>
      <c r="V1968" s="723" t="s">
        <v>773</v>
      </c>
      <c r="W1968" s="723">
        <v>1.1100000000000001</v>
      </c>
      <c r="X1968" s="723">
        <v>0.65</v>
      </c>
      <c r="Y1968" s="723" t="s">
        <v>773</v>
      </c>
      <c r="Z1968" s="382" t="s">
        <v>927</v>
      </c>
      <c r="AA1968" s="372">
        <v>261.74528620000001</v>
      </c>
      <c r="AB1968" s="372">
        <v>356.4094905</v>
      </c>
      <c r="AC1968" s="372">
        <v>586.6714207</v>
      </c>
      <c r="AD1968" s="372">
        <v>615.03408539999998</v>
      </c>
      <c r="AE1968" s="372">
        <v>0</v>
      </c>
      <c r="AF1968" s="372">
        <v>0</v>
      </c>
      <c r="AG1968" s="372">
        <v>0</v>
      </c>
      <c r="AH1968" s="372">
        <v>0</v>
      </c>
    </row>
    <row r="1969" spans="1:34">
      <c r="A1969" s="372" t="s">
        <v>12763</v>
      </c>
      <c r="B1969" s="373" t="s">
        <v>12764</v>
      </c>
      <c r="C1969" s="372" t="s">
        <v>15949</v>
      </c>
      <c r="D1969" s="374">
        <v>2101110118854</v>
      </c>
      <c r="E1969" s="372" t="s">
        <v>12765</v>
      </c>
      <c r="F1969" s="372" t="s">
        <v>1863</v>
      </c>
      <c r="G1969" s="375" t="s">
        <v>1864</v>
      </c>
      <c r="H1969" s="375" t="s">
        <v>861</v>
      </c>
      <c r="I1969" s="375" t="s">
        <v>862</v>
      </c>
      <c r="J1969" s="375">
        <v>262576.25727</v>
      </c>
      <c r="K1969" s="375">
        <v>14771.05322</v>
      </c>
      <c r="L1969" s="375">
        <v>-9475.9047800000008</v>
      </c>
      <c r="M1969" s="375">
        <v>93343.745739999998</v>
      </c>
      <c r="N1969" s="372">
        <v>0.99299999999999999</v>
      </c>
      <c r="O1969" s="704">
        <v>147.55273605886842</v>
      </c>
      <c r="P1969" s="375" t="s">
        <v>622</v>
      </c>
      <c r="Q1969" s="372" t="s">
        <v>622</v>
      </c>
      <c r="R1969" s="696">
        <v>20181207</v>
      </c>
      <c r="S1969" s="372" t="s">
        <v>12766</v>
      </c>
      <c r="T1969" s="697" t="s">
        <v>771</v>
      </c>
      <c r="U1969" s="372" t="s">
        <v>12767</v>
      </c>
      <c r="V1969" s="723">
        <v>4.4800000000000004</v>
      </c>
      <c r="W1969" s="723">
        <v>0.49</v>
      </c>
      <c r="X1969" s="723">
        <v>0.17</v>
      </c>
      <c r="Y1969" s="723" t="s">
        <v>773</v>
      </c>
      <c r="Z1969" s="382" t="s">
        <v>927</v>
      </c>
      <c r="AA1969" s="372">
        <v>1718.4836591000001</v>
      </c>
      <c r="AB1969" s="372">
        <v>1789.5519694</v>
      </c>
      <c r="AC1969" s="372">
        <v>2259.5260122</v>
      </c>
      <c r="AD1969" s="372">
        <v>2355.9226571999998</v>
      </c>
      <c r="AE1969" s="372">
        <v>0</v>
      </c>
      <c r="AF1969" s="372">
        <v>0</v>
      </c>
      <c r="AG1969" s="372">
        <v>0</v>
      </c>
      <c r="AH1969" s="372">
        <v>0</v>
      </c>
    </row>
    <row r="1970" spans="1:34">
      <c r="A1970" s="372" t="s">
        <v>12768</v>
      </c>
      <c r="B1970" s="373" t="s">
        <v>12769</v>
      </c>
      <c r="C1970" s="372" t="s">
        <v>12770</v>
      </c>
      <c r="D1970" s="374">
        <v>1301110056407</v>
      </c>
      <c r="E1970" s="372" t="s">
        <v>12771</v>
      </c>
      <c r="F1970" s="375" t="s">
        <v>6610</v>
      </c>
      <c r="G1970" s="375" t="s">
        <v>6610</v>
      </c>
      <c r="H1970" s="375" t="s">
        <v>861</v>
      </c>
      <c r="I1970" s="375" t="s">
        <v>862</v>
      </c>
      <c r="J1970" s="375">
        <v>22720.32806</v>
      </c>
      <c r="K1970" s="375">
        <v>880.43507999999997</v>
      </c>
      <c r="L1970" s="375">
        <v>2229.3845799999999</v>
      </c>
      <c r="M1970" s="375">
        <v>53563.92901</v>
      </c>
      <c r="N1970" s="372">
        <v>0.78500000000000003</v>
      </c>
      <c r="O1970" s="704">
        <v>9.3685086615140403</v>
      </c>
      <c r="P1970" s="375" t="s">
        <v>622</v>
      </c>
      <c r="Q1970" s="372" t="s">
        <v>622</v>
      </c>
      <c r="R1970" s="696">
        <v>20110712</v>
      </c>
      <c r="S1970" s="375" t="s">
        <v>12772</v>
      </c>
      <c r="T1970" s="697">
        <v>0.20900000000000002</v>
      </c>
      <c r="U1970" s="372" t="s">
        <v>12773</v>
      </c>
      <c r="V1970" s="723">
        <v>0</v>
      </c>
      <c r="W1970" s="723">
        <v>0</v>
      </c>
      <c r="X1970" s="723">
        <v>0</v>
      </c>
      <c r="Y1970" s="723">
        <v>0</v>
      </c>
      <c r="Z1970" s="382" t="s">
        <v>927</v>
      </c>
      <c r="AA1970" s="372">
        <v>204.10901559999999</v>
      </c>
      <c r="AB1970" s="372">
        <v>241.66396119999999</v>
      </c>
      <c r="AC1970" s="372">
        <v>287.04721590000003</v>
      </c>
      <c r="AD1970" s="372">
        <v>219.9461512</v>
      </c>
      <c r="AE1970" s="372">
        <v>0</v>
      </c>
      <c r="AF1970" s="372">
        <v>0</v>
      </c>
      <c r="AG1970" s="372">
        <v>0</v>
      </c>
      <c r="AH1970" s="372">
        <v>0</v>
      </c>
    </row>
    <row r="1971" spans="1:34">
      <c r="A1971" s="372" t="s">
        <v>12774</v>
      </c>
      <c r="B1971" s="373" t="s">
        <v>12775</v>
      </c>
      <c r="C1971" s="372" t="s">
        <v>12776</v>
      </c>
      <c r="D1971" s="374">
        <v>1341110170980</v>
      </c>
      <c r="E1971" s="372" t="s">
        <v>12777</v>
      </c>
      <c r="F1971" s="375" t="s">
        <v>4871</v>
      </c>
      <c r="G1971" s="375" t="s">
        <v>4871</v>
      </c>
      <c r="H1971" s="375" t="s">
        <v>861</v>
      </c>
      <c r="I1971" s="375" t="s">
        <v>862</v>
      </c>
      <c r="J1971" s="375">
        <v>14998.922070000001</v>
      </c>
      <c r="K1971" s="375">
        <v>2611.8249700000001</v>
      </c>
      <c r="L1971" s="375">
        <v>3097.4036900000001</v>
      </c>
      <c r="M1971" s="375">
        <v>32991.583129999999</v>
      </c>
      <c r="N1971" s="372">
        <v>0.80600000000000005</v>
      </c>
      <c r="O1971" s="704">
        <v>6.9644724405088914</v>
      </c>
      <c r="P1971" s="375" t="s">
        <v>622</v>
      </c>
      <c r="Q1971" s="372" t="s">
        <v>622</v>
      </c>
      <c r="R1971" s="696">
        <v>20161103</v>
      </c>
      <c r="S1971" s="372" t="s">
        <v>12778</v>
      </c>
      <c r="T1971" s="697">
        <v>0.20900000000000002</v>
      </c>
      <c r="U1971" s="372" t="s">
        <v>12779</v>
      </c>
      <c r="V1971" s="723">
        <v>13.83</v>
      </c>
      <c r="W1971" s="723">
        <v>1.34</v>
      </c>
      <c r="X1971" s="723">
        <v>2.95</v>
      </c>
      <c r="Y1971" s="723">
        <v>17.87</v>
      </c>
      <c r="Z1971" s="382" t="s">
        <v>927</v>
      </c>
      <c r="AA1971" s="372">
        <v>79.5713401</v>
      </c>
      <c r="AB1971" s="372">
        <v>117.6197746</v>
      </c>
      <c r="AC1971" s="372">
        <v>137.52579320000001</v>
      </c>
      <c r="AD1971" s="372">
        <v>152.1469859</v>
      </c>
      <c r="AE1971" s="372">
        <v>387</v>
      </c>
      <c r="AF1971" s="372">
        <v>0</v>
      </c>
      <c r="AG1971" s="372">
        <v>0</v>
      </c>
      <c r="AH1971" s="372">
        <v>0</v>
      </c>
    </row>
    <row r="1972" spans="1:34">
      <c r="A1972" s="372" t="s">
        <v>12780</v>
      </c>
      <c r="B1972" s="373" t="s">
        <v>12781</v>
      </c>
      <c r="C1972" s="372" t="s">
        <v>12782</v>
      </c>
      <c r="D1972" s="374">
        <v>1545110006076</v>
      </c>
      <c r="E1972" s="372" t="s">
        <v>12783</v>
      </c>
      <c r="F1972" s="372" t="s">
        <v>3236</v>
      </c>
      <c r="G1972" s="375" t="s">
        <v>3236</v>
      </c>
      <c r="H1972" s="375" t="s">
        <v>753</v>
      </c>
      <c r="I1972" s="375" t="s">
        <v>754</v>
      </c>
      <c r="J1972" s="375">
        <v>89372.912259999997</v>
      </c>
      <c r="K1972" s="375">
        <v>753.14774</v>
      </c>
      <c r="L1972" s="375">
        <v>-837.5059</v>
      </c>
      <c r="M1972" s="375">
        <v>31541.156739999999</v>
      </c>
      <c r="N1972" s="372">
        <v>0.67700000000000005</v>
      </c>
      <c r="O1972" s="704">
        <v>44.865181142752341</v>
      </c>
      <c r="P1972" s="375" t="s">
        <v>622</v>
      </c>
      <c r="Q1972" s="375" t="s">
        <v>622</v>
      </c>
      <c r="R1972" s="696">
        <v>20020109</v>
      </c>
      <c r="S1972" s="375" t="s">
        <v>12784</v>
      </c>
      <c r="T1972" s="697" t="s">
        <v>771</v>
      </c>
      <c r="U1972" s="372" t="s">
        <v>12785</v>
      </c>
      <c r="V1972" s="723">
        <v>23.9</v>
      </c>
      <c r="W1972" s="723">
        <v>1.66</v>
      </c>
      <c r="X1972" s="723">
        <v>0.59</v>
      </c>
      <c r="Y1972" s="723" t="s">
        <v>773</v>
      </c>
      <c r="Z1972" s="382" t="s">
        <v>927</v>
      </c>
      <c r="AA1972" s="372">
        <v>668.57776990000002</v>
      </c>
      <c r="AB1972" s="372">
        <v>1014.4058388</v>
      </c>
      <c r="AC1972" s="372">
        <v>1243.4784228000001</v>
      </c>
      <c r="AD1972" s="372">
        <v>543.34550609999997</v>
      </c>
      <c r="AE1972" s="372">
        <v>0</v>
      </c>
      <c r="AF1972" s="372">
        <v>0</v>
      </c>
      <c r="AG1972" s="372">
        <v>0</v>
      </c>
      <c r="AH1972" s="372">
        <v>0</v>
      </c>
    </row>
    <row r="1973" spans="1:34">
      <c r="A1973" s="372" t="s">
        <v>12786</v>
      </c>
      <c r="B1973" s="373" t="s">
        <v>12787</v>
      </c>
      <c r="C1973" s="372" t="s">
        <v>12788</v>
      </c>
      <c r="D1973" s="374">
        <v>1601110395297</v>
      </c>
      <c r="E1973" s="372" t="s">
        <v>12789</v>
      </c>
      <c r="F1973" s="372" t="s">
        <v>2124</v>
      </c>
      <c r="G1973" s="375" t="s">
        <v>4231</v>
      </c>
      <c r="H1973" s="375" t="s">
        <v>861</v>
      </c>
      <c r="I1973" s="375" t="s">
        <v>862</v>
      </c>
      <c r="J1973" s="375">
        <v>12216.822120000001</v>
      </c>
      <c r="K1973" s="375">
        <v>-17424.70435</v>
      </c>
      <c r="L1973" s="375">
        <v>-19795.423859999999</v>
      </c>
      <c r="M1973" s="375">
        <v>9559.2373800000005</v>
      </c>
      <c r="N1973" s="372">
        <v>0.84399999999999997</v>
      </c>
      <c r="O1973" s="704">
        <v>31.595592686585007</v>
      </c>
      <c r="P1973" s="375" t="s">
        <v>622</v>
      </c>
      <c r="Q1973" s="372" t="s">
        <v>622</v>
      </c>
      <c r="R1973" s="696">
        <v>20221021</v>
      </c>
      <c r="S1973" s="372" t="s">
        <v>12790</v>
      </c>
      <c r="T1973" s="697" t="s">
        <v>771</v>
      </c>
      <c r="U1973" s="372" t="s">
        <v>12791</v>
      </c>
      <c r="V1973" s="723" t="s">
        <v>773</v>
      </c>
      <c r="W1973" s="723">
        <v>6.1</v>
      </c>
      <c r="X1973" s="723">
        <v>3.85</v>
      </c>
      <c r="Y1973" s="723" t="s">
        <v>773</v>
      </c>
      <c r="Z1973" s="382" t="s">
        <v>927</v>
      </c>
      <c r="AA1973" s="372">
        <v>29.5577288</v>
      </c>
      <c r="AB1973" s="372">
        <v>63.485400900000002</v>
      </c>
      <c r="AC1973" s="372">
        <v>133.05795649999999</v>
      </c>
      <c r="AD1973" s="372">
        <v>129.1740365</v>
      </c>
      <c r="AE1973" s="372">
        <v>826</v>
      </c>
      <c r="AF1973" s="372">
        <v>1461</v>
      </c>
      <c r="AG1973" s="372">
        <v>0</v>
      </c>
      <c r="AH1973" s="372">
        <v>0</v>
      </c>
    </row>
    <row r="1974" spans="1:34">
      <c r="A1974" s="372" t="s">
        <v>12792</v>
      </c>
      <c r="B1974" s="373" t="s">
        <v>12793</v>
      </c>
      <c r="C1974" s="372" t="s">
        <v>16286</v>
      </c>
      <c r="D1974" s="374">
        <v>1101111517709</v>
      </c>
      <c r="E1974" s="372" t="s">
        <v>16287</v>
      </c>
      <c r="F1974" s="372" t="s">
        <v>3591</v>
      </c>
      <c r="G1974" s="375" t="s">
        <v>3592</v>
      </c>
      <c r="H1974" s="375" t="s">
        <v>861</v>
      </c>
      <c r="I1974" s="375" t="s">
        <v>862</v>
      </c>
      <c r="J1974" s="375">
        <v>20330.285909999999</v>
      </c>
      <c r="K1974" s="375">
        <v>-32.599939999999997</v>
      </c>
      <c r="L1974" s="375">
        <v>-2423.2660000000001</v>
      </c>
      <c r="M1974" s="375">
        <v>26627.317490000001</v>
      </c>
      <c r="N1974" s="372" t="s">
        <v>1026</v>
      </c>
      <c r="O1974" s="704">
        <v>2.3300693389584493</v>
      </c>
      <c r="P1974" s="375" t="s">
        <v>16115</v>
      </c>
      <c r="Q1974" s="372" t="s">
        <v>16116</v>
      </c>
      <c r="R1974" s="696">
        <v>20091222</v>
      </c>
      <c r="S1974" s="372" t="s">
        <v>12794</v>
      </c>
      <c r="T1974" s="697" t="s">
        <v>771</v>
      </c>
      <c r="U1974" s="372" t="s">
        <v>12795</v>
      </c>
      <c r="V1974" s="723">
        <v>59.6</v>
      </c>
      <c r="W1974" s="723">
        <v>2.11</v>
      </c>
      <c r="X1974" s="723">
        <v>2.86</v>
      </c>
      <c r="Y1974" s="723" t="s">
        <v>773</v>
      </c>
      <c r="Z1974" s="382" t="s">
        <v>927</v>
      </c>
      <c r="AA1974" s="372">
        <v>306.13070199999999</v>
      </c>
      <c r="AB1974" s="372">
        <v>274.28788070000002</v>
      </c>
      <c r="AC1974" s="372">
        <v>258.73130370000001</v>
      </c>
      <c r="AD1974" s="372">
        <v>133.9197389</v>
      </c>
      <c r="AE1974" s="372">
        <v>0</v>
      </c>
      <c r="AF1974" s="372">
        <v>0</v>
      </c>
      <c r="AG1974" s="372">
        <v>0</v>
      </c>
      <c r="AH1974" s="372">
        <v>0</v>
      </c>
    </row>
    <row r="1975" spans="1:34">
      <c r="A1975" s="372" t="s">
        <v>12796</v>
      </c>
      <c r="B1975" s="373" t="s">
        <v>12797</v>
      </c>
      <c r="C1975" s="372" t="s">
        <v>12798</v>
      </c>
      <c r="D1975" s="374">
        <v>1101112131821</v>
      </c>
      <c r="E1975" s="372" t="s">
        <v>12799</v>
      </c>
      <c r="F1975" s="372" t="s">
        <v>1096</v>
      </c>
      <c r="G1975" s="375" t="s">
        <v>1097</v>
      </c>
      <c r="H1975" s="375" t="s">
        <v>861</v>
      </c>
      <c r="I1975" s="375" t="s">
        <v>862</v>
      </c>
      <c r="J1975" s="375">
        <v>34129.075989999998</v>
      </c>
      <c r="K1975" s="375">
        <v>-1603.88642</v>
      </c>
      <c r="L1975" s="375">
        <v>-9849.4940000000006</v>
      </c>
      <c r="M1975" s="375">
        <v>23488.892</v>
      </c>
      <c r="N1975" s="372">
        <v>0.49099999999999999</v>
      </c>
      <c r="O1975" s="704">
        <v>48.468737386505261</v>
      </c>
      <c r="P1975" s="375" t="s">
        <v>622</v>
      </c>
      <c r="Q1975" s="372" t="s">
        <v>622</v>
      </c>
      <c r="R1975" s="696">
        <v>20170712</v>
      </c>
      <c r="S1975" s="372" t="s">
        <v>12800</v>
      </c>
      <c r="T1975" s="697" t="s">
        <v>771</v>
      </c>
      <c r="U1975" s="375" t="s">
        <v>12801</v>
      </c>
      <c r="V1975" s="723">
        <v>312.05</v>
      </c>
      <c r="W1975" s="723">
        <v>2.1800000000000002</v>
      </c>
      <c r="X1975" s="723">
        <v>1.77</v>
      </c>
      <c r="Y1975" s="723" t="s">
        <v>773</v>
      </c>
      <c r="Z1975" s="382" t="s">
        <v>927</v>
      </c>
      <c r="AA1975" s="372">
        <v>404.15611869999998</v>
      </c>
      <c r="AB1975" s="372">
        <v>439.1133226</v>
      </c>
      <c r="AC1975" s="372">
        <v>350.4459334</v>
      </c>
      <c r="AD1975" s="372">
        <v>326.98314640000001</v>
      </c>
      <c r="AE1975" s="372">
        <v>0</v>
      </c>
      <c r="AF1975" s="372">
        <v>0</v>
      </c>
      <c r="AG1975" s="372">
        <v>0</v>
      </c>
      <c r="AH1975" s="372">
        <v>0</v>
      </c>
    </row>
    <row r="1976" spans="1:34">
      <c r="A1976" s="372" t="s">
        <v>12802</v>
      </c>
      <c r="B1976" s="373" t="s">
        <v>12803</v>
      </c>
      <c r="C1976" s="372" t="s">
        <v>16038</v>
      </c>
      <c r="D1976" s="374">
        <v>1314110144073</v>
      </c>
      <c r="E1976" s="372" t="s">
        <v>16039</v>
      </c>
      <c r="F1976" s="372" t="s">
        <v>2075</v>
      </c>
      <c r="G1976" s="375" t="s">
        <v>2075</v>
      </c>
      <c r="H1976" s="375" t="s">
        <v>861</v>
      </c>
      <c r="I1976" s="375" t="s">
        <v>862</v>
      </c>
      <c r="J1976" s="375">
        <v>16205.02795</v>
      </c>
      <c r="K1976" s="375">
        <v>-12696.440140000001</v>
      </c>
      <c r="L1976" s="375">
        <v>-18079.395980000001</v>
      </c>
      <c r="M1976" s="375">
        <v>20740.811470000001</v>
      </c>
      <c r="N1976" s="372">
        <v>1.1319999999999999</v>
      </c>
      <c r="O1976" s="704">
        <v>33.030050120083914</v>
      </c>
      <c r="P1976" s="375" t="s">
        <v>622</v>
      </c>
      <c r="Q1976" s="375" t="s">
        <v>622</v>
      </c>
      <c r="R1976" s="696">
        <v>20190725</v>
      </c>
      <c r="S1976" s="375" t="s">
        <v>12804</v>
      </c>
      <c r="T1976" s="697" t="s">
        <v>771</v>
      </c>
      <c r="U1976" s="372" t="s">
        <v>12805</v>
      </c>
      <c r="V1976" s="723">
        <v>0</v>
      </c>
      <c r="W1976" s="723">
        <v>0</v>
      </c>
      <c r="X1976" s="723">
        <v>0</v>
      </c>
      <c r="Y1976" s="723">
        <v>0</v>
      </c>
      <c r="Z1976" s="382" t="s">
        <v>927</v>
      </c>
      <c r="AA1976" s="372">
        <v>632.38933010000005</v>
      </c>
      <c r="AB1976" s="372">
        <v>361.06050649999997</v>
      </c>
      <c r="AC1976" s="372">
        <v>523.19150709999997</v>
      </c>
      <c r="AD1976" s="372">
        <v>169.8930435</v>
      </c>
      <c r="AE1976" s="372">
        <v>0</v>
      </c>
      <c r="AF1976" s="372">
        <v>0</v>
      </c>
      <c r="AG1976" s="372">
        <v>0</v>
      </c>
      <c r="AH1976" s="372">
        <v>0</v>
      </c>
    </row>
    <row r="1977" spans="1:34">
      <c r="A1977" s="372" t="s">
        <v>12806</v>
      </c>
      <c r="B1977" s="373" t="s">
        <v>12807</v>
      </c>
      <c r="C1977" s="372" t="s">
        <v>12808</v>
      </c>
      <c r="D1977" s="374">
        <v>1243110005515</v>
      </c>
      <c r="E1977" s="372" t="s">
        <v>12809</v>
      </c>
      <c r="F1977" s="372" t="s">
        <v>1323</v>
      </c>
      <c r="G1977" s="375" t="s">
        <v>16106</v>
      </c>
      <c r="H1977" s="375" t="s">
        <v>861</v>
      </c>
      <c r="I1977" s="375" t="s">
        <v>862</v>
      </c>
      <c r="J1977" s="375">
        <v>72883.640650000001</v>
      </c>
      <c r="K1977" s="375">
        <v>432.34096</v>
      </c>
      <c r="L1977" s="375">
        <v>-3957.4940299999998</v>
      </c>
      <c r="M1977" s="375">
        <v>75102.899409999998</v>
      </c>
      <c r="N1977" s="372">
        <v>0.50800000000000001</v>
      </c>
      <c r="O1977" s="704">
        <v>213.07984326116119</v>
      </c>
      <c r="P1977" s="375" t="s">
        <v>622</v>
      </c>
      <c r="Q1977" s="372" t="s">
        <v>622</v>
      </c>
      <c r="R1977" s="696">
        <v>20141215</v>
      </c>
      <c r="S1977" s="372" t="s">
        <v>12810</v>
      </c>
      <c r="T1977" s="697" t="s">
        <v>771</v>
      </c>
      <c r="U1977" s="372" t="s">
        <v>12811</v>
      </c>
      <c r="V1977" s="723">
        <v>15.09</v>
      </c>
      <c r="W1977" s="723">
        <v>0.57999999999999996</v>
      </c>
      <c r="X1977" s="723">
        <v>0.61</v>
      </c>
      <c r="Y1977" s="723" t="s">
        <v>773</v>
      </c>
      <c r="Z1977" s="382" t="s">
        <v>927</v>
      </c>
      <c r="AA1977" s="372">
        <v>570.30365930000005</v>
      </c>
      <c r="AB1977" s="372">
        <v>620.79356719999998</v>
      </c>
      <c r="AC1977" s="372">
        <v>727.02521720000004</v>
      </c>
      <c r="AD1977" s="372">
        <v>751.106989</v>
      </c>
      <c r="AE1977" s="372">
        <v>0</v>
      </c>
      <c r="AF1977" s="372">
        <v>0</v>
      </c>
      <c r="AG1977" s="372">
        <v>0</v>
      </c>
      <c r="AH1977" s="372">
        <v>0</v>
      </c>
    </row>
    <row r="1978" spans="1:34">
      <c r="A1978" s="372" t="s">
        <v>12812</v>
      </c>
      <c r="B1978" s="373" t="s">
        <v>12813</v>
      </c>
      <c r="C1978" s="372" t="s">
        <v>12814</v>
      </c>
      <c r="D1978" s="374">
        <v>1101112605793</v>
      </c>
      <c r="E1978" s="372" t="s">
        <v>12815</v>
      </c>
      <c r="F1978" s="372" t="s">
        <v>1796</v>
      </c>
      <c r="G1978" s="375" t="s">
        <v>1797</v>
      </c>
      <c r="H1978" s="375" t="s">
        <v>861</v>
      </c>
      <c r="I1978" s="375" t="s">
        <v>862</v>
      </c>
      <c r="J1978" s="375">
        <v>13769.99935</v>
      </c>
      <c r="K1978" s="375">
        <v>113.27233</v>
      </c>
      <c r="L1978" s="375">
        <v>886.14202999999998</v>
      </c>
      <c r="M1978" s="375">
        <v>19104.137559999999</v>
      </c>
      <c r="N1978" s="372">
        <v>1.1379999999999999</v>
      </c>
      <c r="O1978" s="704">
        <v>1.0004519557998808</v>
      </c>
      <c r="P1978" s="375" t="s">
        <v>622</v>
      </c>
      <c r="Q1978" s="375" t="s">
        <v>622</v>
      </c>
      <c r="R1978" s="696">
        <v>20111202</v>
      </c>
      <c r="S1978" s="372" t="s">
        <v>12816</v>
      </c>
      <c r="T1978" s="697">
        <v>0.20900000000000002</v>
      </c>
      <c r="U1978" s="372" t="s">
        <v>12817</v>
      </c>
      <c r="V1978" s="723">
        <v>55.22</v>
      </c>
      <c r="W1978" s="723">
        <v>2.2000000000000002</v>
      </c>
      <c r="X1978" s="723">
        <v>3.05</v>
      </c>
      <c r="Y1978" s="723">
        <v>50.52</v>
      </c>
      <c r="Z1978" s="382" t="s">
        <v>927</v>
      </c>
      <c r="AA1978" s="372">
        <v>298.05446619999998</v>
      </c>
      <c r="AB1978" s="372">
        <v>236.16289939999999</v>
      </c>
      <c r="AC1978" s="372">
        <v>194.29769490000001</v>
      </c>
      <c r="AD1978" s="372">
        <v>167.73679379999999</v>
      </c>
      <c r="AE1978" s="372">
        <v>0</v>
      </c>
      <c r="AF1978" s="372">
        <v>0</v>
      </c>
      <c r="AG1978" s="372">
        <v>0</v>
      </c>
      <c r="AH1978" s="372">
        <v>0</v>
      </c>
    </row>
    <row r="1979" spans="1:34">
      <c r="A1979" s="372" t="s">
        <v>12818</v>
      </c>
      <c r="B1979" s="373" t="s">
        <v>12819</v>
      </c>
      <c r="C1979" s="372" t="s">
        <v>12820</v>
      </c>
      <c r="D1979" s="374">
        <v>1942110000018</v>
      </c>
      <c r="E1979" s="372" t="s">
        <v>12821</v>
      </c>
      <c r="F1979" s="375" t="s">
        <v>8436</v>
      </c>
      <c r="G1979" s="375" t="s">
        <v>8437</v>
      </c>
      <c r="H1979" s="375" t="s">
        <v>1468</v>
      </c>
      <c r="I1979" s="375" t="s">
        <v>754</v>
      </c>
      <c r="J1979" s="375">
        <v>283563.47194999998</v>
      </c>
      <c r="K1979" s="375">
        <v>11280.32842</v>
      </c>
      <c r="L1979" s="375">
        <v>2535.10763</v>
      </c>
      <c r="M1979" s="375">
        <v>165792.77371000001</v>
      </c>
      <c r="N1979" s="372">
        <v>0.54300000000000004</v>
      </c>
      <c r="O1979" s="704">
        <v>161.47465378331398</v>
      </c>
      <c r="P1979" s="375" t="s">
        <v>622</v>
      </c>
      <c r="Q1979" s="372" t="s">
        <v>622</v>
      </c>
      <c r="R1979" s="696">
        <v>19921223</v>
      </c>
      <c r="S1979" s="372" t="s">
        <v>12822</v>
      </c>
      <c r="T1979" s="697">
        <v>0.20900000000000002</v>
      </c>
      <c r="U1979" s="372" t="s">
        <v>12823</v>
      </c>
      <c r="V1979" s="723">
        <v>5.78</v>
      </c>
      <c r="W1979" s="723">
        <v>0.37</v>
      </c>
      <c r="X1979" s="723">
        <v>0.21</v>
      </c>
      <c r="Y1979" s="723">
        <v>44.74</v>
      </c>
      <c r="Z1979" s="382" t="s">
        <v>927</v>
      </c>
      <c r="AA1979" s="372">
        <v>2323.6562730999999</v>
      </c>
      <c r="AB1979" s="372">
        <v>2603.5942224999999</v>
      </c>
      <c r="AC1979" s="372">
        <v>2534.9095302999999</v>
      </c>
      <c r="AD1979" s="372">
        <v>2662.8093256000002</v>
      </c>
      <c r="AE1979" s="372">
        <v>0</v>
      </c>
      <c r="AF1979" s="372">
        <v>0</v>
      </c>
      <c r="AG1979" s="372">
        <v>0</v>
      </c>
      <c r="AH1979" s="372">
        <v>0</v>
      </c>
    </row>
    <row r="1980" spans="1:34">
      <c r="A1980" s="372" t="s">
        <v>12824</v>
      </c>
      <c r="B1980" s="373" t="s">
        <v>12825</v>
      </c>
      <c r="C1980" s="372" t="s">
        <v>12826</v>
      </c>
      <c r="D1980" s="374">
        <v>1244110005688</v>
      </c>
      <c r="E1980" s="372" t="s">
        <v>12827</v>
      </c>
      <c r="F1980" s="375" t="s">
        <v>16040</v>
      </c>
      <c r="G1980" s="375" t="s">
        <v>16040</v>
      </c>
      <c r="H1980" s="375" t="s">
        <v>3099</v>
      </c>
      <c r="I1980" s="375" t="s">
        <v>862</v>
      </c>
      <c r="J1980" s="375">
        <v>120106.90234</v>
      </c>
      <c r="K1980" s="375">
        <v>15073.297930000001</v>
      </c>
      <c r="L1980" s="375">
        <v>16783.547849999999</v>
      </c>
      <c r="M1980" s="375">
        <v>183500.08554999999</v>
      </c>
      <c r="N1980" s="372">
        <v>0.58399999999999996</v>
      </c>
      <c r="O1980" s="704">
        <v>17.436204184782607</v>
      </c>
      <c r="P1980" s="375" t="s">
        <v>622</v>
      </c>
      <c r="Q1980" s="372" t="s">
        <v>622</v>
      </c>
      <c r="R1980" s="696">
        <v>19930527</v>
      </c>
      <c r="S1980" s="372" t="s">
        <v>12828</v>
      </c>
      <c r="T1980" s="697">
        <v>0.20900000000000002</v>
      </c>
      <c r="U1980" s="372" t="s">
        <v>12829</v>
      </c>
      <c r="V1980" s="723">
        <v>3.64</v>
      </c>
      <c r="W1980" s="723">
        <v>0.28999999999999998</v>
      </c>
      <c r="X1980" s="723">
        <v>0.46</v>
      </c>
      <c r="Y1980" s="723">
        <v>4.25</v>
      </c>
      <c r="Z1980" s="382" t="s">
        <v>927</v>
      </c>
      <c r="AA1980" s="372">
        <v>770.54775930000005</v>
      </c>
      <c r="AB1980" s="372">
        <v>930.25796809999997</v>
      </c>
      <c r="AC1980" s="372">
        <v>1008.9967022</v>
      </c>
      <c r="AD1980" s="372">
        <v>1029.4709015999999</v>
      </c>
      <c r="AE1980" s="372">
        <v>0</v>
      </c>
      <c r="AF1980" s="372">
        <v>0</v>
      </c>
      <c r="AG1980" s="372">
        <v>0</v>
      </c>
      <c r="AH1980" s="372">
        <v>0</v>
      </c>
    </row>
    <row r="1981" spans="1:34">
      <c r="A1981" s="372" t="s">
        <v>12830</v>
      </c>
      <c r="B1981" s="373" t="s">
        <v>12831</v>
      </c>
      <c r="C1981" s="372" t="s">
        <v>12832</v>
      </c>
      <c r="D1981" s="374">
        <v>1101111651242</v>
      </c>
      <c r="E1981" s="372" t="s">
        <v>12833</v>
      </c>
      <c r="F1981" s="372" t="s">
        <v>1275</v>
      </c>
      <c r="G1981" s="375" t="s">
        <v>1275</v>
      </c>
      <c r="H1981" s="375" t="s">
        <v>861</v>
      </c>
      <c r="I1981" s="375" t="s">
        <v>862</v>
      </c>
      <c r="J1981" s="375">
        <v>74921.747489999994</v>
      </c>
      <c r="K1981" s="375">
        <v>27.93535</v>
      </c>
      <c r="L1981" s="375">
        <v>-6733.4614300000003</v>
      </c>
      <c r="M1981" s="375">
        <v>81192.497399999993</v>
      </c>
      <c r="N1981" s="372">
        <v>0.43099999999999999</v>
      </c>
      <c r="O1981" s="704">
        <v>127.72304405313531</v>
      </c>
      <c r="P1981" s="375" t="s">
        <v>622</v>
      </c>
      <c r="Q1981" s="372" t="s">
        <v>622</v>
      </c>
      <c r="R1981" s="696">
        <v>20071012</v>
      </c>
      <c r="S1981" s="372" t="s">
        <v>12834</v>
      </c>
      <c r="T1981" s="697" t="s">
        <v>771</v>
      </c>
      <c r="U1981" s="372" t="s">
        <v>12835</v>
      </c>
      <c r="V1981" s="723">
        <v>11.3</v>
      </c>
      <c r="W1981" s="723">
        <v>0.52</v>
      </c>
      <c r="X1981" s="723">
        <v>0.76</v>
      </c>
      <c r="Y1981" s="723" t="s">
        <v>773</v>
      </c>
      <c r="Z1981" s="382" t="s">
        <v>927</v>
      </c>
      <c r="AA1981" s="372">
        <v>1196.6305339</v>
      </c>
      <c r="AB1981" s="372">
        <v>957.27571590000002</v>
      </c>
      <c r="AC1981" s="372">
        <v>989.00190650000002</v>
      </c>
      <c r="AD1981" s="372">
        <v>757.63936339999998</v>
      </c>
      <c r="AE1981" s="372">
        <v>0</v>
      </c>
      <c r="AF1981" s="372">
        <v>0</v>
      </c>
      <c r="AG1981" s="372">
        <v>0</v>
      </c>
      <c r="AH1981" s="372">
        <v>0</v>
      </c>
    </row>
    <row r="1982" spans="1:34">
      <c r="A1982" s="372" t="s">
        <v>12836</v>
      </c>
      <c r="B1982" s="373" t="s">
        <v>12837</v>
      </c>
      <c r="C1982" s="372" t="s">
        <v>12838</v>
      </c>
      <c r="D1982" s="374">
        <v>1101111858814</v>
      </c>
      <c r="E1982" s="372" t="s">
        <v>12839</v>
      </c>
      <c r="F1982" s="375" t="s">
        <v>5769</v>
      </c>
      <c r="G1982" s="375" t="s">
        <v>5769</v>
      </c>
      <c r="H1982" s="375" t="s">
        <v>1337</v>
      </c>
      <c r="I1982" s="375" t="s">
        <v>862</v>
      </c>
      <c r="J1982" s="375">
        <v>105020.02399</v>
      </c>
      <c r="K1982" s="375">
        <v>2328.9400900000001</v>
      </c>
      <c r="L1982" s="375">
        <v>2767.0858499999999</v>
      </c>
      <c r="M1982" s="375">
        <v>36746.923349999997</v>
      </c>
      <c r="N1982" s="372">
        <v>0.63100000000000001</v>
      </c>
      <c r="O1982" s="704">
        <v>51.935146248431529</v>
      </c>
      <c r="P1982" s="375" t="s">
        <v>622</v>
      </c>
      <c r="Q1982" s="372" t="s">
        <v>622</v>
      </c>
      <c r="R1982" s="696">
        <v>20041229</v>
      </c>
      <c r="S1982" s="372" t="s">
        <v>12840</v>
      </c>
      <c r="T1982" s="697">
        <v>0.20900000000000002</v>
      </c>
      <c r="U1982" s="372" t="s">
        <v>12841</v>
      </c>
      <c r="V1982" s="723">
        <v>9.66</v>
      </c>
      <c r="W1982" s="723">
        <v>0.78</v>
      </c>
      <c r="X1982" s="723">
        <v>0.33</v>
      </c>
      <c r="Y1982" s="723">
        <v>18.239999999999998</v>
      </c>
      <c r="Z1982" s="382" t="s">
        <v>927</v>
      </c>
      <c r="AA1982" s="372">
        <v>970.28088449999996</v>
      </c>
      <c r="AB1982" s="372">
        <v>1052.9284723999999</v>
      </c>
      <c r="AC1982" s="372">
        <v>1128.9833082</v>
      </c>
      <c r="AD1982" s="372">
        <v>1386.6449677999999</v>
      </c>
      <c r="AE1982" s="372">
        <v>0</v>
      </c>
      <c r="AF1982" s="372">
        <v>0</v>
      </c>
      <c r="AG1982" s="372">
        <v>0</v>
      </c>
      <c r="AH1982" s="372">
        <v>0</v>
      </c>
    </row>
    <row r="1983" spans="1:34">
      <c r="A1983" s="372" t="s">
        <v>12842</v>
      </c>
      <c r="B1983" s="373" t="s">
        <v>12843</v>
      </c>
      <c r="C1983" s="372" t="s">
        <v>12844</v>
      </c>
      <c r="D1983" s="374">
        <v>1701110020694</v>
      </c>
      <c r="E1983" s="372" t="s">
        <v>12845</v>
      </c>
      <c r="F1983" s="375" t="s">
        <v>2992</v>
      </c>
      <c r="G1983" s="375" t="s">
        <v>2992</v>
      </c>
      <c r="H1983" s="375" t="s">
        <v>861</v>
      </c>
      <c r="I1983" s="375" t="s">
        <v>862</v>
      </c>
      <c r="J1983" s="375">
        <v>228354.85526000001</v>
      </c>
      <c r="K1983" s="375">
        <v>734.76773000000003</v>
      </c>
      <c r="L1983" s="375">
        <v>21647.635310000001</v>
      </c>
      <c r="M1983" s="375">
        <v>368839.91756999999</v>
      </c>
      <c r="N1983" s="372">
        <v>0.73299999999999998</v>
      </c>
      <c r="O1983" s="704">
        <v>0</v>
      </c>
      <c r="P1983" s="375" t="s">
        <v>622</v>
      </c>
      <c r="Q1983" s="375" t="s">
        <v>622</v>
      </c>
      <c r="R1983" s="696">
        <v>19941222</v>
      </c>
      <c r="S1983" s="375" t="s">
        <v>12846</v>
      </c>
      <c r="T1983" s="697">
        <v>0.23100000000000001</v>
      </c>
      <c r="U1983" s="372" t="s">
        <v>11308</v>
      </c>
      <c r="V1983" s="723">
        <v>0</v>
      </c>
      <c r="W1983" s="723">
        <v>0</v>
      </c>
      <c r="X1983" s="723">
        <v>0</v>
      </c>
      <c r="Y1983" s="723">
        <v>0</v>
      </c>
      <c r="Z1983" s="382" t="s">
        <v>927</v>
      </c>
      <c r="AA1983" s="372">
        <v>1560.4170389999999</v>
      </c>
      <c r="AB1983" s="372">
        <v>2100.9446684999998</v>
      </c>
      <c r="AC1983" s="372">
        <v>1711.3363472000001</v>
      </c>
      <c r="AD1983" s="372">
        <v>1930.4482224999999</v>
      </c>
      <c r="AE1983" s="372">
        <v>0</v>
      </c>
      <c r="AF1983" s="372">
        <v>0</v>
      </c>
      <c r="AG1983" s="372">
        <v>0</v>
      </c>
      <c r="AH1983" s="372">
        <v>0</v>
      </c>
    </row>
    <row r="1984" spans="1:34">
      <c r="A1984" s="372" t="s">
        <v>12847</v>
      </c>
      <c r="B1984" s="373" t="s">
        <v>12848</v>
      </c>
      <c r="C1984" s="372" t="s">
        <v>12849</v>
      </c>
      <c r="D1984" s="374">
        <v>1345110000387</v>
      </c>
      <c r="E1984" s="372" t="s">
        <v>12850</v>
      </c>
      <c r="F1984" s="375" t="s">
        <v>10983</v>
      </c>
      <c r="G1984" s="375" t="s">
        <v>12851</v>
      </c>
      <c r="H1984" s="375" t="s">
        <v>826</v>
      </c>
      <c r="I1984" s="375" t="s">
        <v>754</v>
      </c>
      <c r="J1984" s="375">
        <v>55681.906210000001</v>
      </c>
      <c r="K1984" s="375">
        <v>4596.9039400000001</v>
      </c>
      <c r="L1984" s="375">
        <v>4616.3852399999996</v>
      </c>
      <c r="M1984" s="375">
        <v>32585.274000000001</v>
      </c>
      <c r="N1984" s="372">
        <v>1.097</v>
      </c>
      <c r="O1984" s="704">
        <v>23.515379583911237</v>
      </c>
      <c r="P1984" s="375" t="s">
        <v>622</v>
      </c>
      <c r="Q1984" s="372" t="s">
        <v>622</v>
      </c>
      <c r="R1984" s="696">
        <v>19890930</v>
      </c>
      <c r="S1984" s="372" t="s">
        <v>12852</v>
      </c>
      <c r="T1984" s="697">
        <v>0.20900000000000002</v>
      </c>
      <c r="U1984" s="372" t="s">
        <v>12853</v>
      </c>
      <c r="V1984" s="723">
        <v>11.96</v>
      </c>
      <c r="W1984" s="723">
        <v>2.08</v>
      </c>
      <c r="X1984" s="723">
        <v>1.22</v>
      </c>
      <c r="Y1984" s="723">
        <v>18.32</v>
      </c>
      <c r="Z1984" s="382" t="s">
        <v>927</v>
      </c>
      <c r="AA1984" s="372">
        <v>371.16140300000001</v>
      </c>
      <c r="AB1984" s="372">
        <v>530.69415709999998</v>
      </c>
      <c r="AC1984" s="372">
        <v>527.20489759999998</v>
      </c>
      <c r="AD1984" s="372">
        <v>545.1215009</v>
      </c>
      <c r="AE1984" s="372">
        <v>0</v>
      </c>
      <c r="AF1984" s="372">
        <v>0</v>
      </c>
      <c r="AG1984" s="372">
        <v>0</v>
      </c>
      <c r="AH1984" s="372">
        <v>0</v>
      </c>
    </row>
    <row r="1985" spans="1:34">
      <c r="A1985" s="372" t="s">
        <v>12854</v>
      </c>
      <c r="B1985" s="373" t="s">
        <v>12855</v>
      </c>
      <c r="C1985" s="372" t="s">
        <v>12856</v>
      </c>
      <c r="D1985" s="374">
        <v>1201110590960</v>
      </c>
      <c r="E1985" s="372" t="s">
        <v>12857</v>
      </c>
      <c r="F1985" s="375" t="s">
        <v>1096</v>
      </c>
      <c r="G1985" s="375" t="s">
        <v>1097</v>
      </c>
      <c r="H1985" s="375" t="s">
        <v>861</v>
      </c>
      <c r="I1985" s="375" t="s">
        <v>862</v>
      </c>
      <c r="J1985" s="375">
        <v>87828.331739999994</v>
      </c>
      <c r="K1985" s="375">
        <v>-4633.2889299999997</v>
      </c>
      <c r="L1985" s="375">
        <v>-8201.4046300000009</v>
      </c>
      <c r="M1985" s="375">
        <v>37201.01571</v>
      </c>
      <c r="N1985" s="372" t="s">
        <v>1026</v>
      </c>
      <c r="O1985" s="704">
        <v>65.927711291493424</v>
      </c>
      <c r="P1985" s="375" t="s">
        <v>622</v>
      </c>
      <c r="Q1985" s="375" t="s">
        <v>622</v>
      </c>
      <c r="R1985" s="696">
        <v>20230724</v>
      </c>
      <c r="S1985" s="375" t="s">
        <v>12858</v>
      </c>
      <c r="T1985" s="697" t="s">
        <v>771</v>
      </c>
      <c r="U1985" s="372" t="s">
        <v>12859</v>
      </c>
      <c r="V1985" s="723" t="s">
        <v>773</v>
      </c>
      <c r="W1985" s="723">
        <v>1.65</v>
      </c>
      <c r="X1985" s="723">
        <v>0.67</v>
      </c>
      <c r="Y1985" s="723" t="s">
        <v>773</v>
      </c>
      <c r="Z1985" s="382" t="s">
        <v>927</v>
      </c>
      <c r="AA1985" s="372">
        <v>371.01580580000001</v>
      </c>
      <c r="AB1985" s="372">
        <v>411.63709119999999</v>
      </c>
      <c r="AC1985" s="372">
        <v>589.36831849999999</v>
      </c>
      <c r="AD1985" s="372">
        <v>809.03510900000003</v>
      </c>
      <c r="AE1985" s="372">
        <v>0</v>
      </c>
      <c r="AF1985" s="372">
        <v>0</v>
      </c>
      <c r="AG1985" s="372">
        <v>0</v>
      </c>
      <c r="AH1985" s="372">
        <v>0</v>
      </c>
    </row>
    <row r="1986" spans="1:34">
      <c r="A1986" s="372" t="s">
        <v>12860</v>
      </c>
      <c r="B1986" s="373" t="s">
        <v>12861</v>
      </c>
      <c r="C1986" s="372" t="s">
        <v>12862</v>
      </c>
      <c r="D1986" s="374">
        <v>1101110005052</v>
      </c>
      <c r="E1986" s="372" t="s">
        <v>12863</v>
      </c>
      <c r="F1986" s="372" t="s">
        <v>12864</v>
      </c>
      <c r="G1986" s="375" t="s">
        <v>12865</v>
      </c>
      <c r="H1986" s="375" t="s">
        <v>846</v>
      </c>
      <c r="I1986" s="375" t="s">
        <v>754</v>
      </c>
      <c r="J1986" s="375">
        <v>133396.57240999999</v>
      </c>
      <c r="K1986" s="375">
        <v>-4174.9575199999999</v>
      </c>
      <c r="L1986" s="375">
        <v>-8559.2487799999999</v>
      </c>
      <c r="M1986" s="375">
        <v>91692.701620000007</v>
      </c>
      <c r="N1986" s="372">
        <v>0.78100000000000003</v>
      </c>
      <c r="O1986" s="704">
        <v>206.04398811303665</v>
      </c>
      <c r="P1986" s="375" t="s">
        <v>622</v>
      </c>
      <c r="Q1986" s="372" t="s">
        <v>622</v>
      </c>
      <c r="R1986" s="696">
        <v>19740626</v>
      </c>
      <c r="S1986" s="372" t="s">
        <v>12866</v>
      </c>
      <c r="T1986" s="697" t="s">
        <v>771</v>
      </c>
      <c r="U1986" s="372" t="s">
        <v>12867</v>
      </c>
      <c r="V1986" s="723">
        <v>22.24</v>
      </c>
      <c r="W1986" s="723">
        <v>0.5</v>
      </c>
      <c r="X1986" s="723">
        <v>0.34</v>
      </c>
      <c r="Y1986" s="723" t="s">
        <v>773</v>
      </c>
      <c r="Z1986" s="382" t="s">
        <v>927</v>
      </c>
      <c r="AA1986" s="372">
        <v>1277.62923</v>
      </c>
      <c r="AB1986" s="372">
        <v>1322.3589942999999</v>
      </c>
      <c r="AC1986" s="372">
        <v>1495.3221026000001</v>
      </c>
      <c r="AD1986" s="372">
        <v>1414.5279287999999</v>
      </c>
      <c r="AE1986" s="372">
        <v>0</v>
      </c>
      <c r="AF1986" s="372">
        <v>0</v>
      </c>
      <c r="AG1986" s="372">
        <v>0</v>
      </c>
      <c r="AH1986" s="372">
        <v>0</v>
      </c>
    </row>
    <row r="1987" spans="1:34">
      <c r="A1987" s="372" t="s">
        <v>12868</v>
      </c>
      <c r="B1987" s="373" t="s">
        <v>12869</v>
      </c>
      <c r="C1987" s="372" t="s">
        <v>12870</v>
      </c>
      <c r="D1987" s="374">
        <v>1101114339415</v>
      </c>
      <c r="E1987" s="372" t="s">
        <v>12871</v>
      </c>
      <c r="F1987" s="372" t="s">
        <v>2992</v>
      </c>
      <c r="G1987" s="375" t="s">
        <v>2992</v>
      </c>
      <c r="H1987" s="375" t="s">
        <v>861</v>
      </c>
      <c r="I1987" s="375" t="s">
        <v>862</v>
      </c>
      <c r="J1987" s="375">
        <v>330022.16113999998</v>
      </c>
      <c r="K1987" s="375">
        <v>1037.90699</v>
      </c>
      <c r="L1987" s="375">
        <v>2476.1299300000001</v>
      </c>
      <c r="M1987" s="375">
        <v>109900.38662999999</v>
      </c>
      <c r="N1987" s="372">
        <v>0.878</v>
      </c>
      <c r="O1987" s="704">
        <v>31.908121416964853</v>
      </c>
      <c r="P1987" s="375" t="s">
        <v>622</v>
      </c>
      <c r="Q1987" s="375" t="s">
        <v>622</v>
      </c>
      <c r="R1987" s="696">
        <v>20100831</v>
      </c>
      <c r="S1987" s="375" t="s">
        <v>11250</v>
      </c>
      <c r="T1987" s="697">
        <v>0.20900000000000002</v>
      </c>
      <c r="U1987" s="372" t="s">
        <v>12872</v>
      </c>
      <c r="V1987" s="723">
        <v>0</v>
      </c>
      <c r="W1987" s="723">
        <v>0</v>
      </c>
      <c r="X1987" s="723">
        <v>0</v>
      </c>
      <c r="Y1987" s="723">
        <v>0</v>
      </c>
      <c r="Z1987" s="382" t="s">
        <v>927</v>
      </c>
      <c r="AA1987" s="372">
        <v>2471.1069610999998</v>
      </c>
      <c r="AB1987" s="372">
        <v>2547.4194416</v>
      </c>
      <c r="AC1987" s="372">
        <v>3179.4197869999998</v>
      </c>
      <c r="AD1987" s="372">
        <v>3598.7825034000002</v>
      </c>
      <c r="AE1987" s="372">
        <v>0</v>
      </c>
      <c r="AF1987" s="372">
        <v>0</v>
      </c>
      <c r="AG1987" s="372">
        <v>0</v>
      </c>
      <c r="AH1987" s="372">
        <v>0</v>
      </c>
    </row>
    <row r="1988" spans="1:34">
      <c r="A1988" s="372" t="s">
        <v>12873</v>
      </c>
      <c r="B1988" s="373" t="s">
        <v>12874</v>
      </c>
      <c r="C1988" s="372" t="s">
        <v>12875</v>
      </c>
      <c r="D1988" s="374">
        <v>2101110058935</v>
      </c>
      <c r="E1988" s="372" t="s">
        <v>12876</v>
      </c>
      <c r="F1988" s="375" t="s">
        <v>769</v>
      </c>
      <c r="G1988" s="375" t="s">
        <v>11564</v>
      </c>
      <c r="H1988" s="375" t="s">
        <v>861</v>
      </c>
      <c r="I1988" s="375" t="s">
        <v>862</v>
      </c>
      <c r="J1988" s="375">
        <v>11815.816000000001</v>
      </c>
      <c r="K1988" s="375">
        <v>-5355.3478599999999</v>
      </c>
      <c r="L1988" s="375">
        <v>-5292.55062</v>
      </c>
      <c r="M1988" s="375">
        <v>25238.00923</v>
      </c>
      <c r="N1988" s="372" t="s">
        <v>1026</v>
      </c>
      <c r="O1988" s="704">
        <v>27.041304135014656</v>
      </c>
      <c r="P1988" s="375" t="s">
        <v>622</v>
      </c>
      <c r="Q1988" s="372" t="s">
        <v>622</v>
      </c>
      <c r="R1988" s="696">
        <v>20230803</v>
      </c>
      <c r="S1988" s="372" t="s">
        <v>12877</v>
      </c>
      <c r="T1988" s="697" t="s">
        <v>771</v>
      </c>
      <c r="U1988" s="372" t="s">
        <v>12878</v>
      </c>
      <c r="V1988" s="723">
        <v>0</v>
      </c>
      <c r="W1988" s="723">
        <v>0</v>
      </c>
      <c r="X1988" s="723">
        <v>0</v>
      </c>
      <c r="Y1988" s="723">
        <v>0</v>
      </c>
      <c r="Z1988" s="382" t="s">
        <v>927</v>
      </c>
      <c r="AA1988" s="372">
        <v>119.804986</v>
      </c>
      <c r="AB1988" s="372">
        <v>154.9467349</v>
      </c>
      <c r="AC1988" s="372">
        <v>145.21214320000001</v>
      </c>
      <c r="AD1988" s="372">
        <v>125.13645270000001</v>
      </c>
      <c r="AE1988" s="372">
        <v>0</v>
      </c>
      <c r="AF1988" s="372">
        <v>0</v>
      </c>
      <c r="AG1988" s="372">
        <v>0</v>
      </c>
      <c r="AH1988" s="372">
        <v>0</v>
      </c>
    </row>
    <row r="1989" spans="1:34">
      <c r="A1989" s="372" t="s">
        <v>12879</v>
      </c>
      <c r="B1989" s="373" t="s">
        <v>12880</v>
      </c>
      <c r="C1989" s="372" t="s">
        <v>16311</v>
      </c>
      <c r="D1989" s="374">
        <v>1311110035640</v>
      </c>
      <c r="E1989" s="372" t="s">
        <v>12881</v>
      </c>
      <c r="F1989" s="375" t="s">
        <v>1656</v>
      </c>
      <c r="G1989" s="375" t="s">
        <v>1656</v>
      </c>
      <c r="H1989" s="375" t="s">
        <v>861</v>
      </c>
      <c r="I1989" s="375" t="s">
        <v>862</v>
      </c>
      <c r="J1989" s="375">
        <v>8839.8819299999996</v>
      </c>
      <c r="K1989" s="375">
        <v>-12560.336719999999</v>
      </c>
      <c r="L1989" s="375">
        <v>-10333.720079999999</v>
      </c>
      <c r="M1989" s="375">
        <v>47778.328300000001</v>
      </c>
      <c r="N1989" s="372">
        <v>0.371</v>
      </c>
      <c r="O1989" s="704">
        <v>0.38525711771031679</v>
      </c>
      <c r="P1989" s="375" t="s">
        <v>16115</v>
      </c>
      <c r="Q1989" s="372" t="s">
        <v>16116</v>
      </c>
      <c r="R1989" s="696">
        <v>20060725</v>
      </c>
      <c r="S1989" s="372" t="e">
        <v>#N/A</v>
      </c>
      <c r="T1989" s="697" t="s">
        <v>771</v>
      </c>
      <c r="U1989" s="372" t="s">
        <v>12882</v>
      </c>
      <c r="V1989" s="723">
        <v>0</v>
      </c>
      <c r="W1989" s="723">
        <v>0</v>
      </c>
      <c r="X1989" s="723">
        <v>0</v>
      </c>
      <c r="Y1989" s="723">
        <v>0</v>
      </c>
      <c r="Z1989" s="382" t="s">
        <v>927</v>
      </c>
      <c r="AA1989" s="372">
        <v>367.13520999999997</v>
      </c>
      <c r="AB1989" s="372">
        <v>288.04980999999998</v>
      </c>
      <c r="AC1989" s="372">
        <v>210.12864680000001</v>
      </c>
      <c r="AD1989" s="372">
        <v>151.8477383</v>
      </c>
      <c r="AE1989" s="372">
        <v>0</v>
      </c>
      <c r="AF1989" s="372">
        <v>0</v>
      </c>
      <c r="AG1989" s="372">
        <v>0</v>
      </c>
      <c r="AH1989" s="372">
        <v>0</v>
      </c>
    </row>
    <row r="1990" spans="1:34">
      <c r="A1990" s="372" t="s">
        <v>12883</v>
      </c>
      <c r="B1990" s="373" t="s">
        <v>12884</v>
      </c>
      <c r="C1990" s="372" t="s">
        <v>16041</v>
      </c>
      <c r="D1990" s="374">
        <v>1101114327915</v>
      </c>
      <c r="E1990" s="372" t="s">
        <v>16042</v>
      </c>
      <c r="F1990" s="375" t="s">
        <v>1055</v>
      </c>
      <c r="G1990" s="375" t="s">
        <v>16104</v>
      </c>
      <c r="H1990" s="375" t="s">
        <v>861</v>
      </c>
      <c r="I1990" s="375" t="s">
        <v>862</v>
      </c>
      <c r="J1990" s="375">
        <v>3773.30332</v>
      </c>
      <c r="K1990" s="375">
        <v>-3141.1688600000002</v>
      </c>
      <c r="L1990" s="375">
        <v>-3128.2155499999999</v>
      </c>
      <c r="M1990" s="375">
        <v>16797.938630000001</v>
      </c>
      <c r="N1990" s="372">
        <v>0.58499999999999996</v>
      </c>
      <c r="O1990" s="704">
        <v>7.2703345423053429</v>
      </c>
      <c r="P1990" s="375" t="s">
        <v>622</v>
      </c>
      <c r="Q1990" s="372" t="s">
        <v>622</v>
      </c>
      <c r="R1990" s="696">
        <v>20190201</v>
      </c>
      <c r="S1990" s="372" t="s">
        <v>12885</v>
      </c>
      <c r="T1990" s="697" t="s">
        <v>771</v>
      </c>
      <c r="U1990" s="372" t="s">
        <v>12886</v>
      </c>
      <c r="V1990" s="723" t="s">
        <v>773</v>
      </c>
      <c r="W1990" s="723">
        <v>3.91</v>
      </c>
      <c r="X1990" s="723">
        <v>17.100000000000001</v>
      </c>
      <c r="Y1990" s="723" t="s">
        <v>773</v>
      </c>
      <c r="Z1990" s="382" t="s">
        <v>927</v>
      </c>
      <c r="AA1990" s="372">
        <v>5.9618880000000001</v>
      </c>
      <c r="AB1990" s="372">
        <v>5.0728856000000002</v>
      </c>
      <c r="AC1990" s="372">
        <v>3.6977647999999999</v>
      </c>
      <c r="AD1990" s="372">
        <v>13.2210389</v>
      </c>
      <c r="AE1990" s="372">
        <v>0</v>
      </c>
      <c r="AF1990" s="372">
        <v>0</v>
      </c>
      <c r="AG1990" s="372">
        <v>0</v>
      </c>
      <c r="AH1990" s="372">
        <v>0</v>
      </c>
    </row>
    <row r="1991" spans="1:34">
      <c r="A1991" s="372" t="s">
        <v>12887</v>
      </c>
      <c r="B1991" s="373" t="s">
        <v>12888</v>
      </c>
      <c r="C1991" s="372" t="s">
        <v>16043</v>
      </c>
      <c r="D1991" s="374">
        <v>1601110091332</v>
      </c>
      <c r="E1991" s="372" t="s">
        <v>15950</v>
      </c>
      <c r="F1991" s="372" t="s">
        <v>3672</v>
      </c>
      <c r="G1991" s="375" t="s">
        <v>3672</v>
      </c>
      <c r="H1991" s="375" t="s">
        <v>1337</v>
      </c>
      <c r="I1991" s="375" t="s">
        <v>862</v>
      </c>
      <c r="J1991" s="375">
        <v>-4408.1101200000003</v>
      </c>
      <c r="K1991" s="375">
        <v>-2439.8212199999998</v>
      </c>
      <c r="L1991" s="375">
        <v>-6207.8301899999997</v>
      </c>
      <c r="M1991" s="375">
        <v>42266.147530000002</v>
      </c>
      <c r="N1991" s="372">
        <v>1.3740000000000001</v>
      </c>
      <c r="O1991" s="704">
        <v>20.800418372614061</v>
      </c>
      <c r="P1991" s="375" t="s">
        <v>622</v>
      </c>
      <c r="Q1991" s="372" t="s">
        <v>622</v>
      </c>
      <c r="R1991" s="696">
        <v>20141126</v>
      </c>
      <c r="S1991" s="372" t="s">
        <v>12889</v>
      </c>
      <c r="T1991" s="697" t="s">
        <v>771</v>
      </c>
      <c r="U1991" s="372" t="s">
        <v>12890</v>
      </c>
      <c r="V1991" s="723">
        <v>338.95</v>
      </c>
      <c r="W1991" s="723">
        <v>1.53</v>
      </c>
      <c r="X1991" s="723">
        <v>-12.64</v>
      </c>
      <c r="Y1991" s="723">
        <v>8.36</v>
      </c>
      <c r="Z1991" s="382" t="s">
        <v>927</v>
      </c>
      <c r="AA1991" s="372">
        <v>804.52923980000003</v>
      </c>
      <c r="AB1991" s="372">
        <v>1011.6965423</v>
      </c>
      <c r="AC1991" s="372">
        <v>220.04336369999999</v>
      </c>
      <c r="AD1991" s="372">
        <v>182.45316120000001</v>
      </c>
      <c r="AE1991" s="372">
        <v>0</v>
      </c>
      <c r="AF1991" s="372">
        <v>0</v>
      </c>
      <c r="AG1991" s="372">
        <v>0</v>
      </c>
      <c r="AH1991" s="372">
        <v>0</v>
      </c>
    </row>
    <row r="1992" spans="1:34">
      <c r="A1992" s="372" t="s">
        <v>12891</v>
      </c>
      <c r="B1992" s="373" t="s">
        <v>12892</v>
      </c>
      <c r="C1992" s="372" t="s">
        <v>12893</v>
      </c>
      <c r="D1992" s="374">
        <v>1943110004498</v>
      </c>
      <c r="E1992" s="372" t="s">
        <v>12894</v>
      </c>
      <c r="F1992" s="375" t="s">
        <v>1323</v>
      </c>
      <c r="G1992" s="375" t="s">
        <v>16106</v>
      </c>
      <c r="H1992" s="375" t="s">
        <v>861</v>
      </c>
      <c r="I1992" s="375" t="s">
        <v>862</v>
      </c>
      <c r="J1992" s="375">
        <v>61460.744010000002</v>
      </c>
      <c r="K1992" s="375">
        <v>-9650.5316999999995</v>
      </c>
      <c r="L1992" s="375">
        <v>-13522.85348</v>
      </c>
      <c r="M1992" s="375">
        <v>32664.162189999999</v>
      </c>
      <c r="N1992" s="372">
        <v>0.56000000000000005</v>
      </c>
      <c r="O1992" s="704">
        <v>61.192167447719662</v>
      </c>
      <c r="P1992" s="375" t="s">
        <v>622</v>
      </c>
      <c r="Q1992" s="372" t="s">
        <v>622</v>
      </c>
      <c r="R1992" s="696">
        <v>19990811</v>
      </c>
      <c r="S1992" s="372" t="s">
        <v>12895</v>
      </c>
      <c r="T1992" s="697" t="s">
        <v>771</v>
      </c>
      <c r="U1992" s="372" t="s">
        <v>12896</v>
      </c>
      <c r="V1992" s="723" t="s">
        <v>773</v>
      </c>
      <c r="W1992" s="723">
        <v>1.25</v>
      </c>
      <c r="X1992" s="723">
        <v>0.72</v>
      </c>
      <c r="Y1992" s="723" t="s">
        <v>773</v>
      </c>
      <c r="Z1992" s="382" t="s">
        <v>927</v>
      </c>
      <c r="AA1992" s="372">
        <v>653.59759880000001</v>
      </c>
      <c r="AB1992" s="372">
        <v>575.60933139999997</v>
      </c>
      <c r="AC1992" s="372">
        <v>688.79662110000004</v>
      </c>
      <c r="AD1992" s="372">
        <v>629.73743079999997</v>
      </c>
      <c r="AE1992" s="372">
        <v>0</v>
      </c>
      <c r="AF1992" s="372">
        <v>0</v>
      </c>
      <c r="AG1992" s="372">
        <v>0</v>
      </c>
      <c r="AH1992" s="372">
        <v>0</v>
      </c>
    </row>
    <row r="1993" spans="1:34">
      <c r="A1993" s="372" t="s">
        <v>12897</v>
      </c>
      <c r="B1993" s="373" t="s">
        <v>12898</v>
      </c>
      <c r="C1993" s="372" t="s">
        <v>15951</v>
      </c>
      <c r="D1993" s="374">
        <v>1101114305614</v>
      </c>
      <c r="E1993" s="372" t="s">
        <v>15952</v>
      </c>
      <c r="F1993" s="372" t="s">
        <v>1962</v>
      </c>
      <c r="G1993" s="375" t="s">
        <v>1962</v>
      </c>
      <c r="H1993" s="375" t="s">
        <v>861</v>
      </c>
      <c r="I1993" s="375" t="s">
        <v>862</v>
      </c>
      <c r="J1993" s="375">
        <v>18298.756020000001</v>
      </c>
      <c r="K1993" s="375">
        <v>-10219.257379999999</v>
      </c>
      <c r="L1993" s="375">
        <v>-30086.69226</v>
      </c>
      <c r="M1993" s="375">
        <v>100664.92243999999</v>
      </c>
      <c r="N1993" s="372">
        <v>0.81699999999999995</v>
      </c>
      <c r="O1993" s="704">
        <v>61.449367683492063</v>
      </c>
      <c r="P1993" s="375" t="s">
        <v>622</v>
      </c>
      <c r="Q1993" s="372" t="s">
        <v>16116</v>
      </c>
      <c r="R1993" s="696">
        <v>20101005</v>
      </c>
      <c r="S1993" s="372" t="s">
        <v>12899</v>
      </c>
      <c r="T1993" s="697" t="s">
        <v>771</v>
      </c>
      <c r="U1993" s="372" t="s">
        <v>12900</v>
      </c>
      <c r="V1993" s="723" t="s">
        <v>773</v>
      </c>
      <c r="W1993" s="723">
        <v>0.56000000000000005</v>
      </c>
      <c r="X1993" s="723">
        <v>2.29</v>
      </c>
      <c r="Y1993" s="723" t="s">
        <v>773</v>
      </c>
      <c r="Z1993" s="382" t="s">
        <v>927</v>
      </c>
      <c r="AA1993" s="372">
        <v>156.67649489999999</v>
      </c>
      <c r="AB1993" s="372">
        <v>100.8490243</v>
      </c>
      <c r="AC1993" s="372">
        <v>69.075870800000004</v>
      </c>
      <c r="AD1993" s="372">
        <v>48.210465399999997</v>
      </c>
      <c r="AE1993" s="372">
        <v>0</v>
      </c>
      <c r="AF1993" s="372">
        <v>0</v>
      </c>
      <c r="AG1993" s="372">
        <v>0</v>
      </c>
      <c r="AH1993" s="372">
        <v>0</v>
      </c>
    </row>
    <row r="1994" spans="1:34">
      <c r="A1994" s="372" t="s">
        <v>12901</v>
      </c>
      <c r="B1994" s="373" t="s">
        <v>12902</v>
      </c>
      <c r="C1994" s="372" t="s">
        <v>12903</v>
      </c>
      <c r="D1994" s="374">
        <v>2042110000784</v>
      </c>
      <c r="E1994" s="372" t="s">
        <v>12904</v>
      </c>
      <c r="F1994" s="375" t="s">
        <v>5410</v>
      </c>
      <c r="G1994" s="375" t="s">
        <v>10795</v>
      </c>
      <c r="H1994" s="375" t="s">
        <v>861</v>
      </c>
      <c r="I1994" s="375" t="s">
        <v>862</v>
      </c>
      <c r="J1994" s="375">
        <v>43591.348180000001</v>
      </c>
      <c r="K1994" s="375">
        <v>-743.04849000000002</v>
      </c>
      <c r="L1994" s="375">
        <v>745.17494999999997</v>
      </c>
      <c r="M1994" s="375">
        <v>65421.217700000001</v>
      </c>
      <c r="N1994" s="372">
        <v>1.0680000000000001</v>
      </c>
      <c r="O1994" s="704">
        <v>0.13266136195410808</v>
      </c>
      <c r="P1994" s="375" t="s">
        <v>622</v>
      </c>
      <c r="Q1994" s="372" t="s">
        <v>622</v>
      </c>
      <c r="R1994" s="696">
        <v>20111219</v>
      </c>
      <c r="S1994" s="372" t="s">
        <v>12905</v>
      </c>
      <c r="T1994" s="697">
        <v>0.20900000000000002</v>
      </c>
      <c r="U1994" s="372" t="s">
        <v>12906</v>
      </c>
      <c r="V1994" s="723">
        <v>0</v>
      </c>
      <c r="W1994" s="723">
        <v>0</v>
      </c>
      <c r="X1994" s="723">
        <v>0</v>
      </c>
      <c r="Y1994" s="723">
        <v>0</v>
      </c>
      <c r="Z1994" s="382" t="s">
        <v>927</v>
      </c>
      <c r="AA1994" s="372">
        <v>318.03725780000002</v>
      </c>
      <c r="AB1994" s="372">
        <v>448.74160519999998</v>
      </c>
      <c r="AC1994" s="372">
        <v>504.18205169999999</v>
      </c>
      <c r="AD1994" s="372">
        <v>458.3697416</v>
      </c>
      <c r="AE1994" s="372">
        <v>0</v>
      </c>
      <c r="AF1994" s="372">
        <v>0</v>
      </c>
      <c r="AG1994" s="372">
        <v>0</v>
      </c>
      <c r="AH1994" s="372">
        <v>0</v>
      </c>
    </row>
    <row r="1995" spans="1:34">
      <c r="A1995" s="372" t="s">
        <v>12907</v>
      </c>
      <c r="B1995" s="373" t="s">
        <v>12908</v>
      </c>
      <c r="C1995" s="372" t="s">
        <v>12909</v>
      </c>
      <c r="D1995" s="374">
        <v>1101116869965</v>
      </c>
      <c r="E1995" s="372" t="s">
        <v>12910</v>
      </c>
      <c r="F1995" s="375" t="s">
        <v>1370</v>
      </c>
      <c r="G1995" s="375" t="s">
        <v>1370</v>
      </c>
      <c r="H1995" s="375" t="s">
        <v>861</v>
      </c>
      <c r="I1995" s="375" t="s">
        <v>862</v>
      </c>
      <c r="J1995" s="375">
        <v>28730.752939999998</v>
      </c>
      <c r="K1995" s="375">
        <v>-3804.1777000000002</v>
      </c>
      <c r="L1995" s="375">
        <v>-13278.594870000001</v>
      </c>
      <c r="M1995" s="375">
        <v>28966.045580000002</v>
      </c>
      <c r="N1995" s="372">
        <v>0.51300000000000001</v>
      </c>
      <c r="O1995" s="704">
        <v>29.373846081979615</v>
      </c>
      <c r="P1995" s="375" t="s">
        <v>622</v>
      </c>
      <c r="Q1995" s="372" t="s">
        <v>622</v>
      </c>
      <c r="R1995" s="696">
        <v>20181212</v>
      </c>
      <c r="S1995" s="372" t="s">
        <v>12911</v>
      </c>
      <c r="T1995" s="697" t="s">
        <v>771</v>
      </c>
      <c r="U1995" s="372" t="s">
        <v>12912</v>
      </c>
      <c r="V1995" s="723" t="s">
        <v>773</v>
      </c>
      <c r="W1995" s="723">
        <v>2.85</v>
      </c>
      <c r="X1995" s="723">
        <v>1.97</v>
      </c>
      <c r="Y1995" s="723" t="s">
        <v>773</v>
      </c>
      <c r="Z1995" s="382" t="s">
        <v>927</v>
      </c>
      <c r="AA1995" s="372">
        <v>248.67829929999999</v>
      </c>
      <c r="AB1995" s="372">
        <v>257.75165229999999</v>
      </c>
      <c r="AC1995" s="372">
        <v>270.82999569999998</v>
      </c>
      <c r="AD1995" s="372">
        <v>320.29523449999999</v>
      </c>
      <c r="AE1995" s="372">
        <v>0</v>
      </c>
      <c r="AF1995" s="372">
        <v>0</v>
      </c>
      <c r="AG1995" s="372">
        <v>0</v>
      </c>
      <c r="AH1995" s="372">
        <v>0</v>
      </c>
    </row>
    <row r="1996" spans="1:34">
      <c r="A1996" s="372" t="s">
        <v>12913</v>
      </c>
      <c r="B1996" s="373" t="s">
        <v>12914</v>
      </c>
      <c r="C1996" s="372" t="s">
        <v>12915</v>
      </c>
      <c r="D1996" s="374">
        <v>1101110984199</v>
      </c>
      <c r="E1996" s="372" t="s">
        <v>12916</v>
      </c>
      <c r="F1996" s="372" t="s">
        <v>8999</v>
      </c>
      <c r="G1996" s="375" t="s">
        <v>8999</v>
      </c>
      <c r="H1996" s="375" t="s">
        <v>8018</v>
      </c>
      <c r="I1996" s="375" t="s">
        <v>862</v>
      </c>
      <c r="J1996" s="375">
        <v>50519.082979999999</v>
      </c>
      <c r="K1996" s="375">
        <v>6801.73387</v>
      </c>
      <c r="L1996" s="375">
        <v>28529.374319999999</v>
      </c>
      <c r="M1996" s="375">
        <v>364386.68221</v>
      </c>
      <c r="N1996" s="372">
        <v>0.69499999999999995</v>
      </c>
      <c r="O1996" s="704">
        <v>84.321469820297551</v>
      </c>
      <c r="P1996" s="375" t="s">
        <v>622</v>
      </c>
      <c r="Q1996" s="372" t="s">
        <v>622</v>
      </c>
      <c r="R1996" s="696">
        <v>20000425</v>
      </c>
      <c r="S1996" s="372" t="s">
        <v>12917</v>
      </c>
      <c r="T1996" s="697">
        <v>0.23100000000000001</v>
      </c>
      <c r="U1996" s="372" t="s">
        <v>12918</v>
      </c>
      <c r="V1996" s="723">
        <v>10.62</v>
      </c>
      <c r="W1996" s="723">
        <v>0.15</v>
      </c>
      <c r="X1996" s="723">
        <v>1.0900000000000001</v>
      </c>
      <c r="Y1996" s="723">
        <v>2.11</v>
      </c>
      <c r="Z1996" s="382" t="s">
        <v>927</v>
      </c>
      <c r="AA1996" s="372">
        <v>403.89407740000001</v>
      </c>
      <c r="AB1996" s="372">
        <v>357.48782549999999</v>
      </c>
      <c r="AC1996" s="372">
        <v>427.19402700000001</v>
      </c>
      <c r="AD1996" s="372">
        <v>418.9869893</v>
      </c>
      <c r="AE1996" s="372">
        <v>0</v>
      </c>
      <c r="AF1996" s="372">
        <v>0</v>
      </c>
      <c r="AG1996" s="372">
        <v>0</v>
      </c>
      <c r="AH1996" s="372">
        <v>0</v>
      </c>
    </row>
    <row r="1997" spans="1:34">
      <c r="A1997" s="372" t="s">
        <v>12919</v>
      </c>
      <c r="B1997" s="373" t="s">
        <v>12920</v>
      </c>
      <c r="C1997" s="372" t="s">
        <v>12921</v>
      </c>
      <c r="D1997" s="374">
        <v>1845110020244</v>
      </c>
      <c r="E1997" s="372" t="s">
        <v>12922</v>
      </c>
      <c r="F1997" s="372" t="s">
        <v>1863</v>
      </c>
      <c r="G1997" s="375" t="s">
        <v>1864</v>
      </c>
      <c r="H1997" s="375" t="s">
        <v>861</v>
      </c>
      <c r="I1997" s="375" t="s">
        <v>862</v>
      </c>
      <c r="J1997" s="375">
        <v>115913.18270999999</v>
      </c>
      <c r="K1997" s="375">
        <v>7796.8043399999997</v>
      </c>
      <c r="L1997" s="375">
        <v>-33798.3632</v>
      </c>
      <c r="M1997" s="375">
        <v>46923.756889999997</v>
      </c>
      <c r="N1997" s="372">
        <v>0.70699999999999996</v>
      </c>
      <c r="O1997" s="704">
        <v>181.53289571790171</v>
      </c>
      <c r="P1997" s="375" t="s">
        <v>622</v>
      </c>
      <c r="Q1997" s="375" t="s">
        <v>622</v>
      </c>
      <c r="R1997" s="696">
        <v>20061020</v>
      </c>
      <c r="S1997" s="375" t="s">
        <v>12923</v>
      </c>
      <c r="T1997" s="697" t="s">
        <v>771</v>
      </c>
      <c r="U1997" s="372" t="s">
        <v>15953</v>
      </c>
      <c r="V1997" s="723">
        <v>10.1</v>
      </c>
      <c r="W1997" s="723">
        <v>0.88</v>
      </c>
      <c r="X1997" s="723">
        <v>0.36</v>
      </c>
      <c r="Y1997" s="723" t="s">
        <v>773</v>
      </c>
      <c r="Z1997" s="382" t="s">
        <v>927</v>
      </c>
      <c r="AA1997" s="372">
        <v>851.67570269999999</v>
      </c>
      <c r="AB1997" s="372">
        <v>906.26244359999998</v>
      </c>
      <c r="AC1997" s="372">
        <v>944.25491699999998</v>
      </c>
      <c r="AD1997" s="372">
        <v>1082.7507141000001</v>
      </c>
      <c r="AE1997" s="372">
        <v>0</v>
      </c>
      <c r="AF1997" s="372">
        <v>0</v>
      </c>
      <c r="AG1997" s="372">
        <v>0</v>
      </c>
      <c r="AH1997" s="372">
        <v>0</v>
      </c>
    </row>
    <row r="1998" spans="1:34">
      <c r="A1998" s="372" t="s">
        <v>12924</v>
      </c>
      <c r="B1998" s="373" t="s">
        <v>12925</v>
      </c>
      <c r="C1998" s="372" t="s">
        <v>12926</v>
      </c>
      <c r="D1998" s="374">
        <v>1101116793007</v>
      </c>
      <c r="E1998" s="372" t="s">
        <v>12927</v>
      </c>
      <c r="F1998" s="372" t="s">
        <v>3236</v>
      </c>
      <c r="G1998" s="375" t="s">
        <v>3236</v>
      </c>
      <c r="H1998" s="375" t="s">
        <v>861</v>
      </c>
      <c r="I1998" s="375" t="s">
        <v>862</v>
      </c>
      <c r="J1998" s="375">
        <v>55930.874259999997</v>
      </c>
      <c r="K1998" s="375">
        <v>-362.70348000000001</v>
      </c>
      <c r="L1998" s="375">
        <v>-226.26732000000001</v>
      </c>
      <c r="M1998" s="375">
        <v>16851.309860000001</v>
      </c>
      <c r="N1998" s="372">
        <v>1.0069999999999999</v>
      </c>
      <c r="O1998" s="704">
        <v>10.92665106502178</v>
      </c>
      <c r="P1998" s="375" t="s">
        <v>622</v>
      </c>
      <c r="Q1998" s="372" t="s">
        <v>622</v>
      </c>
      <c r="R1998" s="696">
        <v>20180830</v>
      </c>
      <c r="S1998" s="372" t="s">
        <v>12928</v>
      </c>
      <c r="T1998" s="697" t="s">
        <v>771</v>
      </c>
      <c r="U1998" s="372" t="s">
        <v>12929</v>
      </c>
      <c r="V1998" s="723">
        <v>0</v>
      </c>
      <c r="W1998" s="723">
        <v>0</v>
      </c>
      <c r="X1998" s="723">
        <v>0</v>
      </c>
      <c r="Y1998" s="723">
        <v>0</v>
      </c>
      <c r="Z1998" s="382" t="s">
        <v>927</v>
      </c>
      <c r="AA1998" s="372">
        <v>403.93272000000002</v>
      </c>
      <c r="AB1998" s="372">
        <v>388.33025049999998</v>
      </c>
      <c r="AC1998" s="372">
        <v>276.1113891</v>
      </c>
      <c r="AD1998" s="372">
        <v>330.6842279</v>
      </c>
      <c r="AE1998" s="372">
        <v>0</v>
      </c>
      <c r="AF1998" s="372">
        <v>0</v>
      </c>
      <c r="AG1998" s="372">
        <v>0</v>
      </c>
      <c r="AH1998" s="372">
        <v>0</v>
      </c>
    </row>
    <row r="1999" spans="1:34">
      <c r="A1999" s="372" t="s">
        <v>12930</v>
      </c>
      <c r="B1999" s="373" t="s">
        <v>12931</v>
      </c>
      <c r="C1999" s="372" t="s">
        <v>16044</v>
      </c>
      <c r="D1999" s="374">
        <v>1101113016999</v>
      </c>
      <c r="E1999" s="372" t="s">
        <v>16045</v>
      </c>
      <c r="F1999" s="372" t="s">
        <v>1276</v>
      </c>
      <c r="G1999" s="375" t="s">
        <v>1452</v>
      </c>
      <c r="H1999" s="375" t="s">
        <v>861</v>
      </c>
      <c r="I1999" s="375" t="s">
        <v>862</v>
      </c>
      <c r="J1999" s="375">
        <v>13907.67794</v>
      </c>
      <c r="K1999" s="375">
        <v>-6667.0000499999996</v>
      </c>
      <c r="L1999" s="375">
        <v>-18672.119610000002</v>
      </c>
      <c r="M1999" s="375">
        <v>67058.019620000006</v>
      </c>
      <c r="N1999" s="372">
        <v>0.83299999999999996</v>
      </c>
      <c r="O1999" s="704">
        <v>5.0399514698647838</v>
      </c>
      <c r="P1999" s="375" t="s">
        <v>622</v>
      </c>
      <c r="Q1999" s="372" t="s">
        <v>622</v>
      </c>
      <c r="R1999" s="696">
        <v>20141229</v>
      </c>
      <c r="S1999" s="372" t="s">
        <v>12932</v>
      </c>
      <c r="T1999" s="697" t="s">
        <v>771</v>
      </c>
      <c r="U1999" s="372" t="s">
        <v>12933</v>
      </c>
      <c r="V1999" s="723" t="s">
        <v>773</v>
      </c>
      <c r="W1999" s="723">
        <v>0.48</v>
      </c>
      <c r="X1999" s="723">
        <v>2.23</v>
      </c>
      <c r="Y1999" s="723" t="s">
        <v>773</v>
      </c>
      <c r="Z1999" s="382" t="s">
        <v>927</v>
      </c>
      <c r="AA1999" s="372">
        <v>303.37042270000001</v>
      </c>
      <c r="AB1999" s="372">
        <v>383.94217329999998</v>
      </c>
      <c r="AC1999" s="372">
        <v>302.3361898</v>
      </c>
      <c r="AD1999" s="372">
        <v>201.71254669999999</v>
      </c>
      <c r="AE1999" s="372">
        <v>0</v>
      </c>
      <c r="AF1999" s="372">
        <v>0</v>
      </c>
      <c r="AG1999" s="372">
        <v>0</v>
      </c>
      <c r="AH1999" s="372">
        <v>0</v>
      </c>
    </row>
    <row r="2000" spans="1:34">
      <c r="A2000" s="372" t="s">
        <v>12934</v>
      </c>
      <c r="B2000" s="373" t="s">
        <v>12935</v>
      </c>
      <c r="C2000" s="372" t="s">
        <v>12936</v>
      </c>
      <c r="D2000" s="374">
        <v>1101112103953</v>
      </c>
      <c r="E2000" s="372" t="s">
        <v>12937</v>
      </c>
      <c r="F2000" s="372" t="s">
        <v>2668</v>
      </c>
      <c r="G2000" s="375" t="s">
        <v>12938</v>
      </c>
      <c r="H2000" s="375" t="s">
        <v>1539</v>
      </c>
      <c r="I2000" s="375" t="s">
        <v>754</v>
      </c>
      <c r="J2000" s="375">
        <v>35540.148139999998</v>
      </c>
      <c r="K2000" s="375">
        <v>-3283.9854099999998</v>
      </c>
      <c r="L2000" s="375">
        <v>-1473.2517499999999</v>
      </c>
      <c r="M2000" s="375">
        <v>82292.725399999996</v>
      </c>
      <c r="N2000" s="372">
        <v>1.1160000000000001</v>
      </c>
      <c r="O2000" s="704">
        <v>104.95364507213243</v>
      </c>
      <c r="P2000" s="375" t="s">
        <v>622</v>
      </c>
      <c r="Q2000" s="372" t="s">
        <v>622</v>
      </c>
      <c r="R2000" s="696">
        <v>20061226</v>
      </c>
      <c r="S2000" s="372" t="s">
        <v>12939</v>
      </c>
      <c r="T2000" s="697" t="s">
        <v>771</v>
      </c>
      <c r="U2000" s="372" t="s">
        <v>12940</v>
      </c>
      <c r="V2000" s="723" t="s">
        <v>773</v>
      </c>
      <c r="W2000" s="723">
        <v>0.51</v>
      </c>
      <c r="X2000" s="723">
        <v>1.1599999999999999</v>
      </c>
      <c r="Y2000" s="723" t="s">
        <v>773</v>
      </c>
      <c r="Z2000" s="382" t="s">
        <v>927</v>
      </c>
      <c r="AA2000" s="372">
        <v>489.93243489999998</v>
      </c>
      <c r="AB2000" s="372">
        <v>293.44936319999999</v>
      </c>
      <c r="AC2000" s="372">
        <v>226.59042210000001</v>
      </c>
      <c r="AD2000" s="372">
        <v>215.9888765</v>
      </c>
      <c r="AE2000" s="372">
        <v>0</v>
      </c>
      <c r="AF2000" s="372">
        <v>0</v>
      </c>
      <c r="AG2000" s="372">
        <v>0</v>
      </c>
      <c r="AH2000" s="372">
        <v>0</v>
      </c>
    </row>
    <row r="2001" spans="1:34">
      <c r="A2001" s="372" t="s">
        <v>12941</v>
      </c>
      <c r="B2001" s="373" t="s">
        <v>12942</v>
      </c>
      <c r="C2001" s="372" t="s">
        <v>12943</v>
      </c>
      <c r="D2001" s="374">
        <v>1748110000309</v>
      </c>
      <c r="E2001" s="372" t="s">
        <v>12944</v>
      </c>
      <c r="F2001" s="372" t="s">
        <v>4099</v>
      </c>
      <c r="G2001" s="375" t="s">
        <v>4099</v>
      </c>
      <c r="H2001" s="375" t="s">
        <v>861</v>
      </c>
      <c r="I2001" s="375" t="s">
        <v>862</v>
      </c>
      <c r="J2001" s="375">
        <v>33606.213259999997</v>
      </c>
      <c r="K2001" s="375">
        <v>1972.9796799999999</v>
      </c>
      <c r="L2001" s="375">
        <v>522.50498000000005</v>
      </c>
      <c r="M2001" s="375">
        <v>89240.549440000003</v>
      </c>
      <c r="N2001" s="372">
        <v>0.40500000000000003</v>
      </c>
      <c r="O2001" s="704">
        <v>32.933536761658395</v>
      </c>
      <c r="P2001" s="375" t="s">
        <v>16115</v>
      </c>
      <c r="Q2001" s="372" t="s">
        <v>16116</v>
      </c>
      <c r="R2001" s="696">
        <v>20180810</v>
      </c>
      <c r="S2001" s="372" t="s">
        <v>12945</v>
      </c>
      <c r="T2001" s="697">
        <v>0.20900000000000002</v>
      </c>
      <c r="U2001" s="372" t="s">
        <v>12946</v>
      </c>
      <c r="V2001" s="723">
        <v>0</v>
      </c>
      <c r="W2001" s="723">
        <v>0</v>
      </c>
      <c r="X2001" s="723">
        <v>0</v>
      </c>
      <c r="Y2001" s="723">
        <v>0</v>
      </c>
      <c r="Z2001" s="382" t="s">
        <v>927</v>
      </c>
      <c r="AA2001" s="372">
        <v>336.35810550000002</v>
      </c>
      <c r="AB2001" s="372">
        <v>363.26640850000001</v>
      </c>
      <c r="AC2001" s="372">
        <v>353.54061530000001</v>
      </c>
      <c r="AD2001" s="372">
        <v>304.75572089999997</v>
      </c>
      <c r="AE2001" s="372">
        <v>0</v>
      </c>
      <c r="AF2001" s="372">
        <v>0</v>
      </c>
      <c r="AG2001" s="372">
        <v>0</v>
      </c>
      <c r="AH2001" s="372">
        <v>0</v>
      </c>
    </row>
    <row r="2002" spans="1:34">
      <c r="A2002" s="372" t="s">
        <v>12947</v>
      </c>
      <c r="B2002" s="373" t="s">
        <v>12948</v>
      </c>
      <c r="C2002" s="372" t="s">
        <v>12949</v>
      </c>
      <c r="D2002" s="374">
        <v>1101112124389</v>
      </c>
      <c r="E2002" s="372" t="s">
        <v>12950</v>
      </c>
      <c r="F2002" s="372" t="s">
        <v>1116</v>
      </c>
      <c r="G2002" s="375" t="s">
        <v>1336</v>
      </c>
      <c r="H2002" s="375" t="s">
        <v>1337</v>
      </c>
      <c r="I2002" s="375" t="s">
        <v>862</v>
      </c>
      <c r="J2002" s="375">
        <v>10250.892459999999</v>
      </c>
      <c r="K2002" s="375">
        <v>-1730.39005</v>
      </c>
      <c r="L2002" s="375">
        <v>-3497.3196800000001</v>
      </c>
      <c r="M2002" s="375">
        <v>19750.14546</v>
      </c>
      <c r="N2002" s="372">
        <v>0.96899999999999997</v>
      </c>
      <c r="O2002" s="704">
        <v>5.8160212975751442</v>
      </c>
      <c r="P2002" s="375" t="s">
        <v>622</v>
      </c>
      <c r="Q2002" s="375" t="s">
        <v>622</v>
      </c>
      <c r="R2002" s="696">
        <v>20091106</v>
      </c>
      <c r="S2002" s="375" t="s">
        <v>12951</v>
      </c>
      <c r="T2002" s="697" t="s">
        <v>771</v>
      </c>
      <c r="U2002" s="372" t="s">
        <v>12952</v>
      </c>
      <c r="V2002" s="723">
        <v>0</v>
      </c>
      <c r="W2002" s="723">
        <v>0</v>
      </c>
      <c r="X2002" s="723">
        <v>0</v>
      </c>
      <c r="Y2002" s="723">
        <v>0</v>
      </c>
      <c r="Z2002" s="382" t="s">
        <v>927</v>
      </c>
      <c r="AA2002" s="372">
        <v>159.01382100000001</v>
      </c>
      <c r="AB2002" s="372">
        <v>121.0615277</v>
      </c>
      <c r="AC2002" s="372">
        <v>112.1447872</v>
      </c>
      <c r="AD2002" s="372">
        <v>98.145026799999997</v>
      </c>
      <c r="AE2002" s="372">
        <v>0</v>
      </c>
      <c r="AF2002" s="372">
        <v>0</v>
      </c>
      <c r="AG2002" s="372">
        <v>0</v>
      </c>
      <c r="AH2002" s="372">
        <v>0</v>
      </c>
    </row>
    <row r="2003" spans="1:34">
      <c r="A2003" s="372" t="s">
        <v>12953</v>
      </c>
      <c r="B2003" s="373" t="s">
        <v>12954</v>
      </c>
      <c r="C2003" s="372" t="s">
        <v>12955</v>
      </c>
      <c r="D2003" s="374">
        <v>1101111434218</v>
      </c>
      <c r="E2003" s="372" t="s">
        <v>12956</v>
      </c>
      <c r="F2003" s="372" t="s">
        <v>845</v>
      </c>
      <c r="G2003" s="375" t="s">
        <v>845</v>
      </c>
      <c r="H2003" s="375" t="s">
        <v>3099</v>
      </c>
      <c r="I2003" s="375" t="s">
        <v>862</v>
      </c>
      <c r="J2003" s="375">
        <v>15621.54852</v>
      </c>
      <c r="K2003" s="375">
        <v>-9929.5491500000007</v>
      </c>
      <c r="L2003" s="375">
        <v>-9963.0149999999994</v>
      </c>
      <c r="M2003" s="375">
        <v>17153.2857</v>
      </c>
      <c r="N2003" s="372" t="s">
        <v>1026</v>
      </c>
      <c r="O2003" s="704">
        <v>0.76713836001533497</v>
      </c>
      <c r="P2003" s="375" t="s">
        <v>622</v>
      </c>
      <c r="Q2003" s="372" t="s">
        <v>622</v>
      </c>
      <c r="R2003" s="696">
        <v>20020820</v>
      </c>
      <c r="S2003" s="372" t="s">
        <v>12957</v>
      </c>
      <c r="T2003" s="697" t="s">
        <v>771</v>
      </c>
      <c r="U2003" s="372" t="s">
        <v>12958</v>
      </c>
      <c r="V2003" s="723" t="s">
        <v>773</v>
      </c>
      <c r="W2003" s="723">
        <v>3.69</v>
      </c>
      <c r="X2003" s="723">
        <v>3.72</v>
      </c>
      <c r="Y2003" s="723" t="s">
        <v>773</v>
      </c>
      <c r="Z2003" s="382" t="s">
        <v>927</v>
      </c>
      <c r="AA2003" s="372">
        <v>87.233999800000007</v>
      </c>
      <c r="AB2003" s="372">
        <v>116.63131540000001</v>
      </c>
      <c r="AC2003" s="372">
        <v>281.38644549999998</v>
      </c>
      <c r="AD2003" s="372">
        <v>216.4614703</v>
      </c>
      <c r="AE2003" s="372">
        <v>0</v>
      </c>
      <c r="AF2003" s="372">
        <v>0</v>
      </c>
      <c r="AG2003" s="372">
        <v>0</v>
      </c>
      <c r="AH2003" s="372">
        <v>0</v>
      </c>
    </row>
    <row r="2004" spans="1:34">
      <c r="A2004" s="372" t="s">
        <v>12959</v>
      </c>
      <c r="B2004" s="373" t="s">
        <v>12960</v>
      </c>
      <c r="C2004" s="372" t="s">
        <v>12961</v>
      </c>
      <c r="D2004" s="374">
        <v>1101115545962</v>
      </c>
      <c r="E2004" s="372" t="s">
        <v>12962</v>
      </c>
      <c r="F2004" s="372" t="s">
        <v>1370</v>
      </c>
      <c r="G2004" s="375" t="s">
        <v>1370</v>
      </c>
      <c r="H2004" s="375" t="s">
        <v>861</v>
      </c>
      <c r="I2004" s="375" t="s">
        <v>862</v>
      </c>
      <c r="J2004" s="375">
        <v>14441.743350000001</v>
      </c>
      <c r="K2004" s="375">
        <v>-10828.77475</v>
      </c>
      <c r="L2004" s="375">
        <v>-12543.043439999999</v>
      </c>
      <c r="M2004" s="375">
        <v>20077.543030000001</v>
      </c>
      <c r="N2004" s="372">
        <v>0.90700000000000003</v>
      </c>
      <c r="O2004" s="704">
        <v>2.2649477948381218</v>
      </c>
      <c r="P2004" s="375" t="s">
        <v>622</v>
      </c>
      <c r="Q2004" s="372" t="s">
        <v>622</v>
      </c>
      <c r="R2004" s="696">
        <v>20141229</v>
      </c>
      <c r="S2004" s="372" t="s">
        <v>1370</v>
      </c>
      <c r="T2004" s="697" t="s">
        <v>771</v>
      </c>
      <c r="U2004" s="372" t="s">
        <v>12963</v>
      </c>
      <c r="V2004" s="723" t="s">
        <v>773</v>
      </c>
      <c r="W2004" s="723">
        <v>1.89</v>
      </c>
      <c r="X2004" s="723">
        <v>2.63</v>
      </c>
      <c r="Y2004" s="723" t="s">
        <v>773</v>
      </c>
      <c r="Z2004" s="382" t="s">
        <v>927</v>
      </c>
      <c r="AA2004" s="372">
        <v>70.063596700000005</v>
      </c>
      <c r="AB2004" s="372">
        <v>362.38086120000003</v>
      </c>
      <c r="AC2004" s="372">
        <v>125.193735</v>
      </c>
      <c r="AD2004" s="372">
        <v>115.6093474</v>
      </c>
      <c r="AE2004" s="372">
        <v>0</v>
      </c>
      <c r="AF2004" s="372">
        <v>0</v>
      </c>
      <c r="AG2004" s="372">
        <v>0</v>
      </c>
      <c r="AH2004" s="372">
        <v>0</v>
      </c>
    </row>
    <row r="2005" spans="1:34">
      <c r="A2005" s="372" t="s">
        <v>12964</v>
      </c>
      <c r="B2005" s="373" t="s">
        <v>12965</v>
      </c>
      <c r="C2005" s="372" t="s">
        <v>16288</v>
      </c>
      <c r="D2005" s="374">
        <v>1101112887193</v>
      </c>
      <c r="E2005" s="372" t="s">
        <v>16289</v>
      </c>
      <c r="F2005" s="375" t="s">
        <v>1116</v>
      </c>
      <c r="G2005" s="375" t="s">
        <v>1336</v>
      </c>
      <c r="H2005" s="375" t="s">
        <v>1337</v>
      </c>
      <c r="I2005" s="375" t="s">
        <v>862</v>
      </c>
      <c r="J2005" s="375">
        <v>10350.18721</v>
      </c>
      <c r="K2005" s="375">
        <v>-16208.0483</v>
      </c>
      <c r="L2005" s="375">
        <v>-19254.604670000001</v>
      </c>
      <c r="M2005" s="375">
        <v>9054.1352000000006</v>
      </c>
      <c r="N2005" s="372">
        <v>0.997</v>
      </c>
      <c r="O2005" s="704">
        <v>10.918423061363688</v>
      </c>
      <c r="P2005" s="375" t="s">
        <v>622</v>
      </c>
      <c r="Q2005" s="375" t="s">
        <v>622</v>
      </c>
      <c r="R2005" s="696">
        <v>20210603</v>
      </c>
      <c r="S2005" s="375" t="s">
        <v>12966</v>
      </c>
      <c r="T2005" s="697" t="s">
        <v>771</v>
      </c>
      <c r="U2005" s="372" t="s">
        <v>12967</v>
      </c>
      <c r="V2005" s="723" t="s">
        <v>773</v>
      </c>
      <c r="W2005" s="723">
        <v>5.45</v>
      </c>
      <c r="X2005" s="723">
        <v>6.81</v>
      </c>
      <c r="Y2005" s="723" t="s">
        <v>773</v>
      </c>
      <c r="Z2005" s="382" t="s">
        <v>927</v>
      </c>
      <c r="AA2005" s="372">
        <v>131.20162540000001</v>
      </c>
      <c r="AB2005" s="372">
        <v>139.77771680000001</v>
      </c>
      <c r="AC2005" s="372">
        <v>148.82555780000001</v>
      </c>
      <c r="AD2005" s="372">
        <v>137.90195689999999</v>
      </c>
      <c r="AE2005" s="372">
        <v>0</v>
      </c>
      <c r="AF2005" s="372">
        <v>0</v>
      </c>
      <c r="AG2005" s="372">
        <v>0</v>
      </c>
      <c r="AH2005" s="372">
        <v>0</v>
      </c>
    </row>
    <row r="2006" spans="1:34">
      <c r="A2006" s="372" t="s">
        <v>12968</v>
      </c>
      <c r="B2006" s="373" t="s">
        <v>12969</v>
      </c>
      <c r="C2006" s="372" t="s">
        <v>12970</v>
      </c>
      <c r="D2006" s="374">
        <v>1601110221319</v>
      </c>
      <c r="E2006" s="372" t="s">
        <v>12971</v>
      </c>
      <c r="F2006" s="372" t="s">
        <v>5600</v>
      </c>
      <c r="G2006" s="375" t="s">
        <v>5600</v>
      </c>
      <c r="H2006" s="375" t="s">
        <v>1531</v>
      </c>
      <c r="I2006" s="375" t="s">
        <v>862</v>
      </c>
      <c r="J2006" s="375">
        <v>143709.66841000001</v>
      </c>
      <c r="K2006" s="375">
        <v>12725.412249999999</v>
      </c>
      <c r="L2006" s="375">
        <v>-25050.948260000001</v>
      </c>
      <c r="M2006" s="375">
        <v>70362.916100000002</v>
      </c>
      <c r="N2006" s="372">
        <v>0.53100000000000003</v>
      </c>
      <c r="O2006" s="704">
        <v>61.466320612060862</v>
      </c>
      <c r="P2006" s="375" t="s">
        <v>622</v>
      </c>
      <c r="Q2006" s="372" t="s">
        <v>622</v>
      </c>
      <c r="R2006" s="696">
        <v>20110614</v>
      </c>
      <c r="S2006" s="372" t="s">
        <v>12972</v>
      </c>
      <c r="T2006" s="697" t="s">
        <v>771</v>
      </c>
      <c r="U2006" s="372" t="s">
        <v>15954</v>
      </c>
      <c r="V2006" s="723">
        <v>0</v>
      </c>
      <c r="W2006" s="723">
        <v>0</v>
      </c>
      <c r="X2006" s="723">
        <v>0</v>
      </c>
      <c r="Y2006" s="723">
        <v>0</v>
      </c>
      <c r="Z2006" s="382" t="s">
        <v>927</v>
      </c>
      <c r="AA2006" s="372">
        <v>222.90570650000001</v>
      </c>
      <c r="AB2006" s="372">
        <v>191.38614810000001</v>
      </c>
      <c r="AC2006" s="372">
        <v>587.42551979999996</v>
      </c>
      <c r="AD2006" s="372">
        <v>1502.6884051</v>
      </c>
      <c r="AE2006" s="372">
        <v>0</v>
      </c>
      <c r="AF2006" s="372">
        <v>0</v>
      </c>
      <c r="AG2006" s="372">
        <v>0</v>
      </c>
      <c r="AH2006" s="372">
        <v>0</v>
      </c>
    </row>
    <row r="2007" spans="1:34">
      <c r="A2007" s="372" t="s">
        <v>12973</v>
      </c>
      <c r="B2007" s="373" t="s">
        <v>12974</v>
      </c>
      <c r="C2007" s="372" t="s">
        <v>12975</v>
      </c>
      <c r="D2007" s="374">
        <v>1101117182655</v>
      </c>
      <c r="E2007" s="372" t="s">
        <v>12976</v>
      </c>
      <c r="F2007" s="372" t="s">
        <v>12977</v>
      </c>
      <c r="G2007" s="375" t="s">
        <v>12977</v>
      </c>
      <c r="H2007" s="375" t="s">
        <v>861</v>
      </c>
      <c r="I2007" s="375" t="s">
        <v>862</v>
      </c>
      <c r="J2007" s="375">
        <v>90662.454540000006</v>
      </c>
      <c r="K2007" s="375">
        <v>278.06763999999998</v>
      </c>
      <c r="L2007" s="375">
        <v>641.08016999999995</v>
      </c>
      <c r="M2007" s="375">
        <v>24304.968260000001</v>
      </c>
      <c r="N2007" s="372">
        <v>0.89700000000000002</v>
      </c>
      <c r="O2007" s="704">
        <v>76.382027843266044</v>
      </c>
      <c r="P2007" s="375" t="s">
        <v>622</v>
      </c>
      <c r="Q2007" s="372" t="s">
        <v>622</v>
      </c>
      <c r="R2007" s="696">
        <v>20191011</v>
      </c>
      <c r="S2007" s="372" t="s">
        <v>2850</v>
      </c>
      <c r="T2007" s="697">
        <v>0.20900000000000002</v>
      </c>
      <c r="U2007" s="372" t="s">
        <v>12978</v>
      </c>
      <c r="V2007" s="723">
        <v>24.94</v>
      </c>
      <c r="W2007" s="723">
        <v>1.68</v>
      </c>
      <c r="X2007" s="723">
        <v>0.47</v>
      </c>
      <c r="Y2007" s="723" t="s">
        <v>773</v>
      </c>
      <c r="Z2007" s="382" t="s">
        <v>927</v>
      </c>
      <c r="AA2007" s="372">
        <v>463.30012920000001</v>
      </c>
      <c r="AB2007" s="372">
        <v>611.28233250000005</v>
      </c>
      <c r="AC2007" s="372">
        <v>730.28453520000005</v>
      </c>
      <c r="AD2007" s="372">
        <v>821.56943239999998</v>
      </c>
      <c r="AE2007" s="372">
        <v>0</v>
      </c>
      <c r="AF2007" s="372">
        <v>0</v>
      </c>
      <c r="AG2007" s="372">
        <v>0</v>
      </c>
      <c r="AH2007" s="372">
        <v>0</v>
      </c>
    </row>
    <row r="2008" spans="1:34">
      <c r="A2008" s="372" t="s">
        <v>12979</v>
      </c>
      <c r="B2008" s="373" t="s">
        <v>12980</v>
      </c>
      <c r="C2008" s="372" t="s">
        <v>12981</v>
      </c>
      <c r="D2008" s="374">
        <v>1101111118276</v>
      </c>
      <c r="E2008" s="372" t="s">
        <v>12982</v>
      </c>
      <c r="F2008" s="375" t="s">
        <v>2259</v>
      </c>
      <c r="G2008" s="375" t="s">
        <v>2259</v>
      </c>
      <c r="H2008" s="375" t="s">
        <v>4847</v>
      </c>
      <c r="I2008" s="375" t="s">
        <v>862</v>
      </c>
      <c r="J2008" s="375">
        <v>260138.16634</v>
      </c>
      <c r="K2008" s="375">
        <v>-11104.574699999999</v>
      </c>
      <c r="L2008" s="375">
        <v>-23241.953000000001</v>
      </c>
      <c r="M2008" s="375">
        <v>47615.11492</v>
      </c>
      <c r="N2008" s="372">
        <v>1.0669999999999999</v>
      </c>
      <c r="O2008" s="704">
        <v>46.546028884074204</v>
      </c>
      <c r="P2008" s="375" t="s">
        <v>622</v>
      </c>
      <c r="Q2008" s="372" t="s">
        <v>622</v>
      </c>
      <c r="R2008" s="696">
        <v>20080718</v>
      </c>
      <c r="S2008" s="372" t="s">
        <v>12983</v>
      </c>
      <c r="T2008" s="697" t="s">
        <v>771</v>
      </c>
      <c r="U2008" s="372" t="s">
        <v>12984</v>
      </c>
      <c r="V2008" s="723" t="s">
        <v>773</v>
      </c>
      <c r="W2008" s="723">
        <v>0.74</v>
      </c>
      <c r="X2008" s="723">
        <v>0.14000000000000001</v>
      </c>
      <c r="Y2008" s="723" t="s">
        <v>773</v>
      </c>
      <c r="Z2008" s="382" t="s">
        <v>927</v>
      </c>
      <c r="AA2008" s="372">
        <v>2010.9663879</v>
      </c>
      <c r="AB2008" s="372">
        <v>2691.6111569999998</v>
      </c>
      <c r="AC2008" s="372">
        <v>3267.4033184</v>
      </c>
      <c r="AD2008" s="372">
        <v>3332.0337893000001</v>
      </c>
      <c r="AE2008" s="372">
        <v>0</v>
      </c>
      <c r="AF2008" s="372">
        <v>0</v>
      </c>
      <c r="AG2008" s="372">
        <v>0</v>
      </c>
      <c r="AH2008" s="372">
        <v>0</v>
      </c>
    </row>
    <row r="2009" spans="1:34">
      <c r="A2009" s="372" t="s">
        <v>12985</v>
      </c>
      <c r="B2009" s="373" t="s">
        <v>12986</v>
      </c>
      <c r="C2009" s="372" t="s">
        <v>12987</v>
      </c>
      <c r="D2009" s="374">
        <v>1101111342213</v>
      </c>
      <c r="E2009" s="372" t="s">
        <v>12988</v>
      </c>
      <c r="F2009" s="375" t="s">
        <v>1656</v>
      </c>
      <c r="G2009" s="375" t="s">
        <v>1656</v>
      </c>
      <c r="H2009" s="375" t="s">
        <v>861</v>
      </c>
      <c r="I2009" s="375" t="s">
        <v>862</v>
      </c>
      <c r="J2009" s="375">
        <v>32384.840929999998</v>
      </c>
      <c r="K2009" s="375">
        <v>-5446.5665099999997</v>
      </c>
      <c r="L2009" s="375">
        <v>-7163.8167700000004</v>
      </c>
      <c r="M2009" s="375">
        <v>36593.076630000003</v>
      </c>
      <c r="N2009" s="372">
        <v>1.248</v>
      </c>
      <c r="O2009" s="704">
        <v>59.285000093924431</v>
      </c>
      <c r="P2009" s="375" t="s">
        <v>622</v>
      </c>
      <c r="Q2009" s="372" t="s">
        <v>622</v>
      </c>
      <c r="R2009" s="696">
        <v>20091006</v>
      </c>
      <c r="S2009" s="372" t="s">
        <v>12989</v>
      </c>
      <c r="T2009" s="697" t="s">
        <v>771</v>
      </c>
      <c r="U2009" s="372" t="s">
        <v>12990</v>
      </c>
      <c r="V2009" s="723" t="s">
        <v>773</v>
      </c>
      <c r="W2009" s="723">
        <v>0.72</v>
      </c>
      <c r="X2009" s="723">
        <v>0.97</v>
      </c>
      <c r="Y2009" s="723" t="s">
        <v>773</v>
      </c>
      <c r="Z2009" s="382" t="s">
        <v>927</v>
      </c>
      <c r="AA2009" s="372">
        <v>228.84989999999999</v>
      </c>
      <c r="AB2009" s="372">
        <v>299.44561060000001</v>
      </c>
      <c r="AC2009" s="372">
        <v>393.84695649999998</v>
      </c>
      <c r="AD2009" s="372">
        <v>642.85596109999994</v>
      </c>
      <c r="AE2009" s="372">
        <v>0</v>
      </c>
      <c r="AF2009" s="372">
        <v>0</v>
      </c>
      <c r="AG2009" s="372">
        <v>0</v>
      </c>
      <c r="AH2009" s="372">
        <v>0</v>
      </c>
    </row>
    <row r="2010" spans="1:34">
      <c r="A2010" s="372" t="s">
        <v>12991</v>
      </c>
      <c r="B2010" s="373" t="s">
        <v>12992</v>
      </c>
      <c r="C2010" s="372" t="s">
        <v>12993</v>
      </c>
      <c r="D2010" s="374">
        <v>1913110002354</v>
      </c>
      <c r="E2010" s="372" t="s">
        <v>12994</v>
      </c>
      <c r="F2010" s="375" t="s">
        <v>1863</v>
      </c>
      <c r="G2010" s="375" t="s">
        <v>1864</v>
      </c>
      <c r="H2010" s="375" t="s">
        <v>861</v>
      </c>
      <c r="I2010" s="375" t="s">
        <v>862</v>
      </c>
      <c r="J2010" s="375">
        <v>77544.512459999998</v>
      </c>
      <c r="K2010" s="375">
        <v>5735.1200099999996</v>
      </c>
      <c r="L2010" s="375">
        <v>5940.0283600000002</v>
      </c>
      <c r="M2010" s="375">
        <v>46068.624510000001</v>
      </c>
      <c r="N2010" s="372" t="s">
        <v>1026</v>
      </c>
      <c r="O2010" s="704">
        <v>3.775876013317498</v>
      </c>
      <c r="P2010" s="375" t="s">
        <v>622</v>
      </c>
      <c r="Q2010" s="372" t="s">
        <v>622</v>
      </c>
      <c r="R2010" s="696">
        <v>20051027</v>
      </c>
      <c r="S2010" s="372" t="s">
        <v>12995</v>
      </c>
      <c r="T2010" s="697">
        <v>0.20900000000000002</v>
      </c>
      <c r="U2010" s="372" t="s">
        <v>8878</v>
      </c>
      <c r="V2010" s="723">
        <v>0</v>
      </c>
      <c r="W2010" s="723">
        <v>0</v>
      </c>
      <c r="X2010" s="723">
        <v>0</v>
      </c>
      <c r="Y2010" s="723">
        <v>0</v>
      </c>
      <c r="Z2010" s="382" t="s">
        <v>927</v>
      </c>
      <c r="AA2010" s="372">
        <v>614.05219729999999</v>
      </c>
      <c r="AB2010" s="372">
        <v>426.09779109999999</v>
      </c>
      <c r="AC2010" s="372">
        <v>435.3876338</v>
      </c>
      <c r="AD2010" s="372">
        <v>636.63274090000004</v>
      </c>
      <c r="AE2010" s="372">
        <v>0</v>
      </c>
      <c r="AF2010" s="372">
        <v>0</v>
      </c>
      <c r="AG2010" s="372">
        <v>0</v>
      </c>
      <c r="AH2010" s="372">
        <v>0</v>
      </c>
    </row>
    <row r="2011" spans="1:34">
      <c r="A2011" s="372" t="s">
        <v>12996</v>
      </c>
      <c r="B2011" s="373" t="s">
        <v>12997</v>
      </c>
      <c r="C2011" s="372" t="s">
        <v>12998</v>
      </c>
      <c r="D2011" s="374">
        <v>1348110001545</v>
      </c>
      <c r="E2011" s="372" t="s">
        <v>12999</v>
      </c>
      <c r="F2011" s="372" t="s">
        <v>1871</v>
      </c>
      <c r="G2011" s="375" t="s">
        <v>1872</v>
      </c>
      <c r="H2011" s="375" t="s">
        <v>861</v>
      </c>
      <c r="I2011" s="375" t="s">
        <v>862</v>
      </c>
      <c r="J2011" s="375">
        <v>23515.20174</v>
      </c>
      <c r="K2011" s="375">
        <v>-4910.5142100000003</v>
      </c>
      <c r="L2011" s="375">
        <v>-2228.1804400000001</v>
      </c>
      <c r="M2011" s="375">
        <v>43853.972349999996</v>
      </c>
      <c r="N2011" s="372">
        <v>0.106</v>
      </c>
      <c r="O2011" s="704">
        <v>21.753419820331889</v>
      </c>
      <c r="P2011" s="375" t="s">
        <v>622</v>
      </c>
      <c r="Q2011" s="375" t="s">
        <v>622</v>
      </c>
      <c r="R2011" s="696">
        <v>19971103</v>
      </c>
      <c r="S2011" s="375" t="s">
        <v>13000</v>
      </c>
      <c r="T2011" s="697" t="s">
        <v>771</v>
      </c>
      <c r="U2011" s="372" t="s">
        <v>13001</v>
      </c>
      <c r="V2011" s="723" t="s">
        <v>773</v>
      </c>
      <c r="W2011" s="723">
        <v>1.53</v>
      </c>
      <c r="X2011" s="723">
        <v>2.7</v>
      </c>
      <c r="Y2011" s="723" t="s">
        <v>773</v>
      </c>
      <c r="Z2011" s="382" t="s">
        <v>927</v>
      </c>
      <c r="AA2011" s="372">
        <v>787.70053429999996</v>
      </c>
      <c r="AB2011" s="372">
        <v>543.46966640000005</v>
      </c>
      <c r="AC2011" s="372">
        <v>310.79586540000003</v>
      </c>
      <c r="AD2011" s="372">
        <v>229.87862179999999</v>
      </c>
      <c r="AE2011" s="372">
        <v>0</v>
      </c>
      <c r="AF2011" s="372">
        <v>0</v>
      </c>
      <c r="AG2011" s="372">
        <v>0</v>
      </c>
      <c r="AH2011" s="372">
        <v>0</v>
      </c>
    </row>
    <row r="2012" spans="1:34">
      <c r="A2012" s="372" t="s">
        <v>13002</v>
      </c>
      <c r="B2012" s="373" t="s">
        <v>13003</v>
      </c>
      <c r="C2012" s="372" t="s">
        <v>13004</v>
      </c>
      <c r="D2012" s="374">
        <v>1101110279996</v>
      </c>
      <c r="E2012" s="372" t="s">
        <v>13005</v>
      </c>
      <c r="F2012" s="375" t="s">
        <v>1537</v>
      </c>
      <c r="G2012" s="375" t="s">
        <v>3641</v>
      </c>
      <c r="H2012" s="375" t="s">
        <v>1539</v>
      </c>
      <c r="I2012" s="375" t="s">
        <v>754</v>
      </c>
      <c r="J2012" s="375">
        <v>117298.86143</v>
      </c>
      <c r="K2012" s="375">
        <v>-587.35514999999998</v>
      </c>
      <c r="L2012" s="375">
        <v>115.07718</v>
      </c>
      <c r="M2012" s="375">
        <v>33266.449159999996</v>
      </c>
      <c r="N2012" s="372">
        <v>1.2470000000000001</v>
      </c>
      <c r="O2012" s="704">
        <v>92.593657718774836</v>
      </c>
      <c r="P2012" s="375" t="s">
        <v>622</v>
      </c>
      <c r="Q2012" s="372" t="s">
        <v>622</v>
      </c>
      <c r="R2012" s="696">
        <v>19890620</v>
      </c>
      <c r="S2012" s="372" t="s">
        <v>13006</v>
      </c>
      <c r="T2012" s="697">
        <v>9.9000000000000005E-2</v>
      </c>
      <c r="U2012" s="372" t="s">
        <v>13007</v>
      </c>
      <c r="V2012" s="723">
        <v>12.67</v>
      </c>
      <c r="W2012" s="723">
        <v>1.47</v>
      </c>
      <c r="X2012" s="723">
        <v>0.42</v>
      </c>
      <c r="Y2012" s="723" t="s">
        <v>773</v>
      </c>
      <c r="Z2012" s="382" t="s">
        <v>927</v>
      </c>
      <c r="AA2012" s="372">
        <v>1527.5075482</v>
      </c>
      <c r="AB2012" s="372">
        <v>1486.9893812</v>
      </c>
      <c r="AC2012" s="372">
        <v>1353.3306290999999</v>
      </c>
      <c r="AD2012" s="372">
        <v>1264.9979034</v>
      </c>
      <c r="AE2012" s="372">
        <v>0</v>
      </c>
      <c r="AF2012" s="372">
        <v>0</v>
      </c>
      <c r="AG2012" s="372">
        <v>0</v>
      </c>
      <c r="AH2012" s="372">
        <v>0</v>
      </c>
    </row>
    <row r="2013" spans="1:34">
      <c r="A2013" s="372" t="s">
        <v>13008</v>
      </c>
      <c r="B2013" s="373" t="s">
        <v>13009</v>
      </c>
      <c r="C2013" s="372" t="s">
        <v>13010</v>
      </c>
      <c r="D2013" s="374">
        <v>2149110013103</v>
      </c>
      <c r="E2013" s="372" t="s">
        <v>13011</v>
      </c>
      <c r="F2013" s="375" t="s">
        <v>769</v>
      </c>
      <c r="G2013" s="375" t="s">
        <v>769</v>
      </c>
      <c r="H2013" s="375" t="s">
        <v>861</v>
      </c>
      <c r="I2013" s="375" t="s">
        <v>862</v>
      </c>
      <c r="J2013" s="375">
        <v>36333.270089999998</v>
      </c>
      <c r="K2013" s="375">
        <v>-3249.51343</v>
      </c>
      <c r="L2013" s="375">
        <v>11642.78744</v>
      </c>
      <c r="M2013" s="375">
        <v>134178.02853000001</v>
      </c>
      <c r="N2013" s="372">
        <v>0.80600000000000005</v>
      </c>
      <c r="O2013" s="704">
        <v>15.690952408222959</v>
      </c>
      <c r="P2013" s="375" t="s">
        <v>622</v>
      </c>
      <c r="Q2013" s="372" t="s">
        <v>622</v>
      </c>
      <c r="R2013" s="696">
        <v>20071008</v>
      </c>
      <c r="S2013" s="372" t="s">
        <v>13012</v>
      </c>
      <c r="T2013" s="697">
        <v>0.20900000000000002</v>
      </c>
      <c r="U2013" s="372" t="s">
        <v>13013</v>
      </c>
      <c r="V2013" s="723">
        <v>116.21</v>
      </c>
      <c r="W2013" s="723">
        <v>0.3</v>
      </c>
      <c r="X2013" s="723">
        <v>1.18</v>
      </c>
      <c r="Y2013" s="723">
        <v>3.28</v>
      </c>
      <c r="Z2013" s="382" t="s">
        <v>927</v>
      </c>
      <c r="AA2013" s="372">
        <v>422.36591870000001</v>
      </c>
      <c r="AB2013" s="372">
        <v>468.9793775</v>
      </c>
      <c r="AC2013" s="372">
        <v>403.89289869999999</v>
      </c>
      <c r="AD2013" s="372">
        <v>349.6416595</v>
      </c>
      <c r="AE2013" s="372">
        <v>0</v>
      </c>
      <c r="AF2013" s="372">
        <v>0</v>
      </c>
      <c r="AG2013" s="372">
        <v>0</v>
      </c>
      <c r="AH2013" s="372">
        <v>0</v>
      </c>
    </row>
    <row r="2014" spans="1:34">
      <c r="A2014" s="372" t="s">
        <v>13014</v>
      </c>
      <c r="B2014" s="373" t="s">
        <v>13015</v>
      </c>
      <c r="C2014" s="372" t="s">
        <v>13016</v>
      </c>
      <c r="D2014" s="374">
        <v>1450110000540</v>
      </c>
      <c r="E2014" s="372" t="s">
        <v>13017</v>
      </c>
      <c r="F2014" s="375" t="s">
        <v>11047</v>
      </c>
      <c r="G2014" s="375" t="s">
        <v>11047</v>
      </c>
      <c r="H2014" s="375" t="s">
        <v>861</v>
      </c>
      <c r="I2014" s="375" t="s">
        <v>862</v>
      </c>
      <c r="J2014" s="375">
        <v>130990.49088</v>
      </c>
      <c r="K2014" s="375">
        <v>-9140.0556799999995</v>
      </c>
      <c r="L2014" s="375">
        <v>-5892.3629799999999</v>
      </c>
      <c r="M2014" s="375">
        <v>126743.2954</v>
      </c>
      <c r="N2014" s="372">
        <v>0.64400000000000002</v>
      </c>
      <c r="O2014" s="704">
        <v>80.072491180116216</v>
      </c>
      <c r="P2014" s="375" t="s">
        <v>622</v>
      </c>
      <c r="Q2014" s="372" t="s">
        <v>622</v>
      </c>
      <c r="R2014" s="696">
        <v>20051220</v>
      </c>
      <c r="S2014" s="372" t="s">
        <v>13018</v>
      </c>
      <c r="T2014" s="697" t="s">
        <v>771</v>
      </c>
      <c r="U2014" s="372" t="s">
        <v>13019</v>
      </c>
      <c r="V2014" s="723" t="s">
        <v>773</v>
      </c>
      <c r="W2014" s="723">
        <v>0.32</v>
      </c>
      <c r="X2014" s="723">
        <v>0.31</v>
      </c>
      <c r="Y2014" s="723" t="s">
        <v>773</v>
      </c>
      <c r="Z2014" s="382" t="s">
        <v>927</v>
      </c>
      <c r="AA2014" s="372">
        <v>1879.1132269</v>
      </c>
      <c r="AB2014" s="372">
        <v>1432.4615593000001</v>
      </c>
      <c r="AC2014" s="372">
        <v>1516.4850847</v>
      </c>
      <c r="AD2014" s="372">
        <v>1277.7937284</v>
      </c>
      <c r="AE2014" s="372">
        <v>0</v>
      </c>
      <c r="AF2014" s="372">
        <v>0</v>
      </c>
      <c r="AG2014" s="372">
        <v>0</v>
      </c>
      <c r="AH2014" s="372">
        <v>0</v>
      </c>
    </row>
    <row r="2015" spans="1:34">
      <c r="A2015" s="372" t="s">
        <v>13020</v>
      </c>
      <c r="B2015" s="373" t="s">
        <v>13021</v>
      </c>
      <c r="C2015" s="372" t="s">
        <v>13022</v>
      </c>
      <c r="D2015" s="374">
        <v>1301110023349</v>
      </c>
      <c r="E2015" s="372" t="s">
        <v>13023</v>
      </c>
      <c r="F2015" s="372" t="s">
        <v>769</v>
      </c>
      <c r="G2015" s="375" t="s">
        <v>769</v>
      </c>
      <c r="H2015" s="375" t="s">
        <v>861</v>
      </c>
      <c r="I2015" s="375" t="s">
        <v>862</v>
      </c>
      <c r="J2015" s="375">
        <v>14721.30546</v>
      </c>
      <c r="K2015" s="375">
        <v>-46.274120000000003</v>
      </c>
      <c r="L2015" s="375">
        <v>6196.1546600000001</v>
      </c>
      <c r="M2015" s="375">
        <v>125372.80074000001</v>
      </c>
      <c r="N2015" s="372">
        <v>0.79600000000000004</v>
      </c>
      <c r="O2015" s="704">
        <v>5.7242734500216663E-2</v>
      </c>
      <c r="P2015" s="375" t="s">
        <v>622</v>
      </c>
      <c r="Q2015" s="375" t="s">
        <v>622</v>
      </c>
      <c r="R2015" s="696">
        <v>19991218</v>
      </c>
      <c r="S2015" s="372" t="s">
        <v>6968</v>
      </c>
      <c r="T2015" s="697">
        <v>0.20900000000000002</v>
      </c>
      <c r="U2015" s="372" t="s">
        <v>13024</v>
      </c>
      <c r="V2015" s="723">
        <v>0</v>
      </c>
      <c r="W2015" s="723">
        <v>0</v>
      </c>
      <c r="X2015" s="723">
        <v>0</v>
      </c>
      <c r="Y2015" s="723">
        <v>0</v>
      </c>
      <c r="Z2015" s="382" t="s">
        <v>927</v>
      </c>
      <c r="AA2015" s="372">
        <v>135.7421373</v>
      </c>
      <c r="AB2015" s="372">
        <v>158.58694120000001</v>
      </c>
      <c r="AC2015" s="372">
        <v>134.1881917</v>
      </c>
      <c r="AD2015" s="372">
        <v>145.23739739999999</v>
      </c>
      <c r="AE2015" s="372">
        <v>0</v>
      </c>
      <c r="AF2015" s="372">
        <v>0</v>
      </c>
      <c r="AG2015" s="372">
        <v>0</v>
      </c>
      <c r="AH2015" s="372">
        <v>0</v>
      </c>
    </row>
    <row r="2016" spans="1:34">
      <c r="A2016" s="372" t="s">
        <v>13025</v>
      </c>
      <c r="B2016" s="373" t="s">
        <v>13026</v>
      </c>
      <c r="C2016" s="372" t="s">
        <v>13027</v>
      </c>
      <c r="D2016" s="374">
        <v>1201110003111</v>
      </c>
      <c r="E2016" s="372" t="s">
        <v>13028</v>
      </c>
      <c r="F2016" s="372" t="s">
        <v>1303</v>
      </c>
      <c r="G2016" s="375" t="s">
        <v>1303</v>
      </c>
      <c r="H2016" s="375" t="s">
        <v>861</v>
      </c>
      <c r="I2016" s="375" t="s">
        <v>862</v>
      </c>
      <c r="J2016" s="375">
        <v>120465.12828999999</v>
      </c>
      <c r="K2016" s="375">
        <v>-8325.6541500000003</v>
      </c>
      <c r="L2016" s="375">
        <v>-7693.4802499999996</v>
      </c>
      <c r="M2016" s="375">
        <v>105609.65268</v>
      </c>
      <c r="N2016" s="372">
        <v>0.96599999999999997</v>
      </c>
      <c r="O2016" s="704">
        <v>57.941056117019983</v>
      </c>
      <c r="P2016" s="375" t="s">
        <v>622</v>
      </c>
      <c r="Q2016" s="372" t="s">
        <v>622</v>
      </c>
      <c r="R2016" s="696">
        <v>19920831</v>
      </c>
      <c r="S2016" s="372" t="s">
        <v>13029</v>
      </c>
      <c r="T2016" s="697" t="s">
        <v>771</v>
      </c>
      <c r="U2016" s="375" t="s">
        <v>13030</v>
      </c>
      <c r="V2016" s="723" t="s">
        <v>773</v>
      </c>
      <c r="W2016" s="723">
        <v>0.41</v>
      </c>
      <c r="X2016" s="723">
        <v>0.36</v>
      </c>
      <c r="Y2016" s="723" t="s">
        <v>773</v>
      </c>
      <c r="Z2016" s="382" t="s">
        <v>927</v>
      </c>
      <c r="AA2016" s="372">
        <v>867.93095410000001</v>
      </c>
      <c r="AB2016" s="372">
        <v>1139.2773222999999</v>
      </c>
      <c r="AC2016" s="372">
        <v>1555.6099138</v>
      </c>
      <c r="AD2016" s="372">
        <v>1219.3591566</v>
      </c>
      <c r="AE2016" s="372">
        <v>0</v>
      </c>
      <c r="AF2016" s="372">
        <v>0</v>
      </c>
      <c r="AG2016" s="372">
        <v>0</v>
      </c>
      <c r="AH2016" s="372">
        <v>0</v>
      </c>
    </row>
    <row r="2017" spans="1:34">
      <c r="A2017" s="372" t="s">
        <v>13031</v>
      </c>
      <c r="B2017" s="373" t="s">
        <v>13032</v>
      </c>
      <c r="C2017" s="372" t="s">
        <v>13033</v>
      </c>
      <c r="D2017" s="374">
        <v>1615110116305</v>
      </c>
      <c r="E2017" s="372" t="s">
        <v>13034</v>
      </c>
      <c r="F2017" s="372" t="s">
        <v>1750</v>
      </c>
      <c r="G2017" s="375" t="s">
        <v>1750</v>
      </c>
      <c r="H2017" s="375" t="s">
        <v>861</v>
      </c>
      <c r="I2017" s="375" t="s">
        <v>862</v>
      </c>
      <c r="J2017" s="375">
        <v>1151.5003400000001</v>
      </c>
      <c r="K2017" s="375">
        <v>-9564.6101500000004</v>
      </c>
      <c r="L2017" s="375">
        <v>-8108.5855300000003</v>
      </c>
      <c r="M2017" s="375">
        <v>22829.361099999998</v>
      </c>
      <c r="N2017" s="372">
        <v>0.77500000000000002</v>
      </c>
      <c r="O2017" s="704">
        <v>6.5677865221907119</v>
      </c>
      <c r="P2017" s="375" t="s">
        <v>622</v>
      </c>
      <c r="Q2017" s="375" t="s">
        <v>622</v>
      </c>
      <c r="R2017" s="696">
        <v>20210526</v>
      </c>
      <c r="S2017" s="375" t="s">
        <v>13035</v>
      </c>
      <c r="T2017" s="697" t="s">
        <v>771</v>
      </c>
      <c r="U2017" s="372" t="s">
        <v>13036</v>
      </c>
      <c r="V2017" s="723" t="s">
        <v>773</v>
      </c>
      <c r="W2017" s="723">
        <v>2.99</v>
      </c>
      <c r="X2017" s="723">
        <v>55.83</v>
      </c>
      <c r="Y2017" s="723" t="s">
        <v>773</v>
      </c>
      <c r="Z2017" s="382" t="s">
        <v>927</v>
      </c>
      <c r="AA2017" s="372">
        <v>132.5823838</v>
      </c>
      <c r="AB2017" s="372">
        <v>132.36859519999999</v>
      </c>
      <c r="AC2017" s="372">
        <v>36.5306341</v>
      </c>
      <c r="AD2017" s="372">
        <v>8.9702772</v>
      </c>
      <c r="AE2017" s="372">
        <v>0</v>
      </c>
      <c r="AF2017" s="372">
        <v>0</v>
      </c>
      <c r="AG2017" s="372">
        <v>0</v>
      </c>
      <c r="AH2017" s="372">
        <v>0</v>
      </c>
    </row>
    <row r="2018" spans="1:34">
      <c r="A2018" s="372" t="s">
        <v>13037</v>
      </c>
      <c r="B2018" s="373" t="s">
        <v>13038</v>
      </c>
      <c r="C2018" s="372" t="s">
        <v>13039</v>
      </c>
      <c r="D2018" s="374">
        <v>1101110271497</v>
      </c>
      <c r="E2018" s="372" t="s">
        <v>13040</v>
      </c>
      <c r="F2018" s="372" t="s">
        <v>1879</v>
      </c>
      <c r="G2018" s="375" t="s">
        <v>1879</v>
      </c>
      <c r="H2018" s="375" t="s">
        <v>1386</v>
      </c>
      <c r="I2018" s="375" t="s">
        <v>754</v>
      </c>
      <c r="J2018" s="375">
        <v>162877.12794000001</v>
      </c>
      <c r="K2018" s="375">
        <v>5053.7069000000001</v>
      </c>
      <c r="L2018" s="375">
        <v>2310.1417799999999</v>
      </c>
      <c r="M2018" s="375">
        <v>45058.85684</v>
      </c>
      <c r="N2018" s="372">
        <v>0.56699999999999995</v>
      </c>
      <c r="O2018" s="704">
        <v>22.839502844851765</v>
      </c>
      <c r="P2018" s="375" t="s">
        <v>622</v>
      </c>
      <c r="Q2018" s="375" t="s">
        <v>622</v>
      </c>
      <c r="R2018" s="696">
        <v>19970623</v>
      </c>
      <c r="S2018" s="375" t="s">
        <v>13041</v>
      </c>
      <c r="T2018" s="697">
        <v>0.20900000000000002</v>
      </c>
      <c r="U2018" s="372" t="s">
        <v>13042</v>
      </c>
      <c r="V2018" s="723">
        <v>10</v>
      </c>
      <c r="W2018" s="723">
        <v>1.63</v>
      </c>
      <c r="X2018" s="723">
        <v>0.45</v>
      </c>
      <c r="Y2018" s="723">
        <v>38.200000000000003</v>
      </c>
      <c r="Z2018" s="382" t="s">
        <v>927</v>
      </c>
      <c r="AA2018" s="372">
        <v>724.69645409999998</v>
      </c>
      <c r="AB2018" s="372">
        <v>757.24704650000001</v>
      </c>
      <c r="AC2018" s="372">
        <v>1372.2481269</v>
      </c>
      <c r="AD2018" s="372">
        <v>1359.8175685000001</v>
      </c>
      <c r="AE2018" s="372">
        <v>0</v>
      </c>
      <c r="AF2018" s="372">
        <v>0</v>
      </c>
      <c r="AG2018" s="372">
        <v>0</v>
      </c>
      <c r="AH2018" s="372">
        <v>0</v>
      </c>
    </row>
    <row r="2019" spans="1:34">
      <c r="A2019" s="372" t="s">
        <v>13043</v>
      </c>
      <c r="B2019" s="373" t="s">
        <v>13044</v>
      </c>
      <c r="C2019" s="372" t="s">
        <v>16046</v>
      </c>
      <c r="D2019" s="374">
        <v>1358110109900</v>
      </c>
      <c r="E2019" s="372" t="s">
        <v>16047</v>
      </c>
      <c r="F2019" s="372" t="s">
        <v>1275</v>
      </c>
      <c r="G2019" s="375" t="s">
        <v>1275</v>
      </c>
      <c r="H2019" s="375" t="s">
        <v>861</v>
      </c>
      <c r="I2019" s="375" t="s">
        <v>862</v>
      </c>
      <c r="J2019" s="375">
        <v>57821.576650000003</v>
      </c>
      <c r="K2019" s="375">
        <v>1070.12951</v>
      </c>
      <c r="L2019" s="375">
        <v>-7718.3001800000002</v>
      </c>
      <c r="M2019" s="375">
        <v>33922.567239999997</v>
      </c>
      <c r="N2019" s="372">
        <v>0.8</v>
      </c>
      <c r="O2019" s="704">
        <v>23.502983833518382</v>
      </c>
      <c r="P2019" s="375" t="s">
        <v>16115</v>
      </c>
      <c r="Q2019" s="372" t="s">
        <v>16116</v>
      </c>
      <c r="R2019" s="696">
        <v>20120802</v>
      </c>
      <c r="S2019" s="372" t="s">
        <v>13045</v>
      </c>
      <c r="T2019" s="697" t="s">
        <v>771</v>
      </c>
      <c r="U2019" s="372" t="s">
        <v>13046</v>
      </c>
      <c r="V2019" s="723">
        <v>57.1</v>
      </c>
      <c r="W2019" s="723">
        <v>3.59</v>
      </c>
      <c r="X2019" s="723">
        <v>2.1</v>
      </c>
      <c r="Y2019" s="723" t="s">
        <v>773</v>
      </c>
      <c r="Z2019" s="382" t="s">
        <v>927</v>
      </c>
      <c r="AA2019" s="372">
        <v>569.67083190000005</v>
      </c>
      <c r="AB2019" s="372">
        <v>514.82022619999998</v>
      </c>
      <c r="AC2019" s="372">
        <v>508.51627120000001</v>
      </c>
      <c r="AD2019" s="372">
        <v>483.10286059999999</v>
      </c>
      <c r="AE2019" s="372">
        <v>0</v>
      </c>
      <c r="AF2019" s="372">
        <v>0</v>
      </c>
      <c r="AG2019" s="372">
        <v>0</v>
      </c>
      <c r="AH2019" s="372">
        <v>0</v>
      </c>
    </row>
    <row r="2020" spans="1:34">
      <c r="A2020" s="372" t="s">
        <v>13047</v>
      </c>
      <c r="B2020" s="373" t="s">
        <v>13048</v>
      </c>
      <c r="C2020" s="372" t="s">
        <v>16130</v>
      </c>
      <c r="D2020" s="374">
        <v>1101115403623</v>
      </c>
      <c r="E2020" s="372" t="s">
        <v>16087</v>
      </c>
      <c r="F2020" s="372" t="s">
        <v>2650</v>
      </c>
      <c r="G2020" s="375" t="s">
        <v>2650</v>
      </c>
      <c r="H2020" s="375" t="s">
        <v>861</v>
      </c>
      <c r="I2020" s="375" t="s">
        <v>862</v>
      </c>
      <c r="J2020" s="375">
        <v>31891.454600000001</v>
      </c>
      <c r="K2020" s="375">
        <v>1327.41482</v>
      </c>
      <c r="L2020" s="375">
        <v>5865.1292599999997</v>
      </c>
      <c r="M2020" s="375">
        <v>147518.56461999999</v>
      </c>
      <c r="N2020" s="372">
        <v>0.76500000000000001</v>
      </c>
      <c r="O2020" s="704">
        <v>101.29383175843201</v>
      </c>
      <c r="P2020" s="375" t="s">
        <v>622</v>
      </c>
      <c r="Q2020" s="375" t="s">
        <v>622</v>
      </c>
      <c r="R2020" s="696">
        <v>20140813</v>
      </c>
      <c r="S2020" s="372" t="s">
        <v>13049</v>
      </c>
      <c r="T2020" s="697">
        <v>0.20900000000000002</v>
      </c>
      <c r="U2020" s="372" t="s">
        <v>13050</v>
      </c>
      <c r="V2020" s="723">
        <v>0</v>
      </c>
      <c r="W2020" s="723">
        <v>0</v>
      </c>
      <c r="X2020" s="723">
        <v>0</v>
      </c>
      <c r="Y2020" s="723">
        <v>0</v>
      </c>
      <c r="Z2020" s="382" t="s">
        <v>927</v>
      </c>
      <c r="AA2020" s="372">
        <v>701.8271082</v>
      </c>
      <c r="AB2020" s="372">
        <v>656.7253164</v>
      </c>
      <c r="AC2020" s="372">
        <v>699.0473733</v>
      </c>
      <c r="AD2020" s="372">
        <v>505.22976670000003</v>
      </c>
      <c r="AE2020" s="372">
        <v>0</v>
      </c>
      <c r="AF2020" s="372">
        <v>0</v>
      </c>
      <c r="AG2020" s="372">
        <v>0</v>
      </c>
      <c r="AH2020" s="372">
        <v>0</v>
      </c>
    </row>
    <row r="2021" spans="1:34">
      <c r="A2021" s="372" t="s">
        <v>13051</v>
      </c>
      <c r="B2021" s="373" t="s">
        <v>13052</v>
      </c>
      <c r="C2021" s="372" t="s">
        <v>13053</v>
      </c>
      <c r="D2021" s="374">
        <v>1701110030958</v>
      </c>
      <c r="E2021" s="372" t="s">
        <v>13054</v>
      </c>
      <c r="F2021" s="372" t="s">
        <v>7044</v>
      </c>
      <c r="G2021" s="375" t="s">
        <v>8267</v>
      </c>
      <c r="H2021" s="375" t="s">
        <v>861</v>
      </c>
      <c r="I2021" s="375" t="s">
        <v>862</v>
      </c>
      <c r="J2021" s="375">
        <v>90163.294309999997</v>
      </c>
      <c r="K2021" s="375">
        <v>7786.1331700000001</v>
      </c>
      <c r="L2021" s="375">
        <v>7198.1090999999997</v>
      </c>
      <c r="M2021" s="375">
        <v>92107.048630000005</v>
      </c>
      <c r="N2021" s="372">
        <v>0.95299999999999996</v>
      </c>
      <c r="O2021" s="704">
        <v>28.321263895144128</v>
      </c>
      <c r="P2021" s="375" t="s">
        <v>622</v>
      </c>
      <c r="Q2021" s="375" t="s">
        <v>622</v>
      </c>
      <c r="R2021" s="696">
        <v>20000314</v>
      </c>
      <c r="S2021" s="372" t="s">
        <v>13055</v>
      </c>
      <c r="T2021" s="697">
        <v>0.20900000000000002</v>
      </c>
      <c r="U2021" s="372" t="s">
        <v>13056</v>
      </c>
      <c r="V2021" s="723">
        <v>15.36</v>
      </c>
      <c r="W2021" s="723">
        <v>1.37</v>
      </c>
      <c r="X2021" s="723">
        <v>1.4</v>
      </c>
      <c r="Y2021" s="723">
        <v>21.3</v>
      </c>
      <c r="Z2021" s="382" t="s">
        <v>927</v>
      </c>
      <c r="AA2021" s="372">
        <v>589.28953799999999</v>
      </c>
      <c r="AB2021" s="372">
        <v>719.61904340000001</v>
      </c>
      <c r="AC2021" s="372">
        <v>855.25543679999998</v>
      </c>
      <c r="AD2021" s="372">
        <v>915.50544830000001</v>
      </c>
      <c r="AE2021" s="372">
        <v>0</v>
      </c>
      <c r="AF2021" s="372">
        <v>0</v>
      </c>
      <c r="AG2021" s="372">
        <v>0</v>
      </c>
      <c r="AH2021" s="372">
        <v>0</v>
      </c>
    </row>
    <row r="2022" spans="1:34">
      <c r="A2022" s="372" t="s">
        <v>13057</v>
      </c>
      <c r="B2022" s="373" t="s">
        <v>13058</v>
      </c>
      <c r="C2022" s="372" t="s">
        <v>13059</v>
      </c>
      <c r="D2022" s="374">
        <v>1101111670234</v>
      </c>
      <c r="E2022" s="372" t="s">
        <v>13060</v>
      </c>
      <c r="F2022" s="372" t="s">
        <v>13061</v>
      </c>
      <c r="G2022" s="375" t="s">
        <v>13061</v>
      </c>
      <c r="H2022" s="375" t="s">
        <v>1337</v>
      </c>
      <c r="I2022" s="375" t="s">
        <v>862</v>
      </c>
      <c r="J2022" s="375">
        <v>53454.64026</v>
      </c>
      <c r="K2022" s="375">
        <v>2253.80087</v>
      </c>
      <c r="L2022" s="375">
        <v>2373.2410100000002</v>
      </c>
      <c r="M2022" s="375">
        <v>30546.52421</v>
      </c>
      <c r="N2022" s="372">
        <v>0.65700000000000003</v>
      </c>
      <c r="O2022" s="704">
        <v>1.6146591974880966</v>
      </c>
      <c r="P2022" s="375" t="s">
        <v>622</v>
      </c>
      <c r="Q2022" s="372" t="s">
        <v>622</v>
      </c>
      <c r="R2022" s="696">
        <v>20200701</v>
      </c>
      <c r="S2022" s="372" t="s">
        <v>13062</v>
      </c>
      <c r="T2022" s="697">
        <v>0.20900000000000002</v>
      </c>
      <c r="U2022" s="372" t="s">
        <v>13063</v>
      </c>
      <c r="V2022" s="723">
        <v>12.32</v>
      </c>
      <c r="W2022" s="723">
        <v>1.76</v>
      </c>
      <c r="X2022" s="723">
        <v>0.99</v>
      </c>
      <c r="Y2022" s="723">
        <v>25.53</v>
      </c>
      <c r="Z2022" s="382" t="s">
        <v>927</v>
      </c>
      <c r="AA2022" s="372">
        <v>411.19890850000002</v>
      </c>
      <c r="AB2022" s="372">
        <v>437.61437489999997</v>
      </c>
      <c r="AC2022" s="372">
        <v>512.68071629999997</v>
      </c>
      <c r="AD2022" s="372">
        <v>549.43864069999995</v>
      </c>
      <c r="AE2022" s="372">
        <v>0</v>
      </c>
      <c r="AF2022" s="372">
        <v>0</v>
      </c>
      <c r="AG2022" s="372">
        <v>0</v>
      </c>
      <c r="AH2022" s="372">
        <v>0</v>
      </c>
    </row>
    <row r="2023" spans="1:34">
      <c r="A2023" s="372" t="s">
        <v>13064</v>
      </c>
      <c r="B2023" s="373" t="s">
        <v>13065</v>
      </c>
      <c r="C2023" s="372" t="s">
        <v>13066</v>
      </c>
      <c r="D2023" s="374">
        <v>1101110073413</v>
      </c>
      <c r="E2023" s="372" t="s">
        <v>13067</v>
      </c>
      <c r="F2023" s="372" t="s">
        <v>2705</v>
      </c>
      <c r="G2023" s="375" t="s">
        <v>12577</v>
      </c>
      <c r="H2023" s="375" t="s">
        <v>1468</v>
      </c>
      <c r="I2023" s="375" t="s">
        <v>754</v>
      </c>
      <c r="J2023" s="375">
        <v>4418.5471900000002</v>
      </c>
      <c r="K2023" s="375">
        <v>-4981.3382099999999</v>
      </c>
      <c r="L2023" s="375">
        <v>-1818.9582700000001</v>
      </c>
      <c r="M2023" s="375">
        <v>165035.78164</v>
      </c>
      <c r="N2023" s="372">
        <v>0.88800000000000001</v>
      </c>
      <c r="O2023" s="704">
        <v>8.1719093446262328</v>
      </c>
      <c r="P2023" s="375" t="s">
        <v>622</v>
      </c>
      <c r="Q2023" s="372" t="s">
        <v>622</v>
      </c>
      <c r="R2023" s="696">
        <v>19770630</v>
      </c>
      <c r="S2023" s="372" t="s">
        <v>13068</v>
      </c>
      <c r="T2023" s="697" t="s">
        <v>771</v>
      </c>
      <c r="U2023" s="372" t="s">
        <v>13069</v>
      </c>
      <c r="V2023" s="723">
        <v>0</v>
      </c>
      <c r="W2023" s="723">
        <v>0</v>
      </c>
      <c r="X2023" s="723">
        <v>0</v>
      </c>
      <c r="Y2023" s="723">
        <v>0</v>
      </c>
      <c r="Z2023" s="382" t="s">
        <v>927</v>
      </c>
      <c r="AA2023" s="372">
        <v>2769.0890377000001</v>
      </c>
      <c r="AB2023" s="372">
        <v>2267.4646991999998</v>
      </c>
      <c r="AC2023" s="372">
        <v>114.703613</v>
      </c>
      <c r="AD2023" s="372">
        <v>77.7412499</v>
      </c>
      <c r="AE2023" s="372">
        <v>0</v>
      </c>
      <c r="AF2023" s="372">
        <v>0</v>
      </c>
      <c r="AG2023" s="372">
        <v>0</v>
      </c>
      <c r="AH2023" s="372">
        <v>0</v>
      </c>
    </row>
    <row r="2024" spans="1:34">
      <c r="A2024" s="372" t="s">
        <v>13070</v>
      </c>
      <c r="B2024" s="373" t="s">
        <v>13071</v>
      </c>
      <c r="C2024" s="372" t="s">
        <v>16290</v>
      </c>
      <c r="D2024" s="374">
        <v>1701110391532</v>
      </c>
      <c r="E2024" s="372" t="s">
        <v>16291</v>
      </c>
      <c r="F2024" s="372" t="s">
        <v>5132</v>
      </c>
      <c r="G2024" s="375" t="s">
        <v>8123</v>
      </c>
      <c r="H2024" s="375" t="s">
        <v>846</v>
      </c>
      <c r="I2024" s="375" t="s">
        <v>754</v>
      </c>
      <c r="J2024" s="375">
        <v>57572.768340000002</v>
      </c>
      <c r="K2024" s="375">
        <v>-8816.6555599999992</v>
      </c>
      <c r="L2024" s="375">
        <v>-17296.512780000001</v>
      </c>
      <c r="M2024" s="375">
        <v>118422.76791</v>
      </c>
      <c r="N2024" s="372">
        <v>0.80300000000000005</v>
      </c>
      <c r="O2024" s="704">
        <v>13.964690572310163</v>
      </c>
      <c r="P2024" s="375" t="s">
        <v>622</v>
      </c>
      <c r="Q2024" s="372" t="s">
        <v>622</v>
      </c>
      <c r="R2024" s="696">
        <v>20091230</v>
      </c>
      <c r="S2024" s="372" t="s">
        <v>16131</v>
      </c>
      <c r="T2024" s="697" t="s">
        <v>771</v>
      </c>
      <c r="U2024" s="372" t="s">
        <v>15955</v>
      </c>
      <c r="V2024" s="723" t="s">
        <v>773</v>
      </c>
      <c r="W2024" s="723">
        <v>0.5</v>
      </c>
      <c r="X2024" s="723">
        <v>0.96</v>
      </c>
      <c r="Y2024" s="723">
        <v>48.77</v>
      </c>
      <c r="Z2024" s="382" t="s">
        <v>927</v>
      </c>
      <c r="AA2024" s="372">
        <v>66.212218500000006</v>
      </c>
      <c r="AB2024" s="372">
        <v>186.13345269999999</v>
      </c>
      <c r="AC2024" s="372">
        <v>190.98326969999999</v>
      </c>
      <c r="AD2024" s="372">
        <v>557.50068750000003</v>
      </c>
      <c r="AE2024" s="372">
        <v>0</v>
      </c>
      <c r="AF2024" s="372">
        <v>0</v>
      </c>
      <c r="AG2024" s="372">
        <v>0</v>
      </c>
      <c r="AH2024" s="372">
        <v>0</v>
      </c>
    </row>
    <row r="2025" spans="1:34">
      <c r="A2025" s="372" t="s">
        <v>13072</v>
      </c>
      <c r="B2025" s="373" t="s">
        <v>13073</v>
      </c>
      <c r="C2025" s="372" t="s">
        <v>13074</v>
      </c>
      <c r="D2025" s="374">
        <v>1101111577977</v>
      </c>
      <c r="E2025" s="372" t="s">
        <v>13075</v>
      </c>
      <c r="F2025" s="372" t="s">
        <v>3296</v>
      </c>
      <c r="G2025" s="375" t="s">
        <v>3296</v>
      </c>
      <c r="H2025" s="375" t="s">
        <v>3099</v>
      </c>
      <c r="I2025" s="375" t="s">
        <v>862</v>
      </c>
      <c r="J2025" s="375">
        <v>319501.39084000001</v>
      </c>
      <c r="K2025" s="375">
        <v>595.74977999999999</v>
      </c>
      <c r="L2025" s="375">
        <v>-124.22054</v>
      </c>
      <c r="M2025" s="375">
        <v>38936.85123</v>
      </c>
      <c r="N2025" s="372">
        <v>0.96299999999999997</v>
      </c>
      <c r="O2025" s="704">
        <v>85.183185624208647</v>
      </c>
      <c r="P2025" s="375" t="s">
        <v>622</v>
      </c>
      <c r="Q2025" s="372" t="s">
        <v>622</v>
      </c>
      <c r="R2025" s="696">
        <v>20020208</v>
      </c>
      <c r="S2025" s="372" t="s">
        <v>13076</v>
      </c>
      <c r="T2025" s="697" t="s">
        <v>771</v>
      </c>
      <c r="U2025" s="372" t="s">
        <v>13077</v>
      </c>
      <c r="V2025" s="723">
        <v>0</v>
      </c>
      <c r="W2025" s="723">
        <v>0</v>
      </c>
      <c r="X2025" s="723">
        <v>0</v>
      </c>
      <c r="Y2025" s="723">
        <v>0</v>
      </c>
      <c r="Z2025" s="382" t="s">
        <v>927</v>
      </c>
      <c r="AA2025" s="372">
        <v>3134.6286719</v>
      </c>
      <c r="AB2025" s="372">
        <v>3648.5095867999999</v>
      </c>
      <c r="AC2025" s="372">
        <v>3122.6258772000001</v>
      </c>
      <c r="AD2025" s="372">
        <v>3047.4279107000002</v>
      </c>
      <c r="AE2025" s="372">
        <v>0</v>
      </c>
      <c r="AF2025" s="372">
        <v>0</v>
      </c>
      <c r="AG2025" s="372">
        <v>0</v>
      </c>
      <c r="AH2025" s="372">
        <v>0</v>
      </c>
    </row>
    <row r="2026" spans="1:34">
      <c r="A2026" s="372" t="s">
        <v>13078</v>
      </c>
      <c r="B2026" s="373" t="s">
        <v>13079</v>
      </c>
      <c r="C2026" s="372" t="s">
        <v>13080</v>
      </c>
      <c r="D2026" s="374">
        <v>1101113489609</v>
      </c>
      <c r="E2026" s="372" t="s">
        <v>13081</v>
      </c>
      <c r="F2026" s="372" t="s">
        <v>10614</v>
      </c>
      <c r="G2026" s="375" t="s">
        <v>10614</v>
      </c>
      <c r="H2026" s="375" t="s">
        <v>1043</v>
      </c>
      <c r="I2026" s="375" t="s">
        <v>754</v>
      </c>
      <c r="J2026" s="375">
        <v>117519.43957</v>
      </c>
      <c r="K2026" s="375">
        <v>-9690.3005499999999</v>
      </c>
      <c r="L2026" s="375">
        <v>-24001.31221</v>
      </c>
      <c r="M2026" s="375">
        <v>204692.05749000001</v>
      </c>
      <c r="N2026" s="372">
        <v>0.622</v>
      </c>
      <c r="O2026" s="704">
        <v>118.97451772612038</v>
      </c>
      <c r="P2026" s="375" t="s">
        <v>16115</v>
      </c>
      <c r="Q2026" s="372" t="s">
        <v>16116</v>
      </c>
      <c r="R2026" s="696">
        <v>20060731</v>
      </c>
      <c r="S2026" s="372" t="s">
        <v>13082</v>
      </c>
      <c r="T2026" s="697" t="s">
        <v>771</v>
      </c>
      <c r="U2026" s="372" t="s">
        <v>13083</v>
      </c>
      <c r="V2026" s="723" t="s">
        <v>773</v>
      </c>
      <c r="W2026" s="723">
        <v>0.33</v>
      </c>
      <c r="X2026" s="723">
        <v>0.55000000000000004</v>
      </c>
      <c r="Y2026" s="723" t="s">
        <v>773</v>
      </c>
      <c r="Z2026" s="382" t="s">
        <v>927</v>
      </c>
      <c r="AA2026" s="372">
        <v>1098.5450702999999</v>
      </c>
      <c r="AB2026" s="372">
        <v>831.49598260000005</v>
      </c>
      <c r="AC2026" s="372">
        <v>1266.2732509</v>
      </c>
      <c r="AD2026" s="372">
        <v>1306.2404316</v>
      </c>
      <c r="AE2026" s="372">
        <v>0</v>
      </c>
      <c r="AF2026" s="372">
        <v>0</v>
      </c>
      <c r="AG2026" s="372">
        <v>0</v>
      </c>
      <c r="AH2026" s="372">
        <v>0</v>
      </c>
    </row>
    <row r="2027" spans="1:34">
      <c r="A2027" s="372" t="s">
        <v>13084</v>
      </c>
      <c r="B2027" s="373" t="s">
        <v>13085</v>
      </c>
      <c r="C2027" s="372" t="s">
        <v>13086</v>
      </c>
      <c r="D2027" s="374">
        <v>1101113971466</v>
      </c>
      <c r="E2027" s="372" t="s">
        <v>13087</v>
      </c>
      <c r="F2027" s="375" t="s">
        <v>1096</v>
      </c>
      <c r="G2027" s="375" t="s">
        <v>1097</v>
      </c>
      <c r="H2027" s="375" t="s">
        <v>861</v>
      </c>
      <c r="I2027" s="375" t="s">
        <v>862</v>
      </c>
      <c r="J2027" s="375">
        <v>28555.37787</v>
      </c>
      <c r="K2027" s="375">
        <v>1946.6883800000001</v>
      </c>
      <c r="L2027" s="375">
        <v>3975.6788099999999</v>
      </c>
      <c r="M2027" s="375">
        <v>35672.693930000001</v>
      </c>
      <c r="N2027" s="372">
        <v>0.63500000000000001</v>
      </c>
      <c r="O2027" s="704">
        <v>45.743951272750131</v>
      </c>
      <c r="P2027" s="375" t="s">
        <v>16115</v>
      </c>
      <c r="Q2027" s="372" t="s">
        <v>16116</v>
      </c>
      <c r="R2027" s="696">
        <v>20170302</v>
      </c>
      <c r="S2027" s="372" t="s">
        <v>13088</v>
      </c>
      <c r="T2027" s="697">
        <v>0.20900000000000002</v>
      </c>
      <c r="U2027" s="372" t="s">
        <v>13089</v>
      </c>
      <c r="V2027" s="723">
        <v>44.47</v>
      </c>
      <c r="W2027" s="723">
        <v>1.57</v>
      </c>
      <c r="X2027" s="723">
        <v>1.61</v>
      </c>
      <c r="Y2027" s="723">
        <v>21.33</v>
      </c>
      <c r="Z2027" s="382" t="s">
        <v>927</v>
      </c>
      <c r="AA2027" s="372">
        <v>1407.2543148</v>
      </c>
      <c r="AB2027" s="372">
        <v>1246.809673</v>
      </c>
      <c r="AC2027" s="372">
        <v>565.7371799</v>
      </c>
      <c r="AD2027" s="372">
        <v>469.42769390000001</v>
      </c>
      <c r="AE2027" s="372">
        <v>0</v>
      </c>
      <c r="AF2027" s="372">
        <v>0</v>
      </c>
      <c r="AG2027" s="372">
        <v>0</v>
      </c>
      <c r="AH2027" s="372">
        <v>0</v>
      </c>
    </row>
    <row r="2028" spans="1:34">
      <c r="A2028" s="372" t="s">
        <v>13090</v>
      </c>
      <c r="B2028" s="373" t="s">
        <v>13091</v>
      </c>
      <c r="C2028" s="372" t="s">
        <v>13092</v>
      </c>
      <c r="D2028" s="374">
        <v>1101114022325</v>
      </c>
      <c r="E2028" s="372" t="s">
        <v>13093</v>
      </c>
      <c r="F2028" s="375" t="s">
        <v>10338</v>
      </c>
      <c r="G2028" s="375" t="s">
        <v>12079</v>
      </c>
      <c r="H2028" s="375" t="s">
        <v>1337</v>
      </c>
      <c r="I2028" s="375" t="s">
        <v>862</v>
      </c>
      <c r="J2028" s="375">
        <v>26275.152669999999</v>
      </c>
      <c r="K2028" s="375">
        <v>-3162.6956</v>
      </c>
      <c r="L2028" s="375">
        <v>-1742.15644</v>
      </c>
      <c r="M2028" s="375">
        <v>36607.495750000002</v>
      </c>
      <c r="N2028" s="372">
        <v>0.53500000000000003</v>
      </c>
      <c r="O2028" s="704">
        <v>1.5677276849956723</v>
      </c>
      <c r="P2028" s="375" t="s">
        <v>622</v>
      </c>
      <c r="Q2028" s="372" t="s">
        <v>622</v>
      </c>
      <c r="R2028" s="696">
        <v>20150629</v>
      </c>
      <c r="S2028" s="372" t="s">
        <v>13094</v>
      </c>
      <c r="T2028" s="697" t="s">
        <v>771</v>
      </c>
      <c r="U2028" s="372" t="s">
        <v>13095</v>
      </c>
      <c r="V2028" s="723">
        <v>0</v>
      </c>
      <c r="W2028" s="723">
        <v>0</v>
      </c>
      <c r="X2028" s="723">
        <v>0</v>
      </c>
      <c r="Y2028" s="723">
        <v>0</v>
      </c>
      <c r="Z2028" s="382" t="s">
        <v>927</v>
      </c>
      <c r="AA2028" s="372">
        <v>239.8261694</v>
      </c>
      <c r="AB2028" s="372">
        <v>505.52623679999999</v>
      </c>
      <c r="AC2028" s="372">
        <v>690.13134090000005</v>
      </c>
      <c r="AD2028" s="372">
        <v>307.92036510000003</v>
      </c>
      <c r="AE2028" s="372">
        <v>0</v>
      </c>
      <c r="AF2028" s="372">
        <v>0</v>
      </c>
      <c r="AG2028" s="372">
        <v>0</v>
      </c>
      <c r="AH2028" s="372">
        <v>0</v>
      </c>
    </row>
    <row r="2029" spans="1:34">
      <c r="A2029" s="372" t="s">
        <v>13096</v>
      </c>
      <c r="B2029" s="373" t="s">
        <v>13097</v>
      </c>
      <c r="C2029" s="372" t="s">
        <v>13098</v>
      </c>
      <c r="D2029" s="374">
        <v>1101113840843</v>
      </c>
      <c r="E2029" s="372" t="s">
        <v>13099</v>
      </c>
      <c r="F2029" s="375" t="s">
        <v>3885</v>
      </c>
      <c r="G2029" s="375" t="s">
        <v>7794</v>
      </c>
      <c r="H2029" s="375" t="s">
        <v>895</v>
      </c>
      <c r="I2029" s="375" t="s">
        <v>862</v>
      </c>
      <c r="J2029" s="375">
        <v>24572.8393</v>
      </c>
      <c r="K2029" s="375">
        <v>6040.9796399999996</v>
      </c>
      <c r="L2029" s="375">
        <v>6312.7981799999998</v>
      </c>
      <c r="M2029" s="375">
        <v>86372.248009999996</v>
      </c>
      <c r="N2029" s="372">
        <v>0.89</v>
      </c>
      <c r="O2029" s="704">
        <v>2.1936757066298163</v>
      </c>
      <c r="P2029" s="375" t="s">
        <v>622</v>
      </c>
      <c r="Q2029" s="372" t="s">
        <v>622</v>
      </c>
      <c r="R2029" s="696">
        <v>20161215</v>
      </c>
      <c r="S2029" s="372" t="s">
        <v>10222</v>
      </c>
      <c r="T2029" s="697">
        <v>0.20900000000000002</v>
      </c>
      <c r="U2029" s="372" t="s">
        <v>13100</v>
      </c>
      <c r="V2029" s="723">
        <v>0</v>
      </c>
      <c r="W2029" s="723">
        <v>0.54</v>
      </c>
      <c r="X2029" s="723">
        <v>1.77</v>
      </c>
      <c r="Y2029" s="723">
        <v>11.89</v>
      </c>
      <c r="Z2029" s="382" t="s">
        <v>927</v>
      </c>
      <c r="AA2029" s="372">
        <v>157.82402020000001</v>
      </c>
      <c r="AB2029" s="372">
        <v>223.51330350000001</v>
      </c>
      <c r="AC2029" s="372">
        <v>272.51625949999999</v>
      </c>
      <c r="AD2029" s="372">
        <v>261.65566669999998</v>
      </c>
      <c r="AE2029" s="372">
        <v>0</v>
      </c>
      <c r="AF2029" s="372">
        <v>0</v>
      </c>
      <c r="AG2029" s="372">
        <v>0</v>
      </c>
      <c r="AH2029" s="372">
        <v>0</v>
      </c>
    </row>
    <row r="2030" spans="1:34">
      <c r="A2030" s="372" t="s">
        <v>13101</v>
      </c>
      <c r="B2030" s="373" t="s">
        <v>13102</v>
      </c>
      <c r="C2030" s="372" t="s">
        <v>13103</v>
      </c>
      <c r="D2030" s="374">
        <v>1942110000191</v>
      </c>
      <c r="E2030" s="372" t="s">
        <v>13104</v>
      </c>
      <c r="F2030" s="375" t="s">
        <v>2747</v>
      </c>
      <c r="G2030" s="375" t="s">
        <v>6512</v>
      </c>
      <c r="H2030" s="375" t="s">
        <v>812</v>
      </c>
      <c r="I2030" s="375" t="s">
        <v>754</v>
      </c>
      <c r="J2030" s="375">
        <v>481249.92627</v>
      </c>
      <c r="K2030" s="375">
        <v>4665.8359200000004</v>
      </c>
      <c r="L2030" s="375">
        <v>-5936.7959899999996</v>
      </c>
      <c r="M2030" s="375">
        <v>228153.52911</v>
      </c>
      <c r="N2030" s="372">
        <v>0.65500000000000003</v>
      </c>
      <c r="O2030" s="704">
        <v>646.265295219628</v>
      </c>
      <c r="P2030" s="375" t="s">
        <v>622</v>
      </c>
      <c r="Q2030" s="372" t="s">
        <v>622</v>
      </c>
      <c r="R2030" s="696">
        <v>20100125</v>
      </c>
      <c r="S2030" s="372" t="s">
        <v>13105</v>
      </c>
      <c r="T2030" s="697" t="s">
        <v>771</v>
      </c>
      <c r="U2030" s="372" t="s">
        <v>13106</v>
      </c>
      <c r="V2030" s="723">
        <v>13.62</v>
      </c>
      <c r="W2030" s="723">
        <v>0.17</v>
      </c>
      <c r="X2030" s="723">
        <v>0.1</v>
      </c>
      <c r="Y2030" s="723" t="s">
        <v>773</v>
      </c>
      <c r="Z2030" s="382" t="s">
        <v>927</v>
      </c>
      <c r="AA2030" s="372">
        <v>1997.3426469000001</v>
      </c>
      <c r="AB2030" s="372">
        <v>4086.0283067999999</v>
      </c>
      <c r="AC2030" s="372">
        <v>5273.6873833</v>
      </c>
      <c r="AD2030" s="372">
        <v>5000.1055614999996</v>
      </c>
      <c r="AE2030" s="372">
        <v>0</v>
      </c>
      <c r="AF2030" s="372">
        <v>0</v>
      </c>
      <c r="AG2030" s="372">
        <v>0</v>
      </c>
      <c r="AH2030" s="372">
        <v>0</v>
      </c>
    </row>
    <row r="2031" spans="1:34">
      <c r="A2031" s="372" t="s">
        <v>13107</v>
      </c>
      <c r="B2031" s="373" t="s">
        <v>13108</v>
      </c>
      <c r="C2031" s="372" t="s">
        <v>13109</v>
      </c>
      <c r="D2031" s="374">
        <v>1101114493344</v>
      </c>
      <c r="E2031" s="372" t="s">
        <v>13110</v>
      </c>
      <c r="F2031" s="375" t="s">
        <v>4191</v>
      </c>
      <c r="G2031" s="375" t="s">
        <v>4192</v>
      </c>
      <c r="H2031" s="375" t="s">
        <v>968</v>
      </c>
      <c r="I2031" s="375" t="s">
        <v>754</v>
      </c>
      <c r="J2031" s="375">
        <v>203965.94547000001</v>
      </c>
      <c r="K2031" s="375">
        <v>-2213.8337200000001</v>
      </c>
      <c r="L2031" s="375">
        <v>2039.8748599999999</v>
      </c>
      <c r="M2031" s="375">
        <v>66554.740139999994</v>
      </c>
      <c r="N2031" s="372">
        <v>0.70399999999999996</v>
      </c>
      <c r="O2031" s="704">
        <v>20.526836839084527</v>
      </c>
      <c r="P2031" s="375" t="s">
        <v>622</v>
      </c>
      <c r="Q2031" s="372" t="s">
        <v>622</v>
      </c>
      <c r="R2031" s="696">
        <v>20110125</v>
      </c>
      <c r="S2031" s="372" t="s">
        <v>13111</v>
      </c>
      <c r="T2031" s="697">
        <v>0.20900000000000002</v>
      </c>
      <c r="U2031" s="372" t="s">
        <v>13112</v>
      </c>
      <c r="V2031" s="723">
        <v>11.07</v>
      </c>
      <c r="W2031" s="723">
        <v>0.8</v>
      </c>
      <c r="X2031" s="723">
        <v>0.28000000000000003</v>
      </c>
      <c r="Y2031" s="723">
        <v>25.9</v>
      </c>
      <c r="Z2031" s="382" t="s">
        <v>927</v>
      </c>
      <c r="AA2031" s="372">
        <v>2274.9031248000001</v>
      </c>
      <c r="AB2031" s="372">
        <v>2519.3690336</v>
      </c>
      <c r="AC2031" s="372">
        <v>2433.2065837</v>
      </c>
      <c r="AD2031" s="372">
        <v>2001.35778</v>
      </c>
      <c r="AE2031" s="372">
        <v>0</v>
      </c>
      <c r="AF2031" s="372">
        <v>0</v>
      </c>
      <c r="AG2031" s="372">
        <v>0</v>
      </c>
      <c r="AH2031" s="372">
        <v>0</v>
      </c>
    </row>
    <row r="2032" spans="1:34">
      <c r="A2032" s="372" t="s">
        <v>13113</v>
      </c>
      <c r="B2032" s="373" t="s">
        <v>13114</v>
      </c>
      <c r="C2032" s="372" t="s">
        <v>16132</v>
      </c>
      <c r="D2032" s="374">
        <v>1358110087437</v>
      </c>
      <c r="E2032" s="372" t="s">
        <v>13115</v>
      </c>
      <c r="F2032" s="375" t="s">
        <v>2184</v>
      </c>
      <c r="G2032" s="375" t="s">
        <v>3523</v>
      </c>
      <c r="H2032" s="375" t="s">
        <v>861</v>
      </c>
      <c r="I2032" s="375" t="s">
        <v>4413</v>
      </c>
      <c r="J2032" s="375">
        <v>0</v>
      </c>
      <c r="K2032" s="375">
        <v>0</v>
      </c>
      <c r="L2032" s="375">
        <v>0</v>
      </c>
      <c r="M2032" s="375">
        <v>0</v>
      </c>
      <c r="N2032" s="372" t="s">
        <v>1026</v>
      </c>
      <c r="O2032" s="704" t="s">
        <v>16301</v>
      </c>
      <c r="P2032" s="375" t="s">
        <v>622</v>
      </c>
      <c r="Q2032" s="372" t="s">
        <v>622</v>
      </c>
      <c r="R2032" s="696">
        <v>20170726</v>
      </c>
      <c r="S2032" s="372" t="e">
        <v>#N/A</v>
      </c>
      <c r="T2032" s="697" t="s">
        <v>771</v>
      </c>
      <c r="U2032" s="372" t="s">
        <v>13116</v>
      </c>
      <c r="V2032" s="723">
        <v>0</v>
      </c>
      <c r="W2032" s="723">
        <v>0</v>
      </c>
      <c r="X2032" s="723">
        <v>0</v>
      </c>
      <c r="Y2032" s="723">
        <v>0</v>
      </c>
      <c r="Z2032" s="382" t="s">
        <v>927</v>
      </c>
      <c r="AA2032" s="372">
        <v>219.67038500000001</v>
      </c>
      <c r="AB2032" s="372">
        <v>446.5516973</v>
      </c>
      <c r="AC2032" s="372">
        <v>555.51732300000003</v>
      </c>
      <c r="AD2032" s="372">
        <v>127.7133669</v>
      </c>
      <c r="AE2032" s="372">
        <v>0</v>
      </c>
      <c r="AF2032" s="372">
        <v>0</v>
      </c>
      <c r="AG2032" s="372">
        <v>0</v>
      </c>
      <c r="AH2032" s="372">
        <v>0</v>
      </c>
    </row>
    <row r="2033" spans="1:34">
      <c r="A2033" s="372" t="s">
        <v>13117</v>
      </c>
      <c r="B2033" s="373" t="s">
        <v>13118</v>
      </c>
      <c r="C2033" s="372" t="s">
        <v>13119</v>
      </c>
      <c r="D2033" s="374">
        <v>1314110241465</v>
      </c>
      <c r="E2033" s="372" t="s">
        <v>13120</v>
      </c>
      <c r="F2033" s="375" t="s">
        <v>1863</v>
      </c>
      <c r="G2033" s="375" t="s">
        <v>1864</v>
      </c>
      <c r="H2033" s="375" t="s">
        <v>792</v>
      </c>
      <c r="I2033" s="375" t="s">
        <v>754</v>
      </c>
      <c r="J2033" s="375">
        <v>204587.71075</v>
      </c>
      <c r="K2033" s="375">
        <v>12603.248799999999</v>
      </c>
      <c r="L2033" s="375">
        <v>15682.667659999999</v>
      </c>
      <c r="M2033" s="375">
        <v>213028.09396</v>
      </c>
      <c r="N2033" s="372">
        <v>0.875</v>
      </c>
      <c r="O2033" s="704">
        <v>24.304664985010934</v>
      </c>
      <c r="P2033" s="375" t="s">
        <v>622</v>
      </c>
      <c r="Q2033" s="372" t="s">
        <v>622</v>
      </c>
      <c r="R2033" s="696">
        <v>20100531</v>
      </c>
      <c r="S2033" s="372" t="s">
        <v>13121</v>
      </c>
      <c r="T2033" s="697">
        <v>0.20900000000000002</v>
      </c>
      <c r="U2033" s="372" t="s">
        <v>13122</v>
      </c>
      <c r="V2033" s="723">
        <v>3</v>
      </c>
      <c r="W2033" s="723">
        <v>0.26</v>
      </c>
      <c r="X2033" s="723">
        <v>0.26</v>
      </c>
      <c r="Y2033" s="723">
        <v>4.3099999999999996</v>
      </c>
      <c r="Z2033" s="382" t="s">
        <v>927</v>
      </c>
      <c r="AA2033" s="372">
        <v>1386.6895191000001</v>
      </c>
      <c r="AB2033" s="372">
        <v>1457.2571946</v>
      </c>
      <c r="AC2033" s="372">
        <v>1802.3770492000001</v>
      </c>
      <c r="AD2033" s="372">
        <v>1988.8015740000001</v>
      </c>
      <c r="AE2033" s="372">
        <v>0</v>
      </c>
      <c r="AF2033" s="372">
        <v>0</v>
      </c>
      <c r="AG2033" s="372">
        <v>0</v>
      </c>
      <c r="AH2033" s="372">
        <v>0</v>
      </c>
    </row>
    <row r="2034" spans="1:34">
      <c r="A2034" s="372" t="s">
        <v>13123</v>
      </c>
      <c r="B2034" s="373" t="s">
        <v>13124</v>
      </c>
      <c r="C2034" s="372" t="s">
        <v>13125</v>
      </c>
      <c r="D2034" s="374">
        <v>1358110139949</v>
      </c>
      <c r="E2034" s="372" t="s">
        <v>13126</v>
      </c>
      <c r="F2034" s="375" t="s">
        <v>1116</v>
      </c>
      <c r="G2034" s="375" t="s">
        <v>1336</v>
      </c>
      <c r="H2034" s="375" t="s">
        <v>1337</v>
      </c>
      <c r="I2034" s="375" t="s">
        <v>862</v>
      </c>
      <c r="J2034" s="375">
        <v>26146.806260000001</v>
      </c>
      <c r="K2034" s="375">
        <v>-3048.77036</v>
      </c>
      <c r="L2034" s="375">
        <v>-3081.4922099999999</v>
      </c>
      <c r="M2034" s="375">
        <v>27909.266060000002</v>
      </c>
      <c r="N2034" s="372" t="s">
        <v>1026</v>
      </c>
      <c r="O2034" s="704">
        <v>22.578800150514709</v>
      </c>
      <c r="P2034" s="375" t="s">
        <v>622</v>
      </c>
      <c r="Q2034" s="372" t="s">
        <v>622</v>
      </c>
      <c r="R2034" s="696">
        <v>20230302</v>
      </c>
      <c r="S2034" s="372" t="s">
        <v>13127</v>
      </c>
      <c r="T2034" s="697" t="s">
        <v>771</v>
      </c>
      <c r="U2034" s="372" t="s">
        <v>13128</v>
      </c>
      <c r="V2034" s="723">
        <v>0</v>
      </c>
      <c r="W2034" s="723">
        <v>0</v>
      </c>
      <c r="X2034" s="723">
        <v>0</v>
      </c>
      <c r="Y2034" s="723">
        <v>0</v>
      </c>
      <c r="Z2034" s="382" t="s">
        <v>927</v>
      </c>
      <c r="AA2034" s="372">
        <v>196.0995246</v>
      </c>
      <c r="AB2034" s="372">
        <v>305.55326580000002</v>
      </c>
      <c r="AC2034" s="372">
        <v>354.27367529999998</v>
      </c>
      <c r="AD2034" s="372">
        <v>301.28735339999997</v>
      </c>
      <c r="AE2034" s="372">
        <v>0</v>
      </c>
      <c r="AF2034" s="372">
        <v>0</v>
      </c>
      <c r="AG2034" s="372">
        <v>0</v>
      </c>
      <c r="AH2034" s="372">
        <v>0</v>
      </c>
    </row>
    <row r="2035" spans="1:34">
      <c r="A2035" s="372" t="s">
        <v>13129</v>
      </c>
      <c r="B2035" s="373" t="s">
        <v>13130</v>
      </c>
      <c r="C2035" s="372" t="s">
        <v>13131</v>
      </c>
      <c r="D2035" s="374">
        <v>1301110007989</v>
      </c>
      <c r="E2035" s="372" t="s">
        <v>13132</v>
      </c>
      <c r="F2035" s="375" t="s">
        <v>1756</v>
      </c>
      <c r="G2035" s="375" t="s">
        <v>6499</v>
      </c>
      <c r="H2035" s="375" t="s">
        <v>753</v>
      </c>
      <c r="I2035" s="375" t="s">
        <v>754</v>
      </c>
      <c r="J2035" s="375">
        <v>25477.707460000001</v>
      </c>
      <c r="K2035" s="375">
        <v>-4562.7640099999999</v>
      </c>
      <c r="L2035" s="375">
        <v>863.20429000000001</v>
      </c>
      <c r="M2035" s="375">
        <v>31809.65093</v>
      </c>
      <c r="N2035" s="372" t="s">
        <v>1026</v>
      </c>
      <c r="O2035" s="704">
        <v>80.629057794482208</v>
      </c>
      <c r="P2035" s="375" t="s">
        <v>16115</v>
      </c>
      <c r="Q2035" s="375" t="s">
        <v>622</v>
      </c>
      <c r="R2035" s="696">
        <v>19891130</v>
      </c>
      <c r="S2035" s="375" t="s">
        <v>13133</v>
      </c>
      <c r="T2035" s="697">
        <v>0.20900000000000002</v>
      </c>
      <c r="U2035" s="372" t="s">
        <v>13134</v>
      </c>
      <c r="V2035" s="723" t="s">
        <v>773</v>
      </c>
      <c r="W2035" s="723">
        <v>1.72</v>
      </c>
      <c r="X2035" s="723">
        <v>2.12</v>
      </c>
      <c r="Y2035" s="723">
        <v>17.22</v>
      </c>
      <c r="Z2035" s="382" t="s">
        <v>927</v>
      </c>
      <c r="AA2035" s="372">
        <v>785.62259289999997</v>
      </c>
      <c r="AB2035" s="372">
        <v>692.00326700000005</v>
      </c>
      <c r="AC2035" s="372">
        <v>640.20094119999999</v>
      </c>
      <c r="AD2035" s="372">
        <v>416.41878380000003</v>
      </c>
      <c r="AE2035" s="372">
        <v>0</v>
      </c>
      <c r="AF2035" s="372">
        <v>0</v>
      </c>
      <c r="AG2035" s="372">
        <v>0</v>
      </c>
      <c r="AH2035" s="372">
        <v>0</v>
      </c>
    </row>
    <row r="2036" spans="1:34">
      <c r="A2036" s="372" t="s">
        <v>13135</v>
      </c>
      <c r="B2036" s="373" t="s">
        <v>13136</v>
      </c>
      <c r="C2036" s="372" t="s">
        <v>16048</v>
      </c>
      <c r="D2036" s="374">
        <v>1601110075170</v>
      </c>
      <c r="E2036" s="372" t="s">
        <v>15956</v>
      </c>
      <c r="F2036" s="375" t="s">
        <v>621</v>
      </c>
      <c r="G2036" s="375" t="s">
        <v>621</v>
      </c>
      <c r="H2036" s="375" t="s">
        <v>861</v>
      </c>
      <c r="I2036" s="375" t="s">
        <v>862</v>
      </c>
      <c r="J2036" s="375">
        <v>17253.5236</v>
      </c>
      <c r="K2036" s="375">
        <v>-9797.5247600000002</v>
      </c>
      <c r="L2036" s="375">
        <v>-22795.976129999999</v>
      </c>
      <c r="M2036" s="375">
        <v>62100.551119999996</v>
      </c>
      <c r="N2036" s="372">
        <v>0.23300000000000001</v>
      </c>
      <c r="O2036" s="704">
        <v>35.495369190543649</v>
      </c>
      <c r="P2036" s="375" t="s">
        <v>622</v>
      </c>
      <c r="Q2036" s="372" t="s">
        <v>622</v>
      </c>
      <c r="R2036" s="696">
        <v>20040211</v>
      </c>
      <c r="S2036" s="372" t="s">
        <v>13137</v>
      </c>
      <c r="T2036" s="697" t="s">
        <v>771</v>
      </c>
      <c r="U2036" s="372" t="s">
        <v>13138</v>
      </c>
      <c r="V2036" s="723" t="s">
        <v>773</v>
      </c>
      <c r="W2036" s="723">
        <v>0.91</v>
      </c>
      <c r="X2036" s="723">
        <v>3.23</v>
      </c>
      <c r="Y2036" s="723" t="s">
        <v>773</v>
      </c>
      <c r="Z2036" s="382" t="s">
        <v>927</v>
      </c>
      <c r="AA2036" s="372">
        <v>196.43286140000001</v>
      </c>
      <c r="AB2036" s="372">
        <v>441.40528660000001</v>
      </c>
      <c r="AC2036" s="372">
        <v>525.57973649999997</v>
      </c>
      <c r="AD2036" s="372">
        <v>216.94145950000001</v>
      </c>
      <c r="AE2036" s="372">
        <v>0</v>
      </c>
      <c r="AF2036" s="372">
        <v>0</v>
      </c>
      <c r="AG2036" s="372">
        <v>0</v>
      </c>
      <c r="AH2036" s="372">
        <v>0</v>
      </c>
    </row>
    <row r="2037" spans="1:34">
      <c r="A2037" s="372" t="s">
        <v>13139</v>
      </c>
      <c r="B2037" s="373" t="s">
        <v>13140</v>
      </c>
      <c r="C2037" s="372" t="s">
        <v>13141</v>
      </c>
      <c r="D2037" s="374">
        <v>1211110054981</v>
      </c>
      <c r="E2037" s="372" t="s">
        <v>13142</v>
      </c>
      <c r="F2037" s="375" t="s">
        <v>3121</v>
      </c>
      <c r="G2037" s="375" t="s">
        <v>3121</v>
      </c>
      <c r="H2037" s="375" t="s">
        <v>861</v>
      </c>
      <c r="I2037" s="375" t="s">
        <v>862</v>
      </c>
      <c r="J2037" s="375">
        <v>101778.64391</v>
      </c>
      <c r="K2037" s="375">
        <v>3534.4455800000001</v>
      </c>
      <c r="L2037" s="375">
        <v>3414.82258</v>
      </c>
      <c r="M2037" s="375">
        <v>105664.26548</v>
      </c>
      <c r="N2037" s="372">
        <v>0.74399999999999999</v>
      </c>
      <c r="O2037" s="704">
        <v>12.24304106246089</v>
      </c>
      <c r="P2037" s="375" t="s">
        <v>622</v>
      </c>
      <c r="Q2037" s="372" t="s">
        <v>622</v>
      </c>
      <c r="R2037" s="696">
        <v>20070919</v>
      </c>
      <c r="S2037" s="372" t="s">
        <v>13143</v>
      </c>
      <c r="T2037" s="697">
        <v>0.20900000000000002</v>
      </c>
      <c r="U2037" s="372" t="s">
        <v>13144</v>
      </c>
      <c r="V2037" s="723">
        <v>7.2</v>
      </c>
      <c r="W2037" s="723">
        <v>0.46</v>
      </c>
      <c r="X2037" s="723">
        <v>0.49</v>
      </c>
      <c r="Y2037" s="723">
        <v>14.62</v>
      </c>
      <c r="Z2037" s="382" t="s">
        <v>927</v>
      </c>
      <c r="AA2037" s="372">
        <v>983.01146830000005</v>
      </c>
      <c r="AB2037" s="372">
        <v>911.00694009999995</v>
      </c>
      <c r="AC2037" s="372">
        <v>980.47986000000003</v>
      </c>
      <c r="AD2037" s="372">
        <v>914.29089280000005</v>
      </c>
      <c r="AE2037" s="372">
        <v>0</v>
      </c>
      <c r="AF2037" s="372">
        <v>0</v>
      </c>
      <c r="AG2037" s="372">
        <v>0</v>
      </c>
      <c r="AH2037" s="372">
        <v>0</v>
      </c>
    </row>
    <row r="2038" spans="1:34">
      <c r="A2038" s="372" t="s">
        <v>13145</v>
      </c>
      <c r="B2038" s="373" t="s">
        <v>13146</v>
      </c>
      <c r="C2038" s="372" t="s">
        <v>13147</v>
      </c>
      <c r="D2038" s="374">
        <v>1101111402851</v>
      </c>
      <c r="E2038" s="372" t="s">
        <v>13148</v>
      </c>
      <c r="F2038" s="375" t="s">
        <v>4266</v>
      </c>
      <c r="G2038" s="375" t="s">
        <v>4267</v>
      </c>
      <c r="H2038" s="375" t="s">
        <v>1337</v>
      </c>
      <c r="I2038" s="375" t="s">
        <v>862</v>
      </c>
      <c r="J2038" s="375">
        <v>25043.670770000001</v>
      </c>
      <c r="K2038" s="375">
        <v>3825.0434599999999</v>
      </c>
      <c r="L2038" s="375">
        <v>3471.2704899999999</v>
      </c>
      <c r="M2038" s="375">
        <v>37290.16792</v>
      </c>
      <c r="N2038" s="372">
        <v>0.78600000000000003</v>
      </c>
      <c r="O2038" s="704">
        <v>21.75067382529642</v>
      </c>
      <c r="P2038" s="375" t="s">
        <v>622</v>
      </c>
      <c r="Q2038" s="372" t="s">
        <v>622</v>
      </c>
      <c r="R2038" s="696">
        <v>20010706</v>
      </c>
      <c r="S2038" s="372" t="s">
        <v>13149</v>
      </c>
      <c r="T2038" s="697">
        <v>0.20900000000000002</v>
      </c>
      <c r="U2038" s="372" t="s">
        <v>13150</v>
      </c>
      <c r="V2038" s="723">
        <v>0</v>
      </c>
      <c r="W2038" s="723">
        <v>0</v>
      </c>
      <c r="X2038" s="723">
        <v>0</v>
      </c>
      <c r="Y2038" s="723">
        <v>0</v>
      </c>
      <c r="Z2038" s="382" t="s">
        <v>927</v>
      </c>
      <c r="AA2038" s="372">
        <v>244.4715582</v>
      </c>
      <c r="AB2038" s="372">
        <v>230.84315950000001</v>
      </c>
      <c r="AC2038" s="372">
        <v>219.6227451</v>
      </c>
      <c r="AD2038" s="372">
        <v>248.9345501</v>
      </c>
      <c r="AE2038" s="372">
        <v>0</v>
      </c>
      <c r="AF2038" s="372">
        <v>0</v>
      </c>
      <c r="AG2038" s="372">
        <v>0</v>
      </c>
      <c r="AH2038" s="372">
        <v>0</v>
      </c>
    </row>
    <row r="2039" spans="1:34">
      <c r="A2039" s="372" t="s">
        <v>13151</v>
      </c>
      <c r="B2039" s="373" t="s">
        <v>13152</v>
      </c>
      <c r="C2039" s="372" t="s">
        <v>13153</v>
      </c>
      <c r="D2039" s="374">
        <v>1741110000098</v>
      </c>
      <c r="E2039" s="372" t="s">
        <v>13154</v>
      </c>
      <c r="F2039" s="375" t="s">
        <v>4056</v>
      </c>
      <c r="G2039" s="375" t="s">
        <v>4056</v>
      </c>
      <c r="H2039" s="375" t="s">
        <v>861</v>
      </c>
      <c r="I2039" s="375" t="s">
        <v>862</v>
      </c>
      <c r="J2039" s="375">
        <v>121119.30282</v>
      </c>
      <c r="K2039" s="375">
        <v>9730.9825700000001</v>
      </c>
      <c r="L2039" s="375">
        <v>9415.3984199999995</v>
      </c>
      <c r="M2039" s="375">
        <v>133831.91768000001</v>
      </c>
      <c r="N2039" s="372">
        <v>0.85799999999999998</v>
      </c>
      <c r="O2039" s="704">
        <v>92.735584866665604</v>
      </c>
      <c r="P2039" s="375" t="s">
        <v>622</v>
      </c>
      <c r="Q2039" s="375" t="s">
        <v>622</v>
      </c>
      <c r="R2039" s="696">
        <v>20100126</v>
      </c>
      <c r="S2039" s="375" t="s">
        <v>13155</v>
      </c>
      <c r="T2039" s="697">
        <v>0.20900000000000002</v>
      </c>
      <c r="U2039" s="372" t="s">
        <v>13156</v>
      </c>
      <c r="V2039" s="723">
        <v>0</v>
      </c>
      <c r="W2039" s="723">
        <v>0</v>
      </c>
      <c r="X2039" s="723">
        <v>0</v>
      </c>
      <c r="Y2039" s="723">
        <v>0</v>
      </c>
      <c r="Z2039" s="382" t="s">
        <v>927</v>
      </c>
      <c r="AA2039" s="372">
        <v>1129.5050659000001</v>
      </c>
      <c r="AB2039" s="372">
        <v>1065.4079626</v>
      </c>
      <c r="AC2039" s="372">
        <v>1377.1867915</v>
      </c>
      <c r="AD2039" s="372">
        <v>1236.3072374000001</v>
      </c>
      <c r="AE2039" s="372">
        <v>0</v>
      </c>
      <c r="AF2039" s="372">
        <v>0</v>
      </c>
      <c r="AG2039" s="372">
        <v>0</v>
      </c>
      <c r="AH2039" s="372">
        <v>0</v>
      </c>
    </row>
    <row r="2040" spans="1:34">
      <c r="A2040" s="372" t="s">
        <v>13157</v>
      </c>
      <c r="B2040" s="373" t="s">
        <v>13158</v>
      </c>
      <c r="C2040" s="372" t="s">
        <v>13159</v>
      </c>
      <c r="D2040" s="374">
        <v>1601110048870</v>
      </c>
      <c r="E2040" s="372" t="s">
        <v>13160</v>
      </c>
      <c r="F2040" s="375" t="s">
        <v>1743</v>
      </c>
      <c r="G2040" s="375" t="s">
        <v>1743</v>
      </c>
      <c r="H2040" s="375" t="s">
        <v>3099</v>
      </c>
      <c r="I2040" s="375" t="s">
        <v>862</v>
      </c>
      <c r="J2040" s="375">
        <v>7924.4819799999996</v>
      </c>
      <c r="K2040" s="375">
        <v>-2460.8742699999998</v>
      </c>
      <c r="L2040" s="375">
        <v>-3090.3431</v>
      </c>
      <c r="M2040" s="375">
        <v>429060.09937000001</v>
      </c>
      <c r="N2040" s="372">
        <v>0.752</v>
      </c>
      <c r="O2040" s="704">
        <v>8.0960168601076285E-2</v>
      </c>
      <c r="P2040" s="375" t="s">
        <v>622</v>
      </c>
      <c r="Q2040" s="372" t="s">
        <v>622</v>
      </c>
      <c r="R2040" s="696">
        <v>20010731</v>
      </c>
      <c r="S2040" s="372" t="s">
        <v>13161</v>
      </c>
      <c r="T2040" s="697" t="s">
        <v>771</v>
      </c>
      <c r="U2040" s="372" t="s">
        <v>15957</v>
      </c>
      <c r="V2040" s="723">
        <v>25.56</v>
      </c>
      <c r="W2040" s="723">
        <v>0.26</v>
      </c>
      <c r="X2040" s="723">
        <v>6.77</v>
      </c>
      <c r="Y2040" s="723" t="s">
        <v>773</v>
      </c>
      <c r="Z2040" s="382" t="s">
        <v>927</v>
      </c>
      <c r="AA2040" s="372">
        <v>166.92706960000001</v>
      </c>
      <c r="AB2040" s="372">
        <v>561.59454419999997</v>
      </c>
      <c r="AC2040" s="372">
        <v>134.63832629999999</v>
      </c>
      <c r="AD2040" s="372">
        <v>118.6330535</v>
      </c>
      <c r="AE2040" s="372">
        <v>0</v>
      </c>
      <c r="AF2040" s="372">
        <v>0</v>
      </c>
      <c r="AG2040" s="372">
        <v>0</v>
      </c>
      <c r="AH2040" s="372">
        <v>0</v>
      </c>
    </row>
    <row r="2041" spans="1:34">
      <c r="A2041" s="372" t="s">
        <v>13162</v>
      </c>
      <c r="B2041" s="373" t="s">
        <v>13163</v>
      </c>
      <c r="C2041" s="372" t="s">
        <v>13164</v>
      </c>
      <c r="D2041" s="374">
        <v>1243110006456</v>
      </c>
      <c r="E2041" s="372" t="s">
        <v>13165</v>
      </c>
      <c r="F2041" s="375" t="s">
        <v>998</v>
      </c>
      <c r="G2041" s="375" t="s">
        <v>999</v>
      </c>
      <c r="H2041" s="375" t="s">
        <v>753</v>
      </c>
      <c r="I2041" s="375" t="s">
        <v>754</v>
      </c>
      <c r="J2041" s="375">
        <v>113358.62684</v>
      </c>
      <c r="K2041" s="375">
        <v>-5969.62961</v>
      </c>
      <c r="L2041" s="375">
        <v>-6681.3597499999996</v>
      </c>
      <c r="M2041" s="375">
        <v>24843.74452</v>
      </c>
      <c r="N2041" s="372">
        <v>0.57999999999999996</v>
      </c>
      <c r="O2041" s="704">
        <v>126.47425973880897</v>
      </c>
      <c r="P2041" s="375" t="s">
        <v>622</v>
      </c>
      <c r="Q2041" s="372" t="s">
        <v>622</v>
      </c>
      <c r="R2041" s="696">
        <v>19880118</v>
      </c>
      <c r="S2041" s="372" t="s">
        <v>13166</v>
      </c>
      <c r="T2041" s="697" t="s">
        <v>771</v>
      </c>
      <c r="U2041" s="372" t="s">
        <v>13167</v>
      </c>
      <c r="V2041" s="723" t="s">
        <v>773</v>
      </c>
      <c r="W2041" s="723">
        <v>1.3</v>
      </c>
      <c r="X2041" s="723">
        <v>0.28999999999999998</v>
      </c>
      <c r="Y2041" s="723" t="s">
        <v>773</v>
      </c>
      <c r="Z2041" s="382" t="s">
        <v>927</v>
      </c>
      <c r="AA2041" s="372">
        <v>820.78262380000001</v>
      </c>
      <c r="AB2041" s="372">
        <v>692.85788500000001</v>
      </c>
      <c r="AC2041" s="372">
        <v>1074.5877820999999</v>
      </c>
      <c r="AD2041" s="372">
        <v>1409.0602325</v>
      </c>
      <c r="AE2041" s="372">
        <v>0</v>
      </c>
      <c r="AF2041" s="372">
        <v>0</v>
      </c>
      <c r="AG2041" s="372">
        <v>0</v>
      </c>
      <c r="AH2041" s="372">
        <v>0</v>
      </c>
    </row>
    <row r="2042" spans="1:34">
      <c r="A2042" s="372" t="s">
        <v>13168</v>
      </c>
      <c r="B2042" s="373" t="s">
        <v>13169</v>
      </c>
      <c r="C2042" s="372" t="s">
        <v>13170</v>
      </c>
      <c r="D2042" s="374">
        <v>1101110613607</v>
      </c>
      <c r="E2042" s="372" t="s">
        <v>13171</v>
      </c>
      <c r="F2042" s="375" t="s">
        <v>1276</v>
      </c>
      <c r="G2042" s="375" t="s">
        <v>1452</v>
      </c>
      <c r="H2042" s="375" t="s">
        <v>861</v>
      </c>
      <c r="I2042" s="375" t="s">
        <v>862</v>
      </c>
      <c r="J2042" s="375">
        <v>0</v>
      </c>
      <c r="K2042" s="375">
        <v>0</v>
      </c>
      <c r="L2042" s="375">
        <v>0</v>
      </c>
      <c r="M2042" s="375">
        <v>0</v>
      </c>
      <c r="N2042" s="372">
        <v>0.622</v>
      </c>
      <c r="O2042" s="704" t="s">
        <v>16301</v>
      </c>
      <c r="P2042" s="375" t="s">
        <v>622</v>
      </c>
      <c r="Q2042" s="372" t="s">
        <v>622</v>
      </c>
      <c r="R2042" s="696">
        <v>19971013</v>
      </c>
      <c r="S2042" s="372" t="s">
        <v>13172</v>
      </c>
      <c r="T2042" s="697" t="s">
        <v>771</v>
      </c>
      <c r="U2042" s="372" t="s">
        <v>13173</v>
      </c>
      <c r="V2042" s="723">
        <v>0</v>
      </c>
      <c r="W2042" s="723">
        <v>0</v>
      </c>
      <c r="X2042" s="723">
        <v>0</v>
      </c>
      <c r="Y2042" s="723">
        <v>0</v>
      </c>
      <c r="Z2042" s="382" t="s">
        <v>927</v>
      </c>
      <c r="AA2042" s="372">
        <v>269.84852169999999</v>
      </c>
      <c r="AB2042" s="372">
        <v>289.64480450000002</v>
      </c>
      <c r="AC2042" s="372">
        <v>319.5693938</v>
      </c>
      <c r="AD2042" s="372">
        <v>305.84075000000001</v>
      </c>
      <c r="AE2042" s="372">
        <v>0</v>
      </c>
      <c r="AF2042" s="372">
        <v>0</v>
      </c>
      <c r="AG2042" s="372">
        <v>0</v>
      </c>
      <c r="AH2042" s="372">
        <v>0</v>
      </c>
    </row>
    <row r="2043" spans="1:34">
      <c r="A2043" s="372" t="s">
        <v>13174</v>
      </c>
      <c r="B2043" s="373" t="s">
        <v>13175</v>
      </c>
      <c r="C2043" s="372" t="s">
        <v>13176</v>
      </c>
      <c r="D2043" s="374">
        <v>1101115125649</v>
      </c>
      <c r="E2043" s="372" t="s">
        <v>13177</v>
      </c>
      <c r="F2043" s="375" t="s">
        <v>13178</v>
      </c>
      <c r="G2043" s="375" t="s">
        <v>13178</v>
      </c>
      <c r="H2043" s="375" t="s">
        <v>861</v>
      </c>
      <c r="I2043" s="375" t="s">
        <v>862</v>
      </c>
      <c r="J2043" s="375">
        <v>109446.7941</v>
      </c>
      <c r="K2043" s="375">
        <v>-7261.1772099999998</v>
      </c>
      <c r="L2043" s="375">
        <v>-15158.566870000001</v>
      </c>
      <c r="M2043" s="375">
        <v>40341.800069999998</v>
      </c>
      <c r="N2043" s="372">
        <v>0.72</v>
      </c>
      <c r="O2043" s="704">
        <v>69.152644759248844</v>
      </c>
      <c r="P2043" s="375" t="s">
        <v>622</v>
      </c>
      <c r="Q2043" s="372" t="s">
        <v>622</v>
      </c>
      <c r="R2043" s="696">
        <v>20190711</v>
      </c>
      <c r="S2043" s="372" t="s">
        <v>13179</v>
      </c>
      <c r="T2043" s="697" t="s">
        <v>771</v>
      </c>
      <c r="U2043" s="372" t="s">
        <v>13180</v>
      </c>
      <c r="V2043" s="723">
        <v>8.93</v>
      </c>
      <c r="W2043" s="723">
        <v>0.83</v>
      </c>
      <c r="X2043" s="723">
        <v>0.3</v>
      </c>
      <c r="Y2043" s="723" t="s">
        <v>773</v>
      </c>
      <c r="Z2043" s="382" t="s">
        <v>927</v>
      </c>
      <c r="AA2043" s="372">
        <v>1155.2044811000001</v>
      </c>
      <c r="AB2043" s="372">
        <v>1285.6829565</v>
      </c>
      <c r="AC2043" s="372">
        <v>1338.4249167999999</v>
      </c>
      <c r="AD2043" s="372">
        <v>1176.1366218999999</v>
      </c>
      <c r="AE2043" s="372">
        <v>0</v>
      </c>
      <c r="AF2043" s="372">
        <v>0</v>
      </c>
      <c r="AG2043" s="372">
        <v>0</v>
      </c>
      <c r="AH2043" s="372">
        <v>0</v>
      </c>
    </row>
    <row r="2044" spans="1:34">
      <c r="A2044" s="372" t="s">
        <v>13181</v>
      </c>
      <c r="B2044" s="373" t="s">
        <v>13182</v>
      </c>
      <c r="C2044" s="372" t="s">
        <v>13183</v>
      </c>
      <c r="D2044" s="374">
        <v>1311110041192</v>
      </c>
      <c r="E2044" s="372" t="s">
        <v>13184</v>
      </c>
      <c r="F2044" s="375" t="s">
        <v>2518</v>
      </c>
      <c r="G2044" s="375" t="s">
        <v>2518</v>
      </c>
      <c r="H2044" s="375" t="s">
        <v>817</v>
      </c>
      <c r="I2044" s="375" t="s">
        <v>754</v>
      </c>
      <c r="J2044" s="375">
        <v>47953.829129999998</v>
      </c>
      <c r="K2044" s="375">
        <v>455.29446999999999</v>
      </c>
      <c r="L2044" s="375">
        <v>4359.0084699999998</v>
      </c>
      <c r="M2044" s="375">
        <v>56335.397640000003</v>
      </c>
      <c r="N2044" s="372">
        <v>0.59</v>
      </c>
      <c r="O2044" s="704">
        <v>1.3635149880992654</v>
      </c>
      <c r="P2044" s="375" t="s">
        <v>622</v>
      </c>
      <c r="Q2044" s="372" t="s">
        <v>622</v>
      </c>
      <c r="R2044" s="696">
        <v>20030701</v>
      </c>
      <c r="S2044" s="372" t="s">
        <v>13185</v>
      </c>
      <c r="T2044" s="697">
        <v>0.20900000000000002</v>
      </c>
      <c r="U2044" s="372" t="s">
        <v>13186</v>
      </c>
      <c r="V2044" s="723">
        <v>23.52</v>
      </c>
      <c r="W2044" s="723">
        <v>0.86</v>
      </c>
      <c r="X2044" s="723">
        <v>1.1499999999999999</v>
      </c>
      <c r="Y2044" s="723">
        <v>15.54</v>
      </c>
      <c r="Z2044" s="382" t="s">
        <v>927</v>
      </c>
      <c r="AA2044" s="372">
        <v>270.63345090000001</v>
      </c>
      <c r="AB2044" s="372">
        <v>296.81809010000001</v>
      </c>
      <c r="AC2044" s="372">
        <v>300.44902860000002</v>
      </c>
      <c r="AD2044" s="372">
        <v>366.39038640000001</v>
      </c>
      <c r="AE2044" s="372">
        <v>0</v>
      </c>
      <c r="AF2044" s="372">
        <v>0</v>
      </c>
      <c r="AG2044" s="372">
        <v>0</v>
      </c>
      <c r="AH2044" s="372">
        <v>0</v>
      </c>
    </row>
    <row r="2045" spans="1:34">
      <c r="A2045" s="372" t="s">
        <v>13187</v>
      </c>
      <c r="B2045" s="373" t="s">
        <v>13188</v>
      </c>
      <c r="C2045" s="372" t="s">
        <v>13189</v>
      </c>
      <c r="D2045" s="374">
        <v>1201110290289</v>
      </c>
      <c r="E2045" s="372" t="s">
        <v>13190</v>
      </c>
      <c r="F2045" s="372" t="s">
        <v>12691</v>
      </c>
      <c r="G2045" s="375" t="s">
        <v>13191</v>
      </c>
      <c r="H2045" s="375" t="s">
        <v>861</v>
      </c>
      <c r="I2045" s="375" t="s">
        <v>862</v>
      </c>
      <c r="J2045" s="375">
        <v>45859.593970000002</v>
      </c>
      <c r="K2045" s="375">
        <v>4887.2807000000003</v>
      </c>
      <c r="L2045" s="375">
        <v>5594.2870300000004</v>
      </c>
      <c r="M2045" s="375">
        <v>43942.245730000002</v>
      </c>
      <c r="N2045" s="372">
        <v>0.56799999999999995</v>
      </c>
      <c r="O2045" s="704">
        <v>26.74236962959025</v>
      </c>
      <c r="P2045" s="375" t="s">
        <v>622</v>
      </c>
      <c r="Q2045" s="372" t="s">
        <v>622</v>
      </c>
      <c r="R2045" s="696">
        <v>20170928</v>
      </c>
      <c r="S2045" s="372" t="s">
        <v>13192</v>
      </c>
      <c r="T2045" s="697">
        <v>0.20900000000000002</v>
      </c>
      <c r="U2045" s="372" t="s">
        <v>15958</v>
      </c>
      <c r="V2045" s="723">
        <v>9</v>
      </c>
      <c r="W2045" s="723">
        <v>1.1599999999999999</v>
      </c>
      <c r="X2045" s="723">
        <v>1.1100000000000001</v>
      </c>
      <c r="Y2045" s="723">
        <v>7.03</v>
      </c>
      <c r="Z2045" s="382" t="s">
        <v>927</v>
      </c>
      <c r="AA2045" s="372">
        <v>344.68376210000002</v>
      </c>
      <c r="AB2045" s="372">
        <v>125.42742</v>
      </c>
      <c r="AC2045" s="372">
        <v>356.3009917</v>
      </c>
      <c r="AD2045" s="372">
        <v>484.25321550000001</v>
      </c>
      <c r="AE2045" s="372">
        <v>0</v>
      </c>
      <c r="AF2045" s="372">
        <v>0</v>
      </c>
      <c r="AG2045" s="372">
        <v>0</v>
      </c>
      <c r="AH2045" s="372">
        <v>0</v>
      </c>
    </row>
    <row r="2046" spans="1:34">
      <c r="A2046" s="372" t="s">
        <v>13193</v>
      </c>
      <c r="B2046" s="373" t="s">
        <v>13194</v>
      </c>
      <c r="C2046" s="372" t="s">
        <v>13195</v>
      </c>
      <c r="D2046" s="374">
        <v>1648110026753</v>
      </c>
      <c r="E2046" s="372" t="s">
        <v>13196</v>
      </c>
      <c r="F2046" s="375" t="s">
        <v>1276</v>
      </c>
      <c r="G2046" s="375" t="s">
        <v>1276</v>
      </c>
      <c r="H2046" s="375" t="s">
        <v>861</v>
      </c>
      <c r="I2046" s="375" t="s">
        <v>862</v>
      </c>
      <c r="J2046" s="375">
        <v>4941.4638199999999</v>
      </c>
      <c r="K2046" s="375">
        <v>-6444.7846900000004</v>
      </c>
      <c r="L2046" s="375">
        <v>-6730.1926599999997</v>
      </c>
      <c r="M2046" s="375">
        <v>22546.713820000001</v>
      </c>
      <c r="N2046" s="372">
        <v>0.73399999999999999</v>
      </c>
      <c r="O2046" s="704">
        <v>19.026642987272517</v>
      </c>
      <c r="P2046" s="375" t="s">
        <v>622</v>
      </c>
      <c r="Q2046" s="375" t="s">
        <v>622</v>
      </c>
      <c r="R2046" s="696">
        <v>20210309</v>
      </c>
      <c r="S2046" s="372" t="s">
        <v>13197</v>
      </c>
      <c r="T2046" s="697" t="s">
        <v>771</v>
      </c>
      <c r="U2046" s="372" t="s">
        <v>13198</v>
      </c>
      <c r="V2046" s="723">
        <v>0</v>
      </c>
      <c r="W2046" s="723">
        <v>0</v>
      </c>
      <c r="X2046" s="723">
        <v>0</v>
      </c>
      <c r="Y2046" s="723">
        <v>0</v>
      </c>
      <c r="Z2046" s="382" t="s">
        <v>927</v>
      </c>
      <c r="AA2046" s="372">
        <v>42.3661016</v>
      </c>
      <c r="AB2046" s="372">
        <v>40.832625700000001</v>
      </c>
      <c r="AC2046" s="372">
        <v>74.097641999999993</v>
      </c>
      <c r="AD2046" s="372">
        <v>45.828734599999997</v>
      </c>
      <c r="AE2046" s="372">
        <v>0</v>
      </c>
      <c r="AF2046" s="372">
        <v>0</v>
      </c>
      <c r="AG2046" s="372">
        <v>0</v>
      </c>
      <c r="AH2046" s="372">
        <v>0</v>
      </c>
    </row>
    <row r="2047" spans="1:34">
      <c r="A2047" s="372" t="s">
        <v>13199</v>
      </c>
      <c r="B2047" s="372" t="s">
        <v>13200</v>
      </c>
      <c r="C2047" s="372" t="s">
        <v>13201</v>
      </c>
      <c r="D2047" s="374">
        <v>1201110658289</v>
      </c>
      <c r="E2047" s="372" t="s">
        <v>13202</v>
      </c>
      <c r="F2047" s="372" t="s">
        <v>1116</v>
      </c>
      <c r="G2047" s="375" t="s">
        <v>1336</v>
      </c>
      <c r="H2047" s="375" t="s">
        <v>1337</v>
      </c>
      <c r="I2047" s="375" t="s">
        <v>862</v>
      </c>
      <c r="J2047" s="375">
        <v>40204.002639999999</v>
      </c>
      <c r="K2047" s="375">
        <v>-10436.621080000001</v>
      </c>
      <c r="L2047" s="375">
        <v>-26406.714660000001</v>
      </c>
      <c r="M2047" s="375">
        <v>35342.394979999997</v>
      </c>
      <c r="N2047" s="372">
        <v>0.59099999999999997</v>
      </c>
      <c r="O2047" s="704">
        <v>160.61876816456865</v>
      </c>
      <c r="P2047" s="375" t="s">
        <v>16115</v>
      </c>
      <c r="Q2047" s="372" t="s">
        <v>16116</v>
      </c>
      <c r="R2047" s="696">
        <v>20180626</v>
      </c>
      <c r="S2047" s="372" t="s">
        <v>13203</v>
      </c>
      <c r="T2047" s="697" t="s">
        <v>771</v>
      </c>
      <c r="U2047" s="372" t="s">
        <v>13204</v>
      </c>
      <c r="V2047" s="723" t="s">
        <v>773</v>
      </c>
      <c r="W2047" s="723">
        <v>1.66</v>
      </c>
      <c r="X2047" s="723">
        <v>1.35</v>
      </c>
      <c r="Y2047" s="723" t="s">
        <v>773</v>
      </c>
      <c r="Z2047" s="382" t="s">
        <v>927</v>
      </c>
      <c r="AA2047" s="372">
        <v>925.41208930000005</v>
      </c>
      <c r="AB2047" s="372">
        <v>892.82114469999999</v>
      </c>
      <c r="AC2047" s="372">
        <v>942.43692880000003</v>
      </c>
      <c r="AD2047" s="372">
        <v>884.56744570000001</v>
      </c>
      <c r="AE2047" s="372">
        <v>0</v>
      </c>
      <c r="AF2047" s="372">
        <v>0</v>
      </c>
      <c r="AG2047" s="372">
        <v>0</v>
      </c>
      <c r="AH2047" s="372">
        <v>0</v>
      </c>
    </row>
    <row r="2048" spans="1:34">
      <c r="A2048" s="372" t="s">
        <v>13205</v>
      </c>
      <c r="B2048" s="372" t="s">
        <v>13206</v>
      </c>
      <c r="C2048" s="372" t="s">
        <v>13207</v>
      </c>
      <c r="D2048" s="374">
        <v>1243110001513</v>
      </c>
      <c r="E2048" s="372" t="s">
        <v>13208</v>
      </c>
      <c r="F2048" s="372" t="s">
        <v>1764</v>
      </c>
      <c r="G2048" s="375" t="s">
        <v>13209</v>
      </c>
      <c r="H2048" s="375" t="s">
        <v>861</v>
      </c>
      <c r="I2048" s="375" t="s">
        <v>862</v>
      </c>
      <c r="J2048" s="375">
        <v>161609.40843000001</v>
      </c>
      <c r="K2048" s="375">
        <v>10103.971799999999</v>
      </c>
      <c r="L2048" s="375">
        <v>11301.485699999999</v>
      </c>
      <c r="M2048" s="375">
        <v>115959.54175999999</v>
      </c>
      <c r="N2048" s="372">
        <v>0.70899999999999996</v>
      </c>
      <c r="O2048" s="704">
        <v>2.5736317950603711</v>
      </c>
      <c r="P2048" s="375" t="s">
        <v>622</v>
      </c>
      <c r="Q2048" s="372" t="s">
        <v>622</v>
      </c>
      <c r="R2048" s="696">
        <v>20000808</v>
      </c>
      <c r="S2048" s="372" t="s">
        <v>13210</v>
      </c>
      <c r="T2048" s="697">
        <v>0.20900000000000002</v>
      </c>
      <c r="U2048" s="372" t="s">
        <v>13211</v>
      </c>
      <c r="V2048" s="723">
        <v>3.62</v>
      </c>
      <c r="W2048" s="723">
        <v>0.4</v>
      </c>
      <c r="X2048" s="723">
        <v>0.28000000000000003</v>
      </c>
      <c r="Y2048" s="723">
        <v>4.8899999999999997</v>
      </c>
      <c r="Z2048" s="382" t="s">
        <v>927</v>
      </c>
      <c r="AA2048" s="372">
        <v>1508.1192655</v>
      </c>
      <c r="AB2048" s="372">
        <v>1699.4429485999999</v>
      </c>
      <c r="AC2048" s="372">
        <v>1704.2356956000001</v>
      </c>
      <c r="AD2048" s="372">
        <v>1584.2813452</v>
      </c>
      <c r="AE2048" s="372">
        <v>0</v>
      </c>
      <c r="AF2048" s="372">
        <v>0</v>
      </c>
      <c r="AG2048" s="372">
        <v>0</v>
      </c>
      <c r="AH2048" s="372">
        <v>0</v>
      </c>
    </row>
    <row r="2049" spans="1:34">
      <c r="A2049" s="372" t="s">
        <v>13212</v>
      </c>
      <c r="B2049" s="372" t="s">
        <v>13213</v>
      </c>
      <c r="C2049" s="372" t="s">
        <v>13214</v>
      </c>
      <c r="D2049" s="374">
        <v>2201110123463</v>
      </c>
      <c r="E2049" s="372" t="s">
        <v>13215</v>
      </c>
      <c r="F2049" s="372" t="s">
        <v>9095</v>
      </c>
      <c r="G2049" s="375" t="s">
        <v>13216</v>
      </c>
      <c r="H2049" s="375" t="s">
        <v>861</v>
      </c>
      <c r="I2049" s="375" t="s">
        <v>862</v>
      </c>
      <c r="J2049" s="375">
        <v>20491.881440000001</v>
      </c>
      <c r="K2049" s="375">
        <v>-4811.8170200000004</v>
      </c>
      <c r="L2049" s="375">
        <v>-6277.5813099999996</v>
      </c>
      <c r="M2049" s="375">
        <v>15612.94931</v>
      </c>
      <c r="N2049" s="372">
        <v>1.0840000000000001</v>
      </c>
      <c r="O2049" s="704">
        <v>44.5293634397365</v>
      </c>
      <c r="P2049" s="375" t="s">
        <v>622</v>
      </c>
      <c r="Q2049" s="375" t="s">
        <v>622</v>
      </c>
      <c r="R2049" s="696">
        <v>20210526</v>
      </c>
      <c r="S2049" s="375" t="s">
        <v>13217</v>
      </c>
      <c r="T2049" s="697" t="s">
        <v>771</v>
      </c>
      <c r="U2049" s="372" t="s">
        <v>13218</v>
      </c>
      <c r="V2049" s="723" t="s">
        <v>773</v>
      </c>
      <c r="W2049" s="723">
        <v>2.25</v>
      </c>
      <c r="X2049" s="723">
        <v>1.7</v>
      </c>
      <c r="Y2049" s="723" t="s">
        <v>773</v>
      </c>
      <c r="Z2049" s="382" t="s">
        <v>927</v>
      </c>
      <c r="AA2049" s="372">
        <v>215.549128</v>
      </c>
      <c r="AB2049" s="372">
        <v>288.38913170000001</v>
      </c>
      <c r="AC2049" s="372">
        <v>239.69942750000001</v>
      </c>
      <c r="AD2049" s="372">
        <v>224.49535019999999</v>
      </c>
      <c r="AE2049" s="372">
        <v>0</v>
      </c>
      <c r="AF2049" s="372">
        <v>0</v>
      </c>
      <c r="AG2049" s="372">
        <v>0</v>
      </c>
      <c r="AH2049" s="372">
        <v>0</v>
      </c>
    </row>
    <row r="2050" spans="1:34">
      <c r="A2050" s="372" t="s">
        <v>13219</v>
      </c>
      <c r="B2050" s="372" t="s">
        <v>13220</v>
      </c>
      <c r="C2050" s="372" t="s">
        <v>13221</v>
      </c>
      <c r="D2050" s="374">
        <v>1101110123408</v>
      </c>
      <c r="E2050" s="372" t="s">
        <v>13222</v>
      </c>
      <c r="F2050" s="372" t="s">
        <v>5619</v>
      </c>
      <c r="G2050" s="375" t="s">
        <v>5619</v>
      </c>
      <c r="H2050" s="375" t="s">
        <v>861</v>
      </c>
      <c r="I2050" s="375" t="s">
        <v>862</v>
      </c>
      <c r="J2050" s="375">
        <v>168687.20089000001</v>
      </c>
      <c r="K2050" s="375">
        <v>6937.6694699999998</v>
      </c>
      <c r="L2050" s="375">
        <v>4354.9890500000001</v>
      </c>
      <c r="M2050" s="375">
        <v>47170.586470000002</v>
      </c>
      <c r="N2050" s="372">
        <v>0.67</v>
      </c>
      <c r="O2050" s="704">
        <v>124.47299653527433</v>
      </c>
      <c r="P2050" s="375" t="s">
        <v>622</v>
      </c>
      <c r="Q2050" s="372" t="s">
        <v>622</v>
      </c>
      <c r="R2050" s="696">
        <v>19940729</v>
      </c>
      <c r="S2050" s="372" t="s">
        <v>13223</v>
      </c>
      <c r="T2050" s="697">
        <v>0.20900000000000002</v>
      </c>
      <c r="U2050" s="372" t="s">
        <v>13224</v>
      </c>
      <c r="V2050" s="723">
        <v>7.62</v>
      </c>
      <c r="W2050" s="723">
        <v>1.07</v>
      </c>
      <c r="X2050" s="723">
        <v>0.3</v>
      </c>
      <c r="Y2050" s="723">
        <v>15.13</v>
      </c>
      <c r="Z2050" s="382" t="s">
        <v>927</v>
      </c>
      <c r="AA2050" s="372">
        <v>1105.7115513000001</v>
      </c>
      <c r="AB2050" s="372">
        <v>1228.7430147</v>
      </c>
      <c r="AC2050" s="372">
        <v>1463.2433326</v>
      </c>
      <c r="AD2050" s="372">
        <v>1662.9044768000001</v>
      </c>
      <c r="AE2050" s="372">
        <v>0</v>
      </c>
      <c r="AF2050" s="372">
        <v>0</v>
      </c>
      <c r="AG2050" s="372">
        <v>0</v>
      </c>
      <c r="AH2050" s="372">
        <v>0</v>
      </c>
    </row>
    <row r="2051" spans="1:34">
      <c r="A2051" s="372" t="s">
        <v>13225</v>
      </c>
      <c r="B2051" s="372" t="s">
        <v>13226</v>
      </c>
      <c r="C2051" s="372" t="s">
        <v>13227</v>
      </c>
      <c r="D2051" s="374">
        <v>1101110276116</v>
      </c>
      <c r="E2051" s="372" t="s">
        <v>13228</v>
      </c>
      <c r="F2051" s="372" t="s">
        <v>2747</v>
      </c>
      <c r="G2051" s="375" t="s">
        <v>2748</v>
      </c>
      <c r="H2051" s="375" t="s">
        <v>861</v>
      </c>
      <c r="I2051" s="375" t="s">
        <v>862</v>
      </c>
      <c r="J2051" s="375">
        <v>399255.89523999998</v>
      </c>
      <c r="K2051" s="375">
        <v>7.1923000000000004</v>
      </c>
      <c r="L2051" s="375">
        <v>-2087.22406</v>
      </c>
      <c r="M2051" s="375">
        <v>149047.67601</v>
      </c>
      <c r="N2051" s="372">
        <v>0.72799999999999998</v>
      </c>
      <c r="O2051" s="704">
        <v>120.45225357321789</v>
      </c>
      <c r="P2051" s="563" t="s">
        <v>622</v>
      </c>
      <c r="Q2051" s="372" t="s">
        <v>622</v>
      </c>
      <c r="R2051" s="696">
        <v>20141205</v>
      </c>
      <c r="S2051" s="372" t="s">
        <v>13229</v>
      </c>
      <c r="T2051" s="697" t="s">
        <v>771</v>
      </c>
      <c r="U2051" s="372" t="s">
        <v>13230</v>
      </c>
      <c r="V2051" s="723">
        <v>38.9</v>
      </c>
      <c r="W2051" s="723">
        <v>0.32</v>
      </c>
      <c r="X2051" s="723">
        <v>0.12</v>
      </c>
      <c r="Y2051" s="723" t="s">
        <v>773</v>
      </c>
      <c r="Z2051" s="382" t="s">
        <v>927</v>
      </c>
      <c r="AA2051" s="372">
        <v>1713.3242703000001</v>
      </c>
      <c r="AB2051" s="372">
        <v>2962.0327226999998</v>
      </c>
      <c r="AC2051" s="372">
        <v>3985.1632478000001</v>
      </c>
      <c r="AD2051" s="372">
        <v>4197.5313372999999</v>
      </c>
      <c r="AE2051" s="372">
        <v>0</v>
      </c>
      <c r="AF2051" s="372">
        <v>0</v>
      </c>
      <c r="AG2051" s="372">
        <v>0</v>
      </c>
      <c r="AH2051" s="372">
        <v>0</v>
      </c>
    </row>
    <row r="2052" spans="1:34">
      <c r="A2052" s="372" t="s">
        <v>13231</v>
      </c>
      <c r="B2052" s="372" t="s">
        <v>13232</v>
      </c>
      <c r="C2052" s="372" t="s">
        <v>13233</v>
      </c>
      <c r="D2052" s="374">
        <v>1101111892010</v>
      </c>
      <c r="E2052" s="372" t="s">
        <v>13234</v>
      </c>
      <c r="F2052" s="372" t="s">
        <v>1069</v>
      </c>
      <c r="G2052" s="375" t="s">
        <v>2331</v>
      </c>
      <c r="H2052" s="375" t="s">
        <v>3099</v>
      </c>
      <c r="I2052" s="375" t="s">
        <v>862</v>
      </c>
      <c r="J2052" s="375">
        <v>86712.164600000004</v>
      </c>
      <c r="K2052" s="375">
        <v>16587.954280000002</v>
      </c>
      <c r="L2052" s="375">
        <v>17505.998950000001</v>
      </c>
      <c r="M2052" s="375">
        <v>150761.8162</v>
      </c>
      <c r="N2052" s="372">
        <v>0.57899999999999996</v>
      </c>
      <c r="O2052" s="704">
        <v>36.030190132244208</v>
      </c>
      <c r="P2052" s="563" t="s">
        <v>622</v>
      </c>
      <c r="Q2052" s="372" t="s">
        <v>622</v>
      </c>
      <c r="R2052" s="696">
        <v>20050930</v>
      </c>
      <c r="S2052" s="372" t="s">
        <v>13235</v>
      </c>
      <c r="T2052" s="697">
        <v>0.20900000000000002</v>
      </c>
      <c r="U2052" s="372" t="s">
        <v>13236</v>
      </c>
      <c r="V2052" s="723">
        <v>3.88</v>
      </c>
      <c r="W2052" s="723">
        <v>0.4</v>
      </c>
      <c r="X2052" s="723">
        <v>0.6</v>
      </c>
      <c r="Y2052" s="723">
        <v>5.99</v>
      </c>
      <c r="Z2052" s="382" t="s">
        <v>927</v>
      </c>
      <c r="AA2052" s="372">
        <v>414.2356284</v>
      </c>
      <c r="AB2052" s="372">
        <v>571.55970390000004</v>
      </c>
      <c r="AC2052" s="372">
        <v>699.6220538</v>
      </c>
      <c r="AD2052" s="372">
        <v>822.91210120000005</v>
      </c>
      <c r="AE2052" s="372">
        <v>0</v>
      </c>
      <c r="AF2052" s="372">
        <v>0</v>
      </c>
      <c r="AG2052" s="372">
        <v>0</v>
      </c>
      <c r="AH2052" s="372">
        <v>0</v>
      </c>
    </row>
    <row r="2053" spans="1:34">
      <c r="A2053" s="372" t="s">
        <v>13237</v>
      </c>
      <c r="B2053" s="372" t="s">
        <v>13238</v>
      </c>
      <c r="C2053" s="372" t="s">
        <v>13239</v>
      </c>
      <c r="D2053" s="374">
        <v>0</v>
      </c>
      <c r="E2053" s="372" t="s">
        <v>13240</v>
      </c>
      <c r="F2053" s="372" t="s">
        <v>2103</v>
      </c>
      <c r="G2053" s="375" t="s">
        <v>2103</v>
      </c>
      <c r="H2053" s="375">
        <v>0</v>
      </c>
      <c r="I2053" s="375" t="s">
        <v>862</v>
      </c>
      <c r="J2053" s="375">
        <v>47784.01</v>
      </c>
      <c r="K2053" s="375">
        <v>-1458.3030000000001</v>
      </c>
      <c r="L2053" s="375">
        <v>-3123.3809999999999</v>
      </c>
      <c r="M2053" s="375">
        <v>259483.144</v>
      </c>
      <c r="N2053" s="372">
        <v>0.64</v>
      </c>
      <c r="O2053" s="704">
        <v>80.487206468173781</v>
      </c>
      <c r="P2053" s="563" t="s">
        <v>622</v>
      </c>
      <c r="Q2053" s="372" t="s">
        <v>622</v>
      </c>
      <c r="R2053" s="696">
        <v>20170810</v>
      </c>
      <c r="S2053" s="372" t="s">
        <v>13241</v>
      </c>
      <c r="T2053" s="697" t="s">
        <v>771</v>
      </c>
      <c r="U2053" s="372" t="s">
        <v>13242</v>
      </c>
      <c r="V2053" s="723">
        <v>14.06</v>
      </c>
      <c r="W2053" s="723">
        <v>0.2</v>
      </c>
      <c r="X2053" s="723">
        <v>1.0900000000000001</v>
      </c>
      <c r="Y2053" s="723" t="s">
        <v>773</v>
      </c>
      <c r="Z2053" s="382" t="s">
        <v>927</v>
      </c>
      <c r="AA2053" s="372">
        <v>737.37536</v>
      </c>
      <c r="AB2053" s="372">
        <v>609.09753000000001</v>
      </c>
      <c r="AC2053" s="372">
        <v>388.56466</v>
      </c>
      <c r="AD2053" s="372">
        <v>464.27528999999998</v>
      </c>
      <c r="AE2053" s="372">
        <v>0</v>
      </c>
      <c r="AF2053" s="372">
        <v>0</v>
      </c>
      <c r="AG2053" s="372">
        <v>0</v>
      </c>
      <c r="AH2053" s="372">
        <v>0</v>
      </c>
    </row>
    <row r="2054" spans="1:34">
      <c r="A2054" s="372" t="s">
        <v>13243</v>
      </c>
      <c r="B2054" s="372" t="s">
        <v>13244</v>
      </c>
      <c r="C2054" s="372" t="s">
        <v>13245</v>
      </c>
      <c r="D2054" s="374">
        <v>1115110000136</v>
      </c>
      <c r="E2054" s="372" t="s">
        <v>13246</v>
      </c>
      <c r="F2054" s="372" t="s">
        <v>1863</v>
      </c>
      <c r="G2054" s="375" t="s">
        <v>1864</v>
      </c>
      <c r="H2054" s="375" t="s">
        <v>792</v>
      </c>
      <c r="I2054" s="375" t="s">
        <v>754</v>
      </c>
      <c r="J2054" s="375">
        <v>564252.81105999998</v>
      </c>
      <c r="K2054" s="375">
        <v>35680.729469999998</v>
      </c>
      <c r="L2054" s="375">
        <v>-62321.935420000002</v>
      </c>
      <c r="M2054" s="375">
        <v>52758.996160000002</v>
      </c>
      <c r="N2054" s="372">
        <v>0.60699999999999998</v>
      </c>
      <c r="O2054" s="704">
        <v>266.4008225111574</v>
      </c>
      <c r="P2054" s="563" t="s">
        <v>622</v>
      </c>
      <c r="Q2054" s="372" t="s">
        <v>622</v>
      </c>
      <c r="R2054" s="696">
        <v>19770218</v>
      </c>
      <c r="S2054" s="372" t="s">
        <v>13247</v>
      </c>
      <c r="T2054" s="697" t="s">
        <v>771</v>
      </c>
      <c r="U2054" s="372" t="s">
        <v>13248</v>
      </c>
      <c r="V2054" s="723">
        <v>3.15</v>
      </c>
      <c r="W2054" s="723">
        <v>0.93</v>
      </c>
      <c r="X2054" s="723">
        <v>0.08</v>
      </c>
      <c r="Y2054" s="723" t="s">
        <v>773</v>
      </c>
      <c r="Z2054" s="382" t="s">
        <v>927</v>
      </c>
      <c r="AA2054" s="372">
        <v>14669.042477499999</v>
      </c>
      <c r="AB2054" s="372">
        <v>15697.0744129</v>
      </c>
      <c r="AC2054" s="372">
        <v>5012.8587158</v>
      </c>
      <c r="AD2054" s="372">
        <v>5669.3144285999997</v>
      </c>
      <c r="AE2054" s="372">
        <v>0</v>
      </c>
      <c r="AF2054" s="372">
        <v>0</v>
      </c>
      <c r="AG2054" s="372">
        <v>0</v>
      </c>
      <c r="AH2054" s="372">
        <v>0</v>
      </c>
    </row>
    <row r="2055" spans="1:34">
      <c r="A2055" s="372" t="s">
        <v>13249</v>
      </c>
      <c r="B2055" s="372" t="s">
        <v>13250</v>
      </c>
      <c r="C2055" s="372" t="s">
        <v>13251</v>
      </c>
      <c r="D2055" s="374">
        <v>1358110122283</v>
      </c>
      <c r="E2055" s="372" t="s">
        <v>13252</v>
      </c>
      <c r="F2055" s="372" t="s">
        <v>1275</v>
      </c>
      <c r="G2055" s="375" t="s">
        <v>1275</v>
      </c>
      <c r="H2055" s="375" t="s">
        <v>861</v>
      </c>
      <c r="I2055" s="375" t="s">
        <v>862</v>
      </c>
      <c r="J2055" s="375">
        <v>132547.52567</v>
      </c>
      <c r="K2055" s="375">
        <v>-3487.4388399999998</v>
      </c>
      <c r="L2055" s="375">
        <v>-24447.474579999998</v>
      </c>
      <c r="M2055" s="375">
        <v>19600.477269999999</v>
      </c>
      <c r="N2055" s="372">
        <v>0.46</v>
      </c>
      <c r="O2055" s="704">
        <v>57.75877856265538</v>
      </c>
      <c r="P2055" s="563" t="s">
        <v>622</v>
      </c>
      <c r="Q2055" s="372" t="s">
        <v>622</v>
      </c>
      <c r="R2055" s="696">
        <v>20080723</v>
      </c>
      <c r="S2055" s="372" t="s">
        <v>13253</v>
      </c>
      <c r="T2055" s="697" t="s">
        <v>771</v>
      </c>
      <c r="U2055" s="372" t="s">
        <v>13254</v>
      </c>
      <c r="V2055" s="723">
        <v>16.52</v>
      </c>
      <c r="W2055" s="723">
        <v>1.77</v>
      </c>
      <c r="X2055" s="723">
        <v>0.3</v>
      </c>
      <c r="Y2055" s="723" t="s">
        <v>773</v>
      </c>
      <c r="Z2055" s="382">
        <v>0.15104298155850615</v>
      </c>
      <c r="AA2055" s="372">
        <v>1462.9979244000001</v>
      </c>
      <c r="AB2055" s="372">
        <v>1528.6588382</v>
      </c>
      <c r="AC2055" s="372">
        <v>1173.7964102999999</v>
      </c>
      <c r="AD2055" s="372">
        <v>1243.0499540999999</v>
      </c>
      <c r="AE2055" s="372">
        <v>1389</v>
      </c>
      <c r="AF2055" s="372">
        <v>1943</v>
      </c>
      <c r="AG2055" s="372">
        <v>2182</v>
      </c>
      <c r="AH2055" s="372">
        <v>0</v>
      </c>
    </row>
    <row r="2056" spans="1:34">
      <c r="A2056" s="372" t="s">
        <v>13255</v>
      </c>
      <c r="B2056" s="372" t="s">
        <v>13256</v>
      </c>
      <c r="C2056" s="372" t="s">
        <v>13257</v>
      </c>
      <c r="D2056" s="374">
        <v>1351110045025</v>
      </c>
      <c r="E2056" s="372" t="s">
        <v>13258</v>
      </c>
      <c r="F2056" s="372" t="s">
        <v>621</v>
      </c>
      <c r="G2056" s="375" t="s">
        <v>621</v>
      </c>
      <c r="H2056" s="375" t="s">
        <v>861</v>
      </c>
      <c r="I2056" s="375" t="s">
        <v>4413</v>
      </c>
      <c r="J2056" s="375">
        <v>0</v>
      </c>
      <c r="K2056" s="375">
        <v>0</v>
      </c>
      <c r="L2056" s="375">
        <v>0</v>
      </c>
      <c r="M2056" s="375">
        <v>0</v>
      </c>
      <c r="N2056" s="372">
        <v>1.0189999999999999</v>
      </c>
      <c r="O2056" s="704" t="s">
        <v>16301</v>
      </c>
      <c r="P2056" s="563" t="s">
        <v>622</v>
      </c>
      <c r="Q2056" s="372" t="s">
        <v>622</v>
      </c>
      <c r="R2056" s="696">
        <v>20010821</v>
      </c>
      <c r="S2056" s="372" t="e">
        <v>#N/A</v>
      </c>
      <c r="T2056" s="697" t="s">
        <v>771</v>
      </c>
      <c r="U2056" s="372" t="s">
        <v>13259</v>
      </c>
      <c r="V2056" s="723">
        <v>0</v>
      </c>
      <c r="W2056" s="723">
        <v>0</v>
      </c>
      <c r="X2056" s="723">
        <v>0</v>
      </c>
      <c r="Y2056" s="723">
        <v>0</v>
      </c>
      <c r="Z2056" s="382" t="s">
        <v>927</v>
      </c>
      <c r="AA2056" s="372">
        <v>3231.4839529999999</v>
      </c>
      <c r="AB2056" s="372">
        <v>3530.8212910000002</v>
      </c>
      <c r="AC2056" s="372">
        <v>3059.3141988000002</v>
      </c>
      <c r="AD2056" s="372">
        <v>2535.8086592</v>
      </c>
      <c r="AE2056" s="372">
        <v>0</v>
      </c>
      <c r="AF2056" s="372">
        <v>0</v>
      </c>
      <c r="AG2056" s="372">
        <v>0</v>
      </c>
      <c r="AH2056" s="372">
        <v>0</v>
      </c>
    </row>
    <row r="2057" spans="1:34">
      <c r="A2057" s="372" t="s">
        <v>13260</v>
      </c>
      <c r="B2057" s="372" t="s">
        <v>13261</v>
      </c>
      <c r="C2057" s="372" t="s">
        <v>13262</v>
      </c>
      <c r="D2057" s="374">
        <v>1101112317653</v>
      </c>
      <c r="E2057" s="372" t="s">
        <v>13263</v>
      </c>
      <c r="F2057" s="372" t="s">
        <v>2124</v>
      </c>
      <c r="G2057" s="375" t="s">
        <v>4231</v>
      </c>
      <c r="H2057" s="375" t="s">
        <v>861</v>
      </c>
      <c r="I2057" s="375" t="s">
        <v>862</v>
      </c>
      <c r="J2057" s="375">
        <v>19625.96933</v>
      </c>
      <c r="K2057" s="375">
        <v>-199.73839000000001</v>
      </c>
      <c r="L2057" s="375">
        <v>155.66364999999999</v>
      </c>
      <c r="M2057" s="375">
        <v>18763.852050000001</v>
      </c>
      <c r="N2057" s="372">
        <v>0.77400000000000002</v>
      </c>
      <c r="O2057" s="704">
        <v>0.650975593225396</v>
      </c>
      <c r="P2057" s="563" t="s">
        <v>622</v>
      </c>
      <c r="Q2057" s="372" t="s">
        <v>622</v>
      </c>
      <c r="R2057" s="696">
        <v>20221018</v>
      </c>
      <c r="S2057" s="372" t="s">
        <v>13264</v>
      </c>
      <c r="T2057" s="697">
        <v>9.9000000000000005E-2</v>
      </c>
      <c r="U2057" s="372" t="s">
        <v>13265</v>
      </c>
      <c r="V2057" s="723">
        <v>0</v>
      </c>
      <c r="W2057" s="723">
        <v>0</v>
      </c>
      <c r="X2057" s="723">
        <v>0</v>
      </c>
      <c r="Y2057" s="723">
        <v>0</v>
      </c>
      <c r="Z2057" s="382" t="s">
        <v>927</v>
      </c>
      <c r="AA2057" s="372">
        <v>180.22850170000001</v>
      </c>
      <c r="AB2057" s="372">
        <v>205.2237671</v>
      </c>
      <c r="AC2057" s="372">
        <v>239.6320407</v>
      </c>
      <c r="AD2057" s="372">
        <v>213.04785939999999</v>
      </c>
      <c r="AE2057" s="372">
        <v>0</v>
      </c>
      <c r="AF2057" s="372">
        <v>0</v>
      </c>
      <c r="AG2057" s="372">
        <v>0</v>
      </c>
      <c r="AH2057" s="372">
        <v>0</v>
      </c>
    </row>
    <row r="2058" spans="1:34">
      <c r="A2058" s="372" t="s">
        <v>13266</v>
      </c>
      <c r="B2058" s="372" t="s">
        <v>13267</v>
      </c>
      <c r="C2058" s="372" t="s">
        <v>13268</v>
      </c>
      <c r="D2058" s="374">
        <v>1243110003006</v>
      </c>
      <c r="E2058" s="372" t="s">
        <v>13269</v>
      </c>
      <c r="F2058" s="372" t="s">
        <v>880</v>
      </c>
      <c r="G2058" s="375" t="s">
        <v>880</v>
      </c>
      <c r="H2058" s="375" t="s">
        <v>861</v>
      </c>
      <c r="I2058" s="375" t="s">
        <v>862</v>
      </c>
      <c r="J2058" s="375">
        <v>76950.71875</v>
      </c>
      <c r="K2058" s="375">
        <v>-9085.8836100000008</v>
      </c>
      <c r="L2058" s="375">
        <v>-10988.03753</v>
      </c>
      <c r="M2058" s="375">
        <v>27092.57951</v>
      </c>
      <c r="N2058" s="372">
        <v>0.73799999999999999</v>
      </c>
      <c r="O2058" s="704">
        <v>104.55724931202998</v>
      </c>
      <c r="P2058" s="563" t="s">
        <v>622</v>
      </c>
      <c r="Q2058" s="372" t="s">
        <v>622</v>
      </c>
      <c r="R2058" s="696">
        <v>19970212</v>
      </c>
      <c r="S2058" s="372" t="s">
        <v>13270</v>
      </c>
      <c r="T2058" s="697" t="s">
        <v>771</v>
      </c>
      <c r="U2058" s="372" t="s">
        <v>13271</v>
      </c>
      <c r="V2058" s="723" t="s">
        <v>773</v>
      </c>
      <c r="W2058" s="723">
        <v>1.06</v>
      </c>
      <c r="X2058" s="723">
        <v>0.37</v>
      </c>
      <c r="Y2058" s="723" t="s">
        <v>773</v>
      </c>
      <c r="Z2058" s="382" t="s">
        <v>927</v>
      </c>
      <c r="AA2058" s="372">
        <v>575.99121700000001</v>
      </c>
      <c r="AB2058" s="372">
        <v>690.71327050000002</v>
      </c>
      <c r="AC2058" s="372">
        <v>753.21857680000005</v>
      </c>
      <c r="AD2058" s="372">
        <v>790.9517075</v>
      </c>
      <c r="AE2058" s="372">
        <v>0</v>
      </c>
      <c r="AF2058" s="372">
        <v>0</v>
      </c>
      <c r="AG2058" s="372">
        <v>0</v>
      </c>
      <c r="AH2058" s="372">
        <v>0</v>
      </c>
    </row>
    <row r="2059" spans="1:34">
      <c r="A2059" s="372" t="s">
        <v>13272</v>
      </c>
      <c r="B2059" s="372" t="s">
        <v>13273</v>
      </c>
      <c r="C2059" s="372" t="s">
        <v>13274</v>
      </c>
      <c r="D2059" s="374">
        <v>1101110717441</v>
      </c>
      <c r="E2059" s="372" t="s">
        <v>13275</v>
      </c>
      <c r="F2059" s="372" t="s">
        <v>1656</v>
      </c>
      <c r="G2059" s="375" t="s">
        <v>1656</v>
      </c>
      <c r="H2059" s="375" t="s">
        <v>861</v>
      </c>
      <c r="I2059" s="375" t="s">
        <v>862</v>
      </c>
      <c r="J2059" s="375">
        <v>44873.044309999997</v>
      </c>
      <c r="K2059" s="375">
        <v>-1711.5644199999999</v>
      </c>
      <c r="L2059" s="375">
        <v>-2548.7542600000002</v>
      </c>
      <c r="M2059" s="375">
        <v>47767.791389999999</v>
      </c>
      <c r="N2059" s="372">
        <v>0.93899999999999995</v>
      </c>
      <c r="O2059" s="704">
        <v>8.6278661988050676</v>
      </c>
      <c r="P2059" s="563" t="s">
        <v>622</v>
      </c>
      <c r="Q2059" s="372" t="s">
        <v>622</v>
      </c>
      <c r="R2059" s="696">
        <v>19970422</v>
      </c>
      <c r="S2059" s="372" t="s">
        <v>13276</v>
      </c>
      <c r="T2059" s="697" t="s">
        <v>771</v>
      </c>
      <c r="U2059" s="372" t="s">
        <v>13277</v>
      </c>
      <c r="V2059" s="723">
        <v>0</v>
      </c>
      <c r="W2059" s="723">
        <v>0</v>
      </c>
      <c r="X2059" s="723">
        <v>0</v>
      </c>
      <c r="Y2059" s="723">
        <v>0</v>
      </c>
      <c r="Z2059" s="382" t="s">
        <v>927</v>
      </c>
      <c r="AA2059" s="372">
        <v>586.91305490000002</v>
      </c>
      <c r="AB2059" s="372">
        <v>776.36822640000003</v>
      </c>
      <c r="AC2059" s="372">
        <v>725.59081230000004</v>
      </c>
      <c r="AD2059" s="372">
        <v>527.83978409999997</v>
      </c>
      <c r="AE2059" s="372">
        <v>0</v>
      </c>
      <c r="AF2059" s="372">
        <v>0</v>
      </c>
      <c r="AG2059" s="372">
        <v>0</v>
      </c>
      <c r="AH2059" s="372">
        <v>0</v>
      </c>
    </row>
    <row r="2060" spans="1:34">
      <c r="A2060" s="372" t="s">
        <v>13278</v>
      </c>
      <c r="B2060" s="372" t="s">
        <v>13279</v>
      </c>
      <c r="C2060" s="372" t="s">
        <v>13280</v>
      </c>
      <c r="D2060" s="374">
        <v>1943110005149</v>
      </c>
      <c r="E2060" s="372" t="s">
        <v>13281</v>
      </c>
      <c r="F2060" s="372" t="s">
        <v>1576</v>
      </c>
      <c r="G2060" s="375" t="s">
        <v>1577</v>
      </c>
      <c r="H2060" s="375" t="s">
        <v>861</v>
      </c>
      <c r="I2060" s="375" t="s">
        <v>862</v>
      </c>
      <c r="J2060" s="375">
        <v>114056.07637</v>
      </c>
      <c r="K2060" s="375">
        <v>7952.9987000000001</v>
      </c>
      <c r="L2060" s="375">
        <v>7000.6139199999998</v>
      </c>
      <c r="M2060" s="375">
        <v>72428.929600000003</v>
      </c>
      <c r="N2060" s="372">
        <v>0.73199999999999998</v>
      </c>
      <c r="O2060" s="704">
        <v>40.953695201116183</v>
      </c>
      <c r="P2060" s="563" t="s">
        <v>622</v>
      </c>
      <c r="Q2060" s="372" t="s">
        <v>622</v>
      </c>
      <c r="R2060" s="696">
        <v>20011113</v>
      </c>
      <c r="S2060" s="372" t="s">
        <v>13282</v>
      </c>
      <c r="T2060" s="697">
        <v>0.20900000000000002</v>
      </c>
      <c r="U2060" s="372" t="s">
        <v>13283</v>
      </c>
      <c r="V2060" s="723">
        <v>5.94</v>
      </c>
      <c r="W2060" s="723">
        <v>0.71</v>
      </c>
      <c r="X2060" s="723">
        <v>0.47</v>
      </c>
      <c r="Y2060" s="723">
        <v>8.19</v>
      </c>
      <c r="Z2060" s="382" t="s">
        <v>927</v>
      </c>
      <c r="AA2060" s="372">
        <v>680.2041921</v>
      </c>
      <c r="AB2060" s="372">
        <v>698.12139400000001</v>
      </c>
      <c r="AC2060" s="372">
        <v>906.76947919999998</v>
      </c>
      <c r="AD2060" s="372">
        <v>957.49467249999998</v>
      </c>
      <c r="AE2060" s="372">
        <v>1265</v>
      </c>
      <c r="AF2060" s="372">
        <v>0</v>
      </c>
      <c r="AG2060" s="372">
        <v>0</v>
      </c>
      <c r="AH2060" s="372">
        <v>0</v>
      </c>
    </row>
    <row r="2061" spans="1:34">
      <c r="A2061" s="372" t="s">
        <v>13284</v>
      </c>
      <c r="B2061" s="372" t="s">
        <v>13285</v>
      </c>
      <c r="C2061" s="372" t="s">
        <v>13286</v>
      </c>
      <c r="D2061" s="374">
        <v>1701110029802</v>
      </c>
      <c r="E2061" s="372" t="s">
        <v>13287</v>
      </c>
      <c r="F2061" s="372" t="s">
        <v>2992</v>
      </c>
      <c r="G2061" s="375" t="s">
        <v>2992</v>
      </c>
      <c r="H2061" s="375" t="s">
        <v>861</v>
      </c>
      <c r="I2061" s="375" t="s">
        <v>862</v>
      </c>
      <c r="J2061" s="375">
        <v>765155.19689999998</v>
      </c>
      <c r="K2061" s="375">
        <v>32725.876489999999</v>
      </c>
      <c r="L2061" s="375">
        <v>41049.195639999998</v>
      </c>
      <c r="M2061" s="375">
        <v>144927.78323</v>
      </c>
      <c r="N2061" s="372">
        <v>0.78700000000000003</v>
      </c>
      <c r="O2061" s="704">
        <v>424.76546178006095</v>
      </c>
      <c r="P2061" s="563" t="s">
        <v>622</v>
      </c>
      <c r="Q2061" s="372" t="s">
        <v>622</v>
      </c>
      <c r="R2061" s="696">
        <v>19921027</v>
      </c>
      <c r="S2061" s="372" t="s">
        <v>13288</v>
      </c>
      <c r="T2061" s="697">
        <v>0.23100000000000001</v>
      </c>
      <c r="U2061" s="372" t="s">
        <v>13289</v>
      </c>
      <c r="V2061" s="723">
        <v>2.3199999999999998</v>
      </c>
      <c r="W2061" s="723">
        <v>0.41</v>
      </c>
      <c r="X2061" s="723">
        <v>0.08</v>
      </c>
      <c r="Y2061" s="723">
        <v>1.59</v>
      </c>
      <c r="Z2061" s="382" t="s">
        <v>927</v>
      </c>
      <c r="AA2061" s="372">
        <v>1916.624292</v>
      </c>
      <c r="AB2061" s="372">
        <v>1958.4744831</v>
      </c>
      <c r="AC2061" s="372">
        <v>2291.4451162999999</v>
      </c>
      <c r="AD2061" s="372">
        <v>6284.8571496000004</v>
      </c>
      <c r="AE2061" s="372">
        <v>0</v>
      </c>
      <c r="AF2061" s="372">
        <v>0</v>
      </c>
      <c r="AG2061" s="372">
        <v>0</v>
      </c>
      <c r="AH2061" s="372">
        <v>0</v>
      </c>
    </row>
    <row r="2062" spans="1:34">
      <c r="A2062" s="372" t="s">
        <v>13290</v>
      </c>
      <c r="B2062" s="372" t="s">
        <v>13291</v>
      </c>
      <c r="C2062" s="372" t="s">
        <v>13292</v>
      </c>
      <c r="D2062" s="374">
        <v>1301110008862</v>
      </c>
      <c r="E2062" s="372" t="s">
        <v>13293</v>
      </c>
      <c r="F2062" s="372" t="s">
        <v>12092</v>
      </c>
      <c r="G2062" s="375" t="s">
        <v>12092</v>
      </c>
      <c r="H2062" s="375" t="s">
        <v>846</v>
      </c>
      <c r="I2062" s="375" t="s">
        <v>754</v>
      </c>
      <c r="J2062" s="375">
        <v>208908.82584</v>
      </c>
      <c r="K2062" s="375">
        <v>13984.07778</v>
      </c>
      <c r="L2062" s="375">
        <v>18114.938569999998</v>
      </c>
      <c r="M2062" s="375">
        <v>289458.69011999998</v>
      </c>
      <c r="N2062" s="372">
        <v>0.73299999999999998</v>
      </c>
      <c r="O2062" s="704">
        <v>50.956329855554486</v>
      </c>
      <c r="P2062" s="563" t="s">
        <v>622</v>
      </c>
      <c r="Q2062" s="372" t="s">
        <v>622</v>
      </c>
      <c r="R2062" s="696">
        <v>19970212</v>
      </c>
      <c r="S2062" s="372" t="s">
        <v>13294</v>
      </c>
      <c r="T2062" s="697">
        <v>0.20900000000000002</v>
      </c>
      <c r="U2062" s="372" t="s">
        <v>13295</v>
      </c>
      <c r="V2062" s="723">
        <v>8.11</v>
      </c>
      <c r="W2062" s="723">
        <v>0.32</v>
      </c>
      <c r="X2062" s="723">
        <v>0.26</v>
      </c>
      <c r="Y2062" s="723">
        <v>8.23</v>
      </c>
      <c r="Z2062" s="382" t="s">
        <v>927</v>
      </c>
      <c r="AA2062" s="372">
        <v>1415.5345949</v>
      </c>
      <c r="AB2062" s="372">
        <v>1496.6881266</v>
      </c>
      <c r="AC2062" s="372">
        <v>1842.2368921</v>
      </c>
      <c r="AD2062" s="372">
        <v>2028.413276</v>
      </c>
      <c r="AE2062" s="372">
        <v>0</v>
      </c>
      <c r="AF2062" s="372">
        <v>0</v>
      </c>
      <c r="AG2062" s="372">
        <v>0</v>
      </c>
      <c r="AH2062" s="372">
        <v>0</v>
      </c>
    </row>
    <row r="2063" spans="1:34">
      <c r="A2063" s="372" t="s">
        <v>13296</v>
      </c>
      <c r="B2063" s="372" t="s">
        <v>13297</v>
      </c>
      <c r="C2063" s="372" t="s">
        <v>13298</v>
      </c>
      <c r="D2063" s="374">
        <v>1101111136145</v>
      </c>
      <c r="E2063" s="372" t="s">
        <v>13299</v>
      </c>
      <c r="F2063" s="372" t="s">
        <v>13300</v>
      </c>
      <c r="G2063" s="375" t="s">
        <v>13301</v>
      </c>
      <c r="H2063" s="375" t="s">
        <v>3099</v>
      </c>
      <c r="I2063" s="375" t="s">
        <v>862</v>
      </c>
      <c r="J2063" s="375">
        <v>98727.228359999994</v>
      </c>
      <c r="K2063" s="375">
        <v>3375.66993</v>
      </c>
      <c r="L2063" s="375">
        <v>3386.8521500000002</v>
      </c>
      <c r="M2063" s="375">
        <v>86338.243960000007</v>
      </c>
      <c r="N2063" s="372">
        <v>0.78500000000000003</v>
      </c>
      <c r="O2063" s="704">
        <v>24.373845712642936</v>
      </c>
      <c r="P2063" s="563" t="s">
        <v>622</v>
      </c>
      <c r="Q2063" s="372" t="s">
        <v>622</v>
      </c>
      <c r="R2063" s="696">
        <v>20000502</v>
      </c>
      <c r="S2063" s="372" t="s">
        <v>13302</v>
      </c>
      <c r="T2063" s="697">
        <v>0.20900000000000002</v>
      </c>
      <c r="U2063" s="372" t="s">
        <v>13303</v>
      </c>
      <c r="V2063" s="723">
        <v>6.21</v>
      </c>
      <c r="W2063" s="723">
        <v>0.49</v>
      </c>
      <c r="X2063" s="723">
        <v>0.42</v>
      </c>
      <c r="Y2063" s="723">
        <v>25.03</v>
      </c>
      <c r="Z2063" s="382" t="s">
        <v>927</v>
      </c>
      <c r="AA2063" s="372">
        <v>282.06514299999998</v>
      </c>
      <c r="AB2063" s="372">
        <v>331.97754300000003</v>
      </c>
      <c r="AC2063" s="372">
        <v>412.1394123</v>
      </c>
      <c r="AD2063" s="372">
        <v>560.65934819999995</v>
      </c>
      <c r="AE2063" s="372">
        <v>0</v>
      </c>
      <c r="AF2063" s="372">
        <v>0</v>
      </c>
      <c r="AG2063" s="372">
        <v>0</v>
      </c>
      <c r="AH2063" s="372">
        <v>0</v>
      </c>
    </row>
    <row r="2064" spans="1:34">
      <c r="A2064" s="372" t="s">
        <v>13304</v>
      </c>
      <c r="B2064" s="372" t="s">
        <v>13305</v>
      </c>
      <c r="C2064" s="372" t="s">
        <v>13306</v>
      </c>
      <c r="D2064" s="374">
        <v>1717110093010</v>
      </c>
      <c r="E2064" s="372" t="s">
        <v>13307</v>
      </c>
      <c r="F2064" s="372" t="s">
        <v>3672</v>
      </c>
      <c r="G2064" s="375" t="s">
        <v>3672</v>
      </c>
      <c r="H2064" s="375" t="s">
        <v>1337</v>
      </c>
      <c r="I2064" s="375" t="s">
        <v>862</v>
      </c>
      <c r="J2064" s="375">
        <v>286.35534999999999</v>
      </c>
      <c r="K2064" s="375">
        <v>-6459.8832899999998</v>
      </c>
      <c r="L2064" s="375">
        <v>-9415.6595199999992</v>
      </c>
      <c r="M2064" s="375">
        <v>11118.160540000001</v>
      </c>
      <c r="N2064" s="372">
        <v>0.65500000000000003</v>
      </c>
      <c r="O2064" s="704">
        <v>27.23162074688894</v>
      </c>
      <c r="P2064" s="563" t="s">
        <v>622</v>
      </c>
      <c r="Q2064" s="372" t="s">
        <v>622</v>
      </c>
      <c r="R2064" s="696">
        <v>20200916</v>
      </c>
      <c r="S2064" s="372" t="s">
        <v>13308</v>
      </c>
      <c r="T2064" s="697" t="s">
        <v>771</v>
      </c>
      <c r="U2064" s="372" t="s">
        <v>13309</v>
      </c>
      <c r="V2064" s="723">
        <v>0</v>
      </c>
      <c r="W2064" s="723">
        <v>0</v>
      </c>
      <c r="X2064" s="723">
        <v>0</v>
      </c>
      <c r="Y2064" s="723">
        <v>0</v>
      </c>
      <c r="Z2064" s="382" t="s">
        <v>927</v>
      </c>
      <c r="AA2064" s="372">
        <v>2.2850609</v>
      </c>
      <c r="AB2064" s="372">
        <v>2.6927506999999999</v>
      </c>
      <c r="AC2064" s="372">
        <v>3.5825288</v>
      </c>
      <c r="AD2064" s="372">
        <v>2.4318632</v>
      </c>
      <c r="AE2064" s="372">
        <v>0</v>
      </c>
      <c r="AF2064" s="372">
        <v>0</v>
      </c>
      <c r="AG2064" s="372">
        <v>0</v>
      </c>
      <c r="AH2064" s="372">
        <v>0</v>
      </c>
    </row>
    <row r="2065" spans="1:34">
      <c r="A2065" s="372" t="s">
        <v>13310</v>
      </c>
      <c r="B2065" s="372" t="s">
        <v>13311</v>
      </c>
      <c r="C2065" s="372" t="s">
        <v>13312</v>
      </c>
      <c r="D2065" s="374">
        <v>1101110808357</v>
      </c>
      <c r="E2065" s="372" t="s">
        <v>13313</v>
      </c>
      <c r="F2065" s="372" t="s">
        <v>10130</v>
      </c>
      <c r="G2065" s="375" t="s">
        <v>10131</v>
      </c>
      <c r="H2065" s="375" t="s">
        <v>861</v>
      </c>
      <c r="I2065" s="375" t="s">
        <v>862</v>
      </c>
      <c r="J2065" s="375">
        <v>28013.514640000001</v>
      </c>
      <c r="K2065" s="375">
        <v>-5174.4753000000001</v>
      </c>
      <c r="L2065" s="375">
        <v>-149.07478</v>
      </c>
      <c r="M2065" s="375">
        <v>158702.28701999999</v>
      </c>
      <c r="N2065" s="372">
        <v>0.61599999999999999</v>
      </c>
      <c r="O2065" s="704">
        <v>41.004597296216986</v>
      </c>
      <c r="P2065" s="563" t="s">
        <v>622</v>
      </c>
      <c r="Q2065" s="372" t="s">
        <v>622</v>
      </c>
      <c r="R2065" s="696">
        <v>20110126</v>
      </c>
      <c r="S2065" s="372" t="s">
        <v>13314</v>
      </c>
      <c r="T2065" s="697" t="s">
        <v>771</v>
      </c>
      <c r="U2065" s="372" t="s">
        <v>13315</v>
      </c>
      <c r="V2065" s="723" t="s">
        <v>773</v>
      </c>
      <c r="W2065" s="723">
        <v>0.39</v>
      </c>
      <c r="X2065" s="723">
        <v>2.19</v>
      </c>
      <c r="Y2065" s="723" t="s">
        <v>773</v>
      </c>
      <c r="Z2065" s="382" t="s">
        <v>927</v>
      </c>
      <c r="AA2065" s="372">
        <v>535.48726820000002</v>
      </c>
      <c r="AB2065" s="372">
        <v>714.92337710000004</v>
      </c>
      <c r="AC2065" s="372">
        <v>586.18047320000005</v>
      </c>
      <c r="AD2065" s="372">
        <v>327.70353180000001</v>
      </c>
      <c r="AE2065" s="372">
        <v>0</v>
      </c>
      <c r="AF2065" s="372">
        <v>0</v>
      </c>
      <c r="AG2065" s="372">
        <v>0</v>
      </c>
      <c r="AH2065" s="372">
        <v>0</v>
      </c>
    </row>
    <row r="2066" spans="1:34">
      <c r="A2066" s="372" t="s">
        <v>13316</v>
      </c>
      <c r="B2066" s="372" t="s">
        <v>13317</v>
      </c>
      <c r="C2066" s="372" t="s">
        <v>13318</v>
      </c>
      <c r="D2066" s="374">
        <v>1601110088660</v>
      </c>
      <c r="E2066" s="372" t="s">
        <v>13319</v>
      </c>
      <c r="F2066" s="372" t="s">
        <v>769</v>
      </c>
      <c r="G2066" s="375" t="s">
        <v>769</v>
      </c>
      <c r="H2066" s="375" t="s">
        <v>861</v>
      </c>
      <c r="I2066" s="375" t="s">
        <v>862</v>
      </c>
      <c r="J2066" s="375">
        <v>24864.69542</v>
      </c>
      <c r="K2066" s="375">
        <v>-11415.8081</v>
      </c>
      <c r="L2066" s="375">
        <v>-29950.014139999999</v>
      </c>
      <c r="M2066" s="375">
        <v>12773.98905</v>
      </c>
      <c r="N2066" s="372">
        <v>1.5760000000000001</v>
      </c>
      <c r="O2066" s="704">
        <v>8.7734185261693707</v>
      </c>
      <c r="P2066" s="563" t="s">
        <v>16115</v>
      </c>
      <c r="Q2066" s="372" t="s">
        <v>16116</v>
      </c>
      <c r="R2066" s="696">
        <v>20071120</v>
      </c>
      <c r="S2066" s="372" t="s">
        <v>16292</v>
      </c>
      <c r="T2066" s="697" t="s">
        <v>771</v>
      </c>
      <c r="U2066" s="372" t="s">
        <v>13320</v>
      </c>
      <c r="V2066" s="723" t="s">
        <v>773</v>
      </c>
      <c r="W2066" s="723">
        <v>4.03</v>
      </c>
      <c r="X2066" s="723">
        <v>2.0699999999999998</v>
      </c>
      <c r="Y2066" s="723" t="s">
        <v>773</v>
      </c>
      <c r="Z2066" s="382" t="s">
        <v>927</v>
      </c>
      <c r="AA2066" s="372">
        <v>339.21914340000001</v>
      </c>
      <c r="AB2066" s="372">
        <v>367.85321269999997</v>
      </c>
      <c r="AC2066" s="372">
        <v>332.38398439999997</v>
      </c>
      <c r="AD2066" s="372">
        <v>270.71406960000002</v>
      </c>
      <c r="AE2066" s="372">
        <v>0</v>
      </c>
      <c r="AF2066" s="372">
        <v>0</v>
      </c>
      <c r="AG2066" s="372">
        <v>0</v>
      </c>
      <c r="AH2066" s="372">
        <v>0</v>
      </c>
    </row>
    <row r="2067" spans="1:34">
      <c r="A2067" s="372" t="s">
        <v>13321</v>
      </c>
      <c r="B2067" s="372" t="s">
        <v>13322</v>
      </c>
      <c r="C2067" s="372" t="s">
        <v>13323</v>
      </c>
      <c r="D2067" s="374">
        <v>1101111354961</v>
      </c>
      <c r="E2067" s="372" t="s">
        <v>13324</v>
      </c>
      <c r="F2067" s="372" t="s">
        <v>5600</v>
      </c>
      <c r="G2067" s="375" t="s">
        <v>5600</v>
      </c>
      <c r="H2067" s="375" t="s">
        <v>1531</v>
      </c>
      <c r="I2067" s="375" t="s">
        <v>862</v>
      </c>
      <c r="J2067" s="375">
        <v>12714.44679</v>
      </c>
      <c r="K2067" s="375">
        <v>-1644.9426100000001</v>
      </c>
      <c r="L2067" s="375">
        <v>-11409.37636</v>
      </c>
      <c r="M2067" s="375">
        <v>70663.253549999994</v>
      </c>
      <c r="N2067" s="372">
        <v>0.77500000000000002</v>
      </c>
      <c r="O2067" s="704">
        <v>98.941108202860988</v>
      </c>
      <c r="P2067" s="563" t="s">
        <v>622</v>
      </c>
      <c r="Q2067" s="372" t="s">
        <v>622</v>
      </c>
      <c r="R2067" s="696">
        <v>19990813</v>
      </c>
      <c r="S2067" s="372" t="s">
        <v>13325</v>
      </c>
      <c r="T2067" s="697" t="s">
        <v>771</v>
      </c>
      <c r="U2067" s="372" t="s">
        <v>13326</v>
      </c>
      <c r="V2067" s="723" t="s">
        <v>773</v>
      </c>
      <c r="W2067" s="723">
        <v>0.52</v>
      </c>
      <c r="X2067" s="723">
        <v>2.93</v>
      </c>
      <c r="Y2067" s="723" t="s">
        <v>773</v>
      </c>
      <c r="Z2067" s="382" t="s">
        <v>927</v>
      </c>
      <c r="AA2067" s="372">
        <v>152.06735470000001</v>
      </c>
      <c r="AB2067" s="372">
        <v>107.11420630000001</v>
      </c>
      <c r="AC2067" s="372">
        <v>260.327651</v>
      </c>
      <c r="AD2067" s="372">
        <v>236.702518</v>
      </c>
      <c r="AE2067" s="372">
        <v>0</v>
      </c>
      <c r="AF2067" s="372">
        <v>0</v>
      </c>
      <c r="AG2067" s="372">
        <v>0</v>
      </c>
      <c r="AH2067" s="372">
        <v>0</v>
      </c>
    </row>
    <row r="2068" spans="1:34">
      <c r="A2068" s="372" t="s">
        <v>13327</v>
      </c>
      <c r="B2068" s="372" t="s">
        <v>13328</v>
      </c>
      <c r="C2068" s="372" t="s">
        <v>13329</v>
      </c>
      <c r="D2068" s="374">
        <v>1101111538664</v>
      </c>
      <c r="E2068" s="372" t="s">
        <v>13330</v>
      </c>
      <c r="F2068" s="372" t="s">
        <v>1796</v>
      </c>
      <c r="G2068" s="375" t="s">
        <v>2797</v>
      </c>
      <c r="H2068" s="375" t="s">
        <v>861</v>
      </c>
      <c r="I2068" s="375" t="s">
        <v>862</v>
      </c>
      <c r="J2068" s="375">
        <v>68398.313949999996</v>
      </c>
      <c r="K2068" s="375">
        <v>7894.22876</v>
      </c>
      <c r="L2068" s="375">
        <v>8616.5287499999995</v>
      </c>
      <c r="M2068" s="375">
        <v>49511.980150000003</v>
      </c>
      <c r="N2068" s="372">
        <v>0.89900000000000002</v>
      </c>
      <c r="O2068" s="704">
        <v>14.188691476829755</v>
      </c>
      <c r="P2068" s="563" t="s">
        <v>622</v>
      </c>
      <c r="Q2068" s="372" t="s">
        <v>622</v>
      </c>
      <c r="R2068" s="696">
        <v>20030124</v>
      </c>
      <c r="S2068" s="372" t="s">
        <v>13331</v>
      </c>
      <c r="T2068" s="697">
        <v>0.20900000000000002</v>
      </c>
      <c r="U2068" s="372" t="s">
        <v>13332</v>
      </c>
      <c r="V2068" s="723">
        <v>4.26</v>
      </c>
      <c r="W2068" s="723">
        <v>0.69</v>
      </c>
      <c r="X2068" s="723">
        <v>0.52</v>
      </c>
      <c r="Y2068" s="723">
        <v>4.17</v>
      </c>
      <c r="Z2068" s="382" t="s">
        <v>927</v>
      </c>
      <c r="AA2068" s="372">
        <v>457.14930390000001</v>
      </c>
      <c r="AB2068" s="372">
        <v>561.85382630000004</v>
      </c>
      <c r="AC2068" s="372">
        <v>565.61772020000001</v>
      </c>
      <c r="AD2068" s="372">
        <v>560.33528379999996</v>
      </c>
      <c r="AE2068" s="372">
        <v>0</v>
      </c>
      <c r="AF2068" s="372">
        <v>0</v>
      </c>
      <c r="AG2068" s="372">
        <v>0</v>
      </c>
      <c r="AH2068" s="372">
        <v>0</v>
      </c>
    </row>
    <row r="2069" spans="1:34">
      <c r="A2069" s="372" t="s">
        <v>13333</v>
      </c>
      <c r="B2069" s="372" t="s">
        <v>13334</v>
      </c>
      <c r="C2069" s="372" t="s">
        <v>13335</v>
      </c>
      <c r="D2069" s="374">
        <v>1358110139600</v>
      </c>
      <c r="E2069" s="372" t="s">
        <v>13336</v>
      </c>
      <c r="F2069" s="372" t="s">
        <v>1598</v>
      </c>
      <c r="G2069" s="375" t="s">
        <v>1599</v>
      </c>
      <c r="H2069" s="375" t="s">
        <v>861</v>
      </c>
      <c r="I2069" s="375" t="s">
        <v>862</v>
      </c>
      <c r="J2069" s="375">
        <v>8536.4745500000008</v>
      </c>
      <c r="K2069" s="375">
        <v>-2178.2690200000002</v>
      </c>
      <c r="L2069" s="375">
        <v>-749.29888000000005</v>
      </c>
      <c r="M2069" s="375">
        <v>15884.280699999999</v>
      </c>
      <c r="N2069" s="372">
        <v>0.65</v>
      </c>
      <c r="O2069" s="704">
        <v>12.62025207933527</v>
      </c>
      <c r="P2069" s="563" t="s">
        <v>622</v>
      </c>
      <c r="Q2069" s="372" t="s">
        <v>622</v>
      </c>
      <c r="R2069" s="696">
        <v>20190819</v>
      </c>
      <c r="S2069" s="372" t="s">
        <v>13337</v>
      </c>
      <c r="T2069" s="697" t="s">
        <v>771</v>
      </c>
      <c r="U2069" s="372" t="s">
        <v>13338</v>
      </c>
      <c r="V2069" s="723" t="s">
        <v>773</v>
      </c>
      <c r="W2069" s="723">
        <v>2.4300000000000002</v>
      </c>
      <c r="X2069" s="723">
        <v>4.53</v>
      </c>
      <c r="Y2069" s="723" t="s">
        <v>773</v>
      </c>
      <c r="Z2069" s="382" t="s">
        <v>927</v>
      </c>
      <c r="AA2069" s="372">
        <v>86.519305200000005</v>
      </c>
      <c r="AB2069" s="372">
        <v>70.044844100000006</v>
      </c>
      <c r="AC2069" s="372">
        <v>71.392990499999996</v>
      </c>
      <c r="AD2069" s="372">
        <v>64.590765300000001</v>
      </c>
      <c r="AE2069" s="372">
        <v>182</v>
      </c>
      <c r="AF2069" s="372">
        <v>311</v>
      </c>
      <c r="AG2069" s="372">
        <v>0</v>
      </c>
      <c r="AH2069" s="372">
        <v>0</v>
      </c>
    </row>
    <row r="2070" spans="1:34">
      <c r="A2070" s="372" t="s">
        <v>13339</v>
      </c>
      <c r="B2070" s="372" t="s">
        <v>13340</v>
      </c>
      <c r="C2070" s="372" t="s">
        <v>13341</v>
      </c>
      <c r="D2070" s="374">
        <v>1101116735067</v>
      </c>
      <c r="E2070" s="372" t="s">
        <v>13342</v>
      </c>
      <c r="F2070" s="372" t="s">
        <v>621</v>
      </c>
      <c r="G2070" s="375" t="s">
        <v>621</v>
      </c>
      <c r="H2070" s="375" t="s">
        <v>861</v>
      </c>
      <c r="I2070" s="375" t="s">
        <v>862</v>
      </c>
      <c r="J2070" s="375">
        <v>29648.729299999999</v>
      </c>
      <c r="K2070" s="375">
        <v>5372.3579799999998</v>
      </c>
      <c r="L2070" s="375">
        <v>4278.7770799999998</v>
      </c>
      <c r="M2070" s="375">
        <v>42593.848409999999</v>
      </c>
      <c r="N2070" s="372">
        <v>0.79900000000000004</v>
      </c>
      <c r="O2070" s="704">
        <v>30.833974482181674</v>
      </c>
      <c r="P2070" s="563" t="s">
        <v>622</v>
      </c>
      <c r="Q2070" s="372" t="s">
        <v>622</v>
      </c>
      <c r="R2070" s="696">
        <v>20180720</v>
      </c>
      <c r="S2070" s="372" t="s">
        <v>13343</v>
      </c>
      <c r="T2070" s="697">
        <v>0.20900000000000002</v>
      </c>
      <c r="U2070" s="372" t="s">
        <v>13344</v>
      </c>
      <c r="V2070" s="723">
        <v>0</v>
      </c>
      <c r="W2070" s="723">
        <v>0</v>
      </c>
      <c r="X2070" s="723">
        <v>0</v>
      </c>
      <c r="Y2070" s="723">
        <v>0</v>
      </c>
      <c r="Z2070" s="382" t="s">
        <v>927</v>
      </c>
      <c r="AA2070" s="372">
        <v>256.24534590000002</v>
      </c>
      <c r="AB2070" s="372">
        <v>366.72802380000002</v>
      </c>
      <c r="AC2070" s="372">
        <v>287.44200260000002</v>
      </c>
      <c r="AD2070" s="372">
        <v>265.83526239999998</v>
      </c>
      <c r="AE2070" s="372">
        <v>0</v>
      </c>
      <c r="AF2070" s="372">
        <v>0</v>
      </c>
      <c r="AG2070" s="372">
        <v>0</v>
      </c>
      <c r="AH2070" s="372">
        <v>0</v>
      </c>
    </row>
    <row r="2071" spans="1:34">
      <c r="A2071" s="372" t="s">
        <v>13345</v>
      </c>
      <c r="B2071" s="372" t="s">
        <v>13346</v>
      </c>
      <c r="C2071" s="372" t="s">
        <v>13347</v>
      </c>
      <c r="D2071" s="374">
        <v>2101110007510</v>
      </c>
      <c r="E2071" s="372" t="s">
        <v>13348</v>
      </c>
      <c r="F2071" s="372" t="s">
        <v>1393</v>
      </c>
      <c r="G2071" s="375" t="s">
        <v>6845</v>
      </c>
      <c r="H2071" s="375" t="s">
        <v>895</v>
      </c>
      <c r="I2071" s="375" t="s">
        <v>862</v>
      </c>
      <c r="J2071" s="375">
        <v>0</v>
      </c>
      <c r="K2071" s="375">
        <v>0</v>
      </c>
      <c r="L2071" s="375">
        <v>0</v>
      </c>
      <c r="M2071" s="375">
        <v>0</v>
      </c>
      <c r="N2071" s="372">
        <v>1.052</v>
      </c>
      <c r="O2071" s="704" t="s">
        <v>16301</v>
      </c>
      <c r="P2071" s="563" t="s">
        <v>622</v>
      </c>
      <c r="Q2071" s="372" t="s">
        <v>622</v>
      </c>
      <c r="R2071" s="696">
        <v>19960826</v>
      </c>
      <c r="S2071" s="372" t="s">
        <v>13349</v>
      </c>
      <c r="T2071" s="697" t="s">
        <v>771</v>
      </c>
      <c r="U2071" s="372" t="s">
        <v>13350</v>
      </c>
      <c r="V2071" s="723">
        <v>0</v>
      </c>
      <c r="W2071" s="723">
        <v>0</v>
      </c>
      <c r="X2071" s="723">
        <v>0</v>
      </c>
      <c r="Y2071" s="723">
        <v>0</v>
      </c>
      <c r="Z2071" s="382" t="s">
        <v>927</v>
      </c>
      <c r="AA2071" s="372">
        <v>54.488502500000003</v>
      </c>
      <c r="AB2071" s="372">
        <v>17.998812300000001</v>
      </c>
      <c r="AC2071" s="372">
        <v>-6.3918730000000004</v>
      </c>
      <c r="AD2071" s="372">
        <v>179.07135339999999</v>
      </c>
      <c r="AE2071" s="372">
        <v>0</v>
      </c>
      <c r="AF2071" s="372">
        <v>0</v>
      </c>
      <c r="AG2071" s="372">
        <v>0</v>
      </c>
      <c r="AH2071" s="372">
        <v>0</v>
      </c>
    </row>
    <row r="2072" spans="1:34">
      <c r="A2072" s="372" t="s">
        <v>13351</v>
      </c>
      <c r="B2072" s="372" t="s">
        <v>13352</v>
      </c>
      <c r="C2072" s="372" t="s">
        <v>16049</v>
      </c>
      <c r="D2072" s="374">
        <v>1401110011243</v>
      </c>
      <c r="E2072" s="372" t="s">
        <v>16088</v>
      </c>
      <c r="F2072" s="372" t="s">
        <v>1796</v>
      </c>
      <c r="G2072" s="375" t="s">
        <v>1797</v>
      </c>
      <c r="H2072" s="375" t="s">
        <v>861</v>
      </c>
      <c r="I2072" s="375" t="s">
        <v>862</v>
      </c>
      <c r="J2072" s="375">
        <v>0</v>
      </c>
      <c r="K2072" s="375">
        <v>0</v>
      </c>
      <c r="L2072" s="375">
        <v>0</v>
      </c>
      <c r="M2072" s="375">
        <v>11889.450510000001</v>
      </c>
      <c r="N2072" s="372">
        <v>1.117</v>
      </c>
      <c r="O2072" s="704">
        <v>1.7209701169796947</v>
      </c>
      <c r="P2072" s="563" t="s">
        <v>622</v>
      </c>
      <c r="Q2072" s="372" t="s">
        <v>622</v>
      </c>
      <c r="R2072" s="696">
        <v>20161116</v>
      </c>
      <c r="S2072" s="372" t="s">
        <v>13353</v>
      </c>
      <c r="T2072" s="697" t="s">
        <v>771</v>
      </c>
      <c r="U2072" s="372" t="s">
        <v>13354</v>
      </c>
      <c r="V2072" s="723">
        <v>0</v>
      </c>
      <c r="W2072" s="723">
        <v>2.75</v>
      </c>
      <c r="X2072" s="723">
        <v>0</v>
      </c>
      <c r="Y2072" s="723">
        <v>0</v>
      </c>
      <c r="Z2072" s="382" t="s">
        <v>927</v>
      </c>
      <c r="AA2072" s="372">
        <v>149.25949900000001</v>
      </c>
      <c r="AB2072" s="372">
        <v>170.1822258</v>
      </c>
      <c r="AC2072" s="372">
        <v>162.5863726</v>
      </c>
      <c r="AD2072" s="372">
        <v>168.92288210000001</v>
      </c>
      <c r="AE2072" s="372">
        <v>0</v>
      </c>
      <c r="AF2072" s="372">
        <v>0</v>
      </c>
      <c r="AG2072" s="372">
        <v>0</v>
      </c>
      <c r="AH2072" s="372">
        <v>0</v>
      </c>
    </row>
    <row r="2073" spans="1:34">
      <c r="A2073" s="372" t="s">
        <v>13355</v>
      </c>
      <c r="B2073" s="372" t="s">
        <v>13356</v>
      </c>
      <c r="C2073" s="372" t="s">
        <v>13357</v>
      </c>
      <c r="D2073" s="374">
        <v>1101111421257</v>
      </c>
      <c r="E2073" s="372" t="s">
        <v>13358</v>
      </c>
      <c r="F2073" s="372" t="s">
        <v>2668</v>
      </c>
      <c r="G2073" s="375" t="s">
        <v>12938</v>
      </c>
      <c r="H2073" s="375" t="s">
        <v>861</v>
      </c>
      <c r="I2073" s="375" t="s">
        <v>862</v>
      </c>
      <c r="J2073" s="375">
        <v>124135.22629999999</v>
      </c>
      <c r="K2073" s="375">
        <v>-6674.5936400000001</v>
      </c>
      <c r="L2073" s="375">
        <v>-2854.68894</v>
      </c>
      <c r="M2073" s="375">
        <v>134060.88398000001</v>
      </c>
      <c r="N2073" s="372">
        <v>0.75800000000000001</v>
      </c>
      <c r="O2073" s="704">
        <v>232.07849212953647</v>
      </c>
      <c r="P2073" s="563" t="s">
        <v>622</v>
      </c>
      <c r="Q2073" s="372" t="s">
        <v>622</v>
      </c>
      <c r="R2073" s="696">
        <v>20020524</v>
      </c>
      <c r="S2073" s="372" t="s">
        <v>13359</v>
      </c>
      <c r="T2073" s="697" t="s">
        <v>771</v>
      </c>
      <c r="U2073" s="372" t="s">
        <v>13360</v>
      </c>
      <c r="V2073" s="723" t="s">
        <v>773</v>
      </c>
      <c r="W2073" s="723">
        <v>0.74</v>
      </c>
      <c r="X2073" s="723">
        <v>0.28999999999999998</v>
      </c>
      <c r="Y2073" s="723" t="s">
        <v>773</v>
      </c>
      <c r="Z2073" s="382" t="s">
        <v>927</v>
      </c>
      <c r="AA2073" s="372">
        <v>1281.6647092000001</v>
      </c>
      <c r="AB2073" s="372">
        <v>1354.0930542000001</v>
      </c>
      <c r="AC2073" s="372">
        <v>1432.7608614000001</v>
      </c>
      <c r="AD2073" s="372">
        <v>1469.525457</v>
      </c>
      <c r="AE2073" s="372">
        <v>0</v>
      </c>
      <c r="AF2073" s="372">
        <v>0</v>
      </c>
      <c r="AG2073" s="372">
        <v>0</v>
      </c>
      <c r="AH2073" s="372">
        <v>0</v>
      </c>
    </row>
    <row r="2074" spans="1:34">
      <c r="A2074" s="372" t="s">
        <v>13361</v>
      </c>
      <c r="B2074" s="372" t="s">
        <v>13362</v>
      </c>
      <c r="C2074" s="372" t="s">
        <v>13363</v>
      </c>
      <c r="D2074" s="374">
        <v>1101110604200</v>
      </c>
      <c r="E2074" s="372" t="s">
        <v>13364</v>
      </c>
      <c r="F2074" s="372" t="s">
        <v>5769</v>
      </c>
      <c r="G2074" s="375" t="s">
        <v>5769</v>
      </c>
      <c r="H2074" s="375" t="s">
        <v>1337</v>
      </c>
      <c r="I2074" s="375" t="s">
        <v>862</v>
      </c>
      <c r="J2074" s="375">
        <v>582026.86485000001</v>
      </c>
      <c r="K2074" s="375">
        <v>13927.43751</v>
      </c>
      <c r="L2074" s="375">
        <v>-94213.672130000006</v>
      </c>
      <c r="M2074" s="375">
        <v>199153.00714999999</v>
      </c>
      <c r="N2074" s="372">
        <v>1.1890000000000001</v>
      </c>
      <c r="O2074" s="704">
        <v>732.58411655001828</v>
      </c>
      <c r="P2074" s="563" t="s">
        <v>622</v>
      </c>
      <c r="Q2074" s="372" t="s">
        <v>622</v>
      </c>
      <c r="R2074" s="696">
        <v>19970416</v>
      </c>
      <c r="S2074" s="372" t="s">
        <v>13365</v>
      </c>
      <c r="T2074" s="697" t="s">
        <v>771</v>
      </c>
      <c r="U2074" s="372" t="s">
        <v>13366</v>
      </c>
      <c r="V2074" s="723">
        <v>15.16</v>
      </c>
      <c r="W2074" s="723">
        <v>0.48</v>
      </c>
      <c r="X2074" s="723">
        <v>0.06</v>
      </c>
      <c r="Y2074" s="723" t="s">
        <v>773</v>
      </c>
      <c r="Z2074" s="382" t="s">
        <v>927</v>
      </c>
      <c r="AA2074" s="372">
        <v>51.025964100000003</v>
      </c>
      <c r="AB2074" s="372">
        <v>77.561311900000007</v>
      </c>
      <c r="AC2074" s="372">
        <v>6973.8053422000003</v>
      </c>
      <c r="AD2074" s="372">
        <v>6598.0136155999999</v>
      </c>
      <c r="AE2074" s="372">
        <v>0</v>
      </c>
      <c r="AF2074" s="372">
        <v>0</v>
      </c>
      <c r="AG2074" s="372">
        <v>0</v>
      </c>
      <c r="AH2074" s="372">
        <v>0</v>
      </c>
    </row>
    <row r="2075" spans="1:34">
      <c r="A2075" s="372" t="s">
        <v>13367</v>
      </c>
      <c r="B2075" s="372" t="s">
        <v>13368</v>
      </c>
      <c r="C2075" s="372" t="s">
        <v>13369</v>
      </c>
      <c r="D2075" s="374">
        <v>1358110088245</v>
      </c>
      <c r="E2075" s="372" t="s">
        <v>13370</v>
      </c>
      <c r="F2075" s="372" t="s">
        <v>975</v>
      </c>
      <c r="G2075" s="375" t="s">
        <v>976</v>
      </c>
      <c r="H2075" s="375" t="s">
        <v>1337</v>
      </c>
      <c r="I2075" s="375" t="s">
        <v>862</v>
      </c>
      <c r="J2075" s="375">
        <v>16029.07404</v>
      </c>
      <c r="K2075" s="375">
        <v>2090.2707</v>
      </c>
      <c r="L2075" s="375">
        <v>1483.24782</v>
      </c>
      <c r="M2075" s="375">
        <v>33659.825850000001</v>
      </c>
      <c r="N2075" s="372">
        <v>0.86199999999999999</v>
      </c>
      <c r="O2075" s="704">
        <v>28.769313419738474</v>
      </c>
      <c r="P2075" s="563" t="s">
        <v>622</v>
      </c>
      <c r="Q2075" s="372" t="s">
        <v>622</v>
      </c>
      <c r="R2075" s="696">
        <v>20061213</v>
      </c>
      <c r="S2075" s="372" t="s">
        <v>13371</v>
      </c>
      <c r="T2075" s="697">
        <v>0.20900000000000002</v>
      </c>
      <c r="U2075" s="372" t="s">
        <v>13372</v>
      </c>
      <c r="V2075" s="723">
        <v>0</v>
      </c>
      <c r="W2075" s="723">
        <v>0</v>
      </c>
      <c r="X2075" s="723">
        <v>0</v>
      </c>
      <c r="Y2075" s="723">
        <v>0</v>
      </c>
      <c r="Z2075" s="382" t="s">
        <v>927</v>
      </c>
      <c r="AA2075" s="372">
        <v>204.77337370000001</v>
      </c>
      <c r="AB2075" s="372">
        <v>137.79099769999999</v>
      </c>
      <c r="AC2075" s="372">
        <v>145.6671125</v>
      </c>
      <c r="AD2075" s="372">
        <v>161.47530620000001</v>
      </c>
      <c r="AE2075" s="372">
        <v>0</v>
      </c>
      <c r="AF2075" s="372">
        <v>0</v>
      </c>
      <c r="AG2075" s="372">
        <v>0</v>
      </c>
      <c r="AH2075" s="372">
        <v>0</v>
      </c>
    </row>
    <row r="2076" spans="1:34">
      <c r="A2076" s="372" t="s">
        <v>13373</v>
      </c>
      <c r="B2076" s="372" t="s">
        <v>13374</v>
      </c>
      <c r="C2076" s="372" t="s">
        <v>13375</v>
      </c>
      <c r="D2076" s="374">
        <v>1615110006796</v>
      </c>
      <c r="E2076" s="372" t="s">
        <v>13376</v>
      </c>
      <c r="F2076" s="372" t="s">
        <v>2992</v>
      </c>
      <c r="G2076" s="375" t="s">
        <v>2992</v>
      </c>
      <c r="H2076" s="375" t="s">
        <v>861</v>
      </c>
      <c r="I2076" s="375" t="s">
        <v>862</v>
      </c>
      <c r="J2076" s="375">
        <v>129344.08967</v>
      </c>
      <c r="K2076" s="375">
        <v>3344.4687300000001</v>
      </c>
      <c r="L2076" s="375">
        <v>-30499.278730000002</v>
      </c>
      <c r="M2076" s="375">
        <v>87185.903170000005</v>
      </c>
      <c r="N2076" s="372">
        <v>0.622</v>
      </c>
      <c r="O2076" s="704">
        <v>84.16407835410908</v>
      </c>
      <c r="P2076" s="563" t="s">
        <v>622</v>
      </c>
      <c r="Q2076" s="372" t="s">
        <v>622</v>
      </c>
      <c r="R2076" s="696">
        <v>19970212</v>
      </c>
      <c r="S2076" s="372" t="s">
        <v>13377</v>
      </c>
      <c r="T2076" s="697" t="s">
        <v>771</v>
      </c>
      <c r="U2076" s="372" t="s">
        <v>13378</v>
      </c>
      <c r="V2076" s="723">
        <v>5.97</v>
      </c>
      <c r="W2076" s="723">
        <v>0.42</v>
      </c>
      <c r="X2076" s="723">
        <v>0.3</v>
      </c>
      <c r="Y2076" s="723" t="s">
        <v>773</v>
      </c>
      <c r="Z2076" s="382" t="s">
        <v>927</v>
      </c>
      <c r="AA2076" s="372">
        <v>1281.6480891000001</v>
      </c>
      <c r="AB2076" s="372">
        <v>1127.835376</v>
      </c>
      <c r="AC2076" s="372">
        <v>1108.9257548999999</v>
      </c>
      <c r="AD2076" s="372">
        <v>1419.7554418</v>
      </c>
      <c r="AE2076" s="372">
        <v>0</v>
      </c>
      <c r="AF2076" s="372">
        <v>0</v>
      </c>
      <c r="AG2076" s="372">
        <v>0</v>
      </c>
      <c r="AH2076" s="372">
        <v>0</v>
      </c>
    </row>
    <row r="2077" spans="1:34">
      <c r="A2077" s="372" t="s">
        <v>13379</v>
      </c>
      <c r="B2077" s="372" t="s">
        <v>13380</v>
      </c>
      <c r="C2077" s="372" t="s">
        <v>13381</v>
      </c>
      <c r="D2077" s="374">
        <v>1845110000105</v>
      </c>
      <c r="E2077" s="372" t="s">
        <v>13382</v>
      </c>
      <c r="F2077" s="372" t="s">
        <v>7212</v>
      </c>
      <c r="G2077" s="375" t="s">
        <v>16122</v>
      </c>
      <c r="H2077" s="375" t="s">
        <v>3957</v>
      </c>
      <c r="I2077" s="375" t="s">
        <v>754</v>
      </c>
      <c r="J2077" s="375">
        <v>297355.11952000001</v>
      </c>
      <c r="K2077" s="375">
        <v>5993.7653700000001</v>
      </c>
      <c r="L2077" s="375">
        <v>697.60316999999998</v>
      </c>
      <c r="M2077" s="375">
        <v>90280.604259999993</v>
      </c>
      <c r="N2077" s="372">
        <v>0.76</v>
      </c>
      <c r="O2077" s="704">
        <v>322.68074166864113</v>
      </c>
      <c r="P2077" s="563" t="s">
        <v>622</v>
      </c>
      <c r="Q2077" s="372" t="s">
        <v>622</v>
      </c>
      <c r="R2077" s="696">
        <v>19871223</v>
      </c>
      <c r="S2077" s="372" t="s">
        <v>13383</v>
      </c>
      <c r="T2077" s="697">
        <v>0.20900000000000002</v>
      </c>
      <c r="U2077" s="372" t="s">
        <v>13384</v>
      </c>
      <c r="V2077" s="723">
        <v>0</v>
      </c>
      <c r="W2077" s="723">
        <v>0</v>
      </c>
      <c r="X2077" s="723">
        <v>0</v>
      </c>
      <c r="Y2077" s="723">
        <v>0</v>
      </c>
      <c r="Z2077" s="382" t="s">
        <v>927</v>
      </c>
      <c r="AA2077" s="372">
        <v>1714.7830229000001</v>
      </c>
      <c r="AB2077" s="372">
        <v>1822.0963887</v>
      </c>
      <c r="AC2077" s="372">
        <v>2149.2350479000002</v>
      </c>
      <c r="AD2077" s="372">
        <v>2760.3357562000001</v>
      </c>
      <c r="AE2077" s="372">
        <v>0</v>
      </c>
      <c r="AF2077" s="372">
        <v>0</v>
      </c>
      <c r="AG2077" s="372">
        <v>0</v>
      </c>
      <c r="AH2077" s="372">
        <v>0</v>
      </c>
    </row>
    <row r="2078" spans="1:34">
      <c r="A2078" s="372" t="s">
        <v>13385</v>
      </c>
      <c r="B2078" s="372" t="s">
        <v>13386</v>
      </c>
      <c r="C2078" s="372" t="s">
        <v>13387</v>
      </c>
      <c r="D2078" s="374">
        <v>1101114275958</v>
      </c>
      <c r="E2078" s="372" t="s">
        <v>13388</v>
      </c>
      <c r="F2078" s="372" t="s">
        <v>998</v>
      </c>
      <c r="G2078" s="375" t="s">
        <v>7129</v>
      </c>
      <c r="H2078" s="375" t="s">
        <v>861</v>
      </c>
      <c r="I2078" s="375" t="s">
        <v>862</v>
      </c>
      <c r="J2078" s="375">
        <v>292446.00098999997</v>
      </c>
      <c r="K2078" s="375">
        <v>21697.673309999998</v>
      </c>
      <c r="L2078" s="375">
        <v>22329.12774</v>
      </c>
      <c r="M2078" s="375">
        <v>110791.39900999999</v>
      </c>
      <c r="N2078" s="372">
        <v>0.80800000000000005</v>
      </c>
      <c r="O2078" s="704">
        <v>123.13518671832635</v>
      </c>
      <c r="P2078" s="563" t="s">
        <v>622</v>
      </c>
      <c r="Q2078" s="372" t="s">
        <v>622</v>
      </c>
      <c r="R2078" s="696">
        <v>20200316</v>
      </c>
      <c r="S2078" s="372" t="s">
        <v>13389</v>
      </c>
      <c r="T2078" s="697">
        <v>0.23100000000000001</v>
      </c>
      <c r="U2078" s="372" t="s">
        <v>13390</v>
      </c>
      <c r="V2078" s="723">
        <v>2.23</v>
      </c>
      <c r="W2078" s="723">
        <v>0.54</v>
      </c>
      <c r="X2078" s="723">
        <v>0.2</v>
      </c>
      <c r="Y2078" s="723">
        <v>2.93</v>
      </c>
      <c r="Z2078" s="382" t="s">
        <v>927</v>
      </c>
      <c r="AA2078" s="372">
        <v>2331.0077563</v>
      </c>
      <c r="AB2078" s="372">
        <v>3049.2904993000002</v>
      </c>
      <c r="AC2078" s="372">
        <v>3161.4031868000002</v>
      </c>
      <c r="AD2078" s="372">
        <v>2356.5683414999999</v>
      </c>
      <c r="AE2078" s="372">
        <v>0</v>
      </c>
      <c r="AF2078" s="372">
        <v>0</v>
      </c>
      <c r="AG2078" s="372">
        <v>0</v>
      </c>
      <c r="AH2078" s="372">
        <v>0</v>
      </c>
    </row>
    <row r="2079" spans="1:34">
      <c r="A2079" s="372" t="s">
        <v>13391</v>
      </c>
      <c r="B2079" s="372" t="s">
        <v>13392</v>
      </c>
      <c r="C2079" s="372" t="s">
        <v>13393</v>
      </c>
      <c r="D2079" s="374">
        <v>1101117262754</v>
      </c>
      <c r="E2079" s="372" t="s">
        <v>13394</v>
      </c>
      <c r="F2079" s="372" t="s">
        <v>2511</v>
      </c>
      <c r="G2079" s="375" t="s">
        <v>2511</v>
      </c>
      <c r="H2079" s="375" t="s">
        <v>861</v>
      </c>
      <c r="I2079" s="375" t="s">
        <v>862</v>
      </c>
      <c r="J2079" s="375">
        <v>57759.607380000001</v>
      </c>
      <c r="K2079" s="375">
        <v>3741.69382</v>
      </c>
      <c r="L2079" s="375">
        <v>3168.4198799999999</v>
      </c>
      <c r="M2079" s="375">
        <v>33346.931799999998</v>
      </c>
      <c r="N2079" s="372">
        <v>0.93500000000000005</v>
      </c>
      <c r="O2079" s="704">
        <v>16.970869198970899</v>
      </c>
      <c r="P2079" s="563" t="s">
        <v>622</v>
      </c>
      <c r="Q2079" s="372" t="s">
        <v>622</v>
      </c>
      <c r="R2079" s="696">
        <v>20191227</v>
      </c>
      <c r="S2079" s="372" t="s">
        <v>13395</v>
      </c>
      <c r="T2079" s="697">
        <v>0.20900000000000002</v>
      </c>
      <c r="U2079" s="372" t="s">
        <v>13396</v>
      </c>
      <c r="V2079" s="723">
        <v>0</v>
      </c>
      <c r="W2079" s="723">
        <v>0</v>
      </c>
      <c r="X2079" s="723">
        <v>0</v>
      </c>
      <c r="Y2079" s="723">
        <v>0</v>
      </c>
      <c r="Z2079" s="382" t="s">
        <v>927</v>
      </c>
      <c r="AA2079" s="372">
        <v>394.4096232</v>
      </c>
      <c r="AB2079" s="372">
        <v>476.75469340000001</v>
      </c>
      <c r="AC2079" s="372">
        <v>525.2615366</v>
      </c>
      <c r="AD2079" s="372">
        <v>582.45452499999999</v>
      </c>
      <c r="AE2079" s="372">
        <v>0</v>
      </c>
      <c r="AF2079" s="372">
        <v>0</v>
      </c>
      <c r="AG2079" s="372">
        <v>0</v>
      </c>
      <c r="AH2079" s="372">
        <v>0</v>
      </c>
    </row>
    <row r="2080" spans="1:34">
      <c r="A2080" s="372" t="s">
        <v>13397</v>
      </c>
      <c r="B2080" s="372" t="s">
        <v>13398</v>
      </c>
      <c r="C2080" s="372" t="s">
        <v>13399</v>
      </c>
      <c r="D2080" s="374">
        <v>1101112870784</v>
      </c>
      <c r="E2080" s="372" t="s">
        <v>13400</v>
      </c>
      <c r="F2080" s="372" t="s">
        <v>1275</v>
      </c>
      <c r="G2080" s="375" t="s">
        <v>1275</v>
      </c>
      <c r="H2080" s="375" t="s">
        <v>861</v>
      </c>
      <c r="I2080" s="375" t="s">
        <v>862</v>
      </c>
      <c r="J2080" s="375">
        <v>38617.299800000001</v>
      </c>
      <c r="K2080" s="375">
        <v>-6942.8243599999996</v>
      </c>
      <c r="L2080" s="375">
        <v>-10715.50157</v>
      </c>
      <c r="M2080" s="375">
        <v>42746.29709</v>
      </c>
      <c r="N2080" s="372">
        <v>0.49299999999999999</v>
      </c>
      <c r="O2080" s="704">
        <v>74.262901358706984</v>
      </c>
      <c r="P2080" s="563" t="s">
        <v>622</v>
      </c>
      <c r="Q2080" s="372" t="s">
        <v>622</v>
      </c>
      <c r="R2080" s="696">
        <v>20141031</v>
      </c>
      <c r="S2080" s="372" t="s">
        <v>13401</v>
      </c>
      <c r="T2080" s="697" t="s">
        <v>771</v>
      </c>
      <c r="U2080" s="372" t="s">
        <v>13402</v>
      </c>
      <c r="V2080" s="723" t="s">
        <v>773</v>
      </c>
      <c r="W2080" s="723">
        <v>0.62</v>
      </c>
      <c r="X2080" s="723">
        <v>0.7</v>
      </c>
      <c r="Y2080" s="723" t="s">
        <v>773</v>
      </c>
      <c r="Z2080" s="382" t="s">
        <v>927</v>
      </c>
      <c r="AA2080" s="372">
        <v>80.529825799999998</v>
      </c>
      <c r="AB2080" s="372">
        <v>90.662285900000001</v>
      </c>
      <c r="AC2080" s="372">
        <v>120.0925938</v>
      </c>
      <c r="AD2080" s="372">
        <v>322.89441720000002</v>
      </c>
      <c r="AE2080" s="372">
        <v>0</v>
      </c>
      <c r="AF2080" s="372">
        <v>0</v>
      </c>
      <c r="AG2080" s="372">
        <v>0</v>
      </c>
      <c r="AH2080" s="372">
        <v>0</v>
      </c>
    </row>
    <row r="2081" spans="1:34">
      <c r="A2081" s="372" t="s">
        <v>13403</v>
      </c>
      <c r="B2081" s="372" t="s">
        <v>13404</v>
      </c>
      <c r="C2081" s="372" t="s">
        <v>13405</v>
      </c>
      <c r="D2081" s="374">
        <v>1601110007660</v>
      </c>
      <c r="E2081" s="372" t="s">
        <v>13406</v>
      </c>
      <c r="F2081" s="372" t="s">
        <v>1370</v>
      </c>
      <c r="G2081" s="375" t="s">
        <v>1370</v>
      </c>
      <c r="H2081" s="375" t="s">
        <v>861</v>
      </c>
      <c r="I2081" s="375" t="s">
        <v>862</v>
      </c>
      <c r="J2081" s="375">
        <v>35358.50217</v>
      </c>
      <c r="K2081" s="375">
        <v>-8517.8209100000004</v>
      </c>
      <c r="L2081" s="375">
        <v>-8035.9901200000004</v>
      </c>
      <c r="M2081" s="375">
        <v>20352.01629</v>
      </c>
      <c r="N2081" s="372">
        <v>0.4</v>
      </c>
      <c r="O2081" s="704">
        <v>22.478883415950676</v>
      </c>
      <c r="P2081" s="563" t="s">
        <v>622</v>
      </c>
      <c r="Q2081" s="372" t="s">
        <v>622</v>
      </c>
      <c r="R2081" s="696">
        <v>19941031</v>
      </c>
      <c r="S2081" s="372" t="s">
        <v>13407</v>
      </c>
      <c r="T2081" s="697" t="s">
        <v>771</v>
      </c>
      <c r="U2081" s="372" t="s">
        <v>13408</v>
      </c>
      <c r="V2081" s="723">
        <v>0</v>
      </c>
      <c r="W2081" s="723">
        <v>0</v>
      </c>
      <c r="X2081" s="723">
        <v>0</v>
      </c>
      <c r="Y2081" s="723">
        <v>0</v>
      </c>
      <c r="Z2081" s="382" t="s">
        <v>927</v>
      </c>
      <c r="AA2081" s="372">
        <v>429.62786089999997</v>
      </c>
      <c r="AB2081" s="372">
        <v>132.64691350000001</v>
      </c>
      <c r="AC2081" s="372">
        <v>145.05487819999999</v>
      </c>
      <c r="AD2081" s="372">
        <v>285.52255509999998</v>
      </c>
      <c r="AE2081" s="372">
        <v>0</v>
      </c>
      <c r="AF2081" s="372">
        <v>0</v>
      </c>
      <c r="AG2081" s="372">
        <v>0</v>
      </c>
      <c r="AH2081" s="372">
        <v>0</v>
      </c>
    </row>
    <row r="2082" spans="1:34">
      <c r="A2082" s="372" t="s">
        <v>13409</v>
      </c>
      <c r="B2082" s="372" t="s">
        <v>13410</v>
      </c>
      <c r="C2082" s="372" t="s">
        <v>13411</v>
      </c>
      <c r="D2082" s="374">
        <v>1101117912309</v>
      </c>
      <c r="E2082" s="372" t="s">
        <v>13412</v>
      </c>
      <c r="F2082" s="372" t="s">
        <v>1143</v>
      </c>
      <c r="G2082" s="375" t="s">
        <v>1144</v>
      </c>
      <c r="H2082" s="375" t="s">
        <v>895</v>
      </c>
      <c r="I2082" s="375" t="s">
        <v>4413</v>
      </c>
      <c r="J2082" s="375">
        <v>0</v>
      </c>
      <c r="K2082" s="375">
        <v>0</v>
      </c>
      <c r="L2082" s="375">
        <v>0</v>
      </c>
      <c r="M2082" s="375">
        <v>0</v>
      </c>
      <c r="N2082" s="372" t="s">
        <v>1026</v>
      </c>
      <c r="O2082" s="704" t="s">
        <v>16301</v>
      </c>
      <c r="P2082" s="563" t="s">
        <v>622</v>
      </c>
      <c r="Q2082" s="372" t="s">
        <v>622</v>
      </c>
      <c r="R2082" s="696">
        <v>20211005</v>
      </c>
      <c r="S2082" s="372" t="e">
        <v>#N/A</v>
      </c>
      <c r="T2082" s="697" t="s">
        <v>771</v>
      </c>
      <c r="U2082" s="372">
        <v>0</v>
      </c>
      <c r="V2082" s="723">
        <v>0</v>
      </c>
      <c r="W2082" s="723">
        <v>0</v>
      </c>
      <c r="X2082" s="723">
        <v>0</v>
      </c>
      <c r="Y2082" s="723">
        <v>0</v>
      </c>
      <c r="Z2082" s="382" t="s">
        <v>773</v>
      </c>
      <c r="AA2082" s="372">
        <v>0</v>
      </c>
      <c r="AB2082" s="372">
        <v>0</v>
      </c>
      <c r="AC2082" s="372">
        <v>0</v>
      </c>
      <c r="AD2082" s="372">
        <v>0</v>
      </c>
      <c r="AE2082" s="372">
        <v>0</v>
      </c>
      <c r="AF2082" s="372">
        <v>0</v>
      </c>
      <c r="AG2082" s="372">
        <v>0</v>
      </c>
      <c r="AH2082" s="372">
        <v>0</v>
      </c>
    </row>
    <row r="2083" spans="1:34">
      <c r="A2083" s="372" t="s">
        <v>13414</v>
      </c>
      <c r="B2083" s="372" t="s">
        <v>13415</v>
      </c>
      <c r="C2083" s="372" t="s">
        <v>13416</v>
      </c>
      <c r="D2083" s="374">
        <v>1201110155011</v>
      </c>
      <c r="E2083" s="372" t="s">
        <v>13417</v>
      </c>
      <c r="F2083" s="372" t="s">
        <v>1276</v>
      </c>
      <c r="G2083" s="375" t="s">
        <v>1452</v>
      </c>
      <c r="H2083" s="375" t="s">
        <v>861</v>
      </c>
      <c r="I2083" s="375" t="s">
        <v>862</v>
      </c>
      <c r="J2083" s="375">
        <v>127029.45195</v>
      </c>
      <c r="K2083" s="375">
        <v>5652.0828300000003</v>
      </c>
      <c r="L2083" s="375">
        <v>3902.4778799999999</v>
      </c>
      <c r="M2083" s="375">
        <v>76373.874249999993</v>
      </c>
      <c r="N2083" s="372">
        <v>0.50900000000000001</v>
      </c>
      <c r="O2083" s="704">
        <v>143.69640917011785</v>
      </c>
      <c r="P2083" s="563" t="s">
        <v>622</v>
      </c>
      <c r="Q2083" s="372" t="s">
        <v>622</v>
      </c>
      <c r="R2083" s="696">
        <v>20140804</v>
      </c>
      <c r="S2083" s="372" t="s">
        <v>13418</v>
      </c>
      <c r="T2083" s="697">
        <v>0.20900000000000002</v>
      </c>
      <c r="U2083" s="372" t="s">
        <v>13419</v>
      </c>
      <c r="V2083" s="723">
        <v>6.06</v>
      </c>
      <c r="W2083" s="723">
        <v>0.53</v>
      </c>
      <c r="X2083" s="723">
        <v>0.35</v>
      </c>
      <c r="Y2083" s="723">
        <v>9.89</v>
      </c>
      <c r="Z2083" s="382" t="s">
        <v>927</v>
      </c>
      <c r="AA2083" s="372">
        <v>1288.1227616000001</v>
      </c>
      <c r="AB2083" s="372">
        <v>1262.6480669</v>
      </c>
      <c r="AC2083" s="372">
        <v>1180.3793831</v>
      </c>
      <c r="AD2083" s="372">
        <v>1206.8470918999999</v>
      </c>
      <c r="AE2083" s="372">
        <v>0</v>
      </c>
      <c r="AF2083" s="372">
        <v>0</v>
      </c>
      <c r="AG2083" s="372">
        <v>0</v>
      </c>
      <c r="AH2083" s="372">
        <v>0</v>
      </c>
    </row>
    <row r="2084" spans="1:34">
      <c r="A2084" s="372" t="s">
        <v>13420</v>
      </c>
      <c r="B2084" s="372" t="s">
        <v>13421</v>
      </c>
      <c r="C2084" s="372" t="s">
        <v>13422</v>
      </c>
      <c r="D2084" s="374">
        <v>1543110010576</v>
      </c>
      <c r="E2084" s="372" t="s">
        <v>13423</v>
      </c>
      <c r="F2084" s="372" t="s">
        <v>4252</v>
      </c>
      <c r="G2084" s="375" t="s">
        <v>4253</v>
      </c>
      <c r="H2084" s="375" t="s">
        <v>861</v>
      </c>
      <c r="I2084" s="375" t="s">
        <v>862</v>
      </c>
      <c r="J2084" s="375">
        <v>59250.742129999999</v>
      </c>
      <c r="K2084" s="375">
        <v>9988.1947899999996</v>
      </c>
      <c r="L2084" s="375">
        <v>8321.3076899999996</v>
      </c>
      <c r="M2084" s="375">
        <v>84046.064400000003</v>
      </c>
      <c r="N2084" s="372">
        <v>0.86699999999999999</v>
      </c>
      <c r="O2084" s="704">
        <v>37.67969152821609</v>
      </c>
      <c r="P2084" s="563" t="s">
        <v>622</v>
      </c>
      <c r="Q2084" s="372" t="s">
        <v>622</v>
      </c>
      <c r="R2084" s="696">
        <v>20111108</v>
      </c>
      <c r="S2084" s="372" t="s">
        <v>13424</v>
      </c>
      <c r="T2084" s="697">
        <v>0.20900000000000002</v>
      </c>
      <c r="U2084" s="372" t="s">
        <v>13425</v>
      </c>
      <c r="V2084" s="723">
        <v>0</v>
      </c>
      <c r="W2084" s="723">
        <v>0</v>
      </c>
      <c r="X2084" s="723">
        <v>0</v>
      </c>
      <c r="Y2084" s="723">
        <v>0</v>
      </c>
      <c r="Z2084" s="382" t="s">
        <v>927</v>
      </c>
      <c r="AA2084" s="372">
        <v>369.71668670000003</v>
      </c>
      <c r="AB2084" s="372">
        <v>400.02344959999999</v>
      </c>
      <c r="AC2084" s="372">
        <v>462.84761429999998</v>
      </c>
      <c r="AD2084" s="372">
        <v>511.01481899999999</v>
      </c>
      <c r="AE2084" s="372">
        <v>0</v>
      </c>
      <c r="AF2084" s="372">
        <v>0</v>
      </c>
      <c r="AG2084" s="372">
        <v>0</v>
      </c>
      <c r="AH2084" s="372">
        <v>0</v>
      </c>
    </row>
    <row r="2085" spans="1:34">
      <c r="A2085" s="372" t="s">
        <v>13426</v>
      </c>
      <c r="B2085" s="372" t="s">
        <v>13427</v>
      </c>
      <c r="C2085" s="372" t="s">
        <v>13428</v>
      </c>
      <c r="D2085" s="374">
        <v>1748110004244</v>
      </c>
      <c r="E2085" s="372" t="s">
        <v>13429</v>
      </c>
      <c r="F2085" s="372" t="s">
        <v>1863</v>
      </c>
      <c r="G2085" s="375" t="s">
        <v>1864</v>
      </c>
      <c r="H2085" s="375" t="s">
        <v>792</v>
      </c>
      <c r="I2085" s="375" t="s">
        <v>754</v>
      </c>
      <c r="J2085" s="375">
        <v>94455.908240000004</v>
      </c>
      <c r="K2085" s="375">
        <v>5214.8464599999998</v>
      </c>
      <c r="L2085" s="375">
        <v>3194.1244299999998</v>
      </c>
      <c r="M2085" s="375">
        <v>34375.553549999997</v>
      </c>
      <c r="N2085" s="372">
        <v>0.90800000000000003</v>
      </c>
      <c r="O2085" s="704">
        <v>56.307030190311423</v>
      </c>
      <c r="P2085" s="563" t="s">
        <v>622</v>
      </c>
      <c r="Q2085" s="372" t="s">
        <v>622</v>
      </c>
      <c r="R2085" s="696">
        <v>19990811</v>
      </c>
      <c r="S2085" s="372" t="s">
        <v>13430</v>
      </c>
      <c r="T2085" s="697">
        <v>0.20900000000000002</v>
      </c>
      <c r="U2085" s="372" t="s">
        <v>13431</v>
      </c>
      <c r="V2085" s="723">
        <v>5.27</v>
      </c>
      <c r="W2085" s="723">
        <v>1.23</v>
      </c>
      <c r="X2085" s="723">
        <v>0.45</v>
      </c>
      <c r="Y2085" s="723">
        <v>13.86</v>
      </c>
      <c r="Z2085" s="382" t="s">
        <v>927</v>
      </c>
      <c r="AA2085" s="372">
        <v>501.70588450000002</v>
      </c>
      <c r="AB2085" s="372">
        <v>429.052886</v>
      </c>
      <c r="AC2085" s="372">
        <v>328.17107179999999</v>
      </c>
      <c r="AD2085" s="372">
        <v>605.34305380000001</v>
      </c>
      <c r="AE2085" s="372">
        <v>0</v>
      </c>
      <c r="AF2085" s="372">
        <v>0</v>
      </c>
      <c r="AG2085" s="372">
        <v>0</v>
      </c>
      <c r="AH2085" s="372">
        <v>0</v>
      </c>
    </row>
    <row r="2086" spans="1:34">
      <c r="A2086" s="372" t="s">
        <v>13432</v>
      </c>
      <c r="B2086" s="372" t="s">
        <v>13433</v>
      </c>
      <c r="C2086" s="372" t="s">
        <v>13434</v>
      </c>
      <c r="D2086" s="374">
        <v>1101113594763</v>
      </c>
      <c r="E2086" s="372" t="s">
        <v>13435</v>
      </c>
      <c r="F2086" s="372" t="s">
        <v>2222</v>
      </c>
      <c r="G2086" s="375" t="s">
        <v>2222</v>
      </c>
      <c r="H2086" s="375" t="s">
        <v>861</v>
      </c>
      <c r="I2086" s="375" t="s">
        <v>862</v>
      </c>
      <c r="J2086" s="375">
        <v>23182.880389999998</v>
      </c>
      <c r="K2086" s="375">
        <v>-1862.9673700000001</v>
      </c>
      <c r="L2086" s="375">
        <v>2512.3337299999998</v>
      </c>
      <c r="M2086" s="375">
        <v>124823.94843999999</v>
      </c>
      <c r="N2086" s="372">
        <v>0.63100000000000001</v>
      </c>
      <c r="O2086" s="704">
        <v>21.652607140749758</v>
      </c>
      <c r="P2086" s="563" t="s">
        <v>622</v>
      </c>
      <c r="Q2086" s="372" t="s">
        <v>622</v>
      </c>
      <c r="R2086" s="696">
        <v>20190822</v>
      </c>
      <c r="S2086" s="372" t="s">
        <v>13436</v>
      </c>
      <c r="T2086" s="697">
        <v>0.20900000000000002</v>
      </c>
      <c r="U2086" s="372" t="s">
        <v>13437</v>
      </c>
      <c r="V2086" s="723">
        <v>571.08000000000004</v>
      </c>
      <c r="W2086" s="723">
        <v>1.08</v>
      </c>
      <c r="X2086" s="723">
        <v>3.03</v>
      </c>
      <c r="Y2086" s="723">
        <v>16.47</v>
      </c>
      <c r="Z2086" s="382" t="s">
        <v>927</v>
      </c>
      <c r="AA2086" s="372">
        <v>298.21100539999998</v>
      </c>
      <c r="AB2086" s="372">
        <v>298.86729409999998</v>
      </c>
      <c r="AC2086" s="372">
        <v>267.02893110000002</v>
      </c>
      <c r="AD2086" s="372">
        <v>248.66771850000001</v>
      </c>
      <c r="AE2086" s="372">
        <v>0</v>
      </c>
      <c r="AF2086" s="372">
        <v>0</v>
      </c>
      <c r="AG2086" s="372">
        <v>0</v>
      </c>
      <c r="AH2086" s="372">
        <v>0</v>
      </c>
    </row>
    <row r="2087" spans="1:34">
      <c r="A2087" s="372" t="s">
        <v>13438</v>
      </c>
      <c r="B2087" s="372" t="s">
        <v>13439</v>
      </c>
      <c r="C2087" s="372" t="s">
        <v>13440</v>
      </c>
      <c r="D2087" s="374">
        <v>1101111495971</v>
      </c>
      <c r="E2087" s="372" t="s">
        <v>13441</v>
      </c>
      <c r="F2087" s="372" t="s">
        <v>2222</v>
      </c>
      <c r="G2087" s="375" t="s">
        <v>2222</v>
      </c>
      <c r="H2087" s="375" t="s">
        <v>861</v>
      </c>
      <c r="I2087" s="375" t="s">
        <v>862</v>
      </c>
      <c r="J2087" s="375">
        <v>86422.703309999997</v>
      </c>
      <c r="K2087" s="375">
        <v>-1216.4513199999999</v>
      </c>
      <c r="L2087" s="375">
        <v>-1554.8421699999999</v>
      </c>
      <c r="M2087" s="375">
        <v>37859.851020000002</v>
      </c>
      <c r="N2087" s="372">
        <v>0.78400000000000003</v>
      </c>
      <c r="O2087" s="704">
        <v>80.649624240724762</v>
      </c>
      <c r="P2087" s="563" t="s">
        <v>622</v>
      </c>
      <c r="Q2087" s="372" t="s">
        <v>622</v>
      </c>
      <c r="R2087" s="696">
        <v>20151223</v>
      </c>
      <c r="S2087" s="372" t="s">
        <v>13442</v>
      </c>
      <c r="T2087" s="697" t="s">
        <v>771</v>
      </c>
      <c r="U2087" s="372" t="s">
        <v>13443</v>
      </c>
      <c r="V2087" s="723">
        <v>25.2</v>
      </c>
      <c r="W2087" s="723">
        <v>1.28</v>
      </c>
      <c r="X2087" s="723">
        <v>0.52</v>
      </c>
      <c r="Y2087" s="723" t="s">
        <v>773</v>
      </c>
      <c r="Z2087" s="382" t="s">
        <v>927</v>
      </c>
      <c r="AA2087" s="372">
        <v>490.6465551</v>
      </c>
      <c r="AB2087" s="372">
        <v>534.097803</v>
      </c>
      <c r="AC2087" s="372">
        <v>702.14592819999996</v>
      </c>
      <c r="AD2087" s="372">
        <v>783.99918449999996</v>
      </c>
      <c r="AE2087" s="372">
        <v>0</v>
      </c>
      <c r="AF2087" s="372">
        <v>0</v>
      </c>
      <c r="AG2087" s="372">
        <v>0</v>
      </c>
      <c r="AH2087" s="372">
        <v>0</v>
      </c>
    </row>
    <row r="2088" spans="1:34">
      <c r="A2088" s="372" t="s">
        <v>13444</v>
      </c>
      <c r="B2088" s="372" t="s">
        <v>13445</v>
      </c>
      <c r="C2088" s="372" t="s">
        <v>13446</v>
      </c>
      <c r="D2088" s="374">
        <v>1341110013255</v>
      </c>
      <c r="E2088" s="372" t="s">
        <v>13447</v>
      </c>
      <c r="F2088" s="372" t="s">
        <v>1764</v>
      </c>
      <c r="G2088" s="375" t="s">
        <v>2238</v>
      </c>
      <c r="H2088" s="375" t="s">
        <v>861</v>
      </c>
      <c r="I2088" s="375" t="s">
        <v>862</v>
      </c>
      <c r="J2088" s="375">
        <v>62572.015950000001</v>
      </c>
      <c r="K2088" s="375">
        <v>7512.7144099999996</v>
      </c>
      <c r="L2088" s="375">
        <v>5606.2481799999996</v>
      </c>
      <c r="M2088" s="375">
        <v>99403.985430000001</v>
      </c>
      <c r="N2088" s="372">
        <v>0.58399999999999996</v>
      </c>
      <c r="O2088" s="704">
        <v>54.099977713577552</v>
      </c>
      <c r="P2088" s="563" t="s">
        <v>622</v>
      </c>
      <c r="Q2088" s="372" t="s">
        <v>622</v>
      </c>
      <c r="R2088" s="696">
        <v>20151119</v>
      </c>
      <c r="S2088" s="372" t="s">
        <v>13448</v>
      </c>
      <c r="T2088" s="697">
        <v>0.20900000000000002</v>
      </c>
      <c r="U2088" s="372" t="s">
        <v>13449</v>
      </c>
      <c r="V2088" s="723">
        <v>6.29</v>
      </c>
      <c r="W2088" s="723">
        <v>0.5</v>
      </c>
      <c r="X2088" s="723">
        <v>0.82</v>
      </c>
      <c r="Y2088" s="723">
        <v>17.02</v>
      </c>
      <c r="Z2088" s="382" t="s">
        <v>927</v>
      </c>
      <c r="AA2088" s="372">
        <v>475.30634789999999</v>
      </c>
      <c r="AB2088" s="372">
        <v>540.57340859999999</v>
      </c>
      <c r="AC2088" s="372">
        <v>621.24551829999996</v>
      </c>
      <c r="AD2088" s="372">
        <v>591.45786350000003</v>
      </c>
      <c r="AE2088" s="372">
        <v>0</v>
      </c>
      <c r="AF2088" s="372">
        <v>0</v>
      </c>
      <c r="AG2088" s="372">
        <v>0</v>
      </c>
      <c r="AH2088" s="372">
        <v>0</v>
      </c>
    </row>
    <row r="2089" spans="1:34">
      <c r="A2089" s="372" t="s">
        <v>13450</v>
      </c>
      <c r="B2089" s="372" t="s">
        <v>13451</v>
      </c>
      <c r="C2089" s="372" t="s">
        <v>16050</v>
      </c>
      <c r="D2089" s="374">
        <v>1101111390816</v>
      </c>
      <c r="E2089" s="372" t="s">
        <v>16051</v>
      </c>
      <c r="F2089" s="372" t="s">
        <v>1836</v>
      </c>
      <c r="G2089" s="375" t="s">
        <v>1836</v>
      </c>
      <c r="H2089" s="375" t="s">
        <v>3099</v>
      </c>
      <c r="I2089" s="375" t="s">
        <v>862</v>
      </c>
      <c r="J2089" s="375">
        <v>0</v>
      </c>
      <c r="K2089" s="375">
        <v>0</v>
      </c>
      <c r="L2089" s="375">
        <v>0</v>
      </c>
      <c r="M2089" s="375">
        <v>73084.695569999996</v>
      </c>
      <c r="N2089" s="372">
        <v>1.129</v>
      </c>
      <c r="O2089" s="704">
        <v>18.391092694110036</v>
      </c>
      <c r="P2089" s="563" t="s">
        <v>622</v>
      </c>
      <c r="Q2089" s="372" t="s">
        <v>622</v>
      </c>
      <c r="R2089" s="696">
        <v>20030117</v>
      </c>
      <c r="S2089" s="372" t="s">
        <v>13452</v>
      </c>
      <c r="T2089" s="697" t="s">
        <v>771</v>
      </c>
      <c r="U2089" s="372" t="s">
        <v>13453</v>
      </c>
      <c r="V2089" s="723">
        <v>0</v>
      </c>
      <c r="W2089" s="723">
        <v>1.8</v>
      </c>
      <c r="X2089" s="723">
        <v>0</v>
      </c>
      <c r="Y2089" s="723">
        <v>0</v>
      </c>
      <c r="Z2089" s="382" t="s">
        <v>927</v>
      </c>
      <c r="AA2089" s="372">
        <v>314.14836430000003</v>
      </c>
      <c r="AB2089" s="372">
        <v>492.50938070000001</v>
      </c>
      <c r="AC2089" s="372">
        <v>452.89903870000001</v>
      </c>
      <c r="AD2089" s="372">
        <v>520.42005459999996</v>
      </c>
      <c r="AE2089" s="372">
        <v>0</v>
      </c>
      <c r="AF2089" s="372">
        <v>0</v>
      </c>
      <c r="AG2089" s="372">
        <v>0</v>
      </c>
      <c r="AH2089" s="372">
        <v>0</v>
      </c>
    </row>
    <row r="2090" spans="1:34">
      <c r="A2090" s="372" t="s">
        <v>13454</v>
      </c>
      <c r="B2090" s="372" t="s">
        <v>13455</v>
      </c>
      <c r="C2090" s="372" t="s">
        <v>13456</v>
      </c>
      <c r="D2090" s="374">
        <v>1341110012687</v>
      </c>
      <c r="E2090" s="372" t="s">
        <v>13457</v>
      </c>
      <c r="F2090" s="372" t="s">
        <v>1276</v>
      </c>
      <c r="G2090" s="375" t="s">
        <v>1452</v>
      </c>
      <c r="H2090" s="375" t="s">
        <v>861</v>
      </c>
      <c r="I2090" s="375" t="s">
        <v>862</v>
      </c>
      <c r="J2090" s="375">
        <v>24105.036319999999</v>
      </c>
      <c r="K2090" s="375">
        <v>179.37011000000001</v>
      </c>
      <c r="L2090" s="375">
        <v>-1868.3000199999999</v>
      </c>
      <c r="M2090" s="375">
        <v>66512.749370000005</v>
      </c>
      <c r="N2090" s="372">
        <v>0.35699999999999998</v>
      </c>
      <c r="O2090" s="704">
        <v>1.5564869529424621</v>
      </c>
      <c r="P2090" s="563" t="s">
        <v>622</v>
      </c>
      <c r="Q2090" s="372" t="s">
        <v>622</v>
      </c>
      <c r="R2090" s="696">
        <v>19970718</v>
      </c>
      <c r="S2090" s="372" t="s">
        <v>13458</v>
      </c>
      <c r="T2090" s="697" t="s">
        <v>771</v>
      </c>
      <c r="U2090" s="372" t="s">
        <v>13459</v>
      </c>
      <c r="V2090" s="723">
        <v>40.840000000000003</v>
      </c>
      <c r="W2090" s="723">
        <v>0.65</v>
      </c>
      <c r="X2090" s="723">
        <v>1.88</v>
      </c>
      <c r="Y2090" s="723" t="s">
        <v>773</v>
      </c>
      <c r="Z2090" s="382" t="s">
        <v>927</v>
      </c>
      <c r="AA2090" s="372">
        <v>252.51570359999999</v>
      </c>
      <c r="AB2090" s="372">
        <v>261.09333279999998</v>
      </c>
      <c r="AC2090" s="372">
        <v>266.99392920000003</v>
      </c>
      <c r="AD2090" s="372">
        <v>252.3485676</v>
      </c>
      <c r="AE2090" s="372">
        <v>0</v>
      </c>
      <c r="AF2090" s="372">
        <v>0</v>
      </c>
      <c r="AG2090" s="372">
        <v>0</v>
      </c>
      <c r="AH2090" s="372">
        <v>0</v>
      </c>
    </row>
    <row r="2091" spans="1:34">
      <c r="A2091" s="372" t="s">
        <v>13460</v>
      </c>
      <c r="B2091" s="372" t="s">
        <v>13461</v>
      </c>
      <c r="C2091" s="372" t="s">
        <v>13462</v>
      </c>
      <c r="D2091" s="374">
        <v>1101112284729</v>
      </c>
      <c r="E2091" s="372" t="s">
        <v>13463</v>
      </c>
      <c r="F2091" s="372" t="s">
        <v>10831</v>
      </c>
      <c r="G2091" s="375" t="s">
        <v>10832</v>
      </c>
      <c r="H2091" s="375" t="s">
        <v>861</v>
      </c>
      <c r="I2091" s="375" t="s">
        <v>862</v>
      </c>
      <c r="J2091" s="375">
        <v>88416.20895</v>
      </c>
      <c r="K2091" s="375">
        <v>4386.357</v>
      </c>
      <c r="L2091" s="375">
        <v>4762.0227999999997</v>
      </c>
      <c r="M2091" s="375">
        <v>58860.735990000001</v>
      </c>
      <c r="N2091" s="372">
        <v>0.66200000000000003</v>
      </c>
      <c r="O2091" s="704">
        <v>55.528656310161317</v>
      </c>
      <c r="P2091" s="563" t="s">
        <v>622</v>
      </c>
      <c r="Q2091" s="372" t="s">
        <v>622</v>
      </c>
      <c r="R2091" s="696">
        <v>20201202</v>
      </c>
      <c r="S2091" s="372" t="s">
        <v>13464</v>
      </c>
      <c r="T2091" s="697">
        <v>0.20900000000000002</v>
      </c>
      <c r="U2091" s="372" t="s">
        <v>13465</v>
      </c>
      <c r="V2091" s="723">
        <v>0</v>
      </c>
      <c r="W2091" s="723">
        <v>0</v>
      </c>
      <c r="X2091" s="723">
        <v>0</v>
      </c>
      <c r="Y2091" s="723">
        <v>0</v>
      </c>
      <c r="Z2091" s="382" t="s">
        <v>927</v>
      </c>
      <c r="AA2091" s="372">
        <v>1531.7360344000001</v>
      </c>
      <c r="AB2091" s="372">
        <v>1018.3187762</v>
      </c>
      <c r="AC2091" s="372">
        <v>826.6336278</v>
      </c>
      <c r="AD2091" s="372">
        <v>989.38963950000004</v>
      </c>
      <c r="AE2091" s="372">
        <v>1500</v>
      </c>
      <c r="AF2091" s="372">
        <v>0</v>
      </c>
      <c r="AG2091" s="372">
        <v>0</v>
      </c>
      <c r="AH2091" s="372">
        <v>0</v>
      </c>
    </row>
    <row r="2092" spans="1:34">
      <c r="A2092" s="372" t="s">
        <v>13466</v>
      </c>
      <c r="B2092" s="372" t="s">
        <v>13467</v>
      </c>
      <c r="C2092" s="372" t="s">
        <v>13468</v>
      </c>
      <c r="D2092" s="374">
        <v>1346110015095</v>
      </c>
      <c r="E2092" s="372" t="s">
        <v>13469</v>
      </c>
      <c r="F2092" s="372" t="s">
        <v>880</v>
      </c>
      <c r="G2092" s="375" t="s">
        <v>880</v>
      </c>
      <c r="H2092" s="375" t="s">
        <v>861</v>
      </c>
      <c r="I2092" s="375" t="s">
        <v>862</v>
      </c>
      <c r="J2092" s="375">
        <v>58013.3344</v>
      </c>
      <c r="K2092" s="375">
        <v>1967.1856499999999</v>
      </c>
      <c r="L2092" s="375">
        <v>3725.1463699999999</v>
      </c>
      <c r="M2092" s="375">
        <v>73657.870420000007</v>
      </c>
      <c r="N2092" s="372">
        <v>0.748</v>
      </c>
      <c r="O2092" s="704">
        <v>84.820783698917026</v>
      </c>
      <c r="P2092" s="563" t="s">
        <v>622</v>
      </c>
      <c r="Q2092" s="372" t="s">
        <v>622</v>
      </c>
      <c r="R2092" s="696">
        <v>20071001</v>
      </c>
      <c r="S2092" s="372" t="s">
        <v>13470</v>
      </c>
      <c r="T2092" s="697">
        <v>0.20900000000000002</v>
      </c>
      <c r="U2092" s="372" t="s">
        <v>13471</v>
      </c>
      <c r="V2092" s="723">
        <v>14.3</v>
      </c>
      <c r="W2092" s="723">
        <v>0.83</v>
      </c>
      <c r="X2092" s="723">
        <v>0.82</v>
      </c>
      <c r="Y2092" s="723">
        <v>11.69</v>
      </c>
      <c r="Z2092" s="382" t="s">
        <v>927</v>
      </c>
      <c r="AA2092" s="372">
        <v>379.69069080000003</v>
      </c>
      <c r="AB2092" s="372">
        <v>659.82605249999995</v>
      </c>
      <c r="AC2092" s="372">
        <v>803.7212869</v>
      </c>
      <c r="AD2092" s="372">
        <v>584.71916060000001</v>
      </c>
      <c r="AE2092" s="372">
        <v>0</v>
      </c>
      <c r="AF2092" s="372">
        <v>0</v>
      </c>
      <c r="AG2092" s="372">
        <v>0</v>
      </c>
      <c r="AH2092" s="372">
        <v>0</v>
      </c>
    </row>
    <row r="2093" spans="1:34">
      <c r="A2093" s="372" t="s">
        <v>13472</v>
      </c>
      <c r="B2093" s="372" t="s">
        <v>13473</v>
      </c>
      <c r="C2093" s="372" t="s">
        <v>13474</v>
      </c>
      <c r="D2093" s="374">
        <v>1101110408305</v>
      </c>
      <c r="E2093" s="372" t="s">
        <v>13475</v>
      </c>
      <c r="F2093" s="372" t="s">
        <v>1863</v>
      </c>
      <c r="G2093" s="375" t="s">
        <v>1864</v>
      </c>
      <c r="H2093" s="375" t="s">
        <v>861</v>
      </c>
      <c r="I2093" s="375" t="s">
        <v>862</v>
      </c>
      <c r="J2093" s="375">
        <v>212321.03086</v>
      </c>
      <c r="K2093" s="375">
        <v>8920.3871799999997</v>
      </c>
      <c r="L2093" s="375">
        <v>6607.4160300000003</v>
      </c>
      <c r="M2093" s="375">
        <v>108658.27765</v>
      </c>
      <c r="N2093" s="372">
        <v>1.1279999999999999</v>
      </c>
      <c r="O2093" s="704">
        <v>217.34028192470115</v>
      </c>
      <c r="P2093" s="563" t="s">
        <v>622</v>
      </c>
      <c r="Q2093" s="372" t="s">
        <v>622</v>
      </c>
      <c r="R2093" s="696">
        <v>19941130</v>
      </c>
      <c r="S2093" s="372" t="s">
        <v>13476</v>
      </c>
      <c r="T2093" s="697">
        <v>0.20900000000000002</v>
      </c>
      <c r="U2093" s="372" t="s">
        <v>13477</v>
      </c>
      <c r="V2093" s="723">
        <v>6.6</v>
      </c>
      <c r="W2093" s="723">
        <v>0.41</v>
      </c>
      <c r="X2093" s="723">
        <v>0.21</v>
      </c>
      <c r="Y2093" s="723">
        <v>9.69</v>
      </c>
      <c r="Z2093" s="382" t="s">
        <v>927</v>
      </c>
      <c r="AA2093" s="372">
        <v>1318.7354688</v>
      </c>
      <c r="AB2093" s="372">
        <v>1301.2435700999999</v>
      </c>
      <c r="AC2093" s="372">
        <v>1780.4188933</v>
      </c>
      <c r="AD2093" s="372">
        <v>2037.2607793</v>
      </c>
      <c r="AE2093" s="372">
        <v>0</v>
      </c>
      <c r="AF2093" s="372">
        <v>0</v>
      </c>
      <c r="AG2093" s="372">
        <v>0</v>
      </c>
      <c r="AH2093" s="372">
        <v>0</v>
      </c>
    </row>
    <row r="2094" spans="1:34">
      <c r="A2094" s="372" t="s">
        <v>13478</v>
      </c>
      <c r="B2094" s="372" t="s">
        <v>13479</v>
      </c>
      <c r="C2094" s="372" t="s">
        <v>13480</v>
      </c>
      <c r="D2094" s="374">
        <v>1345110080529</v>
      </c>
      <c r="E2094" s="372" t="s">
        <v>13481</v>
      </c>
      <c r="F2094" s="372" t="s">
        <v>3975</v>
      </c>
      <c r="G2094" s="375" t="s">
        <v>11341</v>
      </c>
      <c r="H2094" s="375" t="s">
        <v>861</v>
      </c>
      <c r="I2094" s="375" t="s">
        <v>862</v>
      </c>
      <c r="J2094" s="375">
        <v>107177.37758</v>
      </c>
      <c r="K2094" s="375">
        <v>4552.6135599999998</v>
      </c>
      <c r="L2094" s="375">
        <v>4803.7659100000001</v>
      </c>
      <c r="M2094" s="375">
        <v>69189.778309999994</v>
      </c>
      <c r="N2094" s="372">
        <v>0.47199999999999998</v>
      </c>
      <c r="O2094" s="704">
        <v>55.976105941656392</v>
      </c>
      <c r="P2094" s="563" t="s">
        <v>622</v>
      </c>
      <c r="Q2094" s="372" t="s">
        <v>622</v>
      </c>
      <c r="R2094" s="696">
        <v>20190820</v>
      </c>
      <c r="S2094" s="372" t="s">
        <v>13482</v>
      </c>
      <c r="T2094" s="697">
        <v>0.20900000000000002</v>
      </c>
      <c r="U2094" s="372" t="s">
        <v>13483</v>
      </c>
      <c r="V2094" s="723">
        <v>0</v>
      </c>
      <c r="W2094" s="723">
        <v>0</v>
      </c>
      <c r="X2094" s="723">
        <v>0</v>
      </c>
      <c r="Y2094" s="723">
        <v>0</v>
      </c>
      <c r="Z2094" s="382" t="s">
        <v>927</v>
      </c>
      <c r="AA2094" s="372">
        <v>922.97703520000005</v>
      </c>
      <c r="AB2094" s="372">
        <v>849.28791190000004</v>
      </c>
      <c r="AC2094" s="372">
        <v>893.62824950000004</v>
      </c>
      <c r="AD2094" s="372">
        <v>1012.1798483</v>
      </c>
      <c r="AE2094" s="372">
        <v>0</v>
      </c>
      <c r="AF2094" s="372">
        <v>0</v>
      </c>
      <c r="AG2094" s="372">
        <v>0</v>
      </c>
      <c r="AH2094" s="372">
        <v>0</v>
      </c>
    </row>
    <row r="2095" spans="1:34">
      <c r="A2095" s="372" t="s">
        <v>13484</v>
      </c>
      <c r="B2095" s="372" t="s">
        <v>13485</v>
      </c>
      <c r="C2095" s="372" t="s">
        <v>13486</v>
      </c>
      <c r="D2095" s="374">
        <v>1101111029671</v>
      </c>
      <c r="E2095" s="372" t="s">
        <v>13487</v>
      </c>
      <c r="F2095" s="372" t="s">
        <v>1796</v>
      </c>
      <c r="G2095" s="375" t="s">
        <v>2797</v>
      </c>
      <c r="H2095" s="375" t="s">
        <v>861</v>
      </c>
      <c r="I2095" s="375" t="s">
        <v>862</v>
      </c>
      <c r="J2095" s="375">
        <v>139075.65669999999</v>
      </c>
      <c r="K2095" s="375">
        <v>-11209.73776</v>
      </c>
      <c r="L2095" s="375">
        <v>-15178.14668</v>
      </c>
      <c r="M2095" s="375">
        <v>79368.578540000002</v>
      </c>
      <c r="N2095" s="372">
        <v>0.90300000000000002</v>
      </c>
      <c r="O2095" s="704">
        <v>110.97095409957194</v>
      </c>
      <c r="P2095" s="563" t="s">
        <v>622</v>
      </c>
      <c r="Q2095" s="372" t="s">
        <v>622</v>
      </c>
      <c r="R2095" s="696">
        <v>20000825</v>
      </c>
      <c r="S2095" s="372" t="s">
        <v>13488</v>
      </c>
      <c r="T2095" s="697" t="s">
        <v>771</v>
      </c>
      <c r="U2095" s="372" t="s">
        <v>16312</v>
      </c>
      <c r="V2095" s="723" t="s">
        <v>773</v>
      </c>
      <c r="W2095" s="723">
        <v>0.39</v>
      </c>
      <c r="X2095" s="723">
        <v>0.23</v>
      </c>
      <c r="Y2095" s="723" t="s">
        <v>773</v>
      </c>
      <c r="Z2095" s="382" t="s">
        <v>927</v>
      </c>
      <c r="AA2095" s="372">
        <v>1099.9567360000001</v>
      </c>
      <c r="AB2095" s="372">
        <v>855.82604449999997</v>
      </c>
      <c r="AC2095" s="372">
        <v>1247.1960511</v>
      </c>
      <c r="AD2095" s="372">
        <v>1327.1940483999999</v>
      </c>
      <c r="AE2095" s="372">
        <v>0</v>
      </c>
      <c r="AF2095" s="372">
        <v>0</v>
      </c>
      <c r="AG2095" s="372">
        <v>0</v>
      </c>
      <c r="AH2095" s="372">
        <v>0</v>
      </c>
    </row>
    <row r="2096" spans="1:34">
      <c r="A2096" s="372" t="s">
        <v>13489</v>
      </c>
      <c r="B2096" s="372" t="s">
        <v>13490</v>
      </c>
      <c r="C2096" s="372" t="s">
        <v>13491</v>
      </c>
      <c r="D2096" s="374">
        <v>1101110212889</v>
      </c>
      <c r="E2096" s="372" t="s">
        <v>13492</v>
      </c>
      <c r="F2096" s="372" t="s">
        <v>4126</v>
      </c>
      <c r="G2096" s="375" t="s">
        <v>13493</v>
      </c>
      <c r="H2096" s="375" t="s">
        <v>1043</v>
      </c>
      <c r="I2096" s="375" t="s">
        <v>754</v>
      </c>
      <c r="J2096" s="375">
        <v>378542.18161000003</v>
      </c>
      <c r="K2096" s="375">
        <v>-10326.67641</v>
      </c>
      <c r="L2096" s="375">
        <v>-12693.46464</v>
      </c>
      <c r="M2096" s="375">
        <v>111912.58104</v>
      </c>
      <c r="N2096" s="372">
        <v>0.81599999999999995</v>
      </c>
      <c r="O2096" s="704">
        <v>132.10799251659702</v>
      </c>
      <c r="P2096" s="563" t="s">
        <v>622</v>
      </c>
      <c r="Q2096" s="372" t="s">
        <v>622</v>
      </c>
      <c r="R2096" s="696">
        <v>19880706</v>
      </c>
      <c r="S2096" s="372" t="s">
        <v>13494</v>
      </c>
      <c r="T2096" s="697" t="s">
        <v>771</v>
      </c>
      <c r="U2096" s="372" t="s">
        <v>13495</v>
      </c>
      <c r="V2096" s="723" t="s">
        <v>773</v>
      </c>
      <c r="W2096" s="723">
        <v>0.39</v>
      </c>
      <c r="X2096" s="723">
        <v>0.12</v>
      </c>
      <c r="Y2096" s="723" t="s">
        <v>773</v>
      </c>
      <c r="Z2096" s="382" t="s">
        <v>927</v>
      </c>
      <c r="AA2096" s="372">
        <v>3796.8138981000002</v>
      </c>
      <c r="AB2096" s="372">
        <v>3801.7471085000002</v>
      </c>
      <c r="AC2096" s="372">
        <v>3650.7510318</v>
      </c>
      <c r="AD2096" s="372">
        <v>3816.3412999000002</v>
      </c>
      <c r="AE2096" s="372">
        <v>0</v>
      </c>
      <c r="AF2096" s="372">
        <v>0</v>
      </c>
      <c r="AG2096" s="372">
        <v>0</v>
      </c>
      <c r="AH2096" s="372">
        <v>0</v>
      </c>
    </row>
    <row r="2097" spans="1:34">
      <c r="A2097" s="372" t="s">
        <v>13496</v>
      </c>
      <c r="B2097" s="372" t="s">
        <v>13497</v>
      </c>
      <c r="C2097" s="372" t="s">
        <v>13498</v>
      </c>
      <c r="D2097" s="374">
        <v>1341110005351</v>
      </c>
      <c r="E2097" s="372" t="s">
        <v>13499</v>
      </c>
      <c r="F2097" s="372" t="s">
        <v>621</v>
      </c>
      <c r="G2097" s="375" t="s">
        <v>621</v>
      </c>
      <c r="H2097" s="375" t="s">
        <v>861</v>
      </c>
      <c r="I2097" s="375" t="s">
        <v>862</v>
      </c>
      <c r="J2097" s="375">
        <v>148764.16654000001</v>
      </c>
      <c r="K2097" s="375">
        <v>4257.6806900000001</v>
      </c>
      <c r="L2097" s="375">
        <v>5376.0804799999996</v>
      </c>
      <c r="M2097" s="375">
        <v>99878.773360000007</v>
      </c>
      <c r="N2097" s="372">
        <v>0.88200000000000001</v>
      </c>
      <c r="O2097" s="704">
        <v>0</v>
      </c>
      <c r="P2097" s="563" t="s">
        <v>622</v>
      </c>
      <c r="Q2097" s="372" t="s">
        <v>622</v>
      </c>
      <c r="R2097" s="696">
        <v>19970714</v>
      </c>
      <c r="S2097" s="372" t="s">
        <v>13500</v>
      </c>
      <c r="T2097" s="697">
        <v>0.20900000000000002</v>
      </c>
      <c r="U2097" s="372" t="s">
        <v>13501</v>
      </c>
      <c r="V2097" s="723">
        <v>4.76</v>
      </c>
      <c r="W2097" s="723">
        <v>0.4</v>
      </c>
      <c r="X2097" s="723">
        <v>0.27</v>
      </c>
      <c r="Y2097" s="723">
        <v>7.71</v>
      </c>
      <c r="Z2097" s="382" t="s">
        <v>927</v>
      </c>
      <c r="AA2097" s="372">
        <v>1289.5776003000001</v>
      </c>
      <c r="AB2097" s="372">
        <v>1287.3096118000001</v>
      </c>
      <c r="AC2097" s="372">
        <v>1551.3853211999999</v>
      </c>
      <c r="AD2097" s="372">
        <v>1564.0780615000001</v>
      </c>
      <c r="AE2097" s="372">
        <v>0</v>
      </c>
      <c r="AF2097" s="372">
        <v>0</v>
      </c>
      <c r="AG2097" s="372">
        <v>0</v>
      </c>
      <c r="AH2097" s="372">
        <v>0</v>
      </c>
    </row>
    <row r="2098" spans="1:34">
      <c r="A2098" s="372" t="s">
        <v>13502</v>
      </c>
      <c r="B2098" s="372" t="s">
        <v>13503</v>
      </c>
      <c r="C2098" s="372" t="s">
        <v>13504</v>
      </c>
      <c r="D2098" s="374">
        <v>1101110138382</v>
      </c>
      <c r="E2098" s="372" t="s">
        <v>13505</v>
      </c>
      <c r="F2098" s="372" t="s">
        <v>2864</v>
      </c>
      <c r="G2098" s="375" t="s">
        <v>2865</v>
      </c>
      <c r="H2098" s="375" t="s">
        <v>861</v>
      </c>
      <c r="I2098" s="375" t="s">
        <v>862</v>
      </c>
      <c r="J2098" s="375">
        <v>80873.829960000003</v>
      </c>
      <c r="K2098" s="375">
        <v>6058.5754200000001</v>
      </c>
      <c r="L2098" s="375">
        <v>8366.4115500000007</v>
      </c>
      <c r="M2098" s="375">
        <v>91613.934389999995</v>
      </c>
      <c r="N2098" s="372">
        <v>0.48199999999999998</v>
      </c>
      <c r="O2098" s="704">
        <v>0</v>
      </c>
      <c r="P2098" s="563" t="s">
        <v>622</v>
      </c>
      <c r="Q2098" s="372" t="s">
        <v>622</v>
      </c>
      <c r="R2098" s="696">
        <v>19921211</v>
      </c>
      <c r="S2098" s="372" t="s">
        <v>13506</v>
      </c>
      <c r="T2098" s="697">
        <v>0.20900000000000002</v>
      </c>
      <c r="U2098" s="372" t="s">
        <v>13507</v>
      </c>
      <c r="V2098" s="723">
        <v>7.35</v>
      </c>
      <c r="W2098" s="723">
        <v>0.61</v>
      </c>
      <c r="X2098" s="723">
        <v>0.72</v>
      </c>
      <c r="Y2098" s="723">
        <v>8.84</v>
      </c>
      <c r="Z2098" s="382" t="s">
        <v>927</v>
      </c>
      <c r="AA2098" s="372">
        <v>736.05433289999996</v>
      </c>
      <c r="AB2098" s="372">
        <v>889.17969879999998</v>
      </c>
      <c r="AC2098" s="372">
        <v>894.90584320000005</v>
      </c>
      <c r="AD2098" s="372">
        <v>737.85384639999995</v>
      </c>
      <c r="AE2098" s="372">
        <v>0</v>
      </c>
      <c r="AF2098" s="372">
        <v>0</v>
      </c>
      <c r="AG2098" s="372">
        <v>0</v>
      </c>
      <c r="AH2098" s="372">
        <v>0</v>
      </c>
    </row>
    <row r="2099" spans="1:34">
      <c r="A2099" s="372" t="s">
        <v>13508</v>
      </c>
      <c r="B2099" s="372" t="s">
        <v>13509</v>
      </c>
      <c r="C2099" s="372" t="s">
        <v>13510</v>
      </c>
      <c r="D2099" s="374">
        <v>0</v>
      </c>
      <c r="E2099" s="372" t="s">
        <v>13511</v>
      </c>
      <c r="F2099" s="372" t="s">
        <v>893</v>
      </c>
      <c r="G2099" s="375" t="s">
        <v>894</v>
      </c>
      <c r="H2099" s="375">
        <v>0</v>
      </c>
      <c r="I2099" s="375" t="s">
        <v>862</v>
      </c>
      <c r="J2099" s="375">
        <v>70205.603000000003</v>
      </c>
      <c r="K2099" s="375">
        <v>6437.1350000000002</v>
      </c>
      <c r="L2099" s="375">
        <v>6969.1850000000004</v>
      </c>
      <c r="M2099" s="375">
        <v>297153.19500000001</v>
      </c>
      <c r="N2099" s="372">
        <v>0.753</v>
      </c>
      <c r="O2099" s="704">
        <v>0</v>
      </c>
      <c r="P2099" s="563" t="s">
        <v>622</v>
      </c>
      <c r="Q2099" s="372" t="s">
        <v>622</v>
      </c>
      <c r="R2099" s="696">
        <v>20100423</v>
      </c>
      <c r="S2099" s="372" t="s">
        <v>13512</v>
      </c>
      <c r="T2099" s="697">
        <v>0.20900000000000002</v>
      </c>
      <c r="U2099" s="372" t="s">
        <v>13513</v>
      </c>
      <c r="V2099" s="723">
        <v>3.17</v>
      </c>
      <c r="W2099" s="723">
        <v>0.1</v>
      </c>
      <c r="X2099" s="723">
        <v>0.43</v>
      </c>
      <c r="Y2099" s="723">
        <v>6.87</v>
      </c>
      <c r="Z2099" s="382" t="s">
        <v>927</v>
      </c>
      <c r="AA2099" s="372">
        <v>375.40769999999998</v>
      </c>
      <c r="AB2099" s="372">
        <v>508.49362000000002</v>
      </c>
      <c r="AC2099" s="372">
        <v>541.68514000000005</v>
      </c>
      <c r="AD2099" s="372">
        <v>625.20509000000004</v>
      </c>
      <c r="AE2099" s="372">
        <v>0</v>
      </c>
      <c r="AF2099" s="372">
        <v>0</v>
      </c>
      <c r="AG2099" s="372">
        <v>0</v>
      </c>
      <c r="AH2099" s="372">
        <v>0</v>
      </c>
    </row>
    <row r="2100" spans="1:34">
      <c r="A2100" s="372" t="s">
        <v>13514</v>
      </c>
      <c r="B2100" s="372" t="s">
        <v>13515</v>
      </c>
      <c r="C2100" s="372" t="s">
        <v>13516</v>
      </c>
      <c r="D2100" s="374">
        <v>1101110896683</v>
      </c>
      <c r="E2100" s="372" t="s">
        <v>13517</v>
      </c>
      <c r="F2100" s="372" t="s">
        <v>2834</v>
      </c>
      <c r="G2100" s="375" t="s">
        <v>2834</v>
      </c>
      <c r="H2100" s="375" t="s">
        <v>861</v>
      </c>
      <c r="I2100" s="375" t="s">
        <v>862</v>
      </c>
      <c r="J2100" s="375">
        <v>73764.506569999998</v>
      </c>
      <c r="K2100" s="375">
        <v>-3880.82638</v>
      </c>
      <c r="L2100" s="375">
        <v>-662.9615</v>
      </c>
      <c r="M2100" s="375">
        <v>96893.172059999997</v>
      </c>
      <c r="N2100" s="372">
        <v>0.81599999999999995</v>
      </c>
      <c r="O2100" s="704">
        <v>1.8818962451489059</v>
      </c>
      <c r="P2100" s="563" t="s">
        <v>622</v>
      </c>
      <c r="Q2100" s="372" t="s">
        <v>622</v>
      </c>
      <c r="R2100" s="696">
        <v>20000502</v>
      </c>
      <c r="S2100" s="372" t="s">
        <v>13518</v>
      </c>
      <c r="T2100" s="697" t="s">
        <v>771</v>
      </c>
      <c r="U2100" s="372" t="s">
        <v>13519</v>
      </c>
      <c r="V2100" s="723" t="s">
        <v>773</v>
      </c>
      <c r="W2100" s="723">
        <v>0.39</v>
      </c>
      <c r="X2100" s="723">
        <v>0.56000000000000005</v>
      </c>
      <c r="Y2100" s="723" t="s">
        <v>773</v>
      </c>
      <c r="Z2100" s="382" t="s">
        <v>927</v>
      </c>
      <c r="AA2100" s="372">
        <v>1045.1148287999999</v>
      </c>
      <c r="AB2100" s="372">
        <v>1003.3420642999999</v>
      </c>
      <c r="AC2100" s="372">
        <v>911.00767719999999</v>
      </c>
      <c r="AD2100" s="372">
        <v>877.26787049999996</v>
      </c>
      <c r="AE2100" s="372">
        <v>0</v>
      </c>
      <c r="AF2100" s="372">
        <v>0</v>
      </c>
      <c r="AG2100" s="372">
        <v>0</v>
      </c>
      <c r="AH2100" s="372">
        <v>0</v>
      </c>
    </row>
    <row r="2101" spans="1:34">
      <c r="A2101" s="372" t="s">
        <v>13520</v>
      </c>
      <c r="B2101" s="372" t="s">
        <v>13521</v>
      </c>
      <c r="C2101" s="372" t="s">
        <v>13522</v>
      </c>
      <c r="D2101" s="374">
        <v>1311110110921</v>
      </c>
      <c r="E2101" s="372" t="s">
        <v>13523</v>
      </c>
      <c r="F2101" s="372" t="s">
        <v>1185</v>
      </c>
      <c r="G2101" s="375" t="s">
        <v>3115</v>
      </c>
      <c r="H2101" s="375" t="s">
        <v>861</v>
      </c>
      <c r="I2101" s="375" t="s">
        <v>862</v>
      </c>
      <c r="J2101" s="375">
        <v>46388.620009999999</v>
      </c>
      <c r="K2101" s="375">
        <v>-6107.8950800000002</v>
      </c>
      <c r="L2101" s="375">
        <v>-7210.9065099999998</v>
      </c>
      <c r="M2101" s="375">
        <v>24721.022540000002</v>
      </c>
      <c r="N2101" s="372">
        <v>1.115</v>
      </c>
      <c r="O2101" s="704">
        <v>76.796242376660089</v>
      </c>
      <c r="P2101" s="563" t="s">
        <v>622</v>
      </c>
      <c r="Q2101" s="372" t="s">
        <v>622</v>
      </c>
      <c r="R2101" s="696">
        <v>20141029</v>
      </c>
      <c r="S2101" s="372" t="s">
        <v>13524</v>
      </c>
      <c r="T2101" s="697" t="s">
        <v>771</v>
      </c>
      <c r="U2101" s="372" t="s">
        <v>13525</v>
      </c>
      <c r="V2101" s="723" t="s">
        <v>773</v>
      </c>
      <c r="W2101" s="723">
        <v>1.3</v>
      </c>
      <c r="X2101" s="723">
        <v>0.74</v>
      </c>
      <c r="Y2101" s="723" t="s">
        <v>773</v>
      </c>
      <c r="Z2101" s="382" t="s">
        <v>927</v>
      </c>
      <c r="AA2101" s="372">
        <v>1016.117164</v>
      </c>
      <c r="AB2101" s="372">
        <v>796.38087310000003</v>
      </c>
      <c r="AC2101" s="372">
        <v>495.32401429999999</v>
      </c>
      <c r="AD2101" s="372">
        <v>478.14660579999997</v>
      </c>
      <c r="AE2101" s="372">
        <v>0</v>
      </c>
      <c r="AF2101" s="372">
        <v>0</v>
      </c>
      <c r="AG2101" s="372">
        <v>0</v>
      </c>
      <c r="AH2101" s="372">
        <v>0</v>
      </c>
    </row>
    <row r="2102" spans="1:34">
      <c r="A2102" s="372" t="s">
        <v>13526</v>
      </c>
      <c r="B2102" s="372" t="s">
        <v>13527</v>
      </c>
      <c r="C2102" s="372" t="s">
        <v>13528</v>
      </c>
      <c r="D2102" s="374">
        <v>1101115546217</v>
      </c>
      <c r="E2102" s="372" t="s">
        <v>13529</v>
      </c>
      <c r="F2102" s="372" t="s">
        <v>1275</v>
      </c>
      <c r="G2102" s="375" t="s">
        <v>1275</v>
      </c>
      <c r="H2102" s="375" t="s">
        <v>861</v>
      </c>
      <c r="I2102" s="375" t="s">
        <v>862</v>
      </c>
      <c r="J2102" s="375">
        <v>148002.86147</v>
      </c>
      <c r="K2102" s="375">
        <v>-4557.9828900000002</v>
      </c>
      <c r="L2102" s="375">
        <v>-9879.7453100000002</v>
      </c>
      <c r="M2102" s="375">
        <v>52689.570449999999</v>
      </c>
      <c r="N2102" s="372">
        <v>0.69299999999999995</v>
      </c>
      <c r="O2102" s="704">
        <v>46.061738491492449</v>
      </c>
      <c r="P2102" s="563" t="s">
        <v>622</v>
      </c>
      <c r="Q2102" s="372" t="s">
        <v>622</v>
      </c>
      <c r="R2102" s="696">
        <v>20141224</v>
      </c>
      <c r="S2102" s="372" t="s">
        <v>13530</v>
      </c>
      <c r="T2102" s="697" t="s">
        <v>771</v>
      </c>
      <c r="U2102" s="372" t="s">
        <v>13531</v>
      </c>
      <c r="V2102" s="723">
        <v>3.76</v>
      </c>
      <c r="W2102" s="723">
        <v>0.56999999999999995</v>
      </c>
      <c r="X2102" s="723">
        <v>0.2</v>
      </c>
      <c r="Y2102" s="723" t="s">
        <v>773</v>
      </c>
      <c r="Z2102" s="382" t="s">
        <v>927</v>
      </c>
      <c r="AA2102" s="372">
        <v>917.93146690000003</v>
      </c>
      <c r="AB2102" s="372">
        <v>838.34344759999999</v>
      </c>
      <c r="AC2102" s="372">
        <v>1042.8276304000001</v>
      </c>
      <c r="AD2102" s="372">
        <v>1234.6914144</v>
      </c>
      <c r="AE2102" s="372">
        <v>0</v>
      </c>
      <c r="AF2102" s="372">
        <v>0</v>
      </c>
      <c r="AG2102" s="372">
        <v>0</v>
      </c>
      <c r="AH2102" s="372">
        <v>0</v>
      </c>
    </row>
    <row r="2103" spans="1:34">
      <c r="A2103" s="372" t="s">
        <v>13532</v>
      </c>
      <c r="B2103" s="372" t="s">
        <v>13533</v>
      </c>
      <c r="C2103" s="372" t="s">
        <v>13534</v>
      </c>
      <c r="D2103" s="374">
        <v>1311110001964</v>
      </c>
      <c r="E2103" s="372" t="s">
        <v>13535</v>
      </c>
      <c r="F2103" s="372" t="s">
        <v>2834</v>
      </c>
      <c r="G2103" s="375" t="s">
        <v>2834</v>
      </c>
      <c r="H2103" s="375" t="s">
        <v>861</v>
      </c>
      <c r="I2103" s="375" t="s">
        <v>862</v>
      </c>
      <c r="J2103" s="375">
        <v>140230.21656999999</v>
      </c>
      <c r="K2103" s="375">
        <v>-16210.56985</v>
      </c>
      <c r="L2103" s="375">
        <v>-17862.895830000001</v>
      </c>
      <c r="M2103" s="375">
        <v>25267.738000000001</v>
      </c>
      <c r="N2103" s="372">
        <v>0.7</v>
      </c>
      <c r="O2103" s="704">
        <v>50.98258612537898</v>
      </c>
      <c r="P2103" s="563" t="s">
        <v>16115</v>
      </c>
      <c r="Q2103" s="372" t="s">
        <v>16116</v>
      </c>
      <c r="R2103" s="696">
        <v>20000114</v>
      </c>
      <c r="S2103" s="372" t="s">
        <v>13536</v>
      </c>
      <c r="T2103" s="697" t="s">
        <v>771</v>
      </c>
      <c r="U2103" s="372" t="s">
        <v>13537</v>
      </c>
      <c r="V2103" s="723" t="s">
        <v>773</v>
      </c>
      <c r="W2103" s="723">
        <v>1.88</v>
      </c>
      <c r="X2103" s="723">
        <v>0.33</v>
      </c>
      <c r="Y2103" s="723" t="s">
        <v>773</v>
      </c>
      <c r="Z2103" s="382" t="s">
        <v>927</v>
      </c>
      <c r="AA2103" s="372">
        <v>1303.9749495000001</v>
      </c>
      <c r="AB2103" s="372">
        <v>1414.2599107999999</v>
      </c>
      <c r="AC2103" s="372">
        <v>1559.9863408000001</v>
      </c>
      <c r="AD2103" s="372">
        <v>1370.0912828999999</v>
      </c>
      <c r="AE2103" s="372">
        <v>0</v>
      </c>
      <c r="AF2103" s="372">
        <v>0</v>
      </c>
      <c r="AG2103" s="372">
        <v>0</v>
      </c>
      <c r="AH2103" s="372">
        <v>0</v>
      </c>
    </row>
    <row r="2104" spans="1:34">
      <c r="A2104" s="372" t="s">
        <v>13538</v>
      </c>
      <c r="B2104" s="372" t="s">
        <v>13539</v>
      </c>
      <c r="C2104" s="372" t="s">
        <v>13540</v>
      </c>
      <c r="D2104" s="374">
        <v>1901110003563</v>
      </c>
      <c r="E2104" s="372" t="s">
        <v>13541</v>
      </c>
      <c r="F2104" s="372" t="s">
        <v>1954</v>
      </c>
      <c r="G2104" s="375" t="s">
        <v>7834</v>
      </c>
      <c r="H2104" s="375" t="s">
        <v>1316</v>
      </c>
      <c r="I2104" s="375" t="s">
        <v>754</v>
      </c>
      <c r="J2104" s="375">
        <v>103590.63724</v>
      </c>
      <c r="K2104" s="375">
        <v>14881.10493</v>
      </c>
      <c r="L2104" s="375">
        <v>2440.1884399999999</v>
      </c>
      <c r="M2104" s="375">
        <v>93416.701690000002</v>
      </c>
      <c r="N2104" s="372">
        <v>0.62</v>
      </c>
      <c r="O2104" s="704">
        <v>592.5088548319784</v>
      </c>
      <c r="P2104" s="563" t="s">
        <v>622</v>
      </c>
      <c r="Q2104" s="372" t="s">
        <v>622</v>
      </c>
      <c r="R2104" s="696">
        <v>19961224</v>
      </c>
      <c r="S2104" s="372" t="s">
        <v>13542</v>
      </c>
      <c r="T2104" s="697">
        <v>0.20900000000000002</v>
      </c>
      <c r="U2104" s="372" t="s">
        <v>13543</v>
      </c>
      <c r="V2104" s="723">
        <v>8.49</v>
      </c>
      <c r="W2104" s="723">
        <v>0.56999999999999995</v>
      </c>
      <c r="X2104" s="723">
        <v>0.42</v>
      </c>
      <c r="Y2104" s="723">
        <v>19.77</v>
      </c>
      <c r="Z2104" s="382" t="s">
        <v>927</v>
      </c>
      <c r="AA2104" s="372">
        <v>946.4523921</v>
      </c>
      <c r="AB2104" s="372">
        <v>1020.6693694000001</v>
      </c>
      <c r="AC2104" s="372">
        <v>1107.2240193</v>
      </c>
      <c r="AD2104" s="372">
        <v>1054.8409531</v>
      </c>
      <c r="AE2104" s="372">
        <v>0</v>
      </c>
      <c r="AF2104" s="372">
        <v>0</v>
      </c>
      <c r="AG2104" s="372">
        <v>0</v>
      </c>
      <c r="AH2104" s="372">
        <v>0</v>
      </c>
    </row>
    <row r="2105" spans="1:34">
      <c r="A2105" s="372" t="s">
        <v>13544</v>
      </c>
      <c r="B2105" s="372" t="s">
        <v>13545</v>
      </c>
      <c r="C2105" s="372" t="s">
        <v>13546</v>
      </c>
      <c r="D2105" s="374">
        <v>1101117171731</v>
      </c>
      <c r="E2105" s="372" t="s">
        <v>13547</v>
      </c>
      <c r="F2105" s="372" t="s">
        <v>1370</v>
      </c>
      <c r="G2105" s="375" t="s">
        <v>1370</v>
      </c>
      <c r="H2105" s="375" t="s">
        <v>861</v>
      </c>
      <c r="I2105" s="375" t="s">
        <v>862</v>
      </c>
      <c r="J2105" s="375">
        <v>35376.921309999998</v>
      </c>
      <c r="K2105" s="375">
        <v>-484.10699</v>
      </c>
      <c r="L2105" s="375">
        <v>503.52390000000003</v>
      </c>
      <c r="M2105" s="375">
        <v>29211.64329</v>
      </c>
      <c r="N2105" s="372">
        <v>1.0489999999999999</v>
      </c>
      <c r="O2105" s="704">
        <v>26.797274546854354</v>
      </c>
      <c r="P2105" s="563" t="s">
        <v>622</v>
      </c>
      <c r="Q2105" s="372" t="s">
        <v>622</v>
      </c>
      <c r="R2105" s="696">
        <v>20191029</v>
      </c>
      <c r="S2105" s="372" t="s">
        <v>9018</v>
      </c>
      <c r="T2105" s="697">
        <v>0.20900000000000002</v>
      </c>
      <c r="U2105" s="372" t="s">
        <v>13548</v>
      </c>
      <c r="V2105" s="723">
        <v>46.59</v>
      </c>
      <c r="W2105" s="723">
        <v>1.17</v>
      </c>
      <c r="X2105" s="723">
        <v>1.02</v>
      </c>
      <c r="Y2105" s="723">
        <v>201.54</v>
      </c>
      <c r="Z2105" s="382" t="s">
        <v>927</v>
      </c>
      <c r="AA2105" s="372">
        <v>180.39728700000001</v>
      </c>
      <c r="AB2105" s="372">
        <v>195.9588396</v>
      </c>
      <c r="AC2105" s="372">
        <v>300.3022651</v>
      </c>
      <c r="AD2105" s="372">
        <v>359.72131510000003</v>
      </c>
      <c r="AE2105" s="372">
        <v>0</v>
      </c>
      <c r="AF2105" s="372">
        <v>0</v>
      </c>
      <c r="AG2105" s="372">
        <v>0</v>
      </c>
      <c r="AH2105" s="372">
        <v>0</v>
      </c>
    </row>
    <row r="2106" spans="1:34">
      <c r="A2106" s="372" t="s">
        <v>13549</v>
      </c>
      <c r="B2106" s="372" t="s">
        <v>13550</v>
      </c>
      <c r="C2106" s="372" t="s">
        <v>13551</v>
      </c>
      <c r="D2106" s="374">
        <v>1613110017531</v>
      </c>
      <c r="E2106" s="372" t="s">
        <v>13552</v>
      </c>
      <c r="F2106" s="372" t="s">
        <v>5301</v>
      </c>
      <c r="G2106" s="375" t="s">
        <v>5301</v>
      </c>
      <c r="H2106" s="375" t="s">
        <v>861</v>
      </c>
      <c r="I2106" s="375" t="s">
        <v>862</v>
      </c>
      <c r="J2106" s="375">
        <v>33900.788520000002</v>
      </c>
      <c r="K2106" s="375">
        <v>804.04812000000004</v>
      </c>
      <c r="L2106" s="375">
        <v>493.08940999999999</v>
      </c>
      <c r="M2106" s="375">
        <v>47591.161390000001</v>
      </c>
      <c r="N2106" s="372">
        <v>1.016</v>
      </c>
      <c r="O2106" s="704">
        <v>60.313121024308003</v>
      </c>
      <c r="P2106" s="563" t="s">
        <v>622</v>
      </c>
      <c r="Q2106" s="372" t="s">
        <v>622</v>
      </c>
      <c r="R2106" s="696">
        <v>20221014</v>
      </c>
      <c r="S2106" s="372" t="s">
        <v>13553</v>
      </c>
      <c r="T2106" s="697">
        <v>0.20900000000000002</v>
      </c>
      <c r="U2106" s="372" t="s">
        <v>13554</v>
      </c>
      <c r="V2106" s="723">
        <v>15.61</v>
      </c>
      <c r="W2106" s="723">
        <v>0.95</v>
      </c>
      <c r="X2106" s="723">
        <v>1</v>
      </c>
      <c r="Y2106" s="723">
        <v>84.04</v>
      </c>
      <c r="Z2106" s="382" t="s">
        <v>927</v>
      </c>
      <c r="AA2106" s="372">
        <v>155.66711789999999</v>
      </c>
      <c r="AB2106" s="372">
        <v>156.94537500000001</v>
      </c>
      <c r="AC2106" s="372">
        <v>168.00325309999999</v>
      </c>
      <c r="AD2106" s="372">
        <v>351.6941592</v>
      </c>
      <c r="AE2106" s="372">
        <v>421</v>
      </c>
      <c r="AF2106" s="372">
        <v>0</v>
      </c>
      <c r="AG2106" s="372">
        <v>0</v>
      </c>
      <c r="AH2106" s="372">
        <v>0</v>
      </c>
    </row>
    <row r="2107" spans="1:34">
      <c r="A2107" s="372" t="s">
        <v>13555</v>
      </c>
      <c r="B2107" s="372" t="s">
        <v>13556</v>
      </c>
      <c r="C2107" s="372" t="s">
        <v>13557</v>
      </c>
      <c r="D2107" s="374">
        <v>1942110018855</v>
      </c>
      <c r="E2107" s="372" t="s">
        <v>13558</v>
      </c>
      <c r="F2107" s="372" t="s">
        <v>2747</v>
      </c>
      <c r="G2107" s="375" t="s">
        <v>2748</v>
      </c>
      <c r="H2107" s="375" t="s">
        <v>861</v>
      </c>
      <c r="I2107" s="375" t="s">
        <v>862</v>
      </c>
      <c r="J2107" s="375">
        <v>135121.4283</v>
      </c>
      <c r="K2107" s="375">
        <v>4114.2346100000004</v>
      </c>
      <c r="L2107" s="375">
        <v>784.38801000000001</v>
      </c>
      <c r="M2107" s="375">
        <v>100716.8385</v>
      </c>
      <c r="N2107" s="372">
        <v>0.40500000000000003</v>
      </c>
      <c r="O2107" s="704">
        <v>170.94188104805923</v>
      </c>
      <c r="P2107" s="563" t="s">
        <v>622</v>
      </c>
      <c r="Q2107" s="372" t="s">
        <v>622</v>
      </c>
      <c r="R2107" s="696">
        <v>20000404</v>
      </c>
      <c r="S2107" s="372" t="s">
        <v>13559</v>
      </c>
      <c r="T2107" s="697">
        <v>0.20900000000000002</v>
      </c>
      <c r="U2107" s="372" t="s">
        <v>13560</v>
      </c>
      <c r="V2107" s="723">
        <v>9.0299999999999994</v>
      </c>
      <c r="W2107" s="723">
        <v>0.55000000000000004</v>
      </c>
      <c r="X2107" s="723">
        <v>0.39</v>
      </c>
      <c r="Y2107" s="723">
        <v>101.26</v>
      </c>
      <c r="Z2107" s="382" t="s">
        <v>927</v>
      </c>
      <c r="AA2107" s="372">
        <v>939.20945700000004</v>
      </c>
      <c r="AB2107" s="372">
        <v>1260.5510204</v>
      </c>
      <c r="AC2107" s="372">
        <v>1600.9740865000001</v>
      </c>
      <c r="AD2107" s="372">
        <v>1403.5755719000001</v>
      </c>
      <c r="AE2107" s="372">
        <v>0</v>
      </c>
      <c r="AF2107" s="372">
        <v>0</v>
      </c>
      <c r="AG2107" s="372">
        <v>0</v>
      </c>
      <c r="AH2107" s="372">
        <v>0</v>
      </c>
    </row>
    <row r="2108" spans="1:34">
      <c r="A2108" s="372" t="s">
        <v>13561</v>
      </c>
      <c r="B2108" s="372" t="s">
        <v>13562</v>
      </c>
      <c r="C2108" s="372" t="s">
        <v>13563</v>
      </c>
      <c r="D2108" s="374">
        <v>2112110000553</v>
      </c>
      <c r="E2108" s="372" t="s">
        <v>13564</v>
      </c>
      <c r="F2108" s="372" t="s">
        <v>2414</v>
      </c>
      <c r="G2108" s="375" t="s">
        <v>2414</v>
      </c>
      <c r="H2108" s="375" t="s">
        <v>861</v>
      </c>
      <c r="I2108" s="375" t="s">
        <v>862</v>
      </c>
      <c r="J2108" s="375">
        <v>84976.744080000004</v>
      </c>
      <c r="K2108" s="375">
        <v>714.60037999999997</v>
      </c>
      <c r="L2108" s="375">
        <v>372.76794999999998</v>
      </c>
      <c r="M2108" s="375">
        <v>28909.513350000001</v>
      </c>
      <c r="N2108" s="372">
        <v>0.754</v>
      </c>
      <c r="O2108" s="704">
        <v>152.97983553210784</v>
      </c>
      <c r="P2108" s="563" t="s">
        <v>622</v>
      </c>
      <c r="Q2108" s="372" t="s">
        <v>622</v>
      </c>
      <c r="R2108" s="696">
        <v>20001201</v>
      </c>
      <c r="S2108" s="372" t="s">
        <v>13565</v>
      </c>
      <c r="T2108" s="697">
        <v>0.20900000000000002</v>
      </c>
      <c r="U2108" s="372" t="s">
        <v>13566</v>
      </c>
      <c r="V2108" s="723">
        <v>12.24</v>
      </c>
      <c r="W2108" s="723">
        <v>1.0900000000000001</v>
      </c>
      <c r="X2108" s="723">
        <v>0.41</v>
      </c>
      <c r="Y2108" s="723">
        <v>32.21</v>
      </c>
      <c r="Z2108" s="382" t="s">
        <v>927</v>
      </c>
      <c r="AA2108" s="372">
        <v>1504.8939429</v>
      </c>
      <c r="AB2108" s="372">
        <v>1216.5608616</v>
      </c>
      <c r="AC2108" s="372">
        <v>860.34564150000006</v>
      </c>
      <c r="AD2108" s="372">
        <v>924.97051969999995</v>
      </c>
      <c r="AE2108" s="372">
        <v>0</v>
      </c>
      <c r="AF2108" s="372">
        <v>0</v>
      </c>
      <c r="AG2108" s="372">
        <v>0</v>
      </c>
      <c r="AH2108" s="372">
        <v>0</v>
      </c>
    </row>
    <row r="2109" spans="1:34">
      <c r="A2109" s="372" t="s">
        <v>13567</v>
      </c>
      <c r="B2109" s="372" t="s">
        <v>13568</v>
      </c>
      <c r="C2109" s="372" t="s">
        <v>13569</v>
      </c>
      <c r="D2109" s="374">
        <v>1201110060450</v>
      </c>
      <c r="E2109" s="372" t="s">
        <v>13570</v>
      </c>
      <c r="F2109" s="372" t="s">
        <v>4871</v>
      </c>
      <c r="G2109" s="375" t="s">
        <v>4871</v>
      </c>
      <c r="H2109" s="375" t="s">
        <v>861</v>
      </c>
      <c r="I2109" s="375" t="s">
        <v>862</v>
      </c>
      <c r="J2109" s="375">
        <v>138026.93971999999</v>
      </c>
      <c r="K2109" s="375">
        <v>9666.7336899999991</v>
      </c>
      <c r="L2109" s="375">
        <v>3606.63031</v>
      </c>
      <c r="M2109" s="375">
        <v>66313.616540000003</v>
      </c>
      <c r="N2109" s="372">
        <v>0.82699999999999996</v>
      </c>
      <c r="O2109" s="704">
        <v>144.71936986136481</v>
      </c>
      <c r="P2109" s="563" t="s">
        <v>622</v>
      </c>
      <c r="Q2109" s="372" t="s">
        <v>622</v>
      </c>
      <c r="R2109" s="696">
        <v>20030122</v>
      </c>
      <c r="S2109" s="372" t="s">
        <v>13571</v>
      </c>
      <c r="T2109" s="697">
        <v>0.20900000000000002</v>
      </c>
      <c r="U2109" s="372" t="s">
        <v>13572</v>
      </c>
      <c r="V2109" s="723">
        <v>6.5</v>
      </c>
      <c r="W2109" s="723">
        <v>0.8</v>
      </c>
      <c r="X2109" s="723">
        <v>0.38</v>
      </c>
      <c r="Y2109" s="723">
        <v>19.829999999999998</v>
      </c>
      <c r="Z2109" s="382" t="s">
        <v>927</v>
      </c>
      <c r="AA2109" s="372">
        <v>917.57894739999995</v>
      </c>
      <c r="AB2109" s="372">
        <v>930.67600470000002</v>
      </c>
      <c r="AC2109" s="372">
        <v>1195.7708748</v>
      </c>
      <c r="AD2109" s="372">
        <v>1071.9498633999999</v>
      </c>
      <c r="AE2109" s="372">
        <v>0</v>
      </c>
      <c r="AF2109" s="372">
        <v>0</v>
      </c>
      <c r="AG2109" s="372">
        <v>0</v>
      </c>
      <c r="AH2109" s="372">
        <v>0</v>
      </c>
    </row>
    <row r="2110" spans="1:34">
      <c r="A2110" s="372" t="s">
        <v>13573</v>
      </c>
      <c r="B2110" s="372" t="s">
        <v>13574</v>
      </c>
      <c r="C2110" s="372" t="s">
        <v>13575</v>
      </c>
      <c r="D2110" s="374">
        <v>1752110007968</v>
      </c>
      <c r="E2110" s="372" t="s">
        <v>13576</v>
      </c>
      <c r="F2110" s="372" t="s">
        <v>16100</v>
      </c>
      <c r="G2110" s="375" t="s">
        <v>16103</v>
      </c>
      <c r="H2110" s="375" t="s">
        <v>861</v>
      </c>
      <c r="I2110" s="375" t="s">
        <v>862</v>
      </c>
      <c r="J2110" s="375">
        <v>14965.348620000001</v>
      </c>
      <c r="K2110" s="375">
        <v>-6119.1367300000002</v>
      </c>
      <c r="L2110" s="375">
        <v>-5633.8150500000002</v>
      </c>
      <c r="M2110" s="375">
        <v>59143.525410000002</v>
      </c>
      <c r="N2110" s="372">
        <v>0.51</v>
      </c>
      <c r="O2110" s="704">
        <v>16.326673708300479</v>
      </c>
      <c r="P2110" s="563" t="s">
        <v>622</v>
      </c>
      <c r="Q2110" s="372" t="s">
        <v>622</v>
      </c>
      <c r="R2110" s="696">
        <v>20190701</v>
      </c>
      <c r="S2110" s="372" t="s">
        <v>13577</v>
      </c>
      <c r="T2110" s="697" t="s">
        <v>771</v>
      </c>
      <c r="U2110" s="372" t="s">
        <v>13578</v>
      </c>
      <c r="V2110" s="723">
        <v>0</v>
      </c>
      <c r="W2110" s="723">
        <v>0</v>
      </c>
      <c r="X2110" s="723">
        <v>0</v>
      </c>
      <c r="Y2110" s="723">
        <v>0</v>
      </c>
      <c r="Z2110" s="382" t="s">
        <v>927</v>
      </c>
      <c r="AA2110" s="372">
        <v>113.1632498</v>
      </c>
      <c r="AB2110" s="372">
        <v>71.694933399999996</v>
      </c>
      <c r="AC2110" s="372">
        <v>44.373787399999998</v>
      </c>
      <c r="AD2110" s="372">
        <v>68.2209766</v>
      </c>
      <c r="AE2110" s="372">
        <v>0</v>
      </c>
      <c r="AF2110" s="372">
        <v>0</v>
      </c>
      <c r="AG2110" s="372">
        <v>0</v>
      </c>
      <c r="AH2110" s="372">
        <v>0</v>
      </c>
    </row>
    <row r="2111" spans="1:34">
      <c r="A2111" s="372" t="s">
        <v>13579</v>
      </c>
      <c r="B2111" s="372" t="s">
        <v>13580</v>
      </c>
      <c r="C2111" s="372" t="s">
        <v>13581</v>
      </c>
      <c r="D2111" s="374">
        <v>1341110063143</v>
      </c>
      <c r="E2111" s="372" t="s">
        <v>13582</v>
      </c>
      <c r="F2111" s="372" t="s">
        <v>2054</v>
      </c>
      <c r="G2111" s="375" t="s">
        <v>2055</v>
      </c>
      <c r="H2111" s="375" t="s">
        <v>861</v>
      </c>
      <c r="I2111" s="375" t="s">
        <v>862</v>
      </c>
      <c r="J2111" s="375">
        <v>11338.614960000001</v>
      </c>
      <c r="K2111" s="375">
        <v>-9428.5033700000004</v>
      </c>
      <c r="L2111" s="375">
        <v>-11076.84528</v>
      </c>
      <c r="M2111" s="375">
        <v>43573.155740000002</v>
      </c>
      <c r="N2111" s="372">
        <v>0.60599999999999998</v>
      </c>
      <c r="O2111" s="704">
        <v>42.176329874796686</v>
      </c>
      <c r="P2111" s="563" t="s">
        <v>622</v>
      </c>
      <c r="Q2111" s="372" t="s">
        <v>622</v>
      </c>
      <c r="R2111" s="696">
        <v>20151214</v>
      </c>
      <c r="S2111" s="372" t="s">
        <v>13583</v>
      </c>
      <c r="T2111" s="697" t="s">
        <v>771</v>
      </c>
      <c r="U2111" s="372" t="s">
        <v>13584</v>
      </c>
      <c r="V2111" s="723" t="s">
        <v>773</v>
      </c>
      <c r="W2111" s="723">
        <v>0.87</v>
      </c>
      <c r="X2111" s="723">
        <v>3.7</v>
      </c>
      <c r="Y2111" s="723" t="s">
        <v>773</v>
      </c>
      <c r="Z2111" s="382" t="s">
        <v>927</v>
      </c>
      <c r="AA2111" s="372">
        <v>680.54458399999999</v>
      </c>
      <c r="AB2111" s="372">
        <v>492.96023350000002</v>
      </c>
      <c r="AC2111" s="372">
        <v>287.53861799999999</v>
      </c>
      <c r="AD2111" s="372">
        <v>132.61391990000001</v>
      </c>
      <c r="AE2111" s="372">
        <v>0</v>
      </c>
      <c r="AF2111" s="372">
        <v>0</v>
      </c>
      <c r="AG2111" s="372">
        <v>0</v>
      </c>
      <c r="AH2111" s="372">
        <v>0</v>
      </c>
    </row>
    <row r="2112" spans="1:34">
      <c r="A2112" s="372" t="s">
        <v>13585</v>
      </c>
      <c r="B2112" s="372" t="s">
        <v>13586</v>
      </c>
      <c r="C2112" s="372" t="s">
        <v>13587</v>
      </c>
      <c r="D2112" s="374">
        <v>1801110027078</v>
      </c>
      <c r="E2112" s="372" t="s">
        <v>13588</v>
      </c>
      <c r="F2112" s="372" t="s">
        <v>2007</v>
      </c>
      <c r="G2112" s="375" t="s">
        <v>2007</v>
      </c>
      <c r="H2112" s="375" t="s">
        <v>792</v>
      </c>
      <c r="I2112" s="375" t="s">
        <v>754</v>
      </c>
      <c r="J2112" s="375">
        <v>307660.40359</v>
      </c>
      <c r="K2112" s="375">
        <v>10026.513929999999</v>
      </c>
      <c r="L2112" s="375">
        <v>8363.3059300000004</v>
      </c>
      <c r="M2112" s="375">
        <v>70988.827149999997</v>
      </c>
      <c r="N2112" s="372">
        <v>0.54100000000000004</v>
      </c>
      <c r="O2112" s="704">
        <v>216.69117479287854</v>
      </c>
      <c r="P2112" s="563" t="s">
        <v>622</v>
      </c>
      <c r="Q2112" s="372" t="s">
        <v>622</v>
      </c>
      <c r="R2112" s="696">
        <v>19900125</v>
      </c>
      <c r="S2112" s="372" t="s">
        <v>13589</v>
      </c>
      <c r="T2112" s="697">
        <v>0.20900000000000002</v>
      </c>
      <c r="U2112" s="372" t="s">
        <v>13590</v>
      </c>
      <c r="V2112" s="723">
        <v>0</v>
      </c>
      <c r="W2112" s="723">
        <v>0</v>
      </c>
      <c r="X2112" s="723">
        <v>0</v>
      </c>
      <c r="Y2112" s="723">
        <v>0</v>
      </c>
      <c r="Z2112" s="382" t="s">
        <v>927</v>
      </c>
      <c r="AA2112" s="372">
        <v>1793.9756957</v>
      </c>
      <c r="AB2112" s="372">
        <v>2355.2377127</v>
      </c>
      <c r="AC2112" s="372">
        <v>2848.5084262</v>
      </c>
      <c r="AD2112" s="372">
        <v>2923.1169983</v>
      </c>
      <c r="AE2112" s="372">
        <v>0</v>
      </c>
      <c r="AF2112" s="372">
        <v>0</v>
      </c>
      <c r="AG2112" s="372">
        <v>0</v>
      </c>
      <c r="AH2112" s="372">
        <v>0</v>
      </c>
    </row>
    <row r="2113" spans="1:34">
      <c r="A2113" s="372" t="s">
        <v>13591</v>
      </c>
      <c r="B2113" s="372" t="s">
        <v>13592</v>
      </c>
      <c r="C2113" s="372" t="s">
        <v>13593</v>
      </c>
      <c r="D2113" s="374">
        <v>1101111353153</v>
      </c>
      <c r="E2113" s="372" t="s">
        <v>13594</v>
      </c>
      <c r="F2113" s="372" t="s">
        <v>2834</v>
      </c>
      <c r="G2113" s="375" t="s">
        <v>2834</v>
      </c>
      <c r="H2113" s="375" t="s">
        <v>861</v>
      </c>
      <c r="I2113" s="375" t="s">
        <v>862</v>
      </c>
      <c r="J2113" s="375">
        <v>153351.37083999999</v>
      </c>
      <c r="K2113" s="375">
        <v>12022.62235</v>
      </c>
      <c r="L2113" s="375">
        <v>13789.811</v>
      </c>
      <c r="M2113" s="375">
        <v>92618.128450000004</v>
      </c>
      <c r="N2113" s="372">
        <v>0.90700000000000003</v>
      </c>
      <c r="O2113" s="704">
        <v>40.448666328958865</v>
      </c>
      <c r="P2113" s="563" t="s">
        <v>622</v>
      </c>
      <c r="Q2113" s="372" t="s">
        <v>622</v>
      </c>
      <c r="R2113" s="696">
        <v>20020201</v>
      </c>
      <c r="S2113" s="372" t="s">
        <v>13595</v>
      </c>
      <c r="T2113" s="697">
        <v>0.20900000000000002</v>
      </c>
      <c r="U2113" s="372" t="s">
        <v>13596</v>
      </c>
      <c r="V2113" s="723">
        <v>4.71</v>
      </c>
      <c r="W2113" s="723">
        <v>0.6</v>
      </c>
      <c r="X2113" s="723">
        <v>0.26</v>
      </c>
      <c r="Y2113" s="723">
        <v>3.69</v>
      </c>
      <c r="Z2113" s="382" t="s">
        <v>927</v>
      </c>
      <c r="AA2113" s="372">
        <v>1327.7739223999999</v>
      </c>
      <c r="AB2113" s="372">
        <v>1564.6330425000001</v>
      </c>
      <c r="AC2113" s="372">
        <v>1476.0318393</v>
      </c>
      <c r="AD2113" s="372">
        <v>1707.3361769000001</v>
      </c>
      <c r="AE2113" s="372">
        <v>0</v>
      </c>
      <c r="AF2113" s="372">
        <v>0</v>
      </c>
      <c r="AG2113" s="372">
        <v>0</v>
      </c>
      <c r="AH2113" s="372">
        <v>0</v>
      </c>
    </row>
    <row r="2114" spans="1:34">
      <c r="A2114" s="372" t="s">
        <v>13597</v>
      </c>
      <c r="B2114" s="372" t="s">
        <v>13598</v>
      </c>
      <c r="C2114" s="372" t="s">
        <v>13599</v>
      </c>
      <c r="D2114" s="374">
        <v>1101110555479</v>
      </c>
      <c r="E2114" s="372" t="s">
        <v>13600</v>
      </c>
      <c r="F2114" s="372" t="s">
        <v>13601</v>
      </c>
      <c r="G2114" s="375" t="s">
        <v>13601</v>
      </c>
      <c r="H2114" s="375" t="s">
        <v>3099</v>
      </c>
      <c r="I2114" s="375" t="s">
        <v>862</v>
      </c>
      <c r="J2114" s="375">
        <v>64695.131959999999</v>
      </c>
      <c r="K2114" s="375">
        <v>-5267.8913499999999</v>
      </c>
      <c r="L2114" s="375">
        <v>-11259.37686</v>
      </c>
      <c r="M2114" s="375">
        <v>25162.268179999999</v>
      </c>
      <c r="N2114" s="372">
        <v>0.625</v>
      </c>
      <c r="O2114" s="704">
        <v>199.49041624341626</v>
      </c>
      <c r="P2114" s="563" t="s">
        <v>622</v>
      </c>
      <c r="Q2114" s="372" t="s">
        <v>622</v>
      </c>
      <c r="R2114" s="696">
        <v>20010622</v>
      </c>
      <c r="S2114" s="372" t="s">
        <v>13602</v>
      </c>
      <c r="T2114" s="697" t="s">
        <v>771</v>
      </c>
      <c r="U2114" s="372" t="s">
        <v>13603</v>
      </c>
      <c r="V2114" s="723" t="s">
        <v>773</v>
      </c>
      <c r="W2114" s="723">
        <v>0.66</v>
      </c>
      <c r="X2114" s="723">
        <v>0.33</v>
      </c>
      <c r="Y2114" s="723" t="s">
        <v>773</v>
      </c>
      <c r="Z2114" s="382" t="s">
        <v>927</v>
      </c>
      <c r="AA2114" s="372">
        <v>341.48500680000001</v>
      </c>
      <c r="AB2114" s="372">
        <v>610.04238220000002</v>
      </c>
      <c r="AC2114" s="372">
        <v>675.36187299999995</v>
      </c>
      <c r="AD2114" s="372">
        <v>838.89908319999995</v>
      </c>
      <c r="AE2114" s="372">
        <v>0</v>
      </c>
      <c r="AF2114" s="372">
        <v>0</v>
      </c>
      <c r="AG2114" s="372">
        <v>0</v>
      </c>
      <c r="AH2114" s="372">
        <v>0</v>
      </c>
    </row>
    <row r="2115" spans="1:34">
      <c r="A2115" s="372" t="s">
        <v>13604</v>
      </c>
      <c r="B2115" s="372" t="s">
        <v>13605</v>
      </c>
      <c r="C2115" s="372" t="s">
        <v>13606</v>
      </c>
      <c r="D2115" s="374">
        <v>1301110049246</v>
      </c>
      <c r="E2115" s="372" t="s">
        <v>13607</v>
      </c>
      <c r="F2115" s="372" t="s">
        <v>1275</v>
      </c>
      <c r="G2115" s="375" t="s">
        <v>1275</v>
      </c>
      <c r="H2115" s="375" t="s">
        <v>861</v>
      </c>
      <c r="I2115" s="375" t="s">
        <v>862</v>
      </c>
      <c r="J2115" s="375">
        <v>73933.225850000003</v>
      </c>
      <c r="K2115" s="375">
        <v>3673.44803</v>
      </c>
      <c r="L2115" s="375">
        <v>4726.82503</v>
      </c>
      <c r="M2115" s="375">
        <v>73178.539189999996</v>
      </c>
      <c r="N2115" s="372">
        <v>0.78600000000000003</v>
      </c>
      <c r="O2115" s="704">
        <v>19.27671967870323</v>
      </c>
      <c r="P2115" s="563" t="s">
        <v>622</v>
      </c>
      <c r="Q2115" s="372" t="s">
        <v>622</v>
      </c>
      <c r="R2115" s="696">
        <v>20120321</v>
      </c>
      <c r="S2115" s="372" t="s">
        <v>13608</v>
      </c>
      <c r="T2115" s="697">
        <v>0.20900000000000002</v>
      </c>
      <c r="U2115" s="372" t="s">
        <v>13609</v>
      </c>
      <c r="V2115" s="723">
        <v>7.4</v>
      </c>
      <c r="W2115" s="723">
        <v>0.47</v>
      </c>
      <c r="X2115" s="723">
        <v>0.46</v>
      </c>
      <c r="Y2115" s="723">
        <v>8.7799999999999994</v>
      </c>
      <c r="Z2115" s="382" t="s">
        <v>927</v>
      </c>
      <c r="AA2115" s="372">
        <v>474.63473720000002</v>
      </c>
      <c r="AB2115" s="372">
        <v>817.83273559999998</v>
      </c>
      <c r="AC2115" s="372">
        <v>930.08781369999997</v>
      </c>
      <c r="AD2115" s="372">
        <v>741.04681640000001</v>
      </c>
      <c r="AE2115" s="372">
        <v>0</v>
      </c>
      <c r="AF2115" s="372">
        <v>0</v>
      </c>
      <c r="AG2115" s="372">
        <v>0</v>
      </c>
      <c r="AH2115" s="372">
        <v>0</v>
      </c>
    </row>
    <row r="2116" spans="1:34">
      <c r="A2116" s="372" t="s">
        <v>13610</v>
      </c>
      <c r="B2116" s="372" t="s">
        <v>13611</v>
      </c>
      <c r="C2116" s="372" t="s">
        <v>13612</v>
      </c>
      <c r="D2116" s="374">
        <v>1101110061765</v>
      </c>
      <c r="E2116" s="372" t="s">
        <v>13613</v>
      </c>
      <c r="F2116" s="372" t="s">
        <v>1743</v>
      </c>
      <c r="G2116" s="375" t="s">
        <v>1743</v>
      </c>
      <c r="H2116" s="375" t="s">
        <v>3099</v>
      </c>
      <c r="I2116" s="375" t="s">
        <v>862</v>
      </c>
      <c r="J2116" s="375">
        <v>1285389.7169900001</v>
      </c>
      <c r="K2116" s="375">
        <v>23619.465349999999</v>
      </c>
      <c r="L2116" s="375">
        <v>17163.36479</v>
      </c>
      <c r="M2116" s="375">
        <v>338837.79845</v>
      </c>
      <c r="N2116" s="372">
        <v>0.79700000000000004</v>
      </c>
      <c r="O2116" s="704">
        <v>371.68271899043242</v>
      </c>
      <c r="P2116" s="563" t="s">
        <v>622</v>
      </c>
      <c r="Q2116" s="372" t="s">
        <v>622</v>
      </c>
      <c r="R2116" s="696">
        <v>19991214</v>
      </c>
      <c r="S2116" s="372" t="s">
        <v>13614</v>
      </c>
      <c r="T2116" s="697">
        <v>0.20900000000000002</v>
      </c>
      <c r="U2116" s="372" t="s">
        <v>15959</v>
      </c>
      <c r="V2116" s="723">
        <v>4.8499999999999996</v>
      </c>
      <c r="W2116" s="723">
        <v>0.25</v>
      </c>
      <c r="X2116" s="723">
        <v>0.03</v>
      </c>
      <c r="Y2116" s="723">
        <v>16.059999999999999</v>
      </c>
      <c r="Z2116" s="382" t="s">
        <v>927</v>
      </c>
      <c r="AA2116" s="372">
        <v>16469.937741900001</v>
      </c>
      <c r="AB2116" s="372">
        <v>15678.7946309</v>
      </c>
      <c r="AC2116" s="372">
        <v>13795.0283815</v>
      </c>
      <c r="AD2116" s="372">
        <v>12879.5542019</v>
      </c>
      <c r="AE2116" s="372">
        <v>0</v>
      </c>
      <c r="AF2116" s="372">
        <v>0</v>
      </c>
      <c r="AG2116" s="372">
        <v>0</v>
      </c>
      <c r="AH2116" s="372">
        <v>0</v>
      </c>
    </row>
    <row r="2117" spans="1:34">
      <c r="A2117" s="372" t="s">
        <v>13615</v>
      </c>
      <c r="B2117" s="372" t="s">
        <v>13616</v>
      </c>
      <c r="C2117" s="372" t="s">
        <v>13617</v>
      </c>
      <c r="D2117" s="374">
        <v>1101112753873</v>
      </c>
      <c r="E2117" s="372" t="s">
        <v>13618</v>
      </c>
      <c r="F2117" s="372" t="s">
        <v>2032</v>
      </c>
      <c r="G2117" s="375" t="s">
        <v>2033</v>
      </c>
      <c r="H2117" s="375" t="s">
        <v>1531</v>
      </c>
      <c r="I2117" s="375" t="s">
        <v>862</v>
      </c>
      <c r="J2117" s="375">
        <v>11837.72184</v>
      </c>
      <c r="K2117" s="375">
        <v>-4164.46011</v>
      </c>
      <c r="L2117" s="375">
        <v>-4281.5444299999999</v>
      </c>
      <c r="M2117" s="375">
        <v>17607.140520000001</v>
      </c>
      <c r="N2117" s="372">
        <v>0.78100000000000003</v>
      </c>
      <c r="O2117" s="704">
        <v>0.9335589219806224</v>
      </c>
      <c r="P2117" s="563" t="s">
        <v>622</v>
      </c>
      <c r="Q2117" s="372" t="s">
        <v>622</v>
      </c>
      <c r="R2117" s="696">
        <v>20141216</v>
      </c>
      <c r="S2117" s="372" t="s">
        <v>13619</v>
      </c>
      <c r="T2117" s="697" t="s">
        <v>771</v>
      </c>
      <c r="U2117" s="372" t="s">
        <v>13620</v>
      </c>
      <c r="V2117" s="723">
        <v>0</v>
      </c>
      <c r="W2117" s="723">
        <v>0</v>
      </c>
      <c r="X2117" s="723">
        <v>0</v>
      </c>
      <c r="Y2117" s="723">
        <v>0</v>
      </c>
      <c r="Z2117" s="382" t="s">
        <v>927</v>
      </c>
      <c r="AA2117" s="372">
        <v>283.58572939999999</v>
      </c>
      <c r="AB2117" s="372">
        <v>212.03022910000001</v>
      </c>
      <c r="AC2117" s="372">
        <v>322.29780449999998</v>
      </c>
      <c r="AD2117" s="372">
        <v>175.4330855</v>
      </c>
      <c r="AE2117" s="372">
        <v>0</v>
      </c>
      <c r="AF2117" s="372">
        <v>0</v>
      </c>
      <c r="AG2117" s="372">
        <v>0</v>
      </c>
      <c r="AH2117" s="372">
        <v>0</v>
      </c>
    </row>
    <row r="2118" spans="1:34">
      <c r="A2118" s="372" t="s">
        <v>13621</v>
      </c>
      <c r="B2118" s="372" t="s">
        <v>13622</v>
      </c>
      <c r="C2118" s="372" t="s">
        <v>13623</v>
      </c>
      <c r="D2118" s="374">
        <v>1243110014912</v>
      </c>
      <c r="E2118" s="372" t="s">
        <v>13624</v>
      </c>
      <c r="F2118" s="372" t="s">
        <v>3218</v>
      </c>
      <c r="G2118" s="375" t="s">
        <v>3218</v>
      </c>
      <c r="H2118" s="375" t="s">
        <v>861</v>
      </c>
      <c r="I2118" s="375" t="s">
        <v>862</v>
      </c>
      <c r="J2118" s="375">
        <v>76474.448180000007</v>
      </c>
      <c r="K2118" s="375">
        <v>4677.2532700000002</v>
      </c>
      <c r="L2118" s="375">
        <v>3290.5916900000002</v>
      </c>
      <c r="M2118" s="375">
        <v>47987.717360000002</v>
      </c>
      <c r="N2118" s="372" t="s">
        <v>1026</v>
      </c>
      <c r="O2118" s="704">
        <v>104.76532545853044</v>
      </c>
      <c r="P2118" s="563" t="s">
        <v>622</v>
      </c>
      <c r="Q2118" s="372" t="s">
        <v>622</v>
      </c>
      <c r="R2118" s="696">
        <v>20230908</v>
      </c>
      <c r="S2118" s="372" t="s">
        <v>13625</v>
      </c>
      <c r="T2118" s="697">
        <v>0.20900000000000002</v>
      </c>
      <c r="U2118" s="372" t="s">
        <v>13626</v>
      </c>
      <c r="V2118" s="723">
        <v>6.41</v>
      </c>
      <c r="W2118" s="723">
        <v>0.68</v>
      </c>
      <c r="X2118" s="723">
        <v>0.41</v>
      </c>
      <c r="Y2118" s="723">
        <v>15.08</v>
      </c>
      <c r="Z2118" s="382">
        <v>8.0577702822959285E-2</v>
      </c>
      <c r="AA2118" s="372">
        <v>385.80000899999999</v>
      </c>
      <c r="AB2118" s="372">
        <v>568.82015969999998</v>
      </c>
      <c r="AC2118" s="372">
        <v>758.22696540000004</v>
      </c>
      <c r="AD2118" s="372">
        <v>726.12466180000001</v>
      </c>
      <c r="AE2118" s="372">
        <v>700</v>
      </c>
      <c r="AF2118" s="372">
        <v>710</v>
      </c>
      <c r="AG2118" s="372">
        <v>990</v>
      </c>
      <c r="AH2118" s="372">
        <v>0</v>
      </c>
    </row>
    <row r="2119" spans="1:34">
      <c r="A2119" s="372" t="s">
        <v>13627</v>
      </c>
      <c r="B2119" s="372" t="s">
        <v>13628</v>
      </c>
      <c r="C2119" s="372" t="s">
        <v>13629</v>
      </c>
      <c r="D2119" s="374">
        <v>1101112376401</v>
      </c>
      <c r="E2119" s="372" t="s">
        <v>13630</v>
      </c>
      <c r="F2119" s="372" t="s">
        <v>5906</v>
      </c>
      <c r="G2119" s="375" t="s">
        <v>5906</v>
      </c>
      <c r="H2119" s="375" t="s">
        <v>861</v>
      </c>
      <c r="I2119" s="375" t="s">
        <v>862</v>
      </c>
      <c r="J2119" s="375">
        <v>83822.922739999995</v>
      </c>
      <c r="K2119" s="375">
        <v>-6691.1245399999998</v>
      </c>
      <c r="L2119" s="375">
        <v>-10924.991550000001</v>
      </c>
      <c r="M2119" s="375">
        <v>49349.751420000001</v>
      </c>
      <c r="N2119" s="372">
        <v>0.66600000000000004</v>
      </c>
      <c r="O2119" s="704">
        <v>156.8782227253397</v>
      </c>
      <c r="P2119" s="563" t="s">
        <v>622</v>
      </c>
      <c r="Q2119" s="372" t="s">
        <v>622</v>
      </c>
      <c r="R2119" s="696">
        <v>20151125</v>
      </c>
      <c r="S2119" s="372" t="s">
        <v>13631</v>
      </c>
      <c r="T2119" s="697" t="s">
        <v>771</v>
      </c>
      <c r="U2119" s="372" t="s">
        <v>13632</v>
      </c>
      <c r="V2119" s="723" t="s">
        <v>773</v>
      </c>
      <c r="W2119" s="723">
        <v>0.78</v>
      </c>
      <c r="X2119" s="723">
        <v>0.43</v>
      </c>
      <c r="Y2119" s="723" t="s">
        <v>773</v>
      </c>
      <c r="Z2119" s="382" t="s">
        <v>927</v>
      </c>
      <c r="AA2119" s="372">
        <v>507.11572530000001</v>
      </c>
      <c r="AB2119" s="372">
        <v>625.80189929999995</v>
      </c>
      <c r="AC2119" s="372">
        <v>587.76316280000003</v>
      </c>
      <c r="AD2119" s="372">
        <v>807.64375259999997</v>
      </c>
      <c r="AE2119" s="372">
        <v>0</v>
      </c>
      <c r="AF2119" s="372">
        <v>0</v>
      </c>
      <c r="AG2119" s="372">
        <v>0</v>
      </c>
      <c r="AH2119" s="372">
        <v>0</v>
      </c>
    </row>
    <row r="2120" spans="1:34">
      <c r="A2120" s="372" t="s">
        <v>13633</v>
      </c>
      <c r="B2120" s="372" t="s">
        <v>13634</v>
      </c>
      <c r="C2120" s="372" t="s">
        <v>13635</v>
      </c>
      <c r="D2120" s="374">
        <v>2101110024308</v>
      </c>
      <c r="E2120" s="372" t="s">
        <v>13636</v>
      </c>
      <c r="F2120" s="372" t="s">
        <v>1947</v>
      </c>
      <c r="G2120" s="375" t="s">
        <v>2498</v>
      </c>
      <c r="H2120" s="375" t="s">
        <v>861</v>
      </c>
      <c r="I2120" s="375" t="s">
        <v>862</v>
      </c>
      <c r="J2120" s="375">
        <v>78227.2402</v>
      </c>
      <c r="K2120" s="375">
        <v>3553.56558</v>
      </c>
      <c r="L2120" s="375">
        <v>7195.9057400000002</v>
      </c>
      <c r="M2120" s="375">
        <v>119837.00155</v>
      </c>
      <c r="N2120" s="372">
        <v>0.84</v>
      </c>
      <c r="O2120" s="704">
        <v>12.983941240931577</v>
      </c>
      <c r="P2120" s="563" t="s">
        <v>622</v>
      </c>
      <c r="Q2120" s="372" t="s">
        <v>622</v>
      </c>
      <c r="R2120" s="696">
        <v>20100115</v>
      </c>
      <c r="S2120" s="372" t="s">
        <v>13637</v>
      </c>
      <c r="T2120" s="697">
        <v>0.20900000000000002</v>
      </c>
      <c r="U2120" s="372" t="s">
        <v>15960</v>
      </c>
      <c r="V2120" s="723">
        <v>8.8699999999999992</v>
      </c>
      <c r="W2120" s="723">
        <v>0.35</v>
      </c>
      <c r="X2120" s="723">
        <v>0.56999999999999995</v>
      </c>
      <c r="Y2120" s="723">
        <v>8.7100000000000009</v>
      </c>
      <c r="Z2120" s="382" t="s">
        <v>927</v>
      </c>
      <c r="AA2120" s="372">
        <v>488.89581820000001</v>
      </c>
      <c r="AB2120" s="372">
        <v>669.57794019999994</v>
      </c>
      <c r="AC2120" s="372">
        <v>970.4633963</v>
      </c>
      <c r="AD2120" s="372">
        <v>780.51382000000001</v>
      </c>
      <c r="AE2120" s="372">
        <v>0</v>
      </c>
      <c r="AF2120" s="372">
        <v>0</v>
      </c>
      <c r="AG2120" s="372">
        <v>0</v>
      </c>
      <c r="AH2120" s="372">
        <v>0</v>
      </c>
    </row>
    <row r="2121" spans="1:34">
      <c r="A2121" s="372" t="s">
        <v>13638</v>
      </c>
      <c r="B2121" s="372" t="s">
        <v>13639</v>
      </c>
      <c r="C2121" s="372" t="s">
        <v>13640</v>
      </c>
      <c r="D2121" s="374">
        <v>1101110519003</v>
      </c>
      <c r="E2121" s="372" t="s">
        <v>13641</v>
      </c>
      <c r="F2121" s="372" t="s">
        <v>2426</v>
      </c>
      <c r="G2121" s="375" t="s">
        <v>6074</v>
      </c>
      <c r="H2121" s="375" t="s">
        <v>861</v>
      </c>
      <c r="I2121" s="375" t="s">
        <v>862</v>
      </c>
      <c r="J2121" s="375">
        <v>168919.76457999999</v>
      </c>
      <c r="K2121" s="375">
        <v>7450.1906399999998</v>
      </c>
      <c r="L2121" s="375">
        <v>6196.06088</v>
      </c>
      <c r="M2121" s="375">
        <v>90617.560490000003</v>
      </c>
      <c r="N2121" s="372">
        <v>1.0409999999999999</v>
      </c>
      <c r="O2121" s="704">
        <v>25.266069703166078</v>
      </c>
      <c r="P2121" s="563" t="s">
        <v>622</v>
      </c>
      <c r="Q2121" s="372" t="s">
        <v>622</v>
      </c>
      <c r="R2121" s="696">
        <v>20110624</v>
      </c>
      <c r="S2121" s="372" t="s">
        <v>13642</v>
      </c>
      <c r="T2121" s="697">
        <v>0.20900000000000002</v>
      </c>
      <c r="U2121" s="372" t="s">
        <v>13643</v>
      </c>
      <c r="V2121" s="723">
        <v>4.68</v>
      </c>
      <c r="W2121" s="723">
        <v>0.48</v>
      </c>
      <c r="X2121" s="723">
        <v>0.26</v>
      </c>
      <c r="Y2121" s="723">
        <v>5.84</v>
      </c>
      <c r="Z2121" s="382" t="s">
        <v>927</v>
      </c>
      <c r="AA2121" s="372">
        <v>1414.0004676000001</v>
      </c>
      <c r="AB2121" s="372">
        <v>1535.0108195</v>
      </c>
      <c r="AC2121" s="372">
        <v>1641.7818225000001</v>
      </c>
      <c r="AD2121" s="372">
        <v>1730.5282557</v>
      </c>
      <c r="AE2121" s="372">
        <v>0</v>
      </c>
      <c r="AF2121" s="372">
        <v>0</v>
      </c>
      <c r="AG2121" s="372">
        <v>0</v>
      </c>
      <c r="AH2121" s="372">
        <v>0</v>
      </c>
    </row>
    <row r="2122" spans="1:34">
      <c r="A2122" s="372" t="s">
        <v>13644</v>
      </c>
      <c r="B2122" s="372" t="s">
        <v>13645</v>
      </c>
      <c r="C2122" s="372" t="s">
        <v>13646</v>
      </c>
      <c r="D2122" s="374">
        <v>1741110001294</v>
      </c>
      <c r="E2122" s="372" t="s">
        <v>13647</v>
      </c>
      <c r="F2122" s="372" t="s">
        <v>2344</v>
      </c>
      <c r="G2122" s="375" t="s">
        <v>2344</v>
      </c>
      <c r="H2122" s="375" t="s">
        <v>861</v>
      </c>
      <c r="I2122" s="375" t="s">
        <v>862</v>
      </c>
      <c r="J2122" s="375">
        <v>698357.05538000003</v>
      </c>
      <c r="K2122" s="375">
        <v>15904.472390000001</v>
      </c>
      <c r="L2122" s="375">
        <v>3963.7108899999998</v>
      </c>
      <c r="M2122" s="375">
        <v>129777.06051</v>
      </c>
      <c r="N2122" s="372">
        <v>0.45200000000000001</v>
      </c>
      <c r="O2122" s="704">
        <v>113.20201740921586</v>
      </c>
      <c r="P2122" s="563" t="s">
        <v>622</v>
      </c>
      <c r="Q2122" s="372" t="s">
        <v>622</v>
      </c>
      <c r="R2122" s="696">
        <v>19941222</v>
      </c>
      <c r="S2122" s="372" t="s">
        <v>13648</v>
      </c>
      <c r="T2122" s="697">
        <v>0.20900000000000002</v>
      </c>
      <c r="U2122" s="372" t="s">
        <v>13649</v>
      </c>
      <c r="V2122" s="723">
        <v>9.26</v>
      </c>
      <c r="W2122" s="723">
        <v>0.89</v>
      </c>
      <c r="X2122" s="723">
        <v>0.16</v>
      </c>
      <c r="Y2122" s="723">
        <v>34.69</v>
      </c>
      <c r="Z2122" s="382" t="s">
        <v>927</v>
      </c>
      <c r="AA2122" s="372">
        <v>4922.1338487000003</v>
      </c>
      <c r="AB2122" s="372">
        <v>6830.2094306999998</v>
      </c>
      <c r="AC2122" s="372">
        <v>7104.7983819000001</v>
      </c>
      <c r="AD2122" s="372">
        <v>6850.3526866000002</v>
      </c>
      <c r="AE2122" s="372">
        <v>0</v>
      </c>
      <c r="AF2122" s="372">
        <v>0</v>
      </c>
      <c r="AG2122" s="372">
        <v>0</v>
      </c>
      <c r="AH2122" s="372">
        <v>0</v>
      </c>
    </row>
    <row r="2123" spans="1:34">
      <c r="A2123" s="372" t="s">
        <v>13650</v>
      </c>
      <c r="B2123" s="372" t="s">
        <v>13651</v>
      </c>
      <c r="C2123" s="372" t="s">
        <v>13652</v>
      </c>
      <c r="D2123" s="374">
        <v>1101110101470</v>
      </c>
      <c r="E2123" s="372" t="s">
        <v>13653</v>
      </c>
      <c r="F2123" s="372" t="s">
        <v>893</v>
      </c>
      <c r="G2123" s="375" t="s">
        <v>894</v>
      </c>
      <c r="H2123" s="375" t="s">
        <v>855</v>
      </c>
      <c r="I2123" s="375" t="s">
        <v>754</v>
      </c>
      <c r="J2123" s="375">
        <v>287017.97402000002</v>
      </c>
      <c r="K2123" s="375">
        <v>-11781.8104</v>
      </c>
      <c r="L2123" s="375">
        <v>-14228.799660000001</v>
      </c>
      <c r="M2123" s="375">
        <v>391155.64766000002</v>
      </c>
      <c r="N2123" s="372">
        <v>0.79100000000000004</v>
      </c>
      <c r="O2123" s="704">
        <v>172.77267508223787</v>
      </c>
      <c r="P2123" s="563" t="s">
        <v>622</v>
      </c>
      <c r="Q2123" s="372" t="s">
        <v>622</v>
      </c>
      <c r="R2123" s="696">
        <v>19791130</v>
      </c>
      <c r="S2123" s="372" t="s">
        <v>13654</v>
      </c>
      <c r="T2123" s="697" t="s">
        <v>771</v>
      </c>
      <c r="U2123" s="372" t="s">
        <v>13655</v>
      </c>
      <c r="V2123" s="723">
        <v>45.37</v>
      </c>
      <c r="W2123" s="723">
        <v>0.25</v>
      </c>
      <c r="X2123" s="723">
        <v>0.13</v>
      </c>
      <c r="Y2123" s="723">
        <v>58.53</v>
      </c>
      <c r="Z2123" s="382" t="s">
        <v>927</v>
      </c>
      <c r="AA2123" s="372">
        <v>2214.8044927000001</v>
      </c>
      <c r="AB2123" s="372">
        <v>3311.7639211999999</v>
      </c>
      <c r="AC2123" s="372">
        <v>3239.7988928</v>
      </c>
      <c r="AD2123" s="372">
        <v>2668.0635093000001</v>
      </c>
      <c r="AE2123" s="372">
        <v>0</v>
      </c>
      <c r="AF2123" s="372">
        <v>0</v>
      </c>
      <c r="AG2123" s="372">
        <v>0</v>
      </c>
      <c r="AH2123" s="372">
        <v>0</v>
      </c>
    </row>
    <row r="2124" spans="1:34">
      <c r="A2124" s="372" t="s">
        <v>13656</v>
      </c>
      <c r="B2124" s="372" t="s">
        <v>13657</v>
      </c>
      <c r="C2124" s="372" t="s">
        <v>13658</v>
      </c>
      <c r="D2124" s="374">
        <v>1348110061937</v>
      </c>
      <c r="E2124" s="372" t="s">
        <v>13659</v>
      </c>
      <c r="F2124" s="372" t="s">
        <v>5619</v>
      </c>
      <c r="G2124" s="375" t="s">
        <v>5619</v>
      </c>
      <c r="H2124" s="375" t="s">
        <v>861</v>
      </c>
      <c r="I2124" s="375" t="s">
        <v>862</v>
      </c>
      <c r="J2124" s="375">
        <v>56365.692589999999</v>
      </c>
      <c r="K2124" s="375">
        <v>1985.9390100000001</v>
      </c>
      <c r="L2124" s="375">
        <v>2037.2770399999999</v>
      </c>
      <c r="M2124" s="375">
        <v>79320.697799999994</v>
      </c>
      <c r="N2124" s="372">
        <v>0.755</v>
      </c>
      <c r="O2124" s="704">
        <v>53.301035909627736</v>
      </c>
      <c r="P2124" s="563" t="s">
        <v>622</v>
      </c>
      <c r="Q2124" s="372" t="s">
        <v>622</v>
      </c>
      <c r="R2124" s="696">
        <v>20111128</v>
      </c>
      <c r="S2124" s="372" t="s">
        <v>13660</v>
      </c>
      <c r="T2124" s="697">
        <v>0.20900000000000002</v>
      </c>
      <c r="U2124" s="372" t="s">
        <v>13661</v>
      </c>
      <c r="V2124" s="723">
        <v>10.76</v>
      </c>
      <c r="W2124" s="723">
        <v>0.54</v>
      </c>
      <c r="X2124" s="723">
        <v>0.79</v>
      </c>
      <c r="Y2124" s="723">
        <v>17.63</v>
      </c>
      <c r="Z2124" s="382" t="s">
        <v>927</v>
      </c>
      <c r="AA2124" s="372">
        <v>484.30159809999998</v>
      </c>
      <c r="AB2124" s="372">
        <v>610.85577999999998</v>
      </c>
      <c r="AC2124" s="372">
        <v>663.25154090000001</v>
      </c>
      <c r="AD2124" s="372">
        <v>597.04217010000002</v>
      </c>
      <c r="AE2124" s="372">
        <v>0</v>
      </c>
      <c r="AF2124" s="372">
        <v>0</v>
      </c>
      <c r="AG2124" s="372">
        <v>0</v>
      </c>
      <c r="AH2124" s="372">
        <v>0</v>
      </c>
    </row>
    <row r="2125" spans="1:34">
      <c r="A2125" s="372" t="s">
        <v>13662</v>
      </c>
      <c r="B2125" s="372" t="s">
        <v>13663</v>
      </c>
      <c r="C2125" s="372" t="s">
        <v>13664</v>
      </c>
      <c r="D2125" s="374">
        <v>1613110004067</v>
      </c>
      <c r="E2125" s="372" t="s">
        <v>13665</v>
      </c>
      <c r="F2125" s="372" t="s">
        <v>1863</v>
      </c>
      <c r="G2125" s="375" t="s">
        <v>1864</v>
      </c>
      <c r="H2125" s="375" t="s">
        <v>861</v>
      </c>
      <c r="I2125" s="375" t="s">
        <v>862</v>
      </c>
      <c r="J2125" s="375">
        <v>51313.264389999997</v>
      </c>
      <c r="K2125" s="375">
        <v>3074.5896699999998</v>
      </c>
      <c r="L2125" s="375">
        <v>-9781.7257200000004</v>
      </c>
      <c r="M2125" s="375">
        <v>48175.841079999998</v>
      </c>
      <c r="N2125" s="372">
        <v>0.55200000000000005</v>
      </c>
      <c r="O2125" s="704">
        <v>24.175526060039452</v>
      </c>
      <c r="P2125" s="563" t="s">
        <v>622</v>
      </c>
      <c r="Q2125" s="372" t="s">
        <v>622</v>
      </c>
      <c r="R2125" s="696">
        <v>20091201</v>
      </c>
      <c r="S2125" s="372" t="s">
        <v>13666</v>
      </c>
      <c r="T2125" s="697" t="s">
        <v>771</v>
      </c>
      <c r="U2125" s="372" t="s">
        <v>13667</v>
      </c>
      <c r="V2125" s="723">
        <v>0</v>
      </c>
      <c r="W2125" s="723">
        <v>0</v>
      </c>
      <c r="X2125" s="723">
        <v>0</v>
      </c>
      <c r="Y2125" s="723">
        <v>0</v>
      </c>
      <c r="Z2125" s="382" t="s">
        <v>927</v>
      </c>
      <c r="AA2125" s="372">
        <v>349.49769750000002</v>
      </c>
      <c r="AB2125" s="372">
        <v>380.60141040000002</v>
      </c>
      <c r="AC2125" s="372">
        <v>477.77326420000003</v>
      </c>
      <c r="AD2125" s="372">
        <v>471.18903089999998</v>
      </c>
      <c r="AE2125" s="372">
        <v>0</v>
      </c>
      <c r="AF2125" s="372">
        <v>0</v>
      </c>
      <c r="AG2125" s="372">
        <v>0</v>
      </c>
      <c r="AH2125" s="372">
        <v>0</v>
      </c>
    </row>
    <row r="2126" spans="1:34">
      <c r="A2126" s="372" t="s">
        <v>13668</v>
      </c>
      <c r="B2126" s="372" t="s">
        <v>13669</v>
      </c>
      <c r="C2126" s="372" t="s">
        <v>16052</v>
      </c>
      <c r="D2126" s="374">
        <v>1101112707367</v>
      </c>
      <c r="E2126" s="372" t="s">
        <v>13670</v>
      </c>
      <c r="F2126" s="372" t="s">
        <v>1796</v>
      </c>
      <c r="G2126" s="375" t="s">
        <v>1797</v>
      </c>
      <c r="H2126" s="375" t="s">
        <v>861</v>
      </c>
      <c r="I2126" s="375" t="s">
        <v>862</v>
      </c>
      <c r="J2126" s="375">
        <v>13980.22372</v>
      </c>
      <c r="K2126" s="375">
        <v>-1567.2610199999999</v>
      </c>
      <c r="L2126" s="375">
        <v>-989.26702</v>
      </c>
      <c r="M2126" s="375">
        <v>28860.321499999998</v>
      </c>
      <c r="N2126" s="372">
        <v>0.53300000000000003</v>
      </c>
      <c r="O2126" s="704">
        <v>6.6831075407476265E-2</v>
      </c>
      <c r="P2126" s="563" t="s">
        <v>622</v>
      </c>
      <c r="Q2126" s="372" t="s">
        <v>622</v>
      </c>
      <c r="R2126" s="696">
        <v>20120719</v>
      </c>
      <c r="S2126" s="372" t="s">
        <v>13671</v>
      </c>
      <c r="T2126" s="697" t="s">
        <v>771</v>
      </c>
      <c r="U2126" s="372" t="s">
        <v>13672</v>
      </c>
      <c r="V2126" s="723">
        <v>0</v>
      </c>
      <c r="W2126" s="723">
        <v>0</v>
      </c>
      <c r="X2126" s="723">
        <v>0</v>
      </c>
      <c r="Y2126" s="723">
        <v>0</v>
      </c>
      <c r="Z2126" s="382" t="s">
        <v>927</v>
      </c>
      <c r="AA2126" s="372">
        <v>118.3709865</v>
      </c>
      <c r="AB2126" s="372">
        <v>162.63919569999999</v>
      </c>
      <c r="AC2126" s="372">
        <v>182.9880909</v>
      </c>
      <c r="AD2126" s="372">
        <v>134.43862669999999</v>
      </c>
      <c r="AE2126" s="372">
        <v>0</v>
      </c>
      <c r="AF2126" s="372">
        <v>0</v>
      </c>
      <c r="AG2126" s="372">
        <v>0</v>
      </c>
      <c r="AH2126" s="372">
        <v>0</v>
      </c>
    </row>
    <row r="2127" spans="1:34">
      <c r="A2127" s="372" t="s">
        <v>13673</v>
      </c>
      <c r="B2127" s="372" t="s">
        <v>13674</v>
      </c>
      <c r="C2127" s="372" t="s">
        <v>13675</v>
      </c>
      <c r="D2127" s="374">
        <v>1701110001628</v>
      </c>
      <c r="E2127" s="372" t="s">
        <v>13676</v>
      </c>
      <c r="F2127" s="372" t="s">
        <v>9242</v>
      </c>
      <c r="G2127" s="375" t="s">
        <v>9242</v>
      </c>
      <c r="H2127" s="375" t="s">
        <v>861</v>
      </c>
      <c r="I2127" s="375" t="s">
        <v>862</v>
      </c>
      <c r="J2127" s="375">
        <v>280124.94961000001</v>
      </c>
      <c r="K2127" s="375">
        <v>15266.95463</v>
      </c>
      <c r="L2127" s="375">
        <v>15979.325409999999</v>
      </c>
      <c r="M2127" s="375">
        <v>117994.88566</v>
      </c>
      <c r="N2127" s="372">
        <v>0.79200000000000004</v>
      </c>
      <c r="O2127" s="704">
        <v>136.87059935263514</v>
      </c>
      <c r="P2127" s="563" t="s">
        <v>622</v>
      </c>
      <c r="Q2127" s="372" t="s">
        <v>622</v>
      </c>
      <c r="R2127" s="696">
        <v>19931130</v>
      </c>
      <c r="S2127" s="372" t="s">
        <v>13677</v>
      </c>
      <c r="T2127" s="697">
        <v>0.20900000000000002</v>
      </c>
      <c r="U2127" s="372" t="s">
        <v>13678</v>
      </c>
      <c r="V2127" s="723">
        <v>4.6399999999999997</v>
      </c>
      <c r="W2127" s="723">
        <v>0.5</v>
      </c>
      <c r="X2127" s="723">
        <v>0.18</v>
      </c>
      <c r="Y2127" s="723">
        <v>4.88</v>
      </c>
      <c r="Z2127" s="382" t="s">
        <v>927</v>
      </c>
      <c r="AA2127" s="372">
        <v>1373.3598614</v>
      </c>
      <c r="AB2127" s="372">
        <v>1482.9077588</v>
      </c>
      <c r="AC2127" s="372">
        <v>1839.3229438000001</v>
      </c>
      <c r="AD2127" s="372">
        <v>2284.8709310999998</v>
      </c>
      <c r="AE2127" s="372">
        <v>0</v>
      </c>
      <c r="AF2127" s="372">
        <v>0</v>
      </c>
      <c r="AG2127" s="372">
        <v>0</v>
      </c>
      <c r="AH2127" s="372">
        <v>0</v>
      </c>
    </row>
    <row r="2128" spans="1:34">
      <c r="A2128" s="372" t="s">
        <v>13679</v>
      </c>
      <c r="B2128" s="372" t="s">
        <v>13680</v>
      </c>
      <c r="C2128" s="372" t="s">
        <v>13681</v>
      </c>
      <c r="D2128" s="374">
        <v>1101114362531</v>
      </c>
      <c r="E2128" s="372" t="s">
        <v>13682</v>
      </c>
      <c r="F2128" s="372" t="s">
        <v>2124</v>
      </c>
      <c r="G2128" s="375" t="s">
        <v>4231</v>
      </c>
      <c r="H2128" s="375" t="s">
        <v>861</v>
      </c>
      <c r="I2128" s="375" t="s">
        <v>862</v>
      </c>
      <c r="J2128" s="375">
        <v>21118.816129999999</v>
      </c>
      <c r="K2128" s="375">
        <v>-2149.5277099999998</v>
      </c>
      <c r="L2128" s="375">
        <v>-4389.79457</v>
      </c>
      <c r="M2128" s="375">
        <v>35112.630089999999</v>
      </c>
      <c r="N2128" s="372">
        <v>1.0449999999999999</v>
      </c>
      <c r="O2128" s="704">
        <v>69.114563422492992</v>
      </c>
      <c r="P2128" s="563" t="s">
        <v>622</v>
      </c>
      <c r="Q2128" s="372" t="s">
        <v>622</v>
      </c>
      <c r="R2128" s="696">
        <v>20181128</v>
      </c>
      <c r="S2128" s="372" t="s">
        <v>13683</v>
      </c>
      <c r="T2128" s="697" t="s">
        <v>771</v>
      </c>
      <c r="U2128" s="372" t="s">
        <v>13684</v>
      </c>
      <c r="V2128" s="723" t="s">
        <v>773</v>
      </c>
      <c r="W2128" s="723">
        <v>1.1200000000000001</v>
      </c>
      <c r="X2128" s="723">
        <v>1.67</v>
      </c>
      <c r="Y2128" s="723" t="s">
        <v>773</v>
      </c>
      <c r="Z2128" s="382" t="s">
        <v>927</v>
      </c>
      <c r="AA2128" s="372">
        <v>186.2467661</v>
      </c>
      <c r="AB2128" s="372">
        <v>231.58185839999999</v>
      </c>
      <c r="AC2128" s="372">
        <v>262.01602580000002</v>
      </c>
      <c r="AD2128" s="372">
        <v>266.13904780000001</v>
      </c>
      <c r="AE2128" s="372">
        <v>0</v>
      </c>
      <c r="AF2128" s="372">
        <v>0</v>
      </c>
      <c r="AG2128" s="372">
        <v>0</v>
      </c>
      <c r="AH2128" s="372">
        <v>0</v>
      </c>
    </row>
    <row r="2129" spans="1:34">
      <c r="A2129" s="372" t="s">
        <v>13685</v>
      </c>
      <c r="B2129" s="372" t="s">
        <v>13686</v>
      </c>
      <c r="C2129" s="372" t="s">
        <v>13687</v>
      </c>
      <c r="D2129" s="374">
        <v>1101111784457</v>
      </c>
      <c r="E2129" s="372" t="s">
        <v>13688</v>
      </c>
      <c r="F2129" s="372" t="s">
        <v>5769</v>
      </c>
      <c r="G2129" s="375" t="s">
        <v>5769</v>
      </c>
      <c r="H2129" s="375" t="s">
        <v>1337</v>
      </c>
      <c r="I2129" s="375" t="s">
        <v>862</v>
      </c>
      <c r="J2129" s="375">
        <v>0</v>
      </c>
      <c r="K2129" s="375">
        <v>0</v>
      </c>
      <c r="L2129" s="375">
        <v>0</v>
      </c>
      <c r="M2129" s="375">
        <v>0</v>
      </c>
      <c r="N2129" s="372">
        <v>0.66900000000000004</v>
      </c>
      <c r="O2129" s="704" t="s">
        <v>16301</v>
      </c>
      <c r="P2129" s="563" t="s">
        <v>622</v>
      </c>
      <c r="Q2129" s="372" t="s">
        <v>622</v>
      </c>
      <c r="R2129" s="696">
        <v>20071218</v>
      </c>
      <c r="S2129" s="372" t="s">
        <v>13689</v>
      </c>
      <c r="T2129" s="697" t="s">
        <v>771</v>
      </c>
      <c r="U2129" s="372" t="s">
        <v>13690</v>
      </c>
      <c r="V2129" s="723">
        <v>0</v>
      </c>
      <c r="W2129" s="723">
        <v>0</v>
      </c>
      <c r="X2129" s="723">
        <v>0</v>
      </c>
      <c r="Y2129" s="723">
        <v>0</v>
      </c>
      <c r="Z2129" s="382" t="s">
        <v>927</v>
      </c>
      <c r="AA2129" s="372">
        <v>747.70792740000002</v>
      </c>
      <c r="AB2129" s="372">
        <v>802.05503050000004</v>
      </c>
      <c r="AC2129" s="372">
        <v>1006.1478593000001</v>
      </c>
      <c r="AD2129" s="372">
        <v>918.05920909999998</v>
      </c>
      <c r="AE2129" s="372">
        <v>0</v>
      </c>
      <c r="AF2129" s="372">
        <v>0</v>
      </c>
      <c r="AG2129" s="372">
        <v>0</v>
      </c>
      <c r="AH2129" s="372">
        <v>0</v>
      </c>
    </row>
    <row r="2130" spans="1:34">
      <c r="A2130" s="372" t="s">
        <v>13691</v>
      </c>
      <c r="B2130" s="372" t="s">
        <v>13692</v>
      </c>
      <c r="C2130" s="372" t="s">
        <v>13693</v>
      </c>
      <c r="D2130" s="374">
        <v>1101114736520</v>
      </c>
      <c r="E2130" s="372" t="s">
        <v>13694</v>
      </c>
      <c r="F2130" s="372" t="s">
        <v>1796</v>
      </c>
      <c r="G2130" s="375" t="s">
        <v>2797</v>
      </c>
      <c r="H2130" s="375" t="s">
        <v>861</v>
      </c>
      <c r="I2130" s="375" t="s">
        <v>862</v>
      </c>
      <c r="J2130" s="375">
        <v>18232.322769999999</v>
      </c>
      <c r="K2130" s="375">
        <v>-2109.7927599999998</v>
      </c>
      <c r="L2130" s="375">
        <v>-1800.0601300000001</v>
      </c>
      <c r="M2130" s="375">
        <v>10938.505279999999</v>
      </c>
      <c r="N2130" s="372">
        <v>0.626</v>
      </c>
      <c r="O2130" s="704">
        <v>19.737753803724665</v>
      </c>
      <c r="P2130" s="563" t="s">
        <v>622</v>
      </c>
      <c r="Q2130" s="372" t="s">
        <v>622</v>
      </c>
      <c r="R2130" s="696">
        <v>20161129</v>
      </c>
      <c r="S2130" s="372" t="s">
        <v>13695</v>
      </c>
      <c r="T2130" s="697" t="s">
        <v>771</v>
      </c>
      <c r="U2130" s="372" t="s">
        <v>13696</v>
      </c>
      <c r="V2130" s="723">
        <v>0</v>
      </c>
      <c r="W2130" s="723">
        <v>0</v>
      </c>
      <c r="X2130" s="723">
        <v>0</v>
      </c>
      <c r="Y2130" s="723">
        <v>0</v>
      </c>
      <c r="Z2130" s="382" t="s">
        <v>927</v>
      </c>
      <c r="AA2130" s="372">
        <v>149.13030409999999</v>
      </c>
      <c r="AB2130" s="372">
        <v>219.22928379999999</v>
      </c>
      <c r="AC2130" s="372">
        <v>395.15795100000003</v>
      </c>
      <c r="AD2130" s="372">
        <v>162.19150210000001</v>
      </c>
      <c r="AE2130" s="372">
        <v>0</v>
      </c>
      <c r="AF2130" s="372">
        <v>0</v>
      </c>
      <c r="AG2130" s="372">
        <v>0</v>
      </c>
      <c r="AH2130" s="372">
        <v>0</v>
      </c>
    </row>
    <row r="2131" spans="1:34">
      <c r="A2131" s="372" t="s">
        <v>13697</v>
      </c>
      <c r="B2131" s="372" t="s">
        <v>13698</v>
      </c>
      <c r="C2131" s="372" t="s">
        <v>13699</v>
      </c>
      <c r="D2131" s="374">
        <v>1341110125604</v>
      </c>
      <c r="E2131" s="372" t="s">
        <v>13700</v>
      </c>
      <c r="F2131" s="372" t="s">
        <v>1796</v>
      </c>
      <c r="G2131" s="375" t="s">
        <v>2797</v>
      </c>
      <c r="H2131" s="375" t="s">
        <v>861</v>
      </c>
      <c r="I2131" s="375" t="s">
        <v>862</v>
      </c>
      <c r="J2131" s="375">
        <v>11314.53528</v>
      </c>
      <c r="K2131" s="375">
        <v>1424.28676</v>
      </c>
      <c r="L2131" s="375">
        <v>-62.545589999999997</v>
      </c>
      <c r="M2131" s="375">
        <v>20659.35843</v>
      </c>
      <c r="N2131" s="372" t="s">
        <v>1026</v>
      </c>
      <c r="O2131" s="704">
        <v>1.3117124001073079</v>
      </c>
      <c r="P2131" s="563" t="s">
        <v>622</v>
      </c>
      <c r="Q2131" s="372" t="s">
        <v>622</v>
      </c>
      <c r="R2131" s="696">
        <v>20231103</v>
      </c>
      <c r="S2131" s="372" t="s">
        <v>13701</v>
      </c>
      <c r="T2131" s="697" t="s">
        <v>771</v>
      </c>
      <c r="U2131" s="372" t="s">
        <v>13702</v>
      </c>
      <c r="V2131" s="723">
        <v>0</v>
      </c>
      <c r="W2131" s="723">
        <v>0</v>
      </c>
      <c r="X2131" s="723">
        <v>0</v>
      </c>
      <c r="Y2131" s="723">
        <v>0</v>
      </c>
      <c r="Z2131" s="382" t="s">
        <v>927</v>
      </c>
      <c r="AA2131" s="372">
        <v>72.770438900000002</v>
      </c>
      <c r="AB2131" s="372">
        <v>78.625559800000005</v>
      </c>
      <c r="AC2131" s="372">
        <v>97.228191800000005</v>
      </c>
      <c r="AD2131" s="372">
        <v>104.5935235</v>
      </c>
      <c r="AE2131" s="372">
        <v>0</v>
      </c>
      <c r="AF2131" s="372">
        <v>0</v>
      </c>
      <c r="AG2131" s="372">
        <v>0</v>
      </c>
      <c r="AH2131" s="372">
        <v>0</v>
      </c>
    </row>
    <row r="2132" spans="1:34">
      <c r="A2132" s="372" t="s">
        <v>13703</v>
      </c>
      <c r="B2132" s="372" t="s">
        <v>13704</v>
      </c>
      <c r="C2132" s="372" t="s">
        <v>13705</v>
      </c>
      <c r="D2132" s="374">
        <v>1101111892903</v>
      </c>
      <c r="E2132" s="372" t="s">
        <v>13706</v>
      </c>
      <c r="F2132" s="372" t="s">
        <v>2834</v>
      </c>
      <c r="G2132" s="375" t="s">
        <v>2835</v>
      </c>
      <c r="H2132" s="375" t="s">
        <v>861</v>
      </c>
      <c r="I2132" s="375" t="s">
        <v>862</v>
      </c>
      <c r="J2132" s="375">
        <v>46722.835129999999</v>
      </c>
      <c r="K2132" s="375">
        <v>2701.1765</v>
      </c>
      <c r="L2132" s="375">
        <v>2433.4218000000001</v>
      </c>
      <c r="M2132" s="375">
        <v>38169.43619</v>
      </c>
      <c r="N2132" s="372">
        <v>0.82699999999999996</v>
      </c>
      <c r="O2132" s="704">
        <v>24.796003081183578</v>
      </c>
      <c r="P2132" s="563" t="s">
        <v>622</v>
      </c>
      <c r="Q2132" s="372" t="s">
        <v>622</v>
      </c>
      <c r="R2132" s="696">
        <v>20140723</v>
      </c>
      <c r="S2132" s="372" t="s">
        <v>13707</v>
      </c>
      <c r="T2132" s="697">
        <v>0.20900000000000002</v>
      </c>
      <c r="U2132" s="372" t="s">
        <v>13708</v>
      </c>
      <c r="V2132" s="723">
        <v>10.17</v>
      </c>
      <c r="W2132" s="723">
        <v>0.83</v>
      </c>
      <c r="X2132" s="723">
        <v>0.8</v>
      </c>
      <c r="Y2132" s="723">
        <v>12.33</v>
      </c>
      <c r="Z2132" s="382" t="s">
        <v>927</v>
      </c>
      <c r="AA2132" s="372">
        <v>437.89955559999999</v>
      </c>
      <c r="AB2132" s="372">
        <v>390.23421969999998</v>
      </c>
      <c r="AC2132" s="372">
        <v>462.53418620000002</v>
      </c>
      <c r="AD2132" s="372">
        <v>513.82692329999998</v>
      </c>
      <c r="AE2132" s="372">
        <v>0</v>
      </c>
      <c r="AF2132" s="372">
        <v>0</v>
      </c>
      <c r="AG2132" s="372">
        <v>0</v>
      </c>
      <c r="AH2132" s="372">
        <v>0</v>
      </c>
    </row>
    <row r="2133" spans="1:34">
      <c r="A2133" s="372" t="s">
        <v>13709</v>
      </c>
      <c r="B2133" s="372" t="s">
        <v>13710</v>
      </c>
      <c r="C2133" s="372" t="s">
        <v>13711</v>
      </c>
      <c r="D2133" s="374">
        <v>1101117128211</v>
      </c>
      <c r="E2133" s="372" t="s">
        <v>13712</v>
      </c>
      <c r="F2133" s="372" t="s">
        <v>5769</v>
      </c>
      <c r="G2133" s="375" t="s">
        <v>5769</v>
      </c>
      <c r="H2133" s="375" t="s">
        <v>1337</v>
      </c>
      <c r="I2133" s="375" t="s">
        <v>862</v>
      </c>
      <c r="J2133" s="375">
        <v>0</v>
      </c>
      <c r="K2133" s="375">
        <v>0</v>
      </c>
      <c r="L2133" s="375">
        <v>0</v>
      </c>
      <c r="M2133" s="375">
        <v>22655.56079</v>
      </c>
      <c r="N2133" s="372">
        <v>0.66</v>
      </c>
      <c r="O2133" s="704">
        <v>0.24383112812201277</v>
      </c>
      <c r="P2133" s="563" t="s">
        <v>622</v>
      </c>
      <c r="Q2133" s="372" t="s">
        <v>622</v>
      </c>
      <c r="R2133" s="696">
        <v>20190820</v>
      </c>
      <c r="S2133" s="372" t="s">
        <v>13713</v>
      </c>
      <c r="T2133" s="697" t="s">
        <v>771</v>
      </c>
      <c r="U2133" s="372" t="s">
        <v>13714</v>
      </c>
      <c r="V2133" s="723">
        <v>0</v>
      </c>
      <c r="W2133" s="723">
        <v>1.46</v>
      </c>
      <c r="X2133" s="723">
        <v>0</v>
      </c>
      <c r="Y2133" s="723">
        <v>0</v>
      </c>
      <c r="Z2133" s="382" t="s">
        <v>927</v>
      </c>
      <c r="AA2133" s="372">
        <v>294.652873</v>
      </c>
      <c r="AB2133" s="372">
        <v>400.1605419</v>
      </c>
      <c r="AC2133" s="372">
        <v>313.49477150000001</v>
      </c>
      <c r="AD2133" s="372">
        <v>493.406474</v>
      </c>
      <c r="AE2133" s="372">
        <v>0</v>
      </c>
      <c r="AF2133" s="372">
        <v>0</v>
      </c>
      <c r="AG2133" s="372">
        <v>0</v>
      </c>
      <c r="AH2133" s="372">
        <v>0</v>
      </c>
    </row>
    <row r="2134" spans="1:34">
      <c r="A2134" s="372" t="s">
        <v>13715</v>
      </c>
      <c r="B2134" s="372" t="s">
        <v>13716</v>
      </c>
      <c r="C2134" s="372" t="s">
        <v>13717</v>
      </c>
      <c r="D2134" s="374">
        <v>1201110126038</v>
      </c>
      <c r="E2134" s="372" t="s">
        <v>13718</v>
      </c>
      <c r="F2134" s="372" t="s">
        <v>1903</v>
      </c>
      <c r="G2134" s="375" t="s">
        <v>9649</v>
      </c>
      <c r="H2134" s="375" t="s">
        <v>861</v>
      </c>
      <c r="I2134" s="375" t="s">
        <v>862</v>
      </c>
      <c r="J2134" s="375">
        <v>63289.380819999998</v>
      </c>
      <c r="K2134" s="375">
        <v>929.63198</v>
      </c>
      <c r="L2134" s="375">
        <v>243.01114999999999</v>
      </c>
      <c r="M2134" s="375">
        <v>53128.797259999999</v>
      </c>
      <c r="N2134" s="372">
        <v>0.56399999999999995</v>
      </c>
      <c r="O2134" s="704">
        <v>98.549950422936419</v>
      </c>
      <c r="P2134" s="563" t="s">
        <v>622</v>
      </c>
      <c r="Q2134" s="372" t="s">
        <v>622</v>
      </c>
      <c r="R2134" s="696">
        <v>20020108</v>
      </c>
      <c r="S2134" s="372" t="s">
        <v>13719</v>
      </c>
      <c r="T2134" s="697">
        <v>0.20900000000000002</v>
      </c>
      <c r="U2134" s="372" t="s">
        <v>13720</v>
      </c>
      <c r="V2134" s="723">
        <v>0</v>
      </c>
      <c r="W2134" s="723">
        <v>0</v>
      </c>
      <c r="X2134" s="723">
        <v>0</v>
      </c>
      <c r="Y2134" s="723">
        <v>0</v>
      </c>
      <c r="Z2134" s="382" t="s">
        <v>927</v>
      </c>
      <c r="AA2134" s="372">
        <v>320.39780480000002</v>
      </c>
      <c r="AB2134" s="372">
        <v>533.30417409999995</v>
      </c>
      <c r="AC2134" s="372">
        <v>669.92658440000002</v>
      </c>
      <c r="AD2134" s="372">
        <v>691.13153039999997</v>
      </c>
      <c r="AE2134" s="372">
        <v>0</v>
      </c>
      <c r="AF2134" s="372">
        <v>0</v>
      </c>
      <c r="AG2134" s="372">
        <v>0</v>
      </c>
      <c r="AH2134" s="372">
        <v>0</v>
      </c>
    </row>
    <row r="2135" spans="1:34">
      <c r="A2135" s="372" t="s">
        <v>13721</v>
      </c>
      <c r="B2135" s="372" t="s">
        <v>13722</v>
      </c>
      <c r="C2135" s="372" t="s">
        <v>13723</v>
      </c>
      <c r="D2135" s="374">
        <v>1350110085255</v>
      </c>
      <c r="E2135" s="372" t="s">
        <v>13724</v>
      </c>
      <c r="F2135" s="372" t="s">
        <v>1249</v>
      </c>
      <c r="G2135" s="375" t="s">
        <v>1249</v>
      </c>
      <c r="H2135" s="375" t="s">
        <v>861</v>
      </c>
      <c r="I2135" s="375" t="s">
        <v>862</v>
      </c>
      <c r="J2135" s="375">
        <v>72097.065109999996</v>
      </c>
      <c r="K2135" s="375">
        <v>-6574.7423200000003</v>
      </c>
      <c r="L2135" s="375">
        <v>-20354.780419999999</v>
      </c>
      <c r="M2135" s="375">
        <v>91513.992719999995</v>
      </c>
      <c r="N2135" s="372">
        <v>0.75800000000000001</v>
      </c>
      <c r="O2135" s="704">
        <v>166.67376293864805</v>
      </c>
      <c r="P2135" s="563" t="s">
        <v>622</v>
      </c>
      <c r="Q2135" s="372" t="s">
        <v>622</v>
      </c>
      <c r="R2135" s="696">
        <v>20011102</v>
      </c>
      <c r="S2135" s="372" t="s">
        <v>13725</v>
      </c>
      <c r="T2135" s="697" t="s">
        <v>771</v>
      </c>
      <c r="U2135" s="372" t="s">
        <v>13726</v>
      </c>
      <c r="V2135" s="723" t="s">
        <v>773</v>
      </c>
      <c r="W2135" s="723">
        <v>0.31</v>
      </c>
      <c r="X2135" s="723">
        <v>0.39</v>
      </c>
      <c r="Y2135" s="723" t="s">
        <v>773</v>
      </c>
      <c r="Z2135" s="382" t="s">
        <v>927</v>
      </c>
      <c r="AA2135" s="372">
        <v>709.32860500000004</v>
      </c>
      <c r="AB2135" s="372">
        <v>646.23469009999997</v>
      </c>
      <c r="AC2135" s="372">
        <v>590.00422760000004</v>
      </c>
      <c r="AD2135" s="372">
        <v>684.45262600000001</v>
      </c>
      <c r="AE2135" s="372">
        <v>0</v>
      </c>
      <c r="AF2135" s="372">
        <v>0</v>
      </c>
      <c r="AG2135" s="372">
        <v>0</v>
      </c>
      <c r="AH2135" s="372">
        <v>0</v>
      </c>
    </row>
    <row r="2136" spans="1:34">
      <c r="A2136" s="372" t="s">
        <v>13727</v>
      </c>
      <c r="B2136" s="372" t="s">
        <v>13728</v>
      </c>
      <c r="C2136" s="372" t="s">
        <v>13729</v>
      </c>
      <c r="D2136" s="374">
        <v>1101113356410</v>
      </c>
      <c r="E2136" s="372" t="s">
        <v>13730</v>
      </c>
      <c r="F2136" s="372" t="s">
        <v>10831</v>
      </c>
      <c r="G2136" s="375" t="s">
        <v>10832</v>
      </c>
      <c r="H2136" s="375" t="s">
        <v>861</v>
      </c>
      <c r="I2136" s="375" t="s">
        <v>862</v>
      </c>
      <c r="J2136" s="375">
        <v>42413.409220000001</v>
      </c>
      <c r="K2136" s="375">
        <v>9230.0621300000003</v>
      </c>
      <c r="L2136" s="375">
        <v>10139.468639999999</v>
      </c>
      <c r="M2136" s="375">
        <v>58865.312039999997</v>
      </c>
      <c r="N2136" s="372">
        <v>0.65</v>
      </c>
      <c r="O2136" s="704">
        <v>1.4342576485937628</v>
      </c>
      <c r="P2136" s="563" t="s">
        <v>622</v>
      </c>
      <c r="Q2136" s="372" t="s">
        <v>622</v>
      </c>
      <c r="R2136" s="696">
        <v>20200824</v>
      </c>
      <c r="S2136" s="372" t="s">
        <v>13731</v>
      </c>
      <c r="T2136" s="697">
        <v>0.20900000000000002</v>
      </c>
      <c r="U2136" s="372" t="s">
        <v>13732</v>
      </c>
      <c r="V2136" s="723">
        <v>4.84</v>
      </c>
      <c r="W2136" s="723">
        <v>0.82</v>
      </c>
      <c r="X2136" s="723">
        <v>1.17</v>
      </c>
      <c r="Y2136" s="723">
        <v>5.81</v>
      </c>
      <c r="Z2136" s="382" t="s">
        <v>927</v>
      </c>
      <c r="AA2136" s="372">
        <v>187.33864370000001</v>
      </c>
      <c r="AB2136" s="372">
        <v>260.92880709999997</v>
      </c>
      <c r="AC2136" s="372">
        <v>431.11569100000003</v>
      </c>
      <c r="AD2136" s="372">
        <v>363.66131469999999</v>
      </c>
      <c r="AE2136" s="372">
        <v>530</v>
      </c>
      <c r="AF2136" s="372">
        <v>650</v>
      </c>
      <c r="AG2136" s="372">
        <v>0</v>
      </c>
      <c r="AH2136" s="372">
        <v>0</v>
      </c>
    </row>
    <row r="2137" spans="1:34">
      <c r="A2137" s="372" t="s">
        <v>13733</v>
      </c>
      <c r="B2137" s="372" t="s">
        <v>13734</v>
      </c>
      <c r="C2137" s="372" t="s">
        <v>13735</v>
      </c>
      <c r="D2137" s="374">
        <v>1101112637291</v>
      </c>
      <c r="E2137" s="372" t="s">
        <v>13736</v>
      </c>
      <c r="F2137" s="372" t="s">
        <v>1756</v>
      </c>
      <c r="G2137" s="375" t="s">
        <v>1756</v>
      </c>
      <c r="H2137" s="375" t="s">
        <v>861</v>
      </c>
      <c r="I2137" s="375" t="s">
        <v>862</v>
      </c>
      <c r="J2137" s="375">
        <v>52013.889799999997</v>
      </c>
      <c r="K2137" s="375">
        <v>5898.5954300000003</v>
      </c>
      <c r="L2137" s="375">
        <v>6590.6156300000002</v>
      </c>
      <c r="M2137" s="375">
        <v>65686.16833</v>
      </c>
      <c r="N2137" s="372">
        <v>0.75600000000000001</v>
      </c>
      <c r="O2137" s="704">
        <v>58.272857712732559</v>
      </c>
      <c r="P2137" s="563" t="s">
        <v>622</v>
      </c>
      <c r="Q2137" s="372" t="s">
        <v>622</v>
      </c>
      <c r="R2137" s="696">
        <v>20140808</v>
      </c>
      <c r="S2137" s="372" t="s">
        <v>13737</v>
      </c>
      <c r="T2137" s="697">
        <v>0.20900000000000002</v>
      </c>
      <c r="U2137" s="372" t="s">
        <v>13738</v>
      </c>
      <c r="V2137" s="723">
        <v>3.93</v>
      </c>
      <c r="W2137" s="723">
        <v>0.51</v>
      </c>
      <c r="X2137" s="723">
        <v>0.68</v>
      </c>
      <c r="Y2137" s="723">
        <v>6.49</v>
      </c>
      <c r="Z2137" s="382" t="s">
        <v>927</v>
      </c>
      <c r="AA2137" s="372">
        <v>444.13659380000001</v>
      </c>
      <c r="AB2137" s="372">
        <v>438.77902019999999</v>
      </c>
      <c r="AC2137" s="372">
        <v>449.47291910000001</v>
      </c>
      <c r="AD2137" s="372">
        <v>519.429079</v>
      </c>
      <c r="AE2137" s="372">
        <v>0</v>
      </c>
      <c r="AF2137" s="372">
        <v>0</v>
      </c>
      <c r="AG2137" s="372">
        <v>0</v>
      </c>
      <c r="AH2137" s="372">
        <v>0</v>
      </c>
    </row>
    <row r="2138" spans="1:34">
      <c r="A2138" s="372" t="s">
        <v>13739</v>
      </c>
      <c r="B2138" s="372" t="s">
        <v>13740</v>
      </c>
      <c r="C2138" s="372" t="s">
        <v>13741</v>
      </c>
      <c r="D2138" s="374">
        <v>1101113149287</v>
      </c>
      <c r="E2138" s="372" t="s">
        <v>13742</v>
      </c>
      <c r="F2138" s="372" t="s">
        <v>1370</v>
      </c>
      <c r="G2138" s="375" t="s">
        <v>1370</v>
      </c>
      <c r="H2138" s="375" t="s">
        <v>861</v>
      </c>
      <c r="I2138" s="375" t="s">
        <v>862</v>
      </c>
      <c r="J2138" s="375">
        <v>34304.052779999998</v>
      </c>
      <c r="K2138" s="375">
        <v>4009.4611199999999</v>
      </c>
      <c r="L2138" s="375">
        <v>4909.2924400000002</v>
      </c>
      <c r="M2138" s="375">
        <v>39934.190499999997</v>
      </c>
      <c r="N2138" s="372">
        <v>0.74199999999999999</v>
      </c>
      <c r="O2138" s="704">
        <v>0.4775727029495942</v>
      </c>
      <c r="P2138" s="563" t="s">
        <v>622</v>
      </c>
      <c r="Q2138" s="372" t="s">
        <v>622</v>
      </c>
      <c r="R2138" s="696">
        <v>20210311</v>
      </c>
      <c r="S2138" s="372" t="s">
        <v>13743</v>
      </c>
      <c r="T2138" s="697">
        <v>0.20900000000000002</v>
      </c>
      <c r="U2138" s="372" t="s">
        <v>13744</v>
      </c>
      <c r="V2138" s="723">
        <v>8.4700000000000006</v>
      </c>
      <c r="W2138" s="723">
        <v>1.08</v>
      </c>
      <c r="X2138" s="723">
        <v>1.08</v>
      </c>
      <c r="Y2138" s="723">
        <v>9.57</v>
      </c>
      <c r="Z2138" s="382" t="s">
        <v>927</v>
      </c>
      <c r="AA2138" s="372">
        <v>206.00081259999999</v>
      </c>
      <c r="AB2138" s="372">
        <v>221.85766039999999</v>
      </c>
      <c r="AC2138" s="372">
        <v>227.5388878</v>
      </c>
      <c r="AD2138" s="372">
        <v>246.7574497</v>
      </c>
      <c r="AE2138" s="372">
        <v>0</v>
      </c>
      <c r="AF2138" s="372">
        <v>0</v>
      </c>
      <c r="AG2138" s="372">
        <v>0</v>
      </c>
      <c r="AH2138" s="372">
        <v>0</v>
      </c>
    </row>
    <row r="2139" spans="1:34">
      <c r="A2139" s="372" t="s">
        <v>13745</v>
      </c>
      <c r="B2139" s="372" t="s">
        <v>13746</v>
      </c>
      <c r="C2139" s="372" t="s">
        <v>13747</v>
      </c>
      <c r="D2139" s="374">
        <v>1101112141672</v>
      </c>
      <c r="E2139" s="372" t="s">
        <v>13748</v>
      </c>
      <c r="F2139" s="372" t="s">
        <v>2864</v>
      </c>
      <c r="G2139" s="375" t="s">
        <v>5983</v>
      </c>
      <c r="H2139" s="375" t="s">
        <v>826</v>
      </c>
      <c r="I2139" s="375" t="s">
        <v>754</v>
      </c>
      <c r="J2139" s="375">
        <v>25486.908609999999</v>
      </c>
      <c r="K2139" s="375">
        <v>-3484.9287800000002</v>
      </c>
      <c r="L2139" s="375">
        <v>-3923.75119</v>
      </c>
      <c r="M2139" s="375">
        <v>29739.0995</v>
      </c>
      <c r="N2139" s="372">
        <v>0.72899999999999998</v>
      </c>
      <c r="O2139" s="704">
        <v>19.657437508823115</v>
      </c>
      <c r="P2139" s="563" t="s">
        <v>622</v>
      </c>
      <c r="Q2139" s="372" t="s">
        <v>622</v>
      </c>
      <c r="R2139" s="696">
        <v>20010129</v>
      </c>
      <c r="S2139" s="372" t="s">
        <v>13749</v>
      </c>
      <c r="T2139" s="697" t="s">
        <v>771</v>
      </c>
      <c r="U2139" s="372" t="s">
        <v>13750</v>
      </c>
      <c r="V2139" s="723">
        <v>0</v>
      </c>
      <c r="W2139" s="723">
        <v>0</v>
      </c>
      <c r="X2139" s="723">
        <v>0</v>
      </c>
      <c r="Y2139" s="723">
        <v>0</v>
      </c>
      <c r="Z2139" s="382" t="s">
        <v>927</v>
      </c>
      <c r="AA2139" s="372">
        <v>432.88270260000002</v>
      </c>
      <c r="AB2139" s="372">
        <v>347.85240800000003</v>
      </c>
      <c r="AC2139" s="372">
        <v>290.90013870000001</v>
      </c>
      <c r="AD2139" s="372">
        <v>282.81407519999999</v>
      </c>
      <c r="AE2139" s="372">
        <v>0</v>
      </c>
      <c r="AF2139" s="372">
        <v>0</v>
      </c>
      <c r="AG2139" s="372">
        <v>0</v>
      </c>
      <c r="AH2139" s="372">
        <v>0</v>
      </c>
    </row>
    <row r="2140" spans="1:34">
      <c r="A2140" s="372" t="s">
        <v>13751</v>
      </c>
      <c r="B2140" s="372" t="s">
        <v>13752</v>
      </c>
      <c r="C2140" s="372" t="s">
        <v>13753</v>
      </c>
      <c r="D2140" s="374">
        <v>1101115829944</v>
      </c>
      <c r="E2140" s="372" t="s">
        <v>13754</v>
      </c>
      <c r="F2140" s="372" t="s">
        <v>1796</v>
      </c>
      <c r="G2140" s="375" t="s">
        <v>1797</v>
      </c>
      <c r="H2140" s="375" t="s">
        <v>861</v>
      </c>
      <c r="I2140" s="375" t="s">
        <v>862</v>
      </c>
      <c r="J2140" s="375">
        <v>10871.20163</v>
      </c>
      <c r="K2140" s="375">
        <v>-1854.4836499999999</v>
      </c>
      <c r="L2140" s="375">
        <v>-112.27986</v>
      </c>
      <c r="M2140" s="375">
        <v>20806.781360000001</v>
      </c>
      <c r="N2140" s="372">
        <v>1.482</v>
      </c>
      <c r="O2140" s="704">
        <v>3.4286505605850497</v>
      </c>
      <c r="P2140" s="563" t="s">
        <v>622</v>
      </c>
      <c r="Q2140" s="372" t="s">
        <v>622</v>
      </c>
      <c r="R2140" s="696">
        <v>20221020</v>
      </c>
      <c r="S2140" s="372" t="s">
        <v>13755</v>
      </c>
      <c r="T2140" s="697" t="s">
        <v>771</v>
      </c>
      <c r="U2140" s="372" t="s">
        <v>13756</v>
      </c>
      <c r="V2140" s="723">
        <v>0</v>
      </c>
      <c r="W2140" s="723">
        <v>0</v>
      </c>
      <c r="X2140" s="723">
        <v>0</v>
      </c>
      <c r="Y2140" s="723">
        <v>0</v>
      </c>
      <c r="Z2140" s="382" t="s">
        <v>927</v>
      </c>
      <c r="AA2140" s="372">
        <v>48.863192900000001</v>
      </c>
      <c r="AB2140" s="372">
        <v>82.091426900000002</v>
      </c>
      <c r="AC2140" s="372">
        <v>87.652562900000007</v>
      </c>
      <c r="AD2140" s="372">
        <v>127.5303163</v>
      </c>
      <c r="AE2140" s="372">
        <v>0</v>
      </c>
      <c r="AF2140" s="372">
        <v>0</v>
      </c>
      <c r="AG2140" s="372">
        <v>0</v>
      </c>
      <c r="AH2140" s="372">
        <v>0</v>
      </c>
    </row>
    <row r="2141" spans="1:34">
      <c r="A2141" s="372" t="s">
        <v>13757</v>
      </c>
      <c r="B2141" s="372" t="s">
        <v>13758</v>
      </c>
      <c r="C2141" s="372" t="s">
        <v>16313</v>
      </c>
      <c r="D2141" s="374">
        <v>1211110117424</v>
      </c>
      <c r="E2141" s="372" t="s">
        <v>16314</v>
      </c>
      <c r="F2141" s="372" t="s">
        <v>1836</v>
      </c>
      <c r="G2141" s="375" t="s">
        <v>1836</v>
      </c>
      <c r="H2141" s="375" t="s">
        <v>3099</v>
      </c>
      <c r="I2141" s="375" t="s">
        <v>862</v>
      </c>
      <c r="J2141" s="375">
        <v>6105.7690199999997</v>
      </c>
      <c r="K2141" s="375">
        <v>-11832.62218</v>
      </c>
      <c r="L2141" s="375">
        <v>-1655.2942599999999</v>
      </c>
      <c r="M2141" s="375">
        <v>-21310.874739999999</v>
      </c>
      <c r="N2141" s="372">
        <v>0.371</v>
      </c>
      <c r="O2141" s="704">
        <v>37.374142386566405</v>
      </c>
      <c r="P2141" s="563" t="s">
        <v>16115</v>
      </c>
      <c r="Q2141" s="372" t="s">
        <v>16116</v>
      </c>
      <c r="R2141" s="696">
        <v>20151013</v>
      </c>
      <c r="S2141" s="372" t="s">
        <v>13759</v>
      </c>
      <c r="T2141" s="697" t="s">
        <v>771</v>
      </c>
      <c r="U2141" s="372" t="s">
        <v>13760</v>
      </c>
      <c r="V2141" s="723" t="s">
        <v>773</v>
      </c>
      <c r="W2141" s="723" t="s">
        <v>773</v>
      </c>
      <c r="X2141" s="723">
        <v>9.2899999999999991</v>
      </c>
      <c r="Y2141" s="723">
        <v>195.21</v>
      </c>
      <c r="Z2141" s="382" t="s">
        <v>927</v>
      </c>
      <c r="AA2141" s="372">
        <v>544.16701550000005</v>
      </c>
      <c r="AB2141" s="372">
        <v>293.53914809999998</v>
      </c>
      <c r="AC2141" s="372">
        <v>217.10751819999999</v>
      </c>
      <c r="AD2141" s="372">
        <v>126.2117173</v>
      </c>
      <c r="AE2141" s="372">
        <v>0</v>
      </c>
      <c r="AF2141" s="372">
        <v>0</v>
      </c>
      <c r="AG2141" s="372">
        <v>0</v>
      </c>
      <c r="AH2141" s="372">
        <v>0</v>
      </c>
    </row>
    <row r="2142" spans="1:34">
      <c r="A2142" s="372" t="s">
        <v>13761</v>
      </c>
      <c r="B2142" s="372" t="s">
        <v>13762</v>
      </c>
      <c r="C2142" s="372" t="s">
        <v>13763</v>
      </c>
      <c r="D2142" s="374">
        <v>1101110948997</v>
      </c>
      <c r="E2142" s="372" t="s">
        <v>13764</v>
      </c>
      <c r="F2142" s="372" t="s">
        <v>5132</v>
      </c>
      <c r="G2142" s="375" t="s">
        <v>8123</v>
      </c>
      <c r="H2142" s="375" t="s">
        <v>3099</v>
      </c>
      <c r="I2142" s="375" t="s">
        <v>862</v>
      </c>
      <c r="J2142" s="375">
        <v>70662.536749999999</v>
      </c>
      <c r="K2142" s="375">
        <v>3880.5513599999999</v>
      </c>
      <c r="L2142" s="375">
        <v>4119.27207</v>
      </c>
      <c r="M2142" s="375">
        <v>50535.165050000003</v>
      </c>
      <c r="N2142" s="372">
        <v>0.76400000000000001</v>
      </c>
      <c r="O2142" s="704">
        <v>6.1362407946901589</v>
      </c>
      <c r="P2142" s="563" t="s">
        <v>622</v>
      </c>
      <c r="Q2142" s="372" t="s">
        <v>622</v>
      </c>
      <c r="R2142" s="696">
        <v>20111011</v>
      </c>
      <c r="S2142" s="372" t="s">
        <v>13765</v>
      </c>
      <c r="T2142" s="697">
        <v>0.20900000000000002</v>
      </c>
      <c r="U2142" s="372" t="s">
        <v>13766</v>
      </c>
      <c r="V2142" s="723">
        <v>8.2899999999999991</v>
      </c>
      <c r="W2142" s="723">
        <v>0.86</v>
      </c>
      <c r="X2142" s="723">
        <v>0.52</v>
      </c>
      <c r="Y2142" s="723">
        <v>18.55</v>
      </c>
      <c r="Z2142" s="382" t="s">
        <v>927</v>
      </c>
      <c r="AA2142" s="372">
        <v>615.08211610000001</v>
      </c>
      <c r="AB2142" s="372">
        <v>662.80825519999996</v>
      </c>
      <c r="AC2142" s="372">
        <v>722.79688050000004</v>
      </c>
      <c r="AD2142" s="372">
        <v>737.02238890000001</v>
      </c>
      <c r="AE2142" s="372">
        <v>0</v>
      </c>
      <c r="AF2142" s="372">
        <v>0</v>
      </c>
      <c r="AG2142" s="372">
        <v>0</v>
      </c>
      <c r="AH2142" s="372">
        <v>0</v>
      </c>
    </row>
    <row r="2143" spans="1:34">
      <c r="A2143" s="372" t="s">
        <v>13767</v>
      </c>
      <c r="B2143" s="372" t="s">
        <v>13768</v>
      </c>
      <c r="C2143" s="372" t="s">
        <v>13769</v>
      </c>
      <c r="D2143" s="374">
        <v>1701110006412</v>
      </c>
      <c r="E2143" s="372" t="s">
        <v>13770</v>
      </c>
      <c r="F2143" s="372" t="s">
        <v>880</v>
      </c>
      <c r="G2143" s="375" t="s">
        <v>880</v>
      </c>
      <c r="H2143" s="375" t="s">
        <v>792</v>
      </c>
      <c r="I2143" s="375" t="s">
        <v>754</v>
      </c>
      <c r="J2143" s="375">
        <v>824994.66772000003</v>
      </c>
      <c r="K2143" s="375">
        <v>20778.829890000001</v>
      </c>
      <c r="L2143" s="375">
        <v>-9390.9842800000006</v>
      </c>
      <c r="M2143" s="375">
        <v>126542.53807</v>
      </c>
      <c r="N2143" s="372">
        <v>0.78700000000000003</v>
      </c>
      <c r="O2143" s="704">
        <v>628.00804843424748</v>
      </c>
      <c r="P2143" s="563" t="s">
        <v>622</v>
      </c>
      <c r="Q2143" s="372" t="s">
        <v>622</v>
      </c>
      <c r="R2143" s="696">
        <v>19860331</v>
      </c>
      <c r="S2143" s="372" t="s">
        <v>854</v>
      </c>
      <c r="T2143" s="697" t="s">
        <v>771</v>
      </c>
      <c r="U2143" s="372" t="s">
        <v>11991</v>
      </c>
      <c r="V2143" s="723">
        <v>5.3</v>
      </c>
      <c r="W2143" s="723">
        <v>0.4</v>
      </c>
      <c r="X2143" s="723">
        <v>0.05</v>
      </c>
      <c r="Y2143" s="723" t="s">
        <v>773</v>
      </c>
      <c r="Z2143" s="382" t="s">
        <v>927</v>
      </c>
      <c r="AA2143" s="372">
        <v>5211.1123347000002</v>
      </c>
      <c r="AB2143" s="372">
        <v>6277.3285480000004</v>
      </c>
      <c r="AC2143" s="372">
        <v>7402.3100548000002</v>
      </c>
      <c r="AD2143" s="372">
        <v>7970.5250276999996</v>
      </c>
      <c r="AE2143" s="372">
        <v>0</v>
      </c>
      <c r="AF2143" s="372">
        <v>0</v>
      </c>
      <c r="AG2143" s="372">
        <v>0</v>
      </c>
      <c r="AH2143" s="372">
        <v>0</v>
      </c>
    </row>
    <row r="2144" spans="1:34">
      <c r="A2144" s="372" t="s">
        <v>13771</v>
      </c>
      <c r="B2144" s="372" t="s">
        <v>13772</v>
      </c>
      <c r="C2144" s="372" t="s">
        <v>16315</v>
      </c>
      <c r="D2144" s="374">
        <v>1101110084767</v>
      </c>
      <c r="E2144" s="372" t="s">
        <v>16316</v>
      </c>
      <c r="F2144" s="372" t="s">
        <v>6986</v>
      </c>
      <c r="G2144" s="375" t="s">
        <v>13773</v>
      </c>
      <c r="H2144" s="375" t="s">
        <v>846</v>
      </c>
      <c r="I2144" s="375" t="s">
        <v>754</v>
      </c>
      <c r="J2144" s="375">
        <v>241354.38823000001</v>
      </c>
      <c r="K2144" s="375">
        <v>-6659.6429399999997</v>
      </c>
      <c r="L2144" s="375">
        <v>-7245.8584099999998</v>
      </c>
      <c r="M2144" s="375">
        <v>106387.98695000001</v>
      </c>
      <c r="N2144" s="372">
        <v>0.96</v>
      </c>
      <c r="O2144" s="704">
        <v>122.67541318983237</v>
      </c>
      <c r="P2144" s="563" t="s">
        <v>622</v>
      </c>
      <c r="Q2144" s="372" t="s">
        <v>622</v>
      </c>
      <c r="R2144" s="696">
        <v>19961224</v>
      </c>
      <c r="S2144" s="372" t="s">
        <v>13774</v>
      </c>
      <c r="T2144" s="697" t="s">
        <v>771</v>
      </c>
      <c r="U2144" s="372" t="s">
        <v>13775</v>
      </c>
      <c r="V2144" s="723" t="s">
        <v>773</v>
      </c>
      <c r="W2144" s="723">
        <v>0.34</v>
      </c>
      <c r="X2144" s="723">
        <v>0.15</v>
      </c>
      <c r="Y2144" s="723" t="s">
        <v>773</v>
      </c>
      <c r="Z2144" s="382" t="s">
        <v>927</v>
      </c>
      <c r="AA2144" s="372">
        <v>2534.2104402999998</v>
      </c>
      <c r="AB2144" s="372">
        <v>2260.7666296000002</v>
      </c>
      <c r="AC2144" s="372">
        <v>3298.7666718999999</v>
      </c>
      <c r="AD2144" s="372">
        <v>2244.3868643999999</v>
      </c>
      <c r="AE2144" s="372">
        <v>0</v>
      </c>
      <c r="AF2144" s="372">
        <v>0</v>
      </c>
      <c r="AG2144" s="372">
        <v>0</v>
      </c>
      <c r="AH2144" s="372">
        <v>0</v>
      </c>
    </row>
    <row r="2145" spans="1:34">
      <c r="A2145" s="372" t="s">
        <v>13776</v>
      </c>
      <c r="B2145" s="372" t="s">
        <v>13777</v>
      </c>
      <c r="C2145" s="372" t="s">
        <v>13778</v>
      </c>
      <c r="D2145" s="374">
        <v>1350110031042</v>
      </c>
      <c r="E2145" s="372" t="s">
        <v>13779</v>
      </c>
      <c r="F2145" s="372" t="s">
        <v>3721</v>
      </c>
      <c r="G2145" s="375" t="s">
        <v>3722</v>
      </c>
      <c r="H2145" s="375" t="s">
        <v>861</v>
      </c>
      <c r="I2145" s="375" t="s">
        <v>862</v>
      </c>
      <c r="J2145" s="375">
        <v>252427.39567999999</v>
      </c>
      <c r="K2145" s="375">
        <v>11625.691070000001</v>
      </c>
      <c r="L2145" s="375">
        <v>10465.950080000001</v>
      </c>
      <c r="M2145" s="375">
        <v>91896.643979999993</v>
      </c>
      <c r="N2145" s="372">
        <v>0.79700000000000004</v>
      </c>
      <c r="O2145" s="704">
        <v>58.282658070365024</v>
      </c>
      <c r="P2145" s="563" t="s">
        <v>622</v>
      </c>
      <c r="Q2145" s="372" t="s">
        <v>622</v>
      </c>
      <c r="R2145" s="696">
        <v>20030122</v>
      </c>
      <c r="S2145" s="372" t="s">
        <v>13780</v>
      </c>
      <c r="T2145" s="697">
        <v>0.20900000000000002</v>
      </c>
      <c r="U2145" s="372" t="s">
        <v>13781</v>
      </c>
      <c r="V2145" s="723">
        <v>2.68</v>
      </c>
      <c r="W2145" s="723">
        <v>0.44</v>
      </c>
      <c r="X2145" s="723">
        <v>0.16</v>
      </c>
      <c r="Y2145" s="723">
        <v>4.5999999999999996</v>
      </c>
      <c r="Z2145" s="382" t="s">
        <v>927</v>
      </c>
      <c r="AA2145" s="372">
        <v>1706.9321620000001</v>
      </c>
      <c r="AB2145" s="372">
        <v>1721.0199525</v>
      </c>
      <c r="AC2145" s="372">
        <v>2100.4989559999999</v>
      </c>
      <c r="AD2145" s="372">
        <v>2520.9686504000001</v>
      </c>
      <c r="AE2145" s="372">
        <v>0</v>
      </c>
      <c r="AF2145" s="372">
        <v>0</v>
      </c>
      <c r="AG2145" s="372">
        <v>0</v>
      </c>
      <c r="AH2145" s="372">
        <v>0</v>
      </c>
    </row>
    <row r="2146" spans="1:34">
      <c r="A2146" s="372" t="s">
        <v>13782</v>
      </c>
      <c r="B2146" s="372" t="s">
        <v>13783</v>
      </c>
      <c r="C2146" s="372" t="s">
        <v>13784</v>
      </c>
      <c r="D2146" s="374">
        <v>1101110103707</v>
      </c>
      <c r="E2146" s="372" t="s">
        <v>13785</v>
      </c>
      <c r="F2146" s="372" t="s">
        <v>12310</v>
      </c>
      <c r="G2146" s="375" t="s">
        <v>13786</v>
      </c>
      <c r="H2146" s="375" t="s">
        <v>861</v>
      </c>
      <c r="I2146" s="375" t="s">
        <v>862</v>
      </c>
      <c r="J2146" s="375">
        <v>76344.003110000005</v>
      </c>
      <c r="K2146" s="375">
        <v>618.81102999999996</v>
      </c>
      <c r="L2146" s="375">
        <v>1448.8010300000001</v>
      </c>
      <c r="M2146" s="375">
        <v>49019.652580000002</v>
      </c>
      <c r="N2146" s="372">
        <v>0.753</v>
      </c>
      <c r="O2146" s="704">
        <v>15.405798187395551</v>
      </c>
      <c r="P2146" s="563" t="s">
        <v>622</v>
      </c>
      <c r="Q2146" s="372" t="s">
        <v>622</v>
      </c>
      <c r="R2146" s="696">
        <v>19940930</v>
      </c>
      <c r="S2146" s="372" t="s">
        <v>13787</v>
      </c>
      <c r="T2146" s="697">
        <v>0.20900000000000002</v>
      </c>
      <c r="U2146" s="372" t="s">
        <v>13788</v>
      </c>
      <c r="V2146" s="723">
        <v>0</v>
      </c>
      <c r="W2146" s="723">
        <v>0</v>
      </c>
      <c r="X2146" s="723">
        <v>0</v>
      </c>
      <c r="Y2146" s="723">
        <v>0</v>
      </c>
      <c r="Z2146" s="382" t="s">
        <v>927</v>
      </c>
      <c r="AA2146" s="372">
        <v>643.8605589</v>
      </c>
      <c r="AB2146" s="372">
        <v>550.30165950000003</v>
      </c>
      <c r="AC2146" s="372">
        <v>635.9942006</v>
      </c>
      <c r="AD2146" s="372">
        <v>766.40521220000005</v>
      </c>
      <c r="AE2146" s="372">
        <v>0</v>
      </c>
      <c r="AF2146" s="372">
        <v>0</v>
      </c>
      <c r="AG2146" s="372">
        <v>0</v>
      </c>
      <c r="AH2146" s="372">
        <v>0</v>
      </c>
    </row>
    <row r="2147" spans="1:34">
      <c r="A2147" s="372" t="s">
        <v>13789</v>
      </c>
      <c r="B2147" s="372" t="s">
        <v>13790</v>
      </c>
      <c r="C2147" s="372" t="s">
        <v>13791</v>
      </c>
      <c r="D2147" s="374">
        <v>1101110358956</v>
      </c>
      <c r="E2147" s="372" t="s">
        <v>13792</v>
      </c>
      <c r="F2147" s="372" t="s">
        <v>9928</v>
      </c>
      <c r="G2147" s="375" t="s">
        <v>9928</v>
      </c>
      <c r="H2147" s="375" t="s">
        <v>3099</v>
      </c>
      <c r="I2147" s="375" t="s">
        <v>862</v>
      </c>
      <c r="J2147" s="375">
        <v>21350.693950000001</v>
      </c>
      <c r="K2147" s="375">
        <v>-83.989980000000003</v>
      </c>
      <c r="L2147" s="375">
        <v>-5348.0373900000004</v>
      </c>
      <c r="M2147" s="375">
        <v>34570.400459999997</v>
      </c>
      <c r="N2147" s="372">
        <v>0.36599999999999999</v>
      </c>
      <c r="O2147" s="704">
        <v>172.29265097294319</v>
      </c>
      <c r="P2147" s="563" t="s">
        <v>622</v>
      </c>
      <c r="Q2147" s="372" t="s">
        <v>622</v>
      </c>
      <c r="R2147" s="696">
        <v>19970806</v>
      </c>
      <c r="S2147" s="372" t="s">
        <v>13793</v>
      </c>
      <c r="T2147" s="697" t="s">
        <v>771</v>
      </c>
      <c r="U2147" s="372" t="s">
        <v>13794</v>
      </c>
      <c r="V2147" s="723">
        <v>64.61</v>
      </c>
      <c r="W2147" s="723">
        <v>1.24</v>
      </c>
      <c r="X2147" s="723">
        <v>1.62</v>
      </c>
      <c r="Y2147" s="723" t="s">
        <v>773</v>
      </c>
      <c r="Z2147" s="382" t="s">
        <v>927</v>
      </c>
      <c r="AA2147" s="372">
        <v>222.31699879999999</v>
      </c>
      <c r="AB2147" s="372">
        <v>112.3896834</v>
      </c>
      <c r="AC2147" s="372">
        <v>128.76707250000001</v>
      </c>
      <c r="AD2147" s="372">
        <v>88.890382000000002</v>
      </c>
      <c r="AE2147" s="372">
        <v>0</v>
      </c>
      <c r="AF2147" s="372">
        <v>0</v>
      </c>
      <c r="AG2147" s="372">
        <v>0</v>
      </c>
      <c r="AH2147" s="372">
        <v>0</v>
      </c>
    </row>
    <row r="2148" spans="1:34">
      <c r="A2148" s="372" t="s">
        <v>13795</v>
      </c>
      <c r="B2148" s="372" t="s">
        <v>13796</v>
      </c>
      <c r="C2148" s="372" t="s">
        <v>13797</v>
      </c>
      <c r="D2148" s="374">
        <v>1301110060490</v>
      </c>
      <c r="E2148" s="372" t="s">
        <v>13798</v>
      </c>
      <c r="F2148" s="372" t="s">
        <v>1177</v>
      </c>
      <c r="G2148" s="375" t="s">
        <v>1178</v>
      </c>
      <c r="H2148" s="375" t="s">
        <v>861</v>
      </c>
      <c r="I2148" s="375" t="s">
        <v>862</v>
      </c>
      <c r="J2148" s="375">
        <v>33801.299590000002</v>
      </c>
      <c r="K2148" s="375">
        <v>-213.98894000000001</v>
      </c>
      <c r="L2148" s="375">
        <v>-994.58133999999995</v>
      </c>
      <c r="M2148" s="375">
        <v>37180.615599999997</v>
      </c>
      <c r="N2148" s="372">
        <v>1.0589999999999999</v>
      </c>
      <c r="O2148" s="704">
        <v>45.045934312286576</v>
      </c>
      <c r="P2148" s="563" t="s">
        <v>622</v>
      </c>
      <c r="Q2148" s="372" t="s">
        <v>622</v>
      </c>
      <c r="R2148" s="696">
        <v>20081216</v>
      </c>
      <c r="S2148" s="372" t="s">
        <v>13799</v>
      </c>
      <c r="T2148" s="697" t="s">
        <v>771</v>
      </c>
      <c r="U2148" s="372" t="s">
        <v>13800</v>
      </c>
      <c r="V2148" s="723">
        <v>0</v>
      </c>
      <c r="W2148" s="723">
        <v>0</v>
      </c>
      <c r="X2148" s="723">
        <v>0</v>
      </c>
      <c r="Y2148" s="723">
        <v>0</v>
      </c>
      <c r="Z2148" s="382" t="s">
        <v>927</v>
      </c>
      <c r="AA2148" s="372">
        <v>291.17320530000001</v>
      </c>
      <c r="AB2148" s="372">
        <v>352.9601892</v>
      </c>
      <c r="AC2148" s="372">
        <v>353.05746399999998</v>
      </c>
      <c r="AD2148" s="372">
        <v>273.49339959999998</v>
      </c>
      <c r="AE2148" s="372">
        <v>0</v>
      </c>
      <c r="AF2148" s="372">
        <v>0</v>
      </c>
      <c r="AG2148" s="372">
        <v>0</v>
      </c>
      <c r="AH2148" s="372">
        <v>0</v>
      </c>
    </row>
    <row r="2149" spans="1:34">
      <c r="A2149" s="372" t="s">
        <v>13801</v>
      </c>
      <c r="B2149" s="372" t="s">
        <v>13802</v>
      </c>
      <c r="C2149" s="372" t="s">
        <v>13803</v>
      </c>
      <c r="D2149" s="374">
        <v>1348110004664</v>
      </c>
      <c r="E2149" s="372" t="s">
        <v>13804</v>
      </c>
      <c r="F2149" s="372" t="s">
        <v>5514</v>
      </c>
      <c r="G2149" s="375" t="s">
        <v>5514</v>
      </c>
      <c r="H2149" s="375" t="s">
        <v>861</v>
      </c>
      <c r="I2149" s="375" t="s">
        <v>862</v>
      </c>
      <c r="J2149" s="375">
        <v>208903.27369</v>
      </c>
      <c r="K2149" s="375">
        <v>-12355.774509999999</v>
      </c>
      <c r="L2149" s="375">
        <v>-23009.658360000001</v>
      </c>
      <c r="M2149" s="375">
        <v>58345.115879999998</v>
      </c>
      <c r="N2149" s="372">
        <v>0.97599999999999998</v>
      </c>
      <c r="O2149" s="704">
        <v>314.05848370284275</v>
      </c>
      <c r="P2149" s="563" t="s">
        <v>622</v>
      </c>
      <c r="Q2149" s="372" t="s">
        <v>622</v>
      </c>
      <c r="R2149" s="696">
        <v>20040204</v>
      </c>
      <c r="S2149" s="372" t="s">
        <v>13805</v>
      </c>
      <c r="T2149" s="697" t="s">
        <v>771</v>
      </c>
      <c r="U2149" s="372" t="s">
        <v>13806</v>
      </c>
      <c r="V2149" s="723" t="s">
        <v>773</v>
      </c>
      <c r="W2149" s="723">
        <v>0.46</v>
      </c>
      <c r="X2149" s="723">
        <v>0.13</v>
      </c>
      <c r="Y2149" s="723" t="s">
        <v>773</v>
      </c>
      <c r="Z2149" s="382" t="s">
        <v>927</v>
      </c>
      <c r="AA2149" s="372">
        <v>1808.0649163999999</v>
      </c>
      <c r="AB2149" s="372">
        <v>2219.5100968000002</v>
      </c>
      <c r="AC2149" s="372">
        <v>2564.8227449999999</v>
      </c>
      <c r="AD2149" s="372">
        <v>2127.3514475000002</v>
      </c>
      <c r="AE2149" s="372">
        <v>0</v>
      </c>
      <c r="AF2149" s="372">
        <v>0</v>
      </c>
      <c r="AG2149" s="372">
        <v>0</v>
      </c>
      <c r="AH2149" s="372">
        <v>0</v>
      </c>
    </row>
    <row r="2150" spans="1:34">
      <c r="A2150" s="372" t="s">
        <v>13807</v>
      </c>
      <c r="B2150" s="372" t="s">
        <v>13808</v>
      </c>
      <c r="C2150" s="372" t="s">
        <v>13809</v>
      </c>
      <c r="D2150" s="374">
        <v>1101110012825</v>
      </c>
      <c r="E2150" s="372" t="s">
        <v>13810</v>
      </c>
      <c r="F2150" s="372" t="s">
        <v>2259</v>
      </c>
      <c r="G2150" s="375" t="s">
        <v>2259</v>
      </c>
      <c r="H2150" s="375" t="s">
        <v>4847</v>
      </c>
      <c r="I2150" s="375" t="s">
        <v>862</v>
      </c>
      <c r="J2150" s="375">
        <v>91587.663499999995</v>
      </c>
      <c r="K2150" s="375">
        <v>3471.6968400000001</v>
      </c>
      <c r="L2150" s="375">
        <v>4676.1183899999996</v>
      </c>
      <c r="M2150" s="375">
        <v>66492.815210000001</v>
      </c>
      <c r="N2150" s="372">
        <v>0.52800000000000002</v>
      </c>
      <c r="O2150" s="704">
        <v>0.25168608906153245</v>
      </c>
      <c r="P2150" s="563" t="s">
        <v>622</v>
      </c>
      <c r="Q2150" s="372" t="s">
        <v>622</v>
      </c>
      <c r="R2150" s="696">
        <v>19921123</v>
      </c>
      <c r="S2150" s="372" t="s">
        <v>5043</v>
      </c>
      <c r="T2150" s="697">
        <v>0.20900000000000002</v>
      </c>
      <c r="U2150" s="372" t="s">
        <v>13811</v>
      </c>
      <c r="V2150" s="723">
        <v>0</v>
      </c>
      <c r="W2150" s="723">
        <v>0</v>
      </c>
      <c r="X2150" s="723">
        <v>0</v>
      </c>
      <c r="Y2150" s="723">
        <v>0</v>
      </c>
      <c r="Z2150" s="382" t="s">
        <v>927</v>
      </c>
      <c r="AA2150" s="372">
        <v>646.91731270000002</v>
      </c>
      <c r="AB2150" s="372">
        <v>738.03536670000005</v>
      </c>
      <c r="AC2150" s="372">
        <v>636.21775709999997</v>
      </c>
      <c r="AD2150" s="372">
        <v>786.39206750000005</v>
      </c>
      <c r="AE2150" s="372">
        <v>0</v>
      </c>
      <c r="AF2150" s="372">
        <v>0</v>
      </c>
      <c r="AG2150" s="372">
        <v>0</v>
      </c>
      <c r="AH2150" s="372">
        <v>0</v>
      </c>
    </row>
    <row r="2151" spans="1:34">
      <c r="A2151" s="372" t="s">
        <v>13812</v>
      </c>
      <c r="B2151" s="372" t="s">
        <v>13813</v>
      </c>
      <c r="C2151" s="372" t="s">
        <v>13814</v>
      </c>
      <c r="D2151" s="374">
        <v>1845110003856</v>
      </c>
      <c r="E2151" s="372" t="s">
        <v>13815</v>
      </c>
      <c r="F2151" s="372" t="s">
        <v>2747</v>
      </c>
      <c r="G2151" s="375" t="s">
        <v>6512</v>
      </c>
      <c r="H2151" s="375" t="s">
        <v>861</v>
      </c>
      <c r="I2151" s="375" t="s">
        <v>862</v>
      </c>
      <c r="J2151" s="375">
        <v>0</v>
      </c>
      <c r="K2151" s="375">
        <v>0</v>
      </c>
      <c r="L2151" s="375">
        <v>0</v>
      </c>
      <c r="M2151" s="375">
        <v>51580.172989999999</v>
      </c>
      <c r="N2151" s="372">
        <v>0.59</v>
      </c>
      <c r="O2151" s="704">
        <v>364.64085993404456</v>
      </c>
      <c r="P2151" s="563" t="s">
        <v>622</v>
      </c>
      <c r="Q2151" s="372" t="s">
        <v>622</v>
      </c>
      <c r="R2151" s="696">
        <v>19960820</v>
      </c>
      <c r="S2151" s="372" t="s">
        <v>13816</v>
      </c>
      <c r="T2151" s="697" t="s">
        <v>771</v>
      </c>
      <c r="U2151" s="372" t="s">
        <v>13817</v>
      </c>
      <c r="V2151" s="723">
        <v>0</v>
      </c>
      <c r="W2151" s="723">
        <v>0.64</v>
      </c>
      <c r="X2151" s="723">
        <v>0</v>
      </c>
      <c r="Y2151" s="723">
        <v>0</v>
      </c>
      <c r="Z2151" s="382" t="s">
        <v>927</v>
      </c>
      <c r="AA2151" s="372">
        <v>1416.6547917</v>
      </c>
      <c r="AB2151" s="372">
        <v>2122.1146193</v>
      </c>
      <c r="AC2151" s="372">
        <v>3068.4556441</v>
      </c>
      <c r="AD2151" s="372">
        <v>3005.5995799000002</v>
      </c>
      <c r="AE2151" s="372">
        <v>0</v>
      </c>
      <c r="AF2151" s="372">
        <v>0</v>
      </c>
      <c r="AG2151" s="372">
        <v>0</v>
      </c>
      <c r="AH2151" s="372">
        <v>0</v>
      </c>
    </row>
    <row r="2152" spans="1:34">
      <c r="A2152" s="372" t="s">
        <v>13818</v>
      </c>
      <c r="B2152" s="372" t="s">
        <v>13819</v>
      </c>
      <c r="C2152" s="372" t="s">
        <v>13820</v>
      </c>
      <c r="D2152" s="374">
        <v>1101111667273</v>
      </c>
      <c r="E2152" s="372" t="s">
        <v>13821</v>
      </c>
      <c r="F2152" s="372" t="s">
        <v>1177</v>
      </c>
      <c r="G2152" s="375" t="s">
        <v>1178</v>
      </c>
      <c r="H2152" s="375" t="s">
        <v>861</v>
      </c>
      <c r="I2152" s="375" t="s">
        <v>862</v>
      </c>
      <c r="J2152" s="375">
        <v>64749.854440000003</v>
      </c>
      <c r="K2152" s="375">
        <v>-2505.9699099999998</v>
      </c>
      <c r="L2152" s="375">
        <v>1028.2261100000001</v>
      </c>
      <c r="M2152" s="375">
        <v>38614.948389999998</v>
      </c>
      <c r="N2152" s="372">
        <v>0.90600000000000003</v>
      </c>
      <c r="O2152" s="704">
        <v>73.675643898867307</v>
      </c>
      <c r="P2152" s="563" t="s">
        <v>622</v>
      </c>
      <c r="Q2152" s="372" t="s">
        <v>622</v>
      </c>
      <c r="R2152" s="696">
        <v>20010724</v>
      </c>
      <c r="S2152" s="372" t="s">
        <v>13822</v>
      </c>
      <c r="T2152" s="697">
        <v>0.20900000000000002</v>
      </c>
      <c r="U2152" s="372" t="s">
        <v>13823</v>
      </c>
      <c r="V2152" s="723">
        <v>305.85000000000002</v>
      </c>
      <c r="W2152" s="723">
        <v>1.58</v>
      </c>
      <c r="X2152" s="723">
        <v>0.94</v>
      </c>
      <c r="Y2152" s="723">
        <v>134.69</v>
      </c>
      <c r="Z2152" s="382" t="s">
        <v>927</v>
      </c>
      <c r="AA2152" s="372">
        <v>575.56819810000002</v>
      </c>
      <c r="AB2152" s="372">
        <v>295.03430079999998</v>
      </c>
      <c r="AC2152" s="372">
        <v>582.95915830000001</v>
      </c>
      <c r="AD2152" s="372">
        <v>434.8382191</v>
      </c>
      <c r="AE2152" s="372">
        <v>0</v>
      </c>
      <c r="AF2152" s="372">
        <v>0</v>
      </c>
      <c r="AG2152" s="372">
        <v>0</v>
      </c>
      <c r="AH2152" s="372">
        <v>0</v>
      </c>
    </row>
    <row r="2153" spans="1:34">
      <c r="A2153" s="372" t="s">
        <v>13824</v>
      </c>
      <c r="B2153" s="372" t="s">
        <v>13825</v>
      </c>
      <c r="C2153" s="372" t="s">
        <v>13826</v>
      </c>
      <c r="D2153" s="374">
        <v>1101118463442</v>
      </c>
      <c r="E2153" s="372" t="s">
        <v>13827</v>
      </c>
      <c r="F2153" s="372" t="s">
        <v>1143</v>
      </c>
      <c r="G2153" s="375" t="s">
        <v>1144</v>
      </c>
      <c r="H2153" s="375" t="s">
        <v>895</v>
      </c>
      <c r="I2153" s="375" t="s">
        <v>862</v>
      </c>
      <c r="J2153" s="375">
        <v>0</v>
      </c>
      <c r="K2153" s="375">
        <v>-54.266419999999997</v>
      </c>
      <c r="L2153" s="375">
        <v>1282.1631600000001</v>
      </c>
      <c r="M2153" s="375">
        <v>45169.908600000002</v>
      </c>
      <c r="N2153" s="372" t="s">
        <v>1026</v>
      </c>
      <c r="O2153" s="704">
        <v>8.3011543551911906</v>
      </c>
      <c r="P2153" s="563" t="s">
        <v>622</v>
      </c>
      <c r="Q2153" s="372" t="s">
        <v>622</v>
      </c>
      <c r="R2153" s="696">
        <v>20230302</v>
      </c>
      <c r="S2153" s="372" t="s">
        <v>9018</v>
      </c>
      <c r="T2153" s="697">
        <v>0.20900000000000002</v>
      </c>
      <c r="U2153" s="372">
        <v>0</v>
      </c>
      <c r="V2153" s="723">
        <v>0</v>
      </c>
      <c r="W2153" s="723">
        <v>0</v>
      </c>
      <c r="X2153" s="723">
        <v>0</v>
      </c>
      <c r="Y2153" s="723">
        <v>0</v>
      </c>
      <c r="Z2153" s="382" t="s">
        <v>773</v>
      </c>
      <c r="AA2153" s="372">
        <v>0</v>
      </c>
      <c r="AB2153" s="372">
        <v>0</v>
      </c>
      <c r="AC2153" s="372">
        <v>0</v>
      </c>
      <c r="AD2153" s="372">
        <v>0</v>
      </c>
      <c r="AE2153" s="372">
        <v>0</v>
      </c>
      <c r="AF2153" s="372">
        <v>0</v>
      </c>
      <c r="AG2153" s="372">
        <v>0</v>
      </c>
      <c r="AH2153" s="372">
        <v>0</v>
      </c>
    </row>
    <row r="2154" spans="1:34">
      <c r="A2154" s="372" t="s">
        <v>13828</v>
      </c>
      <c r="B2154" s="372" t="s">
        <v>13829</v>
      </c>
      <c r="C2154" s="372" t="s">
        <v>13830</v>
      </c>
      <c r="D2154" s="374">
        <v>1311110103158</v>
      </c>
      <c r="E2154" s="372" t="s">
        <v>13831</v>
      </c>
      <c r="F2154" s="372" t="s">
        <v>1656</v>
      </c>
      <c r="G2154" s="375" t="s">
        <v>2367</v>
      </c>
      <c r="H2154" s="375" t="s">
        <v>861</v>
      </c>
      <c r="I2154" s="375" t="s">
        <v>862</v>
      </c>
      <c r="J2154" s="375">
        <v>7269.0691699999998</v>
      </c>
      <c r="K2154" s="375">
        <v>-5761.96306</v>
      </c>
      <c r="L2154" s="375">
        <v>-8963.4252500000002</v>
      </c>
      <c r="M2154" s="375">
        <v>23097.467059999999</v>
      </c>
      <c r="N2154" s="372">
        <v>0.85599999999999998</v>
      </c>
      <c r="O2154" s="704">
        <v>50.411168318040531</v>
      </c>
      <c r="P2154" s="563" t="s">
        <v>622</v>
      </c>
      <c r="Q2154" s="372" t="s">
        <v>622</v>
      </c>
      <c r="R2154" s="696">
        <v>20190918</v>
      </c>
      <c r="S2154" s="372" t="s">
        <v>13832</v>
      </c>
      <c r="T2154" s="697" t="s">
        <v>771</v>
      </c>
      <c r="U2154" s="372" t="s">
        <v>13833</v>
      </c>
      <c r="V2154" s="723" t="s">
        <v>773</v>
      </c>
      <c r="W2154" s="723">
        <v>1.65</v>
      </c>
      <c r="X2154" s="723">
        <v>5.24</v>
      </c>
      <c r="Y2154" s="723" t="s">
        <v>773</v>
      </c>
      <c r="Z2154" s="382" t="s">
        <v>927</v>
      </c>
      <c r="AA2154" s="372">
        <v>91.270059000000003</v>
      </c>
      <c r="AB2154" s="372">
        <v>92.1469424</v>
      </c>
      <c r="AC2154" s="372">
        <v>109.84971090000001</v>
      </c>
      <c r="AD2154" s="372">
        <v>115.432216</v>
      </c>
      <c r="AE2154" s="372">
        <v>0</v>
      </c>
      <c r="AF2154" s="372">
        <v>0</v>
      </c>
      <c r="AG2154" s="372">
        <v>0</v>
      </c>
      <c r="AH2154" s="372">
        <v>0</v>
      </c>
    </row>
    <row r="2155" spans="1:34">
      <c r="A2155" s="372" t="s">
        <v>13834</v>
      </c>
      <c r="B2155" s="372" t="s">
        <v>13835</v>
      </c>
      <c r="C2155" s="372" t="s">
        <v>13836</v>
      </c>
      <c r="D2155" s="374">
        <v>1358110105388</v>
      </c>
      <c r="E2155" s="372" t="s">
        <v>13837</v>
      </c>
      <c r="F2155" s="372" t="s">
        <v>1185</v>
      </c>
      <c r="G2155" s="375" t="s">
        <v>3115</v>
      </c>
      <c r="H2155" s="375" t="s">
        <v>861</v>
      </c>
      <c r="I2155" s="375" t="s">
        <v>862</v>
      </c>
      <c r="J2155" s="375">
        <v>26287.02261</v>
      </c>
      <c r="K2155" s="375">
        <v>-11390.646769999999</v>
      </c>
      <c r="L2155" s="375">
        <v>-22472.858540000001</v>
      </c>
      <c r="M2155" s="375">
        <v>23240.803220000002</v>
      </c>
      <c r="N2155" s="372">
        <v>1.081</v>
      </c>
      <c r="O2155" s="704">
        <v>93.792784301776905</v>
      </c>
      <c r="P2155" s="563" t="s">
        <v>622</v>
      </c>
      <c r="Q2155" s="372" t="s">
        <v>622</v>
      </c>
      <c r="R2155" s="696">
        <v>20130701</v>
      </c>
      <c r="S2155" s="372" t="s">
        <v>13838</v>
      </c>
      <c r="T2155" s="697" t="s">
        <v>771</v>
      </c>
      <c r="U2155" s="372" t="s">
        <v>13839</v>
      </c>
      <c r="V2155" s="723" t="s">
        <v>773</v>
      </c>
      <c r="W2155" s="723">
        <v>1.0900000000000001</v>
      </c>
      <c r="X2155" s="723">
        <v>0.83</v>
      </c>
      <c r="Y2155" s="723" t="s">
        <v>773</v>
      </c>
      <c r="Z2155" s="382" t="s">
        <v>927</v>
      </c>
      <c r="AA2155" s="372">
        <v>695.54842040000005</v>
      </c>
      <c r="AB2155" s="372">
        <v>246.3441594</v>
      </c>
      <c r="AC2155" s="372">
        <v>441.28091430000001</v>
      </c>
      <c r="AD2155" s="372">
        <v>261.35468470000001</v>
      </c>
      <c r="AE2155" s="372">
        <v>0</v>
      </c>
      <c r="AF2155" s="372">
        <v>0</v>
      </c>
      <c r="AG2155" s="372">
        <v>0</v>
      </c>
      <c r="AH2155" s="372">
        <v>0</v>
      </c>
    </row>
    <row r="2156" spans="1:34">
      <c r="A2156" s="372" t="s">
        <v>13840</v>
      </c>
      <c r="B2156" s="372" t="s">
        <v>13841</v>
      </c>
      <c r="C2156" s="372" t="s">
        <v>13842</v>
      </c>
      <c r="D2156" s="374">
        <v>1101110021678</v>
      </c>
      <c r="E2156" s="372" t="s">
        <v>13843</v>
      </c>
      <c r="F2156" s="372" t="s">
        <v>8672</v>
      </c>
      <c r="G2156" s="375" t="s">
        <v>13844</v>
      </c>
      <c r="H2156" s="375" t="s">
        <v>1043</v>
      </c>
      <c r="I2156" s="375" t="s">
        <v>754</v>
      </c>
      <c r="J2156" s="375">
        <v>140708.55020999999</v>
      </c>
      <c r="K2156" s="375">
        <v>-3210.6089900000002</v>
      </c>
      <c r="L2156" s="375">
        <v>-8662.6515799999997</v>
      </c>
      <c r="M2156" s="375">
        <v>64784.714169999999</v>
      </c>
      <c r="N2156" s="372">
        <v>0.47099999999999997</v>
      </c>
      <c r="O2156" s="704">
        <v>187.0050366893324</v>
      </c>
      <c r="P2156" s="563" t="s">
        <v>622</v>
      </c>
      <c r="Q2156" s="372" t="s">
        <v>622</v>
      </c>
      <c r="R2156" s="696">
        <v>19751120</v>
      </c>
      <c r="S2156" s="372" t="s">
        <v>13845</v>
      </c>
      <c r="T2156" s="697" t="s">
        <v>771</v>
      </c>
      <c r="U2156" s="372" t="s">
        <v>13846</v>
      </c>
      <c r="V2156" s="723">
        <v>87.59</v>
      </c>
      <c r="W2156" s="723">
        <v>0.69</v>
      </c>
      <c r="X2156" s="723">
        <v>0.32</v>
      </c>
      <c r="Y2156" s="723" t="s">
        <v>773</v>
      </c>
      <c r="Z2156" s="382" t="s">
        <v>927</v>
      </c>
      <c r="AA2156" s="372">
        <v>1565.7176215</v>
      </c>
      <c r="AB2156" s="372">
        <v>1552.2911919999999</v>
      </c>
      <c r="AC2156" s="372">
        <v>1741.1226239</v>
      </c>
      <c r="AD2156" s="372">
        <v>1457.2123633000001</v>
      </c>
      <c r="AE2156" s="372">
        <v>0</v>
      </c>
      <c r="AF2156" s="372">
        <v>0</v>
      </c>
      <c r="AG2156" s="372">
        <v>0</v>
      </c>
      <c r="AH2156" s="372">
        <v>0</v>
      </c>
    </row>
    <row r="2157" spans="1:34">
      <c r="A2157" s="372" t="s">
        <v>13847</v>
      </c>
      <c r="B2157" s="372" t="s">
        <v>13848</v>
      </c>
      <c r="C2157" s="372" t="s">
        <v>13849</v>
      </c>
      <c r="D2157" s="374">
        <v>1101110015861</v>
      </c>
      <c r="E2157" s="372" t="s">
        <v>13850</v>
      </c>
      <c r="F2157" s="372" t="s">
        <v>2259</v>
      </c>
      <c r="G2157" s="375" t="s">
        <v>2259</v>
      </c>
      <c r="H2157" s="375" t="s">
        <v>1386</v>
      </c>
      <c r="I2157" s="375" t="s">
        <v>754</v>
      </c>
      <c r="J2157" s="375">
        <v>121721.98061</v>
      </c>
      <c r="K2157" s="375">
        <v>-30630.690610000001</v>
      </c>
      <c r="L2157" s="375">
        <v>-33740.380879999997</v>
      </c>
      <c r="M2157" s="375">
        <v>38134.274169999997</v>
      </c>
      <c r="N2157" s="372">
        <v>0.93400000000000005</v>
      </c>
      <c r="O2157" s="704">
        <v>347.69979916845489</v>
      </c>
      <c r="P2157" s="563" t="s">
        <v>622</v>
      </c>
      <c r="Q2157" s="372" t="s">
        <v>622</v>
      </c>
      <c r="R2157" s="696">
        <v>19880525</v>
      </c>
      <c r="S2157" s="372" t="s">
        <v>13851</v>
      </c>
      <c r="T2157" s="697" t="s">
        <v>771</v>
      </c>
      <c r="U2157" s="372" t="s">
        <v>13852</v>
      </c>
      <c r="V2157" s="723" t="s">
        <v>773</v>
      </c>
      <c r="W2157" s="723">
        <v>0.77</v>
      </c>
      <c r="X2157" s="723">
        <v>0.24</v>
      </c>
      <c r="Y2157" s="723" t="s">
        <v>773</v>
      </c>
      <c r="Z2157" s="382" t="s">
        <v>927</v>
      </c>
      <c r="AA2157" s="372">
        <v>1443.5712369</v>
      </c>
      <c r="AB2157" s="372">
        <v>1119.0801988999999</v>
      </c>
      <c r="AC2157" s="372">
        <v>1197.5081938999999</v>
      </c>
      <c r="AD2157" s="372">
        <v>1207.6337136</v>
      </c>
      <c r="AE2157" s="372">
        <v>0</v>
      </c>
      <c r="AF2157" s="372">
        <v>0</v>
      </c>
      <c r="AG2157" s="372">
        <v>0</v>
      </c>
      <c r="AH2157" s="372">
        <v>0</v>
      </c>
    </row>
    <row r="2158" spans="1:34">
      <c r="A2158" s="372" t="s">
        <v>13853</v>
      </c>
      <c r="B2158" s="372" t="s">
        <v>13854</v>
      </c>
      <c r="C2158" s="372" t="s">
        <v>13855</v>
      </c>
      <c r="D2158" s="374">
        <v>1311110047447</v>
      </c>
      <c r="E2158" s="372" t="s">
        <v>13856</v>
      </c>
      <c r="F2158" s="372" t="s">
        <v>1796</v>
      </c>
      <c r="G2158" s="375" t="s">
        <v>2797</v>
      </c>
      <c r="H2158" s="375" t="s">
        <v>861</v>
      </c>
      <c r="I2158" s="375" t="s">
        <v>862</v>
      </c>
      <c r="J2158" s="375">
        <v>14003.1428</v>
      </c>
      <c r="K2158" s="375">
        <v>3791.0900499999998</v>
      </c>
      <c r="L2158" s="375">
        <v>5874.6655499999997</v>
      </c>
      <c r="M2158" s="375">
        <v>44845.556660000002</v>
      </c>
      <c r="N2158" s="372">
        <v>0.58799999999999997</v>
      </c>
      <c r="O2158" s="704">
        <v>0.98394066206715669</v>
      </c>
      <c r="P2158" s="563" t="s">
        <v>622</v>
      </c>
      <c r="Q2158" s="372" t="s">
        <v>622</v>
      </c>
      <c r="R2158" s="696">
        <v>20111221</v>
      </c>
      <c r="S2158" s="372" t="s">
        <v>13857</v>
      </c>
      <c r="T2158" s="697">
        <v>0.20900000000000002</v>
      </c>
      <c r="U2158" s="372" t="s">
        <v>13858</v>
      </c>
      <c r="V2158" s="723">
        <v>0</v>
      </c>
      <c r="W2158" s="723">
        <v>0</v>
      </c>
      <c r="X2158" s="723">
        <v>0</v>
      </c>
      <c r="Y2158" s="723">
        <v>0</v>
      </c>
      <c r="Z2158" s="382" t="s">
        <v>927</v>
      </c>
      <c r="AA2158" s="372">
        <v>147.14020360000001</v>
      </c>
      <c r="AB2158" s="372">
        <v>131.9840878</v>
      </c>
      <c r="AC2158" s="372">
        <v>137.0279476</v>
      </c>
      <c r="AD2158" s="372">
        <v>144.45671809999999</v>
      </c>
      <c r="AE2158" s="372">
        <v>0</v>
      </c>
      <c r="AF2158" s="372">
        <v>0</v>
      </c>
      <c r="AG2158" s="372">
        <v>0</v>
      </c>
      <c r="AH2158" s="372">
        <v>0</v>
      </c>
    </row>
    <row r="2159" spans="1:34">
      <c r="A2159" s="372" t="s">
        <v>13859</v>
      </c>
      <c r="B2159" s="372" t="s">
        <v>13860</v>
      </c>
      <c r="C2159" s="372" t="s">
        <v>13861</v>
      </c>
      <c r="D2159" s="374">
        <v>1101111640609</v>
      </c>
      <c r="E2159" s="372" t="s">
        <v>13862</v>
      </c>
      <c r="F2159" s="372" t="s">
        <v>1136</v>
      </c>
      <c r="G2159" s="375" t="s">
        <v>3128</v>
      </c>
      <c r="H2159" s="375" t="s">
        <v>861</v>
      </c>
      <c r="I2159" s="375" t="s">
        <v>862</v>
      </c>
      <c r="J2159" s="375">
        <v>29928.830760000001</v>
      </c>
      <c r="K2159" s="375">
        <v>-12081.074780000001</v>
      </c>
      <c r="L2159" s="375">
        <v>-25644.78829</v>
      </c>
      <c r="M2159" s="375">
        <v>51040.187409999999</v>
      </c>
      <c r="N2159" s="372">
        <v>1.4059999999999999</v>
      </c>
      <c r="O2159" s="704">
        <v>98.698189938688685</v>
      </c>
      <c r="P2159" s="563" t="s">
        <v>622</v>
      </c>
      <c r="Q2159" s="372" t="s">
        <v>622</v>
      </c>
      <c r="R2159" s="696">
        <v>20011012</v>
      </c>
      <c r="S2159" s="372" t="s">
        <v>13863</v>
      </c>
      <c r="T2159" s="697" t="s">
        <v>771</v>
      </c>
      <c r="U2159" s="372" t="s">
        <v>13864</v>
      </c>
      <c r="V2159" s="723" t="s">
        <v>773</v>
      </c>
      <c r="W2159" s="723">
        <v>0.47</v>
      </c>
      <c r="X2159" s="723">
        <v>0.76</v>
      </c>
      <c r="Y2159" s="723" t="s">
        <v>773</v>
      </c>
      <c r="Z2159" s="382" t="s">
        <v>927</v>
      </c>
      <c r="AA2159" s="372">
        <v>161.90177639999999</v>
      </c>
      <c r="AB2159" s="372">
        <v>174.4900868</v>
      </c>
      <c r="AC2159" s="372">
        <v>202.95920939999999</v>
      </c>
      <c r="AD2159" s="372">
        <v>268.75194679999998</v>
      </c>
      <c r="AE2159" s="372">
        <v>0</v>
      </c>
      <c r="AF2159" s="372">
        <v>0</v>
      </c>
      <c r="AG2159" s="372">
        <v>0</v>
      </c>
      <c r="AH2159" s="372">
        <v>0</v>
      </c>
    </row>
    <row r="2160" spans="1:34">
      <c r="A2160" s="372" t="s">
        <v>13865</v>
      </c>
      <c r="B2160" s="372" t="s">
        <v>13866</v>
      </c>
      <c r="C2160" s="372" t="s">
        <v>13867</v>
      </c>
      <c r="D2160" s="374">
        <v>1101114934273</v>
      </c>
      <c r="E2160" s="372" t="s">
        <v>13868</v>
      </c>
      <c r="F2160" s="372" t="s">
        <v>1796</v>
      </c>
      <c r="G2160" s="375" t="s">
        <v>2797</v>
      </c>
      <c r="H2160" s="375" t="s">
        <v>861</v>
      </c>
      <c r="I2160" s="375" t="s">
        <v>862</v>
      </c>
      <c r="J2160" s="375">
        <v>74082.605620000002</v>
      </c>
      <c r="K2160" s="375">
        <v>-4106.4990600000001</v>
      </c>
      <c r="L2160" s="375">
        <v>-1889.86814</v>
      </c>
      <c r="M2160" s="375">
        <v>17287.31798</v>
      </c>
      <c r="N2160" s="372">
        <v>0.81699999999999995</v>
      </c>
      <c r="O2160" s="704">
        <v>35.570804220645655</v>
      </c>
      <c r="P2160" s="563" t="s">
        <v>622</v>
      </c>
      <c r="Q2160" s="372" t="s">
        <v>622</v>
      </c>
      <c r="R2160" s="696">
        <v>20211111</v>
      </c>
      <c r="S2160" s="372" t="s">
        <v>13869</v>
      </c>
      <c r="T2160" s="697" t="s">
        <v>771</v>
      </c>
      <c r="U2160" s="372" t="s">
        <v>13870</v>
      </c>
      <c r="V2160" s="723" t="s">
        <v>773</v>
      </c>
      <c r="W2160" s="723">
        <v>2.11</v>
      </c>
      <c r="X2160" s="723">
        <v>0.53</v>
      </c>
      <c r="Y2160" s="723" t="s">
        <v>773</v>
      </c>
      <c r="Z2160" s="382" t="s">
        <v>927</v>
      </c>
      <c r="AA2160" s="372">
        <v>513.27269909999995</v>
      </c>
      <c r="AB2160" s="372">
        <v>669.21953540000004</v>
      </c>
      <c r="AC2160" s="372">
        <v>545.71511940000005</v>
      </c>
      <c r="AD2160" s="372">
        <v>749.49243879999995</v>
      </c>
      <c r="AE2160" s="372">
        <v>961</v>
      </c>
      <c r="AF2160" s="372">
        <v>1172</v>
      </c>
      <c r="AG2160" s="372">
        <v>0</v>
      </c>
      <c r="AH2160" s="372">
        <v>0</v>
      </c>
    </row>
    <row r="2161" spans="1:34">
      <c r="A2161" s="372" t="s">
        <v>13871</v>
      </c>
      <c r="B2161" s="372" t="s">
        <v>13872</v>
      </c>
      <c r="C2161" s="372" t="s">
        <v>13873</v>
      </c>
      <c r="D2161" s="374">
        <v>1348110037954</v>
      </c>
      <c r="E2161" s="372" t="s">
        <v>13874</v>
      </c>
      <c r="F2161" s="372" t="s">
        <v>2184</v>
      </c>
      <c r="G2161" s="375" t="s">
        <v>4883</v>
      </c>
      <c r="H2161" s="375" t="s">
        <v>861</v>
      </c>
      <c r="I2161" s="375" t="s">
        <v>862</v>
      </c>
      <c r="J2161" s="375">
        <v>44995.818290000003</v>
      </c>
      <c r="K2161" s="375">
        <v>-10719.96839</v>
      </c>
      <c r="L2161" s="375">
        <v>-17858.298009999999</v>
      </c>
      <c r="M2161" s="375">
        <v>77296.657380000004</v>
      </c>
      <c r="N2161" s="372">
        <v>0.441</v>
      </c>
      <c r="O2161" s="704">
        <v>57.9292921981136</v>
      </c>
      <c r="P2161" s="563" t="s">
        <v>622</v>
      </c>
      <c r="Q2161" s="372" t="s">
        <v>622</v>
      </c>
      <c r="R2161" s="696">
        <v>20110614</v>
      </c>
      <c r="S2161" s="372" t="s">
        <v>13875</v>
      </c>
      <c r="T2161" s="697" t="s">
        <v>771</v>
      </c>
      <c r="U2161" s="372" t="s">
        <v>13876</v>
      </c>
      <c r="V2161" s="723" t="s">
        <v>773</v>
      </c>
      <c r="W2161" s="723">
        <v>0.46</v>
      </c>
      <c r="X2161" s="723">
        <v>0.82</v>
      </c>
      <c r="Y2161" s="723" t="s">
        <v>773</v>
      </c>
      <c r="Z2161" s="382" t="s">
        <v>927</v>
      </c>
      <c r="AA2161" s="372">
        <v>347.92787129999999</v>
      </c>
      <c r="AB2161" s="372">
        <v>286.91886499999998</v>
      </c>
      <c r="AC2161" s="372">
        <v>321.96308599999998</v>
      </c>
      <c r="AD2161" s="372">
        <v>177.4909256</v>
      </c>
      <c r="AE2161" s="372">
        <v>0</v>
      </c>
      <c r="AF2161" s="372">
        <v>0</v>
      </c>
      <c r="AG2161" s="372">
        <v>0</v>
      </c>
      <c r="AH2161" s="372">
        <v>0</v>
      </c>
    </row>
    <row r="2162" spans="1:34">
      <c r="A2162" s="372" t="s">
        <v>13877</v>
      </c>
      <c r="B2162" s="372" t="s">
        <v>13878</v>
      </c>
      <c r="C2162" s="372" t="s">
        <v>13879</v>
      </c>
      <c r="D2162" s="374">
        <v>1648110073035</v>
      </c>
      <c r="E2162" s="372" t="s">
        <v>13880</v>
      </c>
      <c r="F2162" s="372" t="s">
        <v>2705</v>
      </c>
      <c r="G2162" s="375" t="s">
        <v>12577</v>
      </c>
      <c r="H2162" s="375" t="s">
        <v>861</v>
      </c>
      <c r="I2162" s="375" t="s">
        <v>862</v>
      </c>
      <c r="J2162" s="375">
        <v>65719.944319999995</v>
      </c>
      <c r="K2162" s="375">
        <v>-1274.6964</v>
      </c>
      <c r="L2162" s="375">
        <v>101.85738000000001</v>
      </c>
      <c r="M2162" s="375">
        <v>126982.98284</v>
      </c>
      <c r="N2162" s="372">
        <v>1.089</v>
      </c>
      <c r="O2162" s="704">
        <v>0.40489742371185594</v>
      </c>
      <c r="P2162" s="563" t="s">
        <v>622</v>
      </c>
      <c r="Q2162" s="372" t="s">
        <v>622</v>
      </c>
      <c r="R2162" s="696">
        <v>20160406</v>
      </c>
      <c r="S2162" s="372" t="s">
        <v>13881</v>
      </c>
      <c r="T2162" s="697">
        <v>9.9000000000000005E-2</v>
      </c>
      <c r="U2162" s="372" t="s">
        <v>13882</v>
      </c>
      <c r="V2162" s="723">
        <v>0</v>
      </c>
      <c r="W2162" s="723">
        <v>0</v>
      </c>
      <c r="X2162" s="723">
        <v>0</v>
      </c>
      <c r="Y2162" s="723">
        <v>0</v>
      </c>
      <c r="Z2162" s="382" t="s">
        <v>927</v>
      </c>
      <c r="AA2162" s="372">
        <v>469.51377350000001</v>
      </c>
      <c r="AB2162" s="372">
        <v>695.3144618</v>
      </c>
      <c r="AC2162" s="372">
        <v>725.84619199999997</v>
      </c>
      <c r="AD2162" s="372">
        <v>710.57300469999996</v>
      </c>
      <c r="AE2162" s="372">
        <v>0</v>
      </c>
      <c r="AF2162" s="372">
        <v>0</v>
      </c>
      <c r="AG2162" s="372">
        <v>0</v>
      </c>
      <c r="AH2162" s="372">
        <v>0</v>
      </c>
    </row>
    <row r="2163" spans="1:34">
      <c r="A2163" s="372" t="s">
        <v>13883</v>
      </c>
      <c r="B2163" s="372" t="s">
        <v>13884</v>
      </c>
      <c r="C2163" s="372" t="s">
        <v>13885</v>
      </c>
      <c r="D2163" s="374">
        <v>1344110022747</v>
      </c>
      <c r="E2163" s="372" t="s">
        <v>13886</v>
      </c>
      <c r="F2163" s="372" t="s">
        <v>2718</v>
      </c>
      <c r="G2163" s="375" t="s">
        <v>3024</v>
      </c>
      <c r="H2163" s="375" t="s">
        <v>1337</v>
      </c>
      <c r="I2163" s="375" t="s">
        <v>4413</v>
      </c>
      <c r="J2163" s="375">
        <v>15695.57957</v>
      </c>
      <c r="K2163" s="375">
        <v>-10760.59981</v>
      </c>
      <c r="L2163" s="375">
        <v>-67224.381659999999</v>
      </c>
      <c r="M2163" s="375">
        <v>4934.3090199999997</v>
      </c>
      <c r="N2163" s="372">
        <v>1.0920000000000001</v>
      </c>
      <c r="O2163" s="704" t="e">
        <v>#DIV/0!</v>
      </c>
      <c r="P2163" s="563" t="s">
        <v>622</v>
      </c>
      <c r="Q2163" s="372" t="s">
        <v>622</v>
      </c>
      <c r="R2163" s="696">
        <v>20111111</v>
      </c>
      <c r="S2163" s="372" t="e">
        <v>#N/A</v>
      </c>
      <c r="T2163" s="697" t="s">
        <v>771</v>
      </c>
      <c r="U2163" s="372" t="s">
        <v>13887</v>
      </c>
      <c r="V2163" s="723" t="s">
        <v>773</v>
      </c>
      <c r="W2163" s="723">
        <v>0.24</v>
      </c>
      <c r="X2163" s="723">
        <v>0.11</v>
      </c>
      <c r="Y2163" s="723" t="s">
        <v>773</v>
      </c>
      <c r="Z2163" s="382" t="s">
        <v>927</v>
      </c>
      <c r="AA2163" s="372">
        <v>1294.7299742</v>
      </c>
      <c r="AB2163" s="372">
        <v>175.5313568</v>
      </c>
      <c r="AC2163" s="372">
        <v>170.4725013</v>
      </c>
      <c r="AD2163" s="372">
        <v>140.3576716</v>
      </c>
      <c r="AE2163" s="372">
        <v>0</v>
      </c>
      <c r="AF2163" s="372">
        <v>0</v>
      </c>
      <c r="AG2163" s="372">
        <v>0</v>
      </c>
      <c r="AH2163" s="372">
        <v>0</v>
      </c>
    </row>
    <row r="2164" spans="1:34">
      <c r="A2164" s="372" t="s">
        <v>13888</v>
      </c>
      <c r="B2164" s="372" t="s">
        <v>13889</v>
      </c>
      <c r="C2164" s="372" t="s">
        <v>13890</v>
      </c>
      <c r="D2164" s="374">
        <v>1101111967243</v>
      </c>
      <c r="E2164" s="372" t="s">
        <v>13891</v>
      </c>
      <c r="F2164" s="372" t="s">
        <v>2864</v>
      </c>
      <c r="G2164" s="375" t="s">
        <v>5983</v>
      </c>
      <c r="H2164" s="375" t="s">
        <v>861</v>
      </c>
      <c r="I2164" s="375" t="s">
        <v>862</v>
      </c>
      <c r="J2164" s="375">
        <v>103522.96751</v>
      </c>
      <c r="K2164" s="375">
        <v>10248.56625</v>
      </c>
      <c r="L2164" s="375">
        <v>11697.62175</v>
      </c>
      <c r="M2164" s="375">
        <v>73584.170639999997</v>
      </c>
      <c r="N2164" s="372">
        <v>0.62</v>
      </c>
      <c r="O2164" s="704">
        <v>8.5513171271377217</v>
      </c>
      <c r="P2164" s="563" t="s">
        <v>622</v>
      </c>
      <c r="Q2164" s="372" t="s">
        <v>622</v>
      </c>
      <c r="R2164" s="696">
        <v>20181120</v>
      </c>
      <c r="S2164" s="372" t="s">
        <v>13892</v>
      </c>
      <c r="T2164" s="697">
        <v>0.20900000000000002</v>
      </c>
      <c r="U2164" s="372" t="s">
        <v>13893</v>
      </c>
      <c r="V2164" s="723">
        <v>4.22</v>
      </c>
      <c r="W2164" s="723">
        <v>0.71</v>
      </c>
      <c r="X2164" s="723">
        <v>0.5</v>
      </c>
      <c r="Y2164" s="723">
        <v>5.73</v>
      </c>
      <c r="Z2164" s="382" t="s">
        <v>927</v>
      </c>
      <c r="AA2164" s="372">
        <v>707.66476260000002</v>
      </c>
      <c r="AB2164" s="372">
        <v>753.02776960000006</v>
      </c>
      <c r="AC2164" s="372">
        <v>1106.2804836</v>
      </c>
      <c r="AD2164" s="372">
        <v>897.93446870000002</v>
      </c>
      <c r="AE2164" s="372">
        <v>1051</v>
      </c>
      <c r="AF2164" s="372">
        <v>0</v>
      </c>
      <c r="AG2164" s="372">
        <v>0</v>
      </c>
      <c r="AH2164" s="372">
        <v>0</v>
      </c>
    </row>
    <row r="2165" spans="1:34">
      <c r="A2165" s="372" t="s">
        <v>13894</v>
      </c>
      <c r="B2165" s="372" t="s">
        <v>13895</v>
      </c>
      <c r="C2165" s="372" t="s">
        <v>13896</v>
      </c>
      <c r="D2165" s="374">
        <v>1101110005664</v>
      </c>
      <c r="E2165" s="372" t="s">
        <v>13897</v>
      </c>
      <c r="F2165" s="372" t="s">
        <v>6146</v>
      </c>
      <c r="G2165" s="375" t="s">
        <v>6147</v>
      </c>
      <c r="H2165" s="375" t="s">
        <v>1539</v>
      </c>
      <c r="I2165" s="375" t="s">
        <v>754</v>
      </c>
      <c r="J2165" s="375">
        <v>58867.382189999997</v>
      </c>
      <c r="K2165" s="375">
        <v>-11278.41021</v>
      </c>
      <c r="L2165" s="375">
        <v>13368.33756</v>
      </c>
      <c r="M2165" s="375">
        <v>198278.93643</v>
      </c>
      <c r="N2165" s="372">
        <v>0.76</v>
      </c>
      <c r="O2165" s="704">
        <v>101.13184558154084</v>
      </c>
      <c r="P2165" s="563" t="s">
        <v>622</v>
      </c>
      <c r="Q2165" s="372" t="s">
        <v>622</v>
      </c>
      <c r="R2165" s="696">
        <v>19681021</v>
      </c>
      <c r="S2165" s="372" t="s">
        <v>13898</v>
      </c>
      <c r="T2165" s="697">
        <v>0.20900000000000002</v>
      </c>
      <c r="U2165" s="372" t="s">
        <v>13899</v>
      </c>
      <c r="V2165" s="723" t="s">
        <v>773</v>
      </c>
      <c r="W2165" s="723">
        <v>0.15</v>
      </c>
      <c r="X2165" s="723">
        <v>0.55000000000000004</v>
      </c>
      <c r="Y2165" s="723">
        <v>2.2200000000000002</v>
      </c>
      <c r="Z2165" s="382" t="s">
        <v>927</v>
      </c>
      <c r="AA2165" s="372">
        <v>1051.5222844</v>
      </c>
      <c r="AB2165" s="372">
        <v>1337.4522732999999</v>
      </c>
      <c r="AC2165" s="372">
        <v>1249.1404910000001</v>
      </c>
      <c r="AD2165" s="372">
        <v>947.72410639999998</v>
      </c>
      <c r="AE2165" s="372">
        <v>0</v>
      </c>
      <c r="AF2165" s="372">
        <v>0</v>
      </c>
      <c r="AG2165" s="372">
        <v>0</v>
      </c>
      <c r="AH2165" s="372">
        <v>0</v>
      </c>
    </row>
    <row r="2166" spans="1:34">
      <c r="A2166" s="372" t="s">
        <v>13900</v>
      </c>
      <c r="B2166" s="372" t="s">
        <v>13901</v>
      </c>
      <c r="C2166" s="372" t="s">
        <v>13902</v>
      </c>
      <c r="D2166" s="374">
        <v>1101111928295</v>
      </c>
      <c r="E2166" s="372" t="s">
        <v>13903</v>
      </c>
      <c r="F2166" s="372" t="s">
        <v>1796</v>
      </c>
      <c r="G2166" s="375" t="s">
        <v>2797</v>
      </c>
      <c r="H2166" s="375" t="s">
        <v>861</v>
      </c>
      <c r="I2166" s="375" t="s">
        <v>862</v>
      </c>
      <c r="J2166" s="375">
        <v>36377.703110000002</v>
      </c>
      <c r="K2166" s="375">
        <v>-319.40919000000002</v>
      </c>
      <c r="L2166" s="375">
        <v>-2103.3698800000002</v>
      </c>
      <c r="M2166" s="375">
        <v>56053.700839999998</v>
      </c>
      <c r="N2166" s="372">
        <v>1.016</v>
      </c>
      <c r="O2166" s="704">
        <v>6.2555765075578691</v>
      </c>
      <c r="P2166" s="563" t="s">
        <v>622</v>
      </c>
      <c r="Q2166" s="372" t="s">
        <v>622</v>
      </c>
      <c r="R2166" s="696">
        <v>20140530</v>
      </c>
      <c r="S2166" s="372" t="s">
        <v>13904</v>
      </c>
      <c r="T2166" s="697" t="s">
        <v>771</v>
      </c>
      <c r="U2166" s="372" t="s">
        <v>13905</v>
      </c>
      <c r="V2166" s="723">
        <v>43.82</v>
      </c>
      <c r="W2166" s="723">
        <v>0.64</v>
      </c>
      <c r="X2166" s="723">
        <v>0.89</v>
      </c>
      <c r="Y2166" s="723" t="s">
        <v>773</v>
      </c>
      <c r="Z2166" s="382" t="s">
        <v>927</v>
      </c>
      <c r="AA2166" s="372">
        <v>329.28711299999998</v>
      </c>
      <c r="AB2166" s="372">
        <v>286.31983020000001</v>
      </c>
      <c r="AC2166" s="372">
        <v>257.92993510000002</v>
      </c>
      <c r="AD2166" s="372">
        <v>246.26727589999999</v>
      </c>
      <c r="AE2166" s="372">
        <v>0</v>
      </c>
      <c r="AF2166" s="372">
        <v>0</v>
      </c>
      <c r="AG2166" s="372">
        <v>0</v>
      </c>
      <c r="AH2166" s="372">
        <v>0</v>
      </c>
    </row>
    <row r="2167" spans="1:34">
      <c r="A2167" s="372" t="s">
        <v>13906</v>
      </c>
      <c r="B2167" s="372" t="s">
        <v>13907</v>
      </c>
      <c r="C2167" s="372" t="s">
        <v>16089</v>
      </c>
      <c r="D2167" s="374">
        <v>1955110072268</v>
      </c>
      <c r="E2167" s="372" t="s">
        <v>16090</v>
      </c>
      <c r="F2167" s="372" t="s">
        <v>1962</v>
      </c>
      <c r="G2167" s="375" t="s">
        <v>1962</v>
      </c>
      <c r="H2167" s="375" t="s">
        <v>861</v>
      </c>
      <c r="I2167" s="375" t="s">
        <v>862</v>
      </c>
      <c r="J2167" s="375">
        <v>78615.984779999999</v>
      </c>
      <c r="K2167" s="375">
        <v>13205.69497</v>
      </c>
      <c r="L2167" s="375">
        <v>5033.1124300000001</v>
      </c>
      <c r="M2167" s="375">
        <v>36936.974710000002</v>
      </c>
      <c r="N2167" s="372">
        <v>0.49</v>
      </c>
      <c r="O2167" s="704">
        <v>4.8523888999149385</v>
      </c>
      <c r="P2167" s="563" t="s">
        <v>622</v>
      </c>
      <c r="Q2167" s="372" t="s">
        <v>622</v>
      </c>
      <c r="R2167" s="696">
        <v>20091106</v>
      </c>
      <c r="S2167" s="372" t="s">
        <v>13908</v>
      </c>
      <c r="T2167" s="697">
        <v>0.20900000000000002</v>
      </c>
      <c r="U2167" s="372" t="s">
        <v>13909</v>
      </c>
      <c r="V2167" s="723">
        <v>3.91</v>
      </c>
      <c r="W2167" s="723">
        <v>1.7</v>
      </c>
      <c r="X2167" s="723">
        <v>0.73</v>
      </c>
      <c r="Y2167" s="723" t="s">
        <v>773</v>
      </c>
      <c r="Z2167" s="382" t="s">
        <v>927</v>
      </c>
      <c r="AA2167" s="372">
        <v>278.90453170000001</v>
      </c>
      <c r="AB2167" s="372">
        <v>511.55337029999998</v>
      </c>
      <c r="AC2167" s="372">
        <v>744.29394549999995</v>
      </c>
      <c r="AD2167" s="372">
        <v>863.51394040000002</v>
      </c>
      <c r="AE2167" s="372">
        <v>0</v>
      </c>
      <c r="AF2167" s="372">
        <v>0</v>
      </c>
      <c r="AG2167" s="372">
        <v>0</v>
      </c>
      <c r="AH2167" s="372">
        <v>0</v>
      </c>
    </row>
    <row r="2168" spans="1:34">
      <c r="A2168" s="372" t="s">
        <v>13910</v>
      </c>
      <c r="B2168" s="372" t="s">
        <v>13911</v>
      </c>
      <c r="C2168" s="372" t="s">
        <v>13912</v>
      </c>
      <c r="D2168" s="374">
        <v>1101110542484</v>
      </c>
      <c r="E2168" s="372" t="s">
        <v>13913</v>
      </c>
      <c r="F2168" s="372" t="s">
        <v>975</v>
      </c>
      <c r="G2168" s="375" t="s">
        <v>976</v>
      </c>
      <c r="H2168" s="375" t="s">
        <v>1337</v>
      </c>
      <c r="I2168" s="375" t="s">
        <v>862</v>
      </c>
      <c r="J2168" s="375">
        <v>0</v>
      </c>
      <c r="K2168" s="375">
        <v>0</v>
      </c>
      <c r="L2168" s="375">
        <v>0</v>
      </c>
      <c r="M2168" s="375">
        <v>0</v>
      </c>
      <c r="N2168" s="372">
        <v>0.49399999999999999</v>
      </c>
      <c r="O2168" s="704" t="s">
        <v>16301</v>
      </c>
      <c r="P2168" s="563" t="s">
        <v>622</v>
      </c>
      <c r="Q2168" s="372" t="s">
        <v>622</v>
      </c>
      <c r="R2168" s="696">
        <v>19950929</v>
      </c>
      <c r="S2168" s="372" t="s">
        <v>13914</v>
      </c>
      <c r="T2168" s="697" t="s">
        <v>771</v>
      </c>
      <c r="U2168" s="372" t="s">
        <v>13915</v>
      </c>
      <c r="V2168" s="723">
        <v>0</v>
      </c>
      <c r="W2168" s="723">
        <v>0</v>
      </c>
      <c r="X2168" s="723">
        <v>0</v>
      </c>
      <c r="Y2168" s="723">
        <v>0</v>
      </c>
      <c r="Z2168" s="382" t="s">
        <v>927</v>
      </c>
      <c r="AA2168" s="372">
        <v>1937.5002138</v>
      </c>
      <c r="AB2168" s="372">
        <v>1805.7093313</v>
      </c>
      <c r="AC2168" s="372">
        <v>2284.8762163000001</v>
      </c>
      <c r="AD2168" s="372">
        <v>2567.9069061</v>
      </c>
      <c r="AE2168" s="372">
        <v>0</v>
      </c>
      <c r="AF2168" s="372">
        <v>0</v>
      </c>
      <c r="AG2168" s="372">
        <v>0</v>
      </c>
      <c r="AH2168" s="372">
        <v>0</v>
      </c>
    </row>
    <row r="2169" spans="1:34">
      <c r="A2169" s="372" t="s">
        <v>13916</v>
      </c>
      <c r="B2169" s="372" t="s">
        <v>13917</v>
      </c>
      <c r="C2169" s="372" t="s">
        <v>13918</v>
      </c>
      <c r="D2169" s="374">
        <v>1101110095152</v>
      </c>
      <c r="E2169" s="372" t="s">
        <v>13919</v>
      </c>
      <c r="F2169" s="372" t="s">
        <v>13920</v>
      </c>
      <c r="G2169" s="375" t="s">
        <v>13921</v>
      </c>
      <c r="H2169" s="375" t="s">
        <v>1539</v>
      </c>
      <c r="I2169" s="375" t="s">
        <v>754</v>
      </c>
      <c r="J2169" s="375">
        <v>85047.407319999998</v>
      </c>
      <c r="K2169" s="375">
        <v>4318.3010899999999</v>
      </c>
      <c r="L2169" s="375">
        <v>10871.04573</v>
      </c>
      <c r="M2169" s="375">
        <v>153860.51806999999</v>
      </c>
      <c r="N2169" s="372">
        <v>0.54900000000000004</v>
      </c>
      <c r="O2169" s="704">
        <v>26.494873272729581</v>
      </c>
      <c r="P2169" s="563" t="s">
        <v>622</v>
      </c>
      <c r="Q2169" s="372" t="s">
        <v>622</v>
      </c>
      <c r="R2169" s="696">
        <v>19900420</v>
      </c>
      <c r="S2169" s="372" t="s">
        <v>13922</v>
      </c>
      <c r="T2169" s="697">
        <v>0.20900000000000002</v>
      </c>
      <c r="U2169" s="372" t="s">
        <v>13923</v>
      </c>
      <c r="V2169" s="723">
        <v>10.79</v>
      </c>
      <c r="W2169" s="723">
        <v>0.3</v>
      </c>
      <c r="X2169" s="723">
        <v>0.44</v>
      </c>
      <c r="Y2169" s="723">
        <v>6.37</v>
      </c>
      <c r="Z2169" s="382" t="s">
        <v>927</v>
      </c>
      <c r="AA2169" s="372">
        <v>683.6689308</v>
      </c>
      <c r="AB2169" s="372">
        <v>796.8312952</v>
      </c>
      <c r="AC2169" s="372">
        <v>819.27170599999999</v>
      </c>
      <c r="AD2169" s="372">
        <v>844.21858599999996</v>
      </c>
      <c r="AE2169" s="372">
        <v>0</v>
      </c>
      <c r="AF2169" s="372">
        <v>0</v>
      </c>
      <c r="AG2169" s="372">
        <v>0</v>
      </c>
      <c r="AH2169" s="372">
        <v>0</v>
      </c>
    </row>
    <row r="2170" spans="1:34">
      <c r="A2170" s="372" t="s">
        <v>13924</v>
      </c>
      <c r="B2170" s="372" t="s">
        <v>13925</v>
      </c>
      <c r="C2170" s="372" t="s">
        <v>13926</v>
      </c>
      <c r="D2170" s="374">
        <v>2062110029823</v>
      </c>
      <c r="E2170" s="372" t="s">
        <v>13927</v>
      </c>
      <c r="F2170" s="372" t="s">
        <v>16101</v>
      </c>
      <c r="G2170" s="375" t="s">
        <v>16101</v>
      </c>
      <c r="H2170" s="375" t="s">
        <v>861</v>
      </c>
      <c r="I2170" s="375" t="s">
        <v>862</v>
      </c>
      <c r="J2170" s="375">
        <v>21586.8802</v>
      </c>
      <c r="K2170" s="375">
        <v>-1028.6539600000001</v>
      </c>
      <c r="L2170" s="375">
        <v>-12663.86088</v>
      </c>
      <c r="M2170" s="375">
        <v>35605.478069999997</v>
      </c>
      <c r="N2170" s="372">
        <v>0.70299999999999996</v>
      </c>
      <c r="O2170" s="704">
        <v>12.660278673495268</v>
      </c>
      <c r="P2170" s="563" t="s">
        <v>622</v>
      </c>
      <c r="Q2170" s="372" t="s">
        <v>622</v>
      </c>
      <c r="R2170" s="696">
        <v>20091222</v>
      </c>
      <c r="S2170" s="372" t="s">
        <v>13928</v>
      </c>
      <c r="T2170" s="697" t="s">
        <v>771</v>
      </c>
      <c r="U2170" s="372" t="s">
        <v>13929</v>
      </c>
      <c r="V2170" s="723">
        <v>0</v>
      </c>
      <c r="W2170" s="723">
        <v>0</v>
      </c>
      <c r="X2170" s="723">
        <v>0</v>
      </c>
      <c r="Y2170" s="723">
        <v>0</v>
      </c>
      <c r="Z2170" s="382" t="s">
        <v>927</v>
      </c>
      <c r="AA2170" s="372">
        <v>245.60723780000001</v>
      </c>
      <c r="AB2170" s="372">
        <v>253.37689219999999</v>
      </c>
      <c r="AC2170" s="372">
        <v>365.04906970000002</v>
      </c>
      <c r="AD2170" s="372">
        <v>223.6948027</v>
      </c>
      <c r="AE2170" s="372">
        <v>0</v>
      </c>
      <c r="AF2170" s="372">
        <v>0</v>
      </c>
      <c r="AG2170" s="372">
        <v>0</v>
      </c>
      <c r="AH2170" s="372">
        <v>0</v>
      </c>
    </row>
    <row r="2171" spans="1:34">
      <c r="A2171" s="372" t="s">
        <v>13930</v>
      </c>
      <c r="B2171" s="372" t="s">
        <v>13931</v>
      </c>
      <c r="C2171" s="372" t="s">
        <v>13932</v>
      </c>
      <c r="D2171" s="374">
        <v>1701110074493</v>
      </c>
      <c r="E2171" s="372" t="s">
        <v>13933</v>
      </c>
      <c r="F2171" s="372" t="s">
        <v>5132</v>
      </c>
      <c r="G2171" s="375" t="s">
        <v>5132</v>
      </c>
      <c r="H2171" s="375" t="s">
        <v>3099</v>
      </c>
      <c r="I2171" s="375" t="s">
        <v>862</v>
      </c>
      <c r="J2171" s="375">
        <v>33853.248630000002</v>
      </c>
      <c r="K2171" s="375">
        <v>-11705.695760000001</v>
      </c>
      <c r="L2171" s="375">
        <v>-19466.360629999999</v>
      </c>
      <c r="M2171" s="375">
        <v>35135.197509999998</v>
      </c>
      <c r="N2171" s="372">
        <v>0.72299999999999998</v>
      </c>
      <c r="O2171" s="704">
        <v>25.950034535562537</v>
      </c>
      <c r="P2171" s="563" t="s">
        <v>16115</v>
      </c>
      <c r="Q2171" s="372" t="s">
        <v>16116</v>
      </c>
      <c r="R2171" s="696">
        <v>19991218</v>
      </c>
      <c r="S2171" s="372" t="s">
        <v>13934</v>
      </c>
      <c r="T2171" s="697" t="s">
        <v>771</v>
      </c>
      <c r="U2171" s="372" t="s">
        <v>13935</v>
      </c>
      <c r="V2171" s="723" t="s">
        <v>773</v>
      </c>
      <c r="W2171" s="723">
        <v>1.62</v>
      </c>
      <c r="X2171" s="723">
        <v>1.36</v>
      </c>
      <c r="Y2171" s="723" t="s">
        <v>773</v>
      </c>
      <c r="Z2171" s="382" t="s">
        <v>927</v>
      </c>
      <c r="AA2171" s="372">
        <v>524.93393160000005</v>
      </c>
      <c r="AB2171" s="372">
        <v>525.73686369999996</v>
      </c>
      <c r="AC2171" s="372">
        <v>525.25588330000005</v>
      </c>
      <c r="AD2171" s="372">
        <v>479.23293200000001</v>
      </c>
      <c r="AE2171" s="372">
        <v>0</v>
      </c>
      <c r="AF2171" s="372">
        <v>0</v>
      </c>
      <c r="AG2171" s="372">
        <v>0</v>
      </c>
      <c r="AH2171" s="372">
        <v>0</v>
      </c>
    </row>
    <row r="2172" spans="1:34">
      <c r="A2172" s="372" t="s">
        <v>13936</v>
      </c>
      <c r="B2172" s="372" t="s">
        <v>13937</v>
      </c>
      <c r="C2172" s="372" t="s">
        <v>13938</v>
      </c>
      <c r="D2172" s="374">
        <v>1101110759493</v>
      </c>
      <c r="E2172" s="372" t="s">
        <v>13939</v>
      </c>
      <c r="F2172" s="372" t="s">
        <v>4846</v>
      </c>
      <c r="G2172" s="375" t="s">
        <v>16117</v>
      </c>
      <c r="H2172" s="375" t="s">
        <v>1386</v>
      </c>
      <c r="I2172" s="375" t="s">
        <v>754</v>
      </c>
      <c r="J2172" s="375">
        <v>1058508.024</v>
      </c>
      <c r="K2172" s="375">
        <v>-210101.10600999999</v>
      </c>
      <c r="L2172" s="375">
        <v>-229256.46979999999</v>
      </c>
      <c r="M2172" s="375">
        <v>664806.13765000005</v>
      </c>
      <c r="N2172" s="372">
        <v>0.61099999999999999</v>
      </c>
      <c r="O2172" s="704">
        <v>516.14121353454618</v>
      </c>
      <c r="P2172" s="563" t="s">
        <v>622</v>
      </c>
      <c r="Q2172" s="372" t="s">
        <v>622</v>
      </c>
      <c r="R2172" s="696">
        <v>19990623</v>
      </c>
      <c r="S2172" s="372" t="s">
        <v>13940</v>
      </c>
      <c r="T2172" s="697" t="s">
        <v>771</v>
      </c>
      <c r="U2172" s="372" t="s">
        <v>13941</v>
      </c>
      <c r="V2172" s="723" t="s">
        <v>773</v>
      </c>
      <c r="W2172" s="723">
        <v>0.21</v>
      </c>
      <c r="X2172" s="723">
        <v>0.11</v>
      </c>
      <c r="Y2172" s="723" t="s">
        <v>773</v>
      </c>
      <c r="Z2172" s="382" t="s">
        <v>927</v>
      </c>
      <c r="AA2172" s="372">
        <v>9567.5607514000003</v>
      </c>
      <c r="AB2172" s="372">
        <v>12567.5043959</v>
      </c>
      <c r="AC2172" s="372">
        <v>14323.8494801</v>
      </c>
      <c r="AD2172" s="372">
        <v>15026.281336800001</v>
      </c>
      <c r="AE2172" s="372">
        <v>0</v>
      </c>
      <c r="AF2172" s="372">
        <v>0</v>
      </c>
      <c r="AG2172" s="372">
        <v>0</v>
      </c>
      <c r="AH2172" s="372">
        <v>0</v>
      </c>
    </row>
    <row r="2173" spans="1:34">
      <c r="A2173" s="372" t="s">
        <v>13942</v>
      </c>
      <c r="B2173" s="372" t="s">
        <v>13943</v>
      </c>
      <c r="C2173" s="372" t="s">
        <v>13944</v>
      </c>
      <c r="D2173" s="374">
        <v>1101113251165</v>
      </c>
      <c r="E2173" s="372" t="s">
        <v>13945</v>
      </c>
      <c r="F2173" s="372" t="s">
        <v>2518</v>
      </c>
      <c r="G2173" s="375" t="s">
        <v>2518</v>
      </c>
      <c r="H2173" s="375" t="s">
        <v>1337</v>
      </c>
      <c r="I2173" s="375" t="s">
        <v>862</v>
      </c>
      <c r="J2173" s="375">
        <v>79156.247759999998</v>
      </c>
      <c r="K2173" s="375">
        <v>-26662.406190000002</v>
      </c>
      <c r="L2173" s="375">
        <v>-34593.084889999998</v>
      </c>
      <c r="M2173" s="375">
        <v>146103.69036000001</v>
      </c>
      <c r="N2173" s="372">
        <v>0.63600000000000001</v>
      </c>
      <c r="O2173" s="704">
        <v>539.1469618674206</v>
      </c>
      <c r="P2173" s="563" t="s">
        <v>622</v>
      </c>
      <c r="Q2173" s="372" t="s">
        <v>622</v>
      </c>
      <c r="R2173" s="696">
        <v>20150731</v>
      </c>
      <c r="S2173" s="372" t="s">
        <v>13946</v>
      </c>
      <c r="T2173" s="697" t="s">
        <v>771</v>
      </c>
      <c r="U2173" s="372" t="s">
        <v>13947</v>
      </c>
      <c r="V2173" s="723" t="s">
        <v>773</v>
      </c>
      <c r="W2173" s="723">
        <v>0.33</v>
      </c>
      <c r="X2173" s="723">
        <v>0.6</v>
      </c>
      <c r="Y2173" s="723" t="s">
        <v>773</v>
      </c>
      <c r="Z2173" s="382" t="s">
        <v>927</v>
      </c>
      <c r="AA2173" s="372">
        <v>718.47306149999997</v>
      </c>
      <c r="AB2173" s="372">
        <v>428.417147</v>
      </c>
      <c r="AC2173" s="372">
        <v>852.42477450000001</v>
      </c>
      <c r="AD2173" s="372">
        <v>931.35610389999999</v>
      </c>
      <c r="AE2173" s="372">
        <v>0</v>
      </c>
      <c r="AF2173" s="372">
        <v>0</v>
      </c>
      <c r="AG2173" s="372">
        <v>0</v>
      </c>
      <c r="AH2173" s="372">
        <v>0</v>
      </c>
    </row>
    <row r="2174" spans="1:34">
      <c r="A2174" s="372" t="s">
        <v>13948</v>
      </c>
      <c r="B2174" s="372" t="s">
        <v>13949</v>
      </c>
      <c r="C2174" s="372" t="s">
        <v>16133</v>
      </c>
      <c r="D2174" s="374">
        <v>1101110958590</v>
      </c>
      <c r="E2174" s="372" t="s">
        <v>16134</v>
      </c>
      <c r="F2174" s="372" t="s">
        <v>1370</v>
      </c>
      <c r="G2174" s="375" t="s">
        <v>1370</v>
      </c>
      <c r="H2174" s="375" t="s">
        <v>861</v>
      </c>
      <c r="I2174" s="375" t="s">
        <v>862</v>
      </c>
      <c r="J2174" s="375">
        <v>10224.923290000001</v>
      </c>
      <c r="K2174" s="375">
        <v>-4258.4617500000004</v>
      </c>
      <c r="L2174" s="375">
        <v>-13930.96789</v>
      </c>
      <c r="M2174" s="375">
        <v>22609.826590000001</v>
      </c>
      <c r="N2174" s="372">
        <v>0.73699999999999999</v>
      </c>
      <c r="O2174" s="704">
        <v>75.899412726413132</v>
      </c>
      <c r="P2174" s="563" t="s">
        <v>622</v>
      </c>
      <c r="Q2174" s="372" t="s">
        <v>622</v>
      </c>
      <c r="R2174" s="696">
        <v>20020102</v>
      </c>
      <c r="S2174" s="372" t="s">
        <v>13950</v>
      </c>
      <c r="T2174" s="697" t="s">
        <v>771</v>
      </c>
      <c r="U2174" s="372" t="s">
        <v>16135</v>
      </c>
      <c r="V2174" s="723" t="s">
        <v>773</v>
      </c>
      <c r="W2174" s="723">
        <v>1.05</v>
      </c>
      <c r="X2174" s="723">
        <v>2.5299999999999998</v>
      </c>
      <c r="Y2174" s="723" t="s">
        <v>773</v>
      </c>
      <c r="Z2174" s="382" t="s">
        <v>927</v>
      </c>
      <c r="AA2174" s="372">
        <v>521.18583390000003</v>
      </c>
      <c r="AB2174" s="372">
        <v>368.30817070000001</v>
      </c>
      <c r="AC2174" s="372">
        <v>290.86009230000002</v>
      </c>
      <c r="AD2174" s="372">
        <v>103.87748360000001</v>
      </c>
      <c r="AE2174" s="372">
        <v>0</v>
      </c>
      <c r="AF2174" s="372">
        <v>0</v>
      </c>
      <c r="AG2174" s="372">
        <v>0</v>
      </c>
      <c r="AH2174" s="372">
        <v>0</v>
      </c>
    </row>
    <row r="2175" spans="1:34">
      <c r="A2175" s="372" t="s">
        <v>13951</v>
      </c>
      <c r="B2175" s="372" t="s">
        <v>13952</v>
      </c>
      <c r="C2175" s="372" t="s">
        <v>13953</v>
      </c>
      <c r="D2175" s="374">
        <v>1358110286766</v>
      </c>
      <c r="E2175" s="372" t="s">
        <v>13954</v>
      </c>
      <c r="F2175" s="372" t="s">
        <v>13955</v>
      </c>
      <c r="G2175" s="375" t="s">
        <v>13955</v>
      </c>
      <c r="H2175" s="375" t="s">
        <v>861</v>
      </c>
      <c r="I2175" s="375" t="s">
        <v>862</v>
      </c>
      <c r="J2175" s="375">
        <v>23947.508259999999</v>
      </c>
      <c r="K2175" s="375">
        <v>-8261.5193799999997</v>
      </c>
      <c r="L2175" s="375">
        <v>-5092.29738</v>
      </c>
      <c r="M2175" s="375">
        <v>18046.574489999999</v>
      </c>
      <c r="N2175" s="372">
        <v>0.49099999999999999</v>
      </c>
      <c r="O2175" s="704">
        <v>42.020234435340711</v>
      </c>
      <c r="P2175" s="563" t="s">
        <v>622</v>
      </c>
      <c r="Q2175" s="372" t="s">
        <v>622</v>
      </c>
      <c r="R2175" s="696">
        <v>20221229</v>
      </c>
      <c r="S2175" s="372" t="s">
        <v>13956</v>
      </c>
      <c r="T2175" s="697" t="s">
        <v>771</v>
      </c>
      <c r="U2175" s="372" t="s">
        <v>13957</v>
      </c>
      <c r="V2175" s="723" t="s">
        <v>773</v>
      </c>
      <c r="W2175" s="723">
        <v>1.43</v>
      </c>
      <c r="X2175" s="723">
        <v>1.26</v>
      </c>
      <c r="Y2175" s="723" t="s">
        <v>773</v>
      </c>
      <c r="Z2175" s="382" t="s">
        <v>927</v>
      </c>
      <c r="AA2175" s="372">
        <v>0</v>
      </c>
      <c r="AB2175" s="372">
        <v>333.5251336</v>
      </c>
      <c r="AC2175" s="372">
        <v>243.18584860000001</v>
      </c>
      <c r="AD2175" s="372">
        <v>263.32441089999998</v>
      </c>
      <c r="AE2175" s="372">
        <v>0</v>
      </c>
      <c r="AF2175" s="372">
        <v>0</v>
      </c>
      <c r="AG2175" s="372">
        <v>0</v>
      </c>
      <c r="AH2175" s="372">
        <v>0</v>
      </c>
    </row>
    <row r="2176" spans="1:34">
      <c r="A2176" s="372" t="s">
        <v>13958</v>
      </c>
      <c r="B2176" s="372" t="s">
        <v>13959</v>
      </c>
      <c r="C2176" s="372" t="s">
        <v>13960</v>
      </c>
      <c r="D2176" s="374">
        <v>1101113623463</v>
      </c>
      <c r="E2176" s="372" t="s">
        <v>13961</v>
      </c>
      <c r="F2176" s="372" t="s">
        <v>1796</v>
      </c>
      <c r="G2176" s="375" t="s">
        <v>2797</v>
      </c>
      <c r="H2176" s="375" t="s">
        <v>861</v>
      </c>
      <c r="I2176" s="375" t="s">
        <v>862</v>
      </c>
      <c r="J2176" s="375">
        <v>32173.282660000001</v>
      </c>
      <c r="K2176" s="375">
        <v>-5146.3158999999996</v>
      </c>
      <c r="L2176" s="375">
        <v>-7051.4394199999997</v>
      </c>
      <c r="M2176" s="375">
        <v>30198.892210000002</v>
      </c>
      <c r="N2176" s="372">
        <v>0.88500000000000001</v>
      </c>
      <c r="O2176" s="704">
        <v>23.719699628637859</v>
      </c>
      <c r="P2176" s="563" t="s">
        <v>622</v>
      </c>
      <c r="Q2176" s="372" t="s">
        <v>622</v>
      </c>
      <c r="R2176" s="696">
        <v>20070416</v>
      </c>
      <c r="S2176" s="372" t="s">
        <v>13962</v>
      </c>
      <c r="T2176" s="697" t="s">
        <v>771</v>
      </c>
      <c r="U2176" s="372" t="s">
        <v>13963</v>
      </c>
      <c r="V2176" s="723" t="s">
        <v>773</v>
      </c>
      <c r="W2176" s="723">
        <v>1</v>
      </c>
      <c r="X2176" s="723">
        <v>0.94</v>
      </c>
      <c r="Y2176" s="723" t="s">
        <v>773</v>
      </c>
      <c r="Z2176" s="382" t="s">
        <v>927</v>
      </c>
      <c r="AA2176" s="372">
        <v>94.732097999999993</v>
      </c>
      <c r="AB2176" s="372">
        <v>206.45100310000001</v>
      </c>
      <c r="AC2176" s="372">
        <v>260.86111640000001</v>
      </c>
      <c r="AD2176" s="372">
        <v>255.11836779999999</v>
      </c>
      <c r="AE2176" s="372">
        <v>0</v>
      </c>
      <c r="AF2176" s="372">
        <v>0</v>
      </c>
      <c r="AG2176" s="372">
        <v>0</v>
      </c>
      <c r="AH2176" s="372">
        <v>0</v>
      </c>
    </row>
    <row r="2177" spans="1:34">
      <c r="A2177" s="372" t="s">
        <v>13964</v>
      </c>
      <c r="B2177" s="372" t="s">
        <v>13965</v>
      </c>
      <c r="C2177" s="372" t="s">
        <v>13966</v>
      </c>
      <c r="D2177" s="374">
        <v>1101117167128</v>
      </c>
      <c r="E2177" s="372" t="s">
        <v>13967</v>
      </c>
      <c r="F2177" s="372" t="s">
        <v>5625</v>
      </c>
      <c r="G2177" s="375" t="s">
        <v>5625</v>
      </c>
      <c r="H2177" s="375" t="s">
        <v>861</v>
      </c>
      <c r="I2177" s="375" t="s">
        <v>862</v>
      </c>
      <c r="J2177" s="375">
        <v>55418.628299999997</v>
      </c>
      <c r="K2177" s="375">
        <v>-3015.3389699999998</v>
      </c>
      <c r="L2177" s="375">
        <v>-4577.0973700000004</v>
      </c>
      <c r="M2177" s="375">
        <v>27144.118429999999</v>
      </c>
      <c r="N2177" s="372">
        <v>0.55800000000000005</v>
      </c>
      <c r="O2177" s="704">
        <v>20.552975531751382</v>
      </c>
      <c r="P2177" s="563" t="s">
        <v>622</v>
      </c>
      <c r="Q2177" s="372" t="s">
        <v>622</v>
      </c>
      <c r="R2177" s="696">
        <v>20191002</v>
      </c>
      <c r="S2177" s="372" t="s">
        <v>13968</v>
      </c>
      <c r="T2177" s="697" t="s">
        <v>771</v>
      </c>
      <c r="U2177" s="372" t="s">
        <v>13969</v>
      </c>
      <c r="V2177" s="723">
        <v>0</v>
      </c>
      <c r="W2177" s="723">
        <v>0</v>
      </c>
      <c r="X2177" s="723">
        <v>0</v>
      </c>
      <c r="Y2177" s="723">
        <v>0</v>
      </c>
      <c r="Z2177" s="382" t="s">
        <v>927</v>
      </c>
      <c r="AA2177" s="372">
        <v>328.2569694</v>
      </c>
      <c r="AB2177" s="372">
        <v>481.50106979999998</v>
      </c>
      <c r="AC2177" s="372">
        <v>616.25592170000004</v>
      </c>
      <c r="AD2177" s="372">
        <v>594.58221600000002</v>
      </c>
      <c r="AE2177" s="372">
        <v>0</v>
      </c>
      <c r="AF2177" s="372">
        <v>0</v>
      </c>
      <c r="AG2177" s="372">
        <v>0</v>
      </c>
      <c r="AH2177" s="372">
        <v>0</v>
      </c>
    </row>
    <row r="2178" spans="1:34">
      <c r="A2178" s="372" t="s">
        <v>13970</v>
      </c>
      <c r="B2178" s="372" t="s">
        <v>13971</v>
      </c>
      <c r="C2178" s="372" t="s">
        <v>13972</v>
      </c>
      <c r="D2178" s="374">
        <v>1101111787378</v>
      </c>
      <c r="E2178" s="372" t="s">
        <v>13973</v>
      </c>
      <c r="F2178" s="372" t="s">
        <v>2222</v>
      </c>
      <c r="G2178" s="375" t="s">
        <v>2222</v>
      </c>
      <c r="H2178" s="375" t="s">
        <v>861</v>
      </c>
      <c r="I2178" s="375" t="s">
        <v>862</v>
      </c>
      <c r="J2178" s="375">
        <v>13228.63092</v>
      </c>
      <c r="K2178" s="375">
        <v>-3796.7403300000001</v>
      </c>
      <c r="L2178" s="375">
        <v>-4446.9623199999996</v>
      </c>
      <c r="M2178" s="375">
        <v>47535.333550000003</v>
      </c>
      <c r="N2178" s="372">
        <v>0.79800000000000004</v>
      </c>
      <c r="O2178" s="704">
        <v>33.770271294521905</v>
      </c>
      <c r="P2178" s="563" t="s">
        <v>622</v>
      </c>
      <c r="Q2178" s="372" t="s">
        <v>622</v>
      </c>
      <c r="R2178" s="696">
        <v>20181226</v>
      </c>
      <c r="S2178" s="372" t="s">
        <v>13974</v>
      </c>
      <c r="T2178" s="697" t="s">
        <v>771</v>
      </c>
      <c r="U2178" s="372" t="s">
        <v>13975</v>
      </c>
      <c r="V2178" s="723" t="s">
        <v>773</v>
      </c>
      <c r="W2178" s="723">
        <v>0.78</v>
      </c>
      <c r="X2178" s="723">
        <v>2.81</v>
      </c>
      <c r="Y2178" s="723" t="s">
        <v>773</v>
      </c>
      <c r="Z2178" s="382" t="s">
        <v>927</v>
      </c>
      <c r="AA2178" s="372">
        <v>123.8083298</v>
      </c>
      <c r="AB2178" s="372">
        <v>121.1667028</v>
      </c>
      <c r="AC2178" s="372">
        <v>145.7859393</v>
      </c>
      <c r="AD2178" s="372">
        <v>186.34263870000001</v>
      </c>
      <c r="AE2178" s="372">
        <v>0</v>
      </c>
      <c r="AF2178" s="372">
        <v>0</v>
      </c>
      <c r="AG2178" s="372">
        <v>0</v>
      </c>
      <c r="AH2178" s="372">
        <v>0</v>
      </c>
    </row>
    <row r="2179" spans="1:34">
      <c r="A2179" s="372" t="s">
        <v>13976</v>
      </c>
      <c r="B2179" s="372" t="s">
        <v>13977</v>
      </c>
      <c r="C2179" s="372" t="s">
        <v>13978</v>
      </c>
      <c r="D2179" s="374">
        <v>1311110021699</v>
      </c>
      <c r="E2179" s="372" t="s">
        <v>13979</v>
      </c>
      <c r="F2179" s="372" t="s">
        <v>1743</v>
      </c>
      <c r="G2179" s="375" t="s">
        <v>1743</v>
      </c>
      <c r="H2179" s="375" t="s">
        <v>3099</v>
      </c>
      <c r="I2179" s="375" t="s">
        <v>862</v>
      </c>
      <c r="J2179" s="375">
        <v>18392.530760000001</v>
      </c>
      <c r="K2179" s="375">
        <v>6067.7922500000004</v>
      </c>
      <c r="L2179" s="375">
        <v>5758.5437099999999</v>
      </c>
      <c r="M2179" s="375">
        <v>80446.081319999998</v>
      </c>
      <c r="N2179" s="372">
        <v>0.57199999999999995</v>
      </c>
      <c r="O2179" s="704">
        <v>0</v>
      </c>
      <c r="P2179" s="563" t="s">
        <v>622</v>
      </c>
      <c r="Q2179" s="372" t="s">
        <v>622</v>
      </c>
      <c r="R2179" s="696">
        <v>20011113</v>
      </c>
      <c r="S2179" s="372" t="s">
        <v>13980</v>
      </c>
      <c r="T2179" s="697">
        <v>0.20900000000000002</v>
      </c>
      <c r="U2179" s="372" t="s">
        <v>13981</v>
      </c>
      <c r="V2179" s="723">
        <v>6.44</v>
      </c>
      <c r="W2179" s="723">
        <v>0.46</v>
      </c>
      <c r="X2179" s="723">
        <v>2.2999999999999998</v>
      </c>
      <c r="Y2179" s="723">
        <v>9.27</v>
      </c>
      <c r="Z2179" s="382" t="s">
        <v>927</v>
      </c>
      <c r="AA2179" s="372">
        <v>166.52185750000001</v>
      </c>
      <c r="AB2179" s="372">
        <v>150.4772552</v>
      </c>
      <c r="AC2179" s="372">
        <v>202.83592150000001</v>
      </c>
      <c r="AD2179" s="372">
        <v>369.85666179999998</v>
      </c>
      <c r="AE2179" s="372">
        <v>0</v>
      </c>
      <c r="AF2179" s="372">
        <v>0</v>
      </c>
      <c r="AG2179" s="372">
        <v>0</v>
      </c>
      <c r="AH2179" s="372">
        <v>0</v>
      </c>
    </row>
    <row r="2180" spans="1:34">
      <c r="A2180" s="372" t="s">
        <v>13982</v>
      </c>
      <c r="B2180" s="372" t="s">
        <v>13983</v>
      </c>
      <c r="C2180" s="372" t="s">
        <v>13984</v>
      </c>
      <c r="D2180" s="374">
        <v>1101115221158</v>
      </c>
      <c r="E2180" s="372" t="s">
        <v>13985</v>
      </c>
      <c r="F2180" s="372" t="s">
        <v>1370</v>
      </c>
      <c r="G2180" s="375" t="s">
        <v>1370</v>
      </c>
      <c r="H2180" s="375" t="s">
        <v>861</v>
      </c>
      <c r="I2180" s="375" t="s">
        <v>862</v>
      </c>
      <c r="J2180" s="375">
        <v>48527.028700000003</v>
      </c>
      <c r="K2180" s="375">
        <v>-1863.5278499999999</v>
      </c>
      <c r="L2180" s="375">
        <v>-3130.8939399999999</v>
      </c>
      <c r="M2180" s="375">
        <v>53103.08051</v>
      </c>
      <c r="N2180" s="372">
        <v>1.1060000000000001</v>
      </c>
      <c r="O2180" s="704">
        <v>119.41976240228156</v>
      </c>
      <c r="P2180" s="563" t="s">
        <v>622</v>
      </c>
      <c r="Q2180" s="372" t="s">
        <v>622</v>
      </c>
      <c r="R2180" s="696">
        <v>20131220</v>
      </c>
      <c r="S2180" s="372" t="s">
        <v>13986</v>
      </c>
      <c r="T2180" s="697" t="s">
        <v>771</v>
      </c>
      <c r="U2180" s="372" t="s">
        <v>13987</v>
      </c>
      <c r="V2180" s="723">
        <v>47.41</v>
      </c>
      <c r="W2180" s="723">
        <v>0.69</v>
      </c>
      <c r="X2180" s="723">
        <v>0.64</v>
      </c>
      <c r="Y2180" s="723" t="s">
        <v>773</v>
      </c>
      <c r="Z2180" s="382" t="s">
        <v>927</v>
      </c>
      <c r="AA2180" s="372">
        <v>405.7211633</v>
      </c>
      <c r="AB2180" s="372">
        <v>219.3882993</v>
      </c>
      <c r="AC2180" s="372">
        <v>373.23741649999999</v>
      </c>
      <c r="AD2180" s="372">
        <v>547.33280060000004</v>
      </c>
      <c r="AE2180" s="372">
        <v>0</v>
      </c>
      <c r="AF2180" s="372">
        <v>0</v>
      </c>
      <c r="AG2180" s="372">
        <v>0</v>
      </c>
      <c r="AH2180" s="372">
        <v>0</v>
      </c>
    </row>
    <row r="2181" spans="1:34">
      <c r="A2181" s="372" t="s">
        <v>13988</v>
      </c>
      <c r="B2181" s="372" t="s">
        <v>13989</v>
      </c>
      <c r="C2181" s="372" t="s">
        <v>13990</v>
      </c>
      <c r="D2181" s="374">
        <v>1341110021539</v>
      </c>
      <c r="E2181" s="372" t="s">
        <v>13991</v>
      </c>
      <c r="F2181" s="372" t="s">
        <v>3956</v>
      </c>
      <c r="G2181" s="375" t="s">
        <v>3956</v>
      </c>
      <c r="H2181" s="375" t="s">
        <v>861</v>
      </c>
      <c r="I2181" s="375" t="s">
        <v>862</v>
      </c>
      <c r="J2181" s="375">
        <v>71628.960049999994</v>
      </c>
      <c r="K2181" s="375">
        <v>-2494.6767199999999</v>
      </c>
      <c r="L2181" s="375">
        <v>-4131.6805800000002</v>
      </c>
      <c r="M2181" s="375">
        <v>40478.856099999997</v>
      </c>
      <c r="N2181" s="372">
        <v>0.53800000000000003</v>
      </c>
      <c r="O2181" s="704">
        <v>55.674397346622172</v>
      </c>
      <c r="P2181" s="563" t="s">
        <v>622</v>
      </c>
      <c r="Q2181" s="372" t="s">
        <v>622</v>
      </c>
      <c r="R2181" s="696">
        <v>20030113</v>
      </c>
      <c r="S2181" s="372" t="s">
        <v>2069</v>
      </c>
      <c r="T2181" s="697" t="s">
        <v>771</v>
      </c>
      <c r="U2181" s="372" t="s">
        <v>13992</v>
      </c>
      <c r="V2181" s="723" t="s">
        <v>773</v>
      </c>
      <c r="W2181" s="723">
        <v>1.38</v>
      </c>
      <c r="X2181" s="723">
        <v>0.8</v>
      </c>
      <c r="Y2181" s="723" t="s">
        <v>773</v>
      </c>
      <c r="Z2181" s="382" t="s">
        <v>927</v>
      </c>
      <c r="AA2181" s="372">
        <v>937.19510019999996</v>
      </c>
      <c r="AB2181" s="372">
        <v>874.31172449999997</v>
      </c>
      <c r="AC2181" s="372">
        <v>866.57750910000004</v>
      </c>
      <c r="AD2181" s="372">
        <v>692.78802740000003</v>
      </c>
      <c r="AE2181" s="372">
        <v>0</v>
      </c>
      <c r="AF2181" s="372">
        <v>0</v>
      </c>
      <c r="AG2181" s="372">
        <v>0</v>
      </c>
      <c r="AH2181" s="372">
        <v>0</v>
      </c>
    </row>
    <row r="2182" spans="1:34">
      <c r="A2182" s="372" t="s">
        <v>13993</v>
      </c>
      <c r="B2182" s="372" t="s">
        <v>13994</v>
      </c>
      <c r="C2182" s="372" t="s">
        <v>13995</v>
      </c>
      <c r="D2182" s="374">
        <v>1101112507551</v>
      </c>
      <c r="E2182" s="372" t="s">
        <v>13996</v>
      </c>
      <c r="F2182" s="372" t="s">
        <v>1537</v>
      </c>
      <c r="G2182" s="375" t="s">
        <v>3641</v>
      </c>
      <c r="H2182" s="375" t="s">
        <v>1539</v>
      </c>
      <c r="I2182" s="375" t="s">
        <v>754</v>
      </c>
      <c r="J2182" s="375">
        <v>133747.82782999999</v>
      </c>
      <c r="K2182" s="375">
        <v>2762.79765</v>
      </c>
      <c r="L2182" s="375">
        <v>824.13869</v>
      </c>
      <c r="M2182" s="375">
        <v>71645.946729999996</v>
      </c>
      <c r="N2182" s="372">
        <v>1.0569999999999999</v>
      </c>
      <c r="O2182" s="704">
        <v>89.906289827091797</v>
      </c>
      <c r="P2182" s="563" t="s">
        <v>622</v>
      </c>
      <c r="Q2182" s="372" t="s">
        <v>622</v>
      </c>
      <c r="R2182" s="696">
        <v>20090928</v>
      </c>
      <c r="S2182" s="372" t="s">
        <v>13997</v>
      </c>
      <c r="T2182" s="697">
        <v>0.20900000000000002</v>
      </c>
      <c r="U2182" s="372" t="s">
        <v>13998</v>
      </c>
      <c r="V2182" s="723">
        <v>13.59</v>
      </c>
      <c r="W2182" s="723">
        <v>0.55000000000000004</v>
      </c>
      <c r="X2182" s="723">
        <v>0.3</v>
      </c>
      <c r="Y2182" s="723">
        <v>16.37</v>
      </c>
      <c r="Z2182" s="382" t="s">
        <v>927</v>
      </c>
      <c r="AA2182" s="372">
        <v>1479.4873024000001</v>
      </c>
      <c r="AB2182" s="372">
        <v>1352.8163469000001</v>
      </c>
      <c r="AC2182" s="372">
        <v>1372.7136871</v>
      </c>
      <c r="AD2182" s="372">
        <v>944.85977330000003</v>
      </c>
      <c r="AE2182" s="372">
        <v>0</v>
      </c>
      <c r="AF2182" s="372">
        <v>0</v>
      </c>
      <c r="AG2182" s="372">
        <v>0</v>
      </c>
      <c r="AH2182" s="372">
        <v>0</v>
      </c>
    </row>
    <row r="2183" spans="1:34">
      <c r="A2183" s="372" t="s">
        <v>13999</v>
      </c>
      <c r="B2183" s="372" t="s">
        <v>14000</v>
      </c>
      <c r="C2183" s="372" t="s">
        <v>14001</v>
      </c>
      <c r="D2183" s="374">
        <v>1801110052091</v>
      </c>
      <c r="E2183" s="372" t="s">
        <v>14002</v>
      </c>
      <c r="F2183" s="372" t="s">
        <v>8672</v>
      </c>
      <c r="G2183" s="375" t="s">
        <v>8673</v>
      </c>
      <c r="H2183" s="375" t="s">
        <v>861</v>
      </c>
      <c r="I2183" s="375" t="s">
        <v>862</v>
      </c>
      <c r="J2183" s="375">
        <v>12784.92822</v>
      </c>
      <c r="K2183" s="375">
        <v>2039.6893399999999</v>
      </c>
      <c r="L2183" s="375">
        <v>6391.7664400000003</v>
      </c>
      <c r="M2183" s="375">
        <v>78034.822520000002</v>
      </c>
      <c r="N2183" s="372">
        <v>1.1080000000000001</v>
      </c>
      <c r="O2183" s="704">
        <v>0</v>
      </c>
      <c r="P2183" s="563" t="s">
        <v>622</v>
      </c>
      <c r="Q2183" s="372" t="s">
        <v>622</v>
      </c>
      <c r="R2183" s="696">
        <v>19911218</v>
      </c>
      <c r="S2183" s="372" t="s">
        <v>14003</v>
      </c>
      <c r="T2183" s="697">
        <v>0.20900000000000002</v>
      </c>
      <c r="U2183" s="372" t="s">
        <v>14004</v>
      </c>
      <c r="V2183" s="723">
        <v>0</v>
      </c>
      <c r="W2183" s="723">
        <v>0</v>
      </c>
      <c r="X2183" s="723">
        <v>0</v>
      </c>
      <c r="Y2183" s="723">
        <v>0</v>
      </c>
      <c r="Z2183" s="382" t="s">
        <v>927</v>
      </c>
      <c r="AA2183" s="372">
        <v>143.1151199</v>
      </c>
      <c r="AB2183" s="372">
        <v>150.29594449999999</v>
      </c>
      <c r="AC2183" s="372">
        <v>139.66161589999999</v>
      </c>
      <c r="AD2183" s="372">
        <v>118.3500141</v>
      </c>
      <c r="AE2183" s="372">
        <v>0</v>
      </c>
      <c r="AF2183" s="372">
        <v>0</v>
      </c>
      <c r="AG2183" s="372">
        <v>0</v>
      </c>
      <c r="AH2183" s="372">
        <v>0</v>
      </c>
    </row>
    <row r="2184" spans="1:34">
      <c r="A2184" s="372" t="s">
        <v>14005</v>
      </c>
      <c r="B2184" s="372" t="s">
        <v>14006</v>
      </c>
      <c r="C2184" s="372" t="s">
        <v>14007</v>
      </c>
      <c r="D2184" s="374">
        <v>1812110008083</v>
      </c>
      <c r="E2184" s="372" t="s">
        <v>14008</v>
      </c>
      <c r="F2184" s="372" t="s">
        <v>2007</v>
      </c>
      <c r="G2184" s="375" t="s">
        <v>2007</v>
      </c>
      <c r="H2184" s="375" t="s">
        <v>861</v>
      </c>
      <c r="I2184" s="375" t="s">
        <v>862</v>
      </c>
      <c r="J2184" s="375">
        <v>214759.72758000001</v>
      </c>
      <c r="K2184" s="375">
        <v>1794.45355</v>
      </c>
      <c r="L2184" s="375">
        <v>-6603.8723499999996</v>
      </c>
      <c r="M2184" s="375">
        <v>38337.778749999998</v>
      </c>
      <c r="N2184" s="372">
        <v>0.80700000000000005</v>
      </c>
      <c r="O2184" s="704">
        <v>61.940671549943694</v>
      </c>
      <c r="P2184" s="563" t="s">
        <v>622</v>
      </c>
      <c r="Q2184" s="372" t="s">
        <v>622</v>
      </c>
      <c r="R2184" s="696">
        <v>20020917</v>
      </c>
      <c r="S2184" s="372" t="s">
        <v>14009</v>
      </c>
      <c r="T2184" s="697" t="s">
        <v>771</v>
      </c>
      <c r="U2184" s="372" t="s">
        <v>14010</v>
      </c>
      <c r="V2184" s="723">
        <v>13.72</v>
      </c>
      <c r="W2184" s="723">
        <v>1.05</v>
      </c>
      <c r="X2184" s="723">
        <v>0.19</v>
      </c>
      <c r="Y2184" s="723" t="s">
        <v>773</v>
      </c>
      <c r="Z2184" s="382" t="s">
        <v>927</v>
      </c>
      <c r="AA2184" s="372">
        <v>822.0317675</v>
      </c>
      <c r="AB2184" s="372">
        <v>1148.6758012</v>
      </c>
      <c r="AC2184" s="372">
        <v>1119.7948501000001</v>
      </c>
      <c r="AD2184" s="372">
        <v>1628.0937031999999</v>
      </c>
      <c r="AE2184" s="372">
        <v>0</v>
      </c>
      <c r="AF2184" s="372">
        <v>0</v>
      </c>
      <c r="AG2184" s="372">
        <v>0</v>
      </c>
      <c r="AH2184" s="372">
        <v>0</v>
      </c>
    </row>
    <row r="2185" spans="1:34">
      <c r="A2185" s="372" t="s">
        <v>14011</v>
      </c>
      <c r="B2185" s="372" t="s">
        <v>14012</v>
      </c>
      <c r="C2185" s="372" t="s">
        <v>14013</v>
      </c>
      <c r="D2185" s="374">
        <v>1101111220063</v>
      </c>
      <c r="E2185" s="372" t="s">
        <v>14014</v>
      </c>
      <c r="F2185" s="372" t="s">
        <v>1370</v>
      </c>
      <c r="G2185" s="375" t="s">
        <v>1370</v>
      </c>
      <c r="H2185" s="375" t="s">
        <v>861</v>
      </c>
      <c r="I2185" s="375" t="s">
        <v>862</v>
      </c>
      <c r="J2185" s="375">
        <v>29323.079890000001</v>
      </c>
      <c r="K2185" s="375">
        <v>3503.5282200000001</v>
      </c>
      <c r="L2185" s="375">
        <v>3977.1424400000001</v>
      </c>
      <c r="M2185" s="375">
        <v>102640.39229</v>
      </c>
      <c r="N2185" s="372">
        <v>0.81</v>
      </c>
      <c r="O2185" s="704">
        <v>0.25617233853374599</v>
      </c>
      <c r="P2185" s="563" t="s">
        <v>622</v>
      </c>
      <c r="Q2185" s="372" t="s">
        <v>622</v>
      </c>
      <c r="R2185" s="696">
        <v>20000607</v>
      </c>
      <c r="S2185" s="372" t="s">
        <v>14015</v>
      </c>
      <c r="T2185" s="697">
        <v>0.20900000000000002</v>
      </c>
      <c r="U2185" s="372" t="s">
        <v>14016</v>
      </c>
      <c r="V2185" s="723">
        <v>5.73</v>
      </c>
      <c r="W2185" s="723">
        <v>0.28000000000000003</v>
      </c>
      <c r="X2185" s="723">
        <v>0.99</v>
      </c>
      <c r="Y2185" s="723">
        <v>4.04</v>
      </c>
      <c r="Z2185" s="382" t="s">
        <v>927</v>
      </c>
      <c r="AA2185" s="372">
        <v>1318.1673034999999</v>
      </c>
      <c r="AB2185" s="372">
        <v>383.67926360000001</v>
      </c>
      <c r="AC2185" s="372">
        <v>380.876914</v>
      </c>
      <c r="AD2185" s="372">
        <v>363.00830200000001</v>
      </c>
      <c r="AE2185" s="372">
        <v>0</v>
      </c>
      <c r="AF2185" s="372">
        <v>0</v>
      </c>
      <c r="AG2185" s="372">
        <v>0</v>
      </c>
      <c r="AH2185" s="372">
        <v>0</v>
      </c>
    </row>
    <row r="2186" spans="1:34">
      <c r="A2186" s="372" t="s">
        <v>14017</v>
      </c>
      <c r="B2186" s="372" t="s">
        <v>14018</v>
      </c>
      <c r="C2186" s="372" t="s">
        <v>14019</v>
      </c>
      <c r="D2186" s="374">
        <v>2801110073830</v>
      </c>
      <c r="E2186" s="372" t="s">
        <v>14020</v>
      </c>
      <c r="F2186" s="372" t="s">
        <v>2511</v>
      </c>
      <c r="G2186" s="375" t="s">
        <v>2511</v>
      </c>
      <c r="H2186" s="375" t="s">
        <v>861</v>
      </c>
      <c r="I2186" s="375" t="s">
        <v>862</v>
      </c>
      <c r="J2186" s="375">
        <v>18677.50331</v>
      </c>
      <c r="K2186" s="375">
        <v>-3415.9798500000002</v>
      </c>
      <c r="L2186" s="375">
        <v>-3142.7024299999998</v>
      </c>
      <c r="M2186" s="375">
        <v>13373.75441</v>
      </c>
      <c r="N2186" s="372">
        <v>0.72</v>
      </c>
      <c r="O2186" s="704">
        <v>35.893422956810241</v>
      </c>
      <c r="P2186" s="563" t="s">
        <v>622</v>
      </c>
      <c r="Q2186" s="372" t="s">
        <v>622</v>
      </c>
      <c r="R2186" s="696">
        <v>20120927</v>
      </c>
      <c r="S2186" s="372" t="s">
        <v>14021</v>
      </c>
      <c r="T2186" s="697" t="s">
        <v>771</v>
      </c>
      <c r="U2186" s="372" t="s">
        <v>14022</v>
      </c>
      <c r="V2186" s="723" t="s">
        <v>773</v>
      </c>
      <c r="W2186" s="723">
        <v>1.92</v>
      </c>
      <c r="X2186" s="723">
        <v>1.58</v>
      </c>
      <c r="Y2186" s="723" t="s">
        <v>773</v>
      </c>
      <c r="Z2186" s="382" t="s">
        <v>927</v>
      </c>
      <c r="AA2186" s="372">
        <v>369.5274015</v>
      </c>
      <c r="AB2186" s="372">
        <v>161.87125979999999</v>
      </c>
      <c r="AC2186" s="372">
        <v>97.0266637</v>
      </c>
      <c r="AD2186" s="372">
        <v>163.9259442</v>
      </c>
      <c r="AE2186" s="372">
        <v>0</v>
      </c>
      <c r="AF2186" s="372">
        <v>0</v>
      </c>
      <c r="AG2186" s="372">
        <v>0</v>
      </c>
      <c r="AH2186" s="372">
        <v>0</v>
      </c>
    </row>
    <row r="2187" spans="1:34">
      <c r="A2187" s="372" t="s">
        <v>14023</v>
      </c>
      <c r="B2187" s="372" t="s">
        <v>14024</v>
      </c>
      <c r="C2187" s="372" t="s">
        <v>14025</v>
      </c>
      <c r="D2187" s="374">
        <v>1101110046197</v>
      </c>
      <c r="E2187" s="372" t="s">
        <v>14026</v>
      </c>
      <c r="F2187" s="372" t="s">
        <v>2705</v>
      </c>
      <c r="G2187" s="375" t="s">
        <v>5195</v>
      </c>
      <c r="H2187" s="375" t="s">
        <v>861</v>
      </c>
      <c r="I2187" s="375" t="s">
        <v>862</v>
      </c>
      <c r="J2187" s="375">
        <v>103348.07953</v>
      </c>
      <c r="K2187" s="375">
        <v>4429.5795900000003</v>
      </c>
      <c r="L2187" s="375">
        <v>4872.6447500000004</v>
      </c>
      <c r="M2187" s="375">
        <v>46607.47423</v>
      </c>
      <c r="N2187" s="372">
        <v>0.80400000000000005</v>
      </c>
      <c r="O2187" s="704">
        <v>5.5104536352104443</v>
      </c>
      <c r="P2187" s="563" t="s">
        <v>622</v>
      </c>
      <c r="Q2187" s="372" t="s">
        <v>622</v>
      </c>
      <c r="R2187" s="696">
        <v>19881229</v>
      </c>
      <c r="S2187" s="372" t="s">
        <v>5196</v>
      </c>
      <c r="T2187" s="697">
        <v>0.20900000000000002</v>
      </c>
      <c r="U2187" s="372" t="s">
        <v>14027</v>
      </c>
      <c r="V2187" s="723">
        <v>7.21</v>
      </c>
      <c r="W2187" s="723">
        <v>0.92</v>
      </c>
      <c r="X2187" s="723">
        <v>0.3</v>
      </c>
      <c r="Y2187" s="723">
        <v>26.69</v>
      </c>
      <c r="Z2187" s="382" t="s">
        <v>927</v>
      </c>
      <c r="AA2187" s="372">
        <v>707.45703430000003</v>
      </c>
      <c r="AB2187" s="372">
        <v>728.14044109999998</v>
      </c>
      <c r="AC2187" s="372">
        <v>901.23541699999998</v>
      </c>
      <c r="AD2187" s="372">
        <v>1114.0631438999999</v>
      </c>
      <c r="AE2187" s="372">
        <v>0</v>
      </c>
      <c r="AF2187" s="372">
        <v>0</v>
      </c>
      <c r="AG2187" s="372">
        <v>0</v>
      </c>
      <c r="AH2187" s="372">
        <v>0</v>
      </c>
    </row>
    <row r="2188" spans="1:34">
      <c r="A2188" s="372" t="s">
        <v>14028</v>
      </c>
      <c r="B2188" s="372" t="s">
        <v>14029</v>
      </c>
      <c r="C2188" s="372" t="s">
        <v>14030</v>
      </c>
      <c r="D2188" s="374">
        <v>1747110000187</v>
      </c>
      <c r="E2188" s="372" t="s">
        <v>14031</v>
      </c>
      <c r="F2188" s="372" t="s">
        <v>5301</v>
      </c>
      <c r="G2188" s="375" t="s">
        <v>5301</v>
      </c>
      <c r="H2188" s="375" t="s">
        <v>861</v>
      </c>
      <c r="I2188" s="375" t="s">
        <v>862</v>
      </c>
      <c r="J2188" s="375">
        <v>102569.78646</v>
      </c>
      <c r="K2188" s="375">
        <v>9658.6569400000008</v>
      </c>
      <c r="L2188" s="375">
        <v>10333.176729999999</v>
      </c>
      <c r="M2188" s="375">
        <v>71898.088210000002</v>
      </c>
      <c r="N2188" s="372">
        <v>0.63800000000000001</v>
      </c>
      <c r="O2188" s="704">
        <v>86.747969308747884</v>
      </c>
      <c r="P2188" s="563" t="s">
        <v>622</v>
      </c>
      <c r="Q2188" s="372" t="s">
        <v>622</v>
      </c>
      <c r="R2188" s="696">
        <v>19950630</v>
      </c>
      <c r="S2188" s="372" t="s">
        <v>6912</v>
      </c>
      <c r="T2188" s="697">
        <v>0.20900000000000002</v>
      </c>
      <c r="U2188" s="372" t="s">
        <v>14032</v>
      </c>
      <c r="V2188" s="723">
        <v>4.2300000000000004</v>
      </c>
      <c r="W2188" s="723">
        <v>0.67</v>
      </c>
      <c r="X2188" s="723">
        <v>0.47</v>
      </c>
      <c r="Y2188" s="723">
        <v>5.76</v>
      </c>
      <c r="Z2188" s="382" t="s">
        <v>927</v>
      </c>
      <c r="AA2188" s="372">
        <v>657.40379710000002</v>
      </c>
      <c r="AB2188" s="372">
        <v>757.42976480000004</v>
      </c>
      <c r="AC2188" s="372">
        <v>884.77418720000003</v>
      </c>
      <c r="AD2188" s="372">
        <v>925.76838910000004</v>
      </c>
      <c r="AE2188" s="372">
        <v>0</v>
      </c>
      <c r="AF2188" s="372">
        <v>0</v>
      </c>
      <c r="AG2188" s="372">
        <v>0</v>
      </c>
      <c r="AH2188" s="372">
        <v>0</v>
      </c>
    </row>
    <row r="2189" spans="1:34">
      <c r="A2189" s="372" t="s">
        <v>14033</v>
      </c>
      <c r="B2189" s="372" t="s">
        <v>14034</v>
      </c>
      <c r="C2189" s="372" t="s">
        <v>14035</v>
      </c>
      <c r="D2189" s="374">
        <v>1101118321054</v>
      </c>
      <c r="E2189" s="372" t="s">
        <v>14036</v>
      </c>
      <c r="F2189" s="372" t="s">
        <v>1143</v>
      </c>
      <c r="G2189" s="375" t="s">
        <v>1144</v>
      </c>
      <c r="H2189" s="375" t="s">
        <v>895</v>
      </c>
      <c r="I2189" s="375" t="s">
        <v>862</v>
      </c>
      <c r="J2189" s="375">
        <v>0</v>
      </c>
      <c r="K2189" s="375">
        <v>-177.74254999999999</v>
      </c>
      <c r="L2189" s="375">
        <v>1218.7807</v>
      </c>
      <c r="M2189" s="375">
        <v>44016.37831</v>
      </c>
      <c r="N2189" s="372">
        <v>0.30299999999999999</v>
      </c>
      <c r="O2189" s="704">
        <v>11.410618495869542</v>
      </c>
      <c r="P2189" s="563" t="s">
        <v>622</v>
      </c>
      <c r="Q2189" s="372" t="s">
        <v>622</v>
      </c>
      <c r="R2189" s="696">
        <v>20221020</v>
      </c>
      <c r="S2189" s="372" t="s">
        <v>9018</v>
      </c>
      <c r="T2189" s="697">
        <v>0.20900000000000002</v>
      </c>
      <c r="U2189" s="372">
        <v>0</v>
      </c>
      <c r="V2189" s="723">
        <v>0</v>
      </c>
      <c r="W2189" s="723">
        <v>0</v>
      </c>
      <c r="X2189" s="723">
        <v>0</v>
      </c>
      <c r="Y2189" s="723">
        <v>0</v>
      </c>
      <c r="Z2189" s="382" t="s">
        <v>773</v>
      </c>
      <c r="AA2189" s="372">
        <v>0</v>
      </c>
      <c r="AB2189" s="372">
        <v>0</v>
      </c>
      <c r="AC2189" s="372">
        <v>0</v>
      </c>
      <c r="AD2189" s="372">
        <v>0</v>
      </c>
      <c r="AE2189" s="372">
        <v>0</v>
      </c>
      <c r="AF2189" s="372">
        <v>0</v>
      </c>
      <c r="AG2189" s="372">
        <v>0</v>
      </c>
      <c r="AH2189" s="372">
        <v>0</v>
      </c>
    </row>
    <row r="2190" spans="1:34">
      <c r="A2190" s="372" t="s">
        <v>14037</v>
      </c>
      <c r="B2190" s="372" t="s">
        <v>14038</v>
      </c>
      <c r="C2190" s="372" t="s">
        <v>14039</v>
      </c>
      <c r="D2190" s="374">
        <v>1101110685309</v>
      </c>
      <c r="E2190" s="372" t="s">
        <v>14040</v>
      </c>
      <c r="F2190" s="372" t="s">
        <v>1006</v>
      </c>
      <c r="G2190" s="375" t="s">
        <v>1006</v>
      </c>
      <c r="H2190" s="375" t="s">
        <v>861</v>
      </c>
      <c r="I2190" s="375" t="s">
        <v>862</v>
      </c>
      <c r="J2190" s="375">
        <v>31601.300749999999</v>
      </c>
      <c r="K2190" s="375">
        <v>-11241.57012</v>
      </c>
      <c r="L2190" s="375">
        <v>-28670.971099999999</v>
      </c>
      <c r="M2190" s="375">
        <v>17810.968840000001</v>
      </c>
      <c r="N2190" s="372">
        <v>0.77600000000000002</v>
      </c>
      <c r="O2190" s="704">
        <v>30.523462902249054</v>
      </c>
      <c r="P2190" s="563" t="s">
        <v>622</v>
      </c>
      <c r="Q2190" s="372" t="s">
        <v>622</v>
      </c>
      <c r="R2190" s="696">
        <v>19971110</v>
      </c>
      <c r="S2190" s="372" t="s">
        <v>14041</v>
      </c>
      <c r="T2190" s="697" t="s">
        <v>771</v>
      </c>
      <c r="U2190" s="372" t="s">
        <v>14042</v>
      </c>
      <c r="V2190" s="723" t="s">
        <v>773</v>
      </c>
      <c r="W2190" s="723">
        <v>1.02</v>
      </c>
      <c r="X2190" s="723">
        <v>0.59</v>
      </c>
      <c r="Y2190" s="723" t="s">
        <v>773</v>
      </c>
      <c r="Z2190" s="382" t="s">
        <v>927</v>
      </c>
      <c r="AA2190" s="372">
        <v>37.768515999999998</v>
      </c>
      <c r="AB2190" s="372">
        <v>62.969944499999997</v>
      </c>
      <c r="AC2190" s="372">
        <v>70.968036699999999</v>
      </c>
      <c r="AD2190" s="372">
        <v>166.17929580000001</v>
      </c>
      <c r="AE2190" s="372">
        <v>0</v>
      </c>
      <c r="AF2190" s="372">
        <v>0</v>
      </c>
      <c r="AG2190" s="372">
        <v>0</v>
      </c>
      <c r="AH2190" s="372">
        <v>0</v>
      </c>
    </row>
    <row r="2191" spans="1:34">
      <c r="A2191" s="372" t="s">
        <v>14043</v>
      </c>
      <c r="B2191" s="372" t="s">
        <v>14044</v>
      </c>
      <c r="C2191" s="372" t="s">
        <v>14045</v>
      </c>
      <c r="D2191" s="374">
        <v>1348110003715</v>
      </c>
      <c r="E2191" s="372" t="s">
        <v>14046</v>
      </c>
      <c r="F2191" s="372" t="s">
        <v>2116</v>
      </c>
      <c r="G2191" s="375" t="s">
        <v>14047</v>
      </c>
      <c r="H2191" s="375" t="s">
        <v>861</v>
      </c>
      <c r="I2191" s="375" t="s">
        <v>862</v>
      </c>
      <c r="J2191" s="375">
        <v>87498.444730000003</v>
      </c>
      <c r="K2191" s="375">
        <v>9638.9998099999993</v>
      </c>
      <c r="L2191" s="375">
        <v>9066.5067400000007</v>
      </c>
      <c r="M2191" s="375">
        <v>66935.093970000002</v>
      </c>
      <c r="N2191" s="372">
        <v>0.76100000000000001</v>
      </c>
      <c r="O2191" s="704">
        <v>7.3944461682919878</v>
      </c>
      <c r="P2191" s="563" t="s">
        <v>622</v>
      </c>
      <c r="Q2191" s="372" t="s">
        <v>622</v>
      </c>
      <c r="R2191" s="696">
        <v>20050125</v>
      </c>
      <c r="S2191" s="372" t="s">
        <v>14048</v>
      </c>
      <c r="T2191" s="697">
        <v>0.20900000000000002</v>
      </c>
      <c r="U2191" s="372" t="s">
        <v>14049</v>
      </c>
      <c r="V2191" s="723">
        <v>0</v>
      </c>
      <c r="W2191" s="723">
        <v>0</v>
      </c>
      <c r="X2191" s="723">
        <v>0</v>
      </c>
      <c r="Y2191" s="723">
        <v>0</v>
      </c>
      <c r="Z2191" s="382" t="s">
        <v>927</v>
      </c>
      <c r="AA2191" s="372">
        <v>562.85675890000005</v>
      </c>
      <c r="AB2191" s="372">
        <v>737.39923339999996</v>
      </c>
      <c r="AC2191" s="372">
        <v>993.00011199999994</v>
      </c>
      <c r="AD2191" s="372">
        <v>669.51087080000002</v>
      </c>
      <c r="AE2191" s="372">
        <v>0</v>
      </c>
      <c r="AF2191" s="372">
        <v>0</v>
      </c>
      <c r="AG2191" s="372">
        <v>0</v>
      </c>
      <c r="AH2191" s="372">
        <v>0</v>
      </c>
    </row>
    <row r="2192" spans="1:34">
      <c r="A2192" s="372" t="s">
        <v>14050</v>
      </c>
      <c r="B2192" s="372" t="s">
        <v>14051</v>
      </c>
      <c r="C2192" s="372" t="s">
        <v>14052</v>
      </c>
      <c r="D2192" s="374">
        <v>1101117442710</v>
      </c>
      <c r="E2192" s="372" t="s">
        <v>14053</v>
      </c>
      <c r="F2192" s="372" t="s">
        <v>2222</v>
      </c>
      <c r="G2192" s="375" t="s">
        <v>2222</v>
      </c>
      <c r="H2192" s="375" t="s">
        <v>861</v>
      </c>
      <c r="I2192" s="375" t="s">
        <v>862</v>
      </c>
      <c r="J2192" s="375">
        <v>99901.785640000002</v>
      </c>
      <c r="K2192" s="375">
        <v>1819.9104500000001</v>
      </c>
      <c r="L2192" s="375">
        <v>1777.0752</v>
      </c>
      <c r="M2192" s="375">
        <v>45648.993040000001</v>
      </c>
      <c r="N2192" s="372">
        <v>0.63400000000000001</v>
      </c>
      <c r="O2192" s="704">
        <v>95.090510478777333</v>
      </c>
      <c r="P2192" s="563" t="s">
        <v>622</v>
      </c>
      <c r="Q2192" s="372" t="s">
        <v>622</v>
      </c>
      <c r="R2192" s="696">
        <v>20200617</v>
      </c>
      <c r="S2192" s="372" t="s">
        <v>14054</v>
      </c>
      <c r="T2192" s="697">
        <v>0.20900000000000002</v>
      </c>
      <c r="U2192" s="372" t="s">
        <v>14055</v>
      </c>
      <c r="V2192" s="723">
        <v>11.89</v>
      </c>
      <c r="W2192" s="723">
        <v>0.78</v>
      </c>
      <c r="X2192" s="723">
        <v>0.34</v>
      </c>
      <c r="Y2192" s="723">
        <v>28.48</v>
      </c>
      <c r="Z2192" s="382">
        <v>0.12557373020705387</v>
      </c>
      <c r="AA2192" s="372">
        <v>767.68038320000005</v>
      </c>
      <c r="AB2192" s="372">
        <v>690.7700466</v>
      </c>
      <c r="AC2192" s="372">
        <v>669.11197589999995</v>
      </c>
      <c r="AD2192" s="372">
        <v>884.06989380000005</v>
      </c>
      <c r="AE2192" s="372">
        <v>1093</v>
      </c>
      <c r="AF2192" s="372">
        <v>1257</v>
      </c>
      <c r="AG2192" s="372">
        <v>1419</v>
      </c>
      <c r="AH2192" s="372">
        <v>0</v>
      </c>
    </row>
    <row r="2193" spans="1:34">
      <c r="A2193" s="372" t="s">
        <v>14056</v>
      </c>
      <c r="B2193" s="372" t="s">
        <v>14057</v>
      </c>
      <c r="C2193" s="372" t="s">
        <v>16053</v>
      </c>
      <c r="D2193" s="374">
        <v>1101114313807</v>
      </c>
      <c r="E2193" s="372" t="s">
        <v>15961</v>
      </c>
      <c r="F2193" s="372" t="s">
        <v>14058</v>
      </c>
      <c r="G2193" s="375" t="s">
        <v>14059</v>
      </c>
      <c r="H2193" s="375" t="s">
        <v>861</v>
      </c>
      <c r="I2193" s="375" t="s">
        <v>862</v>
      </c>
      <c r="J2193" s="375">
        <v>24936.365419999998</v>
      </c>
      <c r="K2193" s="375">
        <v>-4700.58259</v>
      </c>
      <c r="L2193" s="375">
        <v>-4821.42562</v>
      </c>
      <c r="M2193" s="375">
        <v>23662.45405</v>
      </c>
      <c r="N2193" s="372">
        <v>0.73399999999999999</v>
      </c>
      <c r="O2193" s="704">
        <v>34.225911447540334</v>
      </c>
      <c r="P2193" s="563" t="s">
        <v>622</v>
      </c>
      <c r="Q2193" s="372" t="s">
        <v>622</v>
      </c>
      <c r="R2193" s="696">
        <v>20100702</v>
      </c>
      <c r="S2193" s="372" t="s">
        <v>14060</v>
      </c>
      <c r="T2193" s="697" t="s">
        <v>771</v>
      </c>
      <c r="U2193" s="372" t="s">
        <v>14061</v>
      </c>
      <c r="V2193" s="723" t="s">
        <v>773</v>
      </c>
      <c r="W2193" s="723">
        <v>0.88</v>
      </c>
      <c r="X2193" s="723">
        <v>0.83</v>
      </c>
      <c r="Y2193" s="723" t="s">
        <v>773</v>
      </c>
      <c r="Z2193" s="382" t="s">
        <v>927</v>
      </c>
      <c r="AA2193" s="372">
        <v>449.06054310000002</v>
      </c>
      <c r="AB2193" s="372">
        <v>499.91547250000002</v>
      </c>
      <c r="AC2193" s="372">
        <v>513.17871449999996</v>
      </c>
      <c r="AD2193" s="372">
        <v>424.02825309999997</v>
      </c>
      <c r="AE2193" s="372">
        <v>0</v>
      </c>
      <c r="AF2193" s="372">
        <v>0</v>
      </c>
      <c r="AG2193" s="372">
        <v>0</v>
      </c>
      <c r="AH2193" s="372">
        <v>0</v>
      </c>
    </row>
    <row r="2194" spans="1:34">
      <c r="A2194" s="372" t="s">
        <v>14062</v>
      </c>
      <c r="B2194" s="372" t="s">
        <v>14063</v>
      </c>
      <c r="C2194" s="372" t="s">
        <v>14064</v>
      </c>
      <c r="D2194" s="374">
        <v>1301110008721</v>
      </c>
      <c r="E2194" s="372" t="s">
        <v>14065</v>
      </c>
      <c r="F2194" s="372" t="s">
        <v>1323</v>
      </c>
      <c r="G2194" s="375" t="s">
        <v>16106</v>
      </c>
      <c r="H2194" s="375" t="s">
        <v>861</v>
      </c>
      <c r="I2194" s="375" t="s">
        <v>862</v>
      </c>
      <c r="J2194" s="375">
        <v>52871.192629999998</v>
      </c>
      <c r="K2194" s="375">
        <v>1161.65364</v>
      </c>
      <c r="L2194" s="375">
        <v>1545.35565</v>
      </c>
      <c r="M2194" s="375">
        <v>39601.696129999997</v>
      </c>
      <c r="N2194" s="372">
        <v>0.34100000000000003</v>
      </c>
      <c r="O2194" s="704">
        <v>28.968887364383527</v>
      </c>
      <c r="P2194" s="563" t="s">
        <v>622</v>
      </c>
      <c r="Q2194" s="372" t="s">
        <v>622</v>
      </c>
      <c r="R2194" s="696">
        <v>20000816</v>
      </c>
      <c r="S2194" s="372" t="s">
        <v>14066</v>
      </c>
      <c r="T2194" s="697">
        <v>0.20900000000000002</v>
      </c>
      <c r="U2194" s="372" t="s">
        <v>14067</v>
      </c>
      <c r="V2194" s="723">
        <v>0</v>
      </c>
      <c r="W2194" s="723">
        <v>0</v>
      </c>
      <c r="X2194" s="723">
        <v>0</v>
      </c>
      <c r="Y2194" s="723">
        <v>0</v>
      </c>
      <c r="Z2194" s="382" t="s">
        <v>927</v>
      </c>
      <c r="AA2194" s="372">
        <v>522.31917420000002</v>
      </c>
      <c r="AB2194" s="372">
        <v>404.62650380000002</v>
      </c>
      <c r="AC2194" s="372">
        <v>500.56724910000003</v>
      </c>
      <c r="AD2194" s="372">
        <v>524.58517110000003</v>
      </c>
      <c r="AE2194" s="372">
        <v>0</v>
      </c>
      <c r="AF2194" s="372">
        <v>0</v>
      </c>
      <c r="AG2194" s="372">
        <v>0</v>
      </c>
      <c r="AH2194" s="372">
        <v>0</v>
      </c>
    </row>
    <row r="2195" spans="1:34">
      <c r="A2195" s="372" t="s">
        <v>14068</v>
      </c>
      <c r="B2195" s="372" t="s">
        <v>14069</v>
      </c>
      <c r="C2195" s="372" t="s">
        <v>14070</v>
      </c>
      <c r="D2195" s="374">
        <v>1301110010669</v>
      </c>
      <c r="E2195" s="372" t="s">
        <v>14071</v>
      </c>
      <c r="F2195" s="372" t="s">
        <v>5619</v>
      </c>
      <c r="G2195" s="375" t="s">
        <v>5619</v>
      </c>
      <c r="H2195" s="375" t="s">
        <v>861</v>
      </c>
      <c r="I2195" s="375" t="s">
        <v>862</v>
      </c>
      <c r="J2195" s="375">
        <v>66394.098549999995</v>
      </c>
      <c r="K2195" s="375">
        <v>1943.2212199999999</v>
      </c>
      <c r="L2195" s="375">
        <v>2019.19652</v>
      </c>
      <c r="M2195" s="375">
        <v>50022.251759999999</v>
      </c>
      <c r="N2195" s="372">
        <v>0.82099999999999995</v>
      </c>
      <c r="O2195" s="704">
        <v>14.024081888844409</v>
      </c>
      <c r="P2195" s="563" t="s">
        <v>622</v>
      </c>
      <c r="Q2195" s="372" t="s">
        <v>622</v>
      </c>
      <c r="R2195" s="696">
        <v>20100917</v>
      </c>
      <c r="S2195" s="372" t="s">
        <v>14072</v>
      </c>
      <c r="T2195" s="697">
        <v>0.20900000000000002</v>
      </c>
      <c r="U2195" s="372" t="s">
        <v>14073</v>
      </c>
      <c r="V2195" s="723">
        <v>0</v>
      </c>
      <c r="W2195" s="723">
        <v>0</v>
      </c>
      <c r="X2195" s="723">
        <v>0</v>
      </c>
      <c r="Y2195" s="723">
        <v>0</v>
      </c>
      <c r="Z2195" s="382" t="s">
        <v>927</v>
      </c>
      <c r="AA2195" s="372">
        <v>522.12542389999999</v>
      </c>
      <c r="AB2195" s="372">
        <v>620.89298680000002</v>
      </c>
      <c r="AC2195" s="372">
        <v>695.99538299999995</v>
      </c>
      <c r="AD2195" s="372">
        <v>710.95183859999997</v>
      </c>
      <c r="AE2195" s="372">
        <v>0</v>
      </c>
      <c r="AF2195" s="372">
        <v>0</v>
      </c>
      <c r="AG2195" s="372">
        <v>0</v>
      </c>
      <c r="AH2195" s="372">
        <v>0</v>
      </c>
    </row>
    <row r="2196" spans="1:34">
      <c r="A2196" s="372" t="s">
        <v>14074</v>
      </c>
      <c r="B2196" s="372" t="s">
        <v>14075</v>
      </c>
      <c r="C2196" s="372" t="s">
        <v>14076</v>
      </c>
      <c r="D2196" s="374">
        <v>1101110611693</v>
      </c>
      <c r="E2196" s="372" t="s">
        <v>14077</v>
      </c>
      <c r="F2196" s="372" t="s">
        <v>6364</v>
      </c>
      <c r="G2196" s="375" t="s">
        <v>14078</v>
      </c>
      <c r="H2196" s="375" t="s">
        <v>861</v>
      </c>
      <c r="I2196" s="375" t="s">
        <v>862</v>
      </c>
      <c r="J2196" s="375">
        <v>16280.49468</v>
      </c>
      <c r="K2196" s="375">
        <v>-5073.9613399999998</v>
      </c>
      <c r="L2196" s="375">
        <v>-1538.83601</v>
      </c>
      <c r="M2196" s="375">
        <v>203252.10345</v>
      </c>
      <c r="N2196" s="372">
        <v>0.63500000000000001</v>
      </c>
      <c r="O2196" s="704">
        <v>11.822035774970246</v>
      </c>
      <c r="P2196" s="563" t="s">
        <v>622</v>
      </c>
      <c r="Q2196" s="372" t="s">
        <v>622</v>
      </c>
      <c r="R2196" s="696">
        <v>19991127</v>
      </c>
      <c r="S2196" s="372" t="s">
        <v>14079</v>
      </c>
      <c r="T2196" s="697" t="s">
        <v>771</v>
      </c>
      <c r="U2196" s="372" t="s">
        <v>14080</v>
      </c>
      <c r="V2196" s="723" t="s">
        <v>773</v>
      </c>
      <c r="W2196" s="723">
        <v>0.28999999999999998</v>
      </c>
      <c r="X2196" s="723">
        <v>2.36</v>
      </c>
      <c r="Y2196" s="723">
        <v>33.840000000000003</v>
      </c>
      <c r="Z2196" s="382" t="s">
        <v>927</v>
      </c>
      <c r="AA2196" s="372">
        <v>243.59522609999999</v>
      </c>
      <c r="AB2196" s="372">
        <v>281.8913111</v>
      </c>
      <c r="AC2196" s="372">
        <v>263.725077</v>
      </c>
      <c r="AD2196" s="372">
        <v>205.4757003</v>
      </c>
      <c r="AE2196" s="372">
        <v>0</v>
      </c>
      <c r="AF2196" s="372">
        <v>0</v>
      </c>
      <c r="AG2196" s="372">
        <v>0</v>
      </c>
      <c r="AH2196" s="372">
        <v>0</v>
      </c>
    </row>
    <row r="2197" spans="1:34">
      <c r="A2197" s="372" t="s">
        <v>14081</v>
      </c>
      <c r="B2197" s="372" t="s">
        <v>14082</v>
      </c>
      <c r="C2197" s="372" t="s">
        <v>14083</v>
      </c>
      <c r="D2197" s="374">
        <v>1701110001082</v>
      </c>
      <c r="E2197" s="372" t="s">
        <v>14084</v>
      </c>
      <c r="F2197" s="372" t="s">
        <v>7212</v>
      </c>
      <c r="G2197" s="375" t="s">
        <v>5362</v>
      </c>
      <c r="H2197" s="375" t="s">
        <v>861</v>
      </c>
      <c r="I2197" s="375" t="s">
        <v>862</v>
      </c>
      <c r="J2197" s="375">
        <v>176203.64725000001</v>
      </c>
      <c r="K2197" s="375">
        <v>-1639.3092300000001</v>
      </c>
      <c r="L2197" s="375">
        <v>5439.5141800000001</v>
      </c>
      <c r="M2197" s="375">
        <v>205029.47703000001</v>
      </c>
      <c r="N2197" s="372">
        <v>0.84199999999999997</v>
      </c>
      <c r="O2197" s="704">
        <v>163.45689076043092</v>
      </c>
      <c r="P2197" s="563" t="s">
        <v>622</v>
      </c>
      <c r="Q2197" s="372" t="s">
        <v>622</v>
      </c>
      <c r="R2197" s="696">
        <v>19991229</v>
      </c>
      <c r="S2197" s="372" t="s">
        <v>14085</v>
      </c>
      <c r="T2197" s="697">
        <v>0.20900000000000002</v>
      </c>
      <c r="U2197" s="372" t="s">
        <v>6494</v>
      </c>
      <c r="V2197" s="723">
        <v>223.55</v>
      </c>
      <c r="W2197" s="723">
        <v>0.19</v>
      </c>
      <c r="X2197" s="723">
        <v>0.21</v>
      </c>
      <c r="Y2197" s="723">
        <v>7.85</v>
      </c>
      <c r="Z2197" s="382" t="s">
        <v>927</v>
      </c>
      <c r="AA2197" s="372">
        <v>1254.0677129999999</v>
      </c>
      <c r="AB2197" s="372">
        <v>1322.0232615</v>
      </c>
      <c r="AC2197" s="372">
        <v>1534.5510104</v>
      </c>
      <c r="AD2197" s="372">
        <v>1620.9371206000001</v>
      </c>
      <c r="AE2197" s="372">
        <v>0</v>
      </c>
      <c r="AF2197" s="372">
        <v>0</v>
      </c>
      <c r="AG2197" s="372">
        <v>0</v>
      </c>
      <c r="AH2197" s="372">
        <v>0</v>
      </c>
    </row>
    <row r="2198" spans="1:34">
      <c r="A2198" s="372" t="s">
        <v>14086</v>
      </c>
      <c r="B2198" s="372" t="s">
        <v>14087</v>
      </c>
      <c r="C2198" s="372" t="s">
        <v>14088</v>
      </c>
      <c r="D2198" s="374">
        <v>1101110816938</v>
      </c>
      <c r="E2198" s="372" t="s">
        <v>14089</v>
      </c>
      <c r="F2198" s="372" t="s">
        <v>1756</v>
      </c>
      <c r="G2198" s="375" t="s">
        <v>6499</v>
      </c>
      <c r="H2198" s="375" t="s">
        <v>861</v>
      </c>
      <c r="I2198" s="375" t="s">
        <v>862</v>
      </c>
      <c r="J2198" s="375">
        <v>53300.09895</v>
      </c>
      <c r="K2198" s="375">
        <v>-6483.7045699999999</v>
      </c>
      <c r="L2198" s="375">
        <v>-6772.16068</v>
      </c>
      <c r="M2198" s="375">
        <v>19604.522140000001</v>
      </c>
      <c r="N2198" s="372">
        <v>0.85399999999999998</v>
      </c>
      <c r="O2198" s="704">
        <v>22.818407571852653</v>
      </c>
      <c r="P2198" s="563" t="s">
        <v>622</v>
      </c>
      <c r="Q2198" s="372" t="s">
        <v>622</v>
      </c>
      <c r="R2198" s="696">
        <v>20141224</v>
      </c>
      <c r="S2198" s="372" t="s">
        <v>14090</v>
      </c>
      <c r="T2198" s="697" t="s">
        <v>771</v>
      </c>
      <c r="U2198" s="372" t="s">
        <v>14091</v>
      </c>
      <c r="V2198" s="723">
        <v>0</v>
      </c>
      <c r="W2198" s="723">
        <v>0</v>
      </c>
      <c r="X2198" s="723">
        <v>0</v>
      </c>
      <c r="Y2198" s="723">
        <v>0</v>
      </c>
      <c r="Z2198" s="382" t="s">
        <v>927</v>
      </c>
      <c r="AA2198" s="372">
        <v>613.77266650000001</v>
      </c>
      <c r="AB2198" s="372">
        <v>524.54376539999998</v>
      </c>
      <c r="AC2198" s="372">
        <v>507.05101230000002</v>
      </c>
      <c r="AD2198" s="372">
        <v>432.69003259999999</v>
      </c>
      <c r="AE2198" s="372">
        <v>0</v>
      </c>
      <c r="AF2198" s="372">
        <v>0</v>
      </c>
      <c r="AG2198" s="372">
        <v>0</v>
      </c>
      <c r="AH2198" s="372">
        <v>0</v>
      </c>
    </row>
    <row r="2199" spans="1:34">
      <c r="A2199" s="372" t="s">
        <v>14092</v>
      </c>
      <c r="B2199" s="372" t="s">
        <v>14093</v>
      </c>
      <c r="C2199" s="372" t="s">
        <v>14094</v>
      </c>
      <c r="D2199" s="374">
        <v>1545110049654</v>
      </c>
      <c r="E2199" s="372" t="s">
        <v>14095</v>
      </c>
      <c r="F2199" s="372" t="s">
        <v>1576</v>
      </c>
      <c r="G2199" s="375" t="s">
        <v>1577</v>
      </c>
      <c r="H2199" s="375" t="s">
        <v>861</v>
      </c>
      <c r="I2199" s="375" t="s">
        <v>862</v>
      </c>
      <c r="J2199" s="375">
        <v>132000.72242999999</v>
      </c>
      <c r="K2199" s="375">
        <v>17534.442709999999</v>
      </c>
      <c r="L2199" s="375">
        <v>16057.86411</v>
      </c>
      <c r="M2199" s="375">
        <v>80080.014179999998</v>
      </c>
      <c r="N2199" s="372">
        <v>0.83299999999999996</v>
      </c>
      <c r="O2199" s="704">
        <v>124.80872281641365</v>
      </c>
      <c r="P2199" s="563" t="s">
        <v>622</v>
      </c>
      <c r="Q2199" s="372" t="s">
        <v>622</v>
      </c>
      <c r="R2199" s="696">
        <v>20140725</v>
      </c>
      <c r="S2199" s="372" t="s">
        <v>14096</v>
      </c>
      <c r="T2199" s="697">
        <v>0.20900000000000002</v>
      </c>
      <c r="U2199" s="372" t="s">
        <v>14097</v>
      </c>
      <c r="V2199" s="723">
        <v>3.57</v>
      </c>
      <c r="W2199" s="723">
        <v>0.51</v>
      </c>
      <c r="X2199" s="723">
        <v>0.31</v>
      </c>
      <c r="Y2199" s="723">
        <v>3.03</v>
      </c>
      <c r="Z2199" s="382" t="s">
        <v>927</v>
      </c>
      <c r="AA2199" s="372">
        <v>756.97119410000005</v>
      </c>
      <c r="AB2199" s="372">
        <v>944.97839260000001</v>
      </c>
      <c r="AC2199" s="372">
        <v>1167.7584663</v>
      </c>
      <c r="AD2199" s="372">
        <v>1537.9494500999999</v>
      </c>
      <c r="AE2199" s="372">
        <v>0</v>
      </c>
      <c r="AF2199" s="372">
        <v>0</v>
      </c>
      <c r="AG2199" s="372">
        <v>0</v>
      </c>
      <c r="AH2199" s="372">
        <v>0</v>
      </c>
    </row>
    <row r="2200" spans="1:34">
      <c r="A2200" s="372" t="s">
        <v>14098</v>
      </c>
      <c r="B2200" s="372" t="s">
        <v>14099</v>
      </c>
      <c r="C2200" s="372" t="s">
        <v>14100</v>
      </c>
      <c r="D2200" s="374">
        <v>1101112039934</v>
      </c>
      <c r="E2200" s="372" t="s">
        <v>14101</v>
      </c>
      <c r="F2200" s="372" t="s">
        <v>1743</v>
      </c>
      <c r="G2200" s="375" t="s">
        <v>1743</v>
      </c>
      <c r="H2200" s="375" t="s">
        <v>3099</v>
      </c>
      <c r="I2200" s="375" t="s">
        <v>862</v>
      </c>
      <c r="J2200" s="375">
        <v>53303.631840000002</v>
      </c>
      <c r="K2200" s="375">
        <v>1420.181</v>
      </c>
      <c r="L2200" s="375">
        <v>-17543.704989999998</v>
      </c>
      <c r="M2200" s="375">
        <v>86477.730429999996</v>
      </c>
      <c r="N2200" s="372">
        <v>1.107</v>
      </c>
      <c r="O2200" s="704">
        <v>11.739209395419476</v>
      </c>
      <c r="P2200" s="563" t="s">
        <v>622</v>
      </c>
      <c r="Q2200" s="372" t="s">
        <v>622</v>
      </c>
      <c r="R2200" s="696">
        <v>20051227</v>
      </c>
      <c r="S2200" s="372" t="s">
        <v>14102</v>
      </c>
      <c r="T2200" s="697" t="s">
        <v>771</v>
      </c>
      <c r="U2200" s="372" t="s">
        <v>14103</v>
      </c>
      <c r="V2200" s="723">
        <v>0</v>
      </c>
      <c r="W2200" s="723">
        <v>0</v>
      </c>
      <c r="X2200" s="723">
        <v>0</v>
      </c>
      <c r="Y2200" s="723">
        <v>0</v>
      </c>
      <c r="Z2200" s="382" t="s">
        <v>927</v>
      </c>
      <c r="AA2200" s="372">
        <v>505.21117700000002</v>
      </c>
      <c r="AB2200" s="372">
        <v>564.85578759999999</v>
      </c>
      <c r="AC2200" s="372">
        <v>553.09108260000005</v>
      </c>
      <c r="AD2200" s="372">
        <v>634.28790860000004</v>
      </c>
      <c r="AE2200" s="372">
        <v>0</v>
      </c>
      <c r="AF2200" s="372">
        <v>0</v>
      </c>
      <c r="AG2200" s="372">
        <v>0</v>
      </c>
      <c r="AH2200" s="372">
        <v>0</v>
      </c>
    </row>
    <row r="2201" spans="1:34">
      <c r="A2201" s="372" t="s">
        <v>14104</v>
      </c>
      <c r="B2201" s="372" t="s">
        <v>14105</v>
      </c>
      <c r="C2201" s="372" t="s">
        <v>14106</v>
      </c>
      <c r="D2201" s="374">
        <v>1101115658640</v>
      </c>
      <c r="E2201" s="372" t="s">
        <v>14107</v>
      </c>
      <c r="F2201" s="372" t="s">
        <v>621</v>
      </c>
      <c r="G2201" s="375" t="s">
        <v>621</v>
      </c>
      <c r="H2201" s="375" t="s">
        <v>861</v>
      </c>
      <c r="I2201" s="375" t="s">
        <v>862</v>
      </c>
      <c r="J2201" s="375">
        <v>42203.175260000004</v>
      </c>
      <c r="K2201" s="375">
        <v>-27926.264770000002</v>
      </c>
      <c r="L2201" s="375">
        <v>-31426.868119999999</v>
      </c>
      <c r="M2201" s="375">
        <v>61231.528270000003</v>
      </c>
      <c r="N2201" s="372">
        <v>0.71</v>
      </c>
      <c r="O2201" s="704">
        <v>135.86513182931773</v>
      </c>
      <c r="P2201" s="563" t="s">
        <v>622</v>
      </c>
      <c r="Q2201" s="372" t="s">
        <v>622</v>
      </c>
      <c r="R2201" s="696">
        <v>20150508</v>
      </c>
      <c r="S2201" s="372" t="s">
        <v>14108</v>
      </c>
      <c r="T2201" s="697" t="s">
        <v>771</v>
      </c>
      <c r="U2201" s="372" t="s">
        <v>14109</v>
      </c>
      <c r="V2201" s="723" t="s">
        <v>773</v>
      </c>
      <c r="W2201" s="723">
        <v>0.36</v>
      </c>
      <c r="X2201" s="723">
        <v>0.52</v>
      </c>
      <c r="Y2201" s="723" t="s">
        <v>773</v>
      </c>
      <c r="Z2201" s="382" t="s">
        <v>927</v>
      </c>
      <c r="AA2201" s="372">
        <v>420.38228149999998</v>
      </c>
      <c r="AB2201" s="372">
        <v>472.40740629999999</v>
      </c>
      <c r="AC2201" s="372">
        <v>498.51253109999999</v>
      </c>
      <c r="AD2201" s="372">
        <v>438.71733219999999</v>
      </c>
      <c r="AE2201" s="372">
        <v>0</v>
      </c>
      <c r="AF2201" s="372">
        <v>0</v>
      </c>
      <c r="AG2201" s="372">
        <v>0</v>
      </c>
      <c r="AH2201" s="372">
        <v>0</v>
      </c>
    </row>
    <row r="2202" spans="1:34">
      <c r="A2202" s="372" t="s">
        <v>14110</v>
      </c>
      <c r="B2202" s="372" t="s">
        <v>14111</v>
      </c>
      <c r="C2202" s="372" t="s">
        <v>16136</v>
      </c>
      <c r="D2202" s="374">
        <v>1101117032545</v>
      </c>
      <c r="E2202" s="372" t="s">
        <v>16137</v>
      </c>
      <c r="F2202" s="372" t="s">
        <v>1962</v>
      </c>
      <c r="G2202" s="375" t="s">
        <v>1962</v>
      </c>
      <c r="H2202" s="375" t="s">
        <v>861</v>
      </c>
      <c r="I2202" s="375" t="s">
        <v>862</v>
      </c>
      <c r="J2202" s="375">
        <v>12396.31754</v>
      </c>
      <c r="K2202" s="375">
        <v>-2695.9210200000002</v>
      </c>
      <c r="L2202" s="375">
        <v>-6153.3428999999996</v>
      </c>
      <c r="M2202" s="375">
        <v>48269.444539999997</v>
      </c>
      <c r="N2202" s="372">
        <v>1.2390000000000001</v>
      </c>
      <c r="O2202" s="704">
        <v>11.272018257393434</v>
      </c>
      <c r="P2202" s="563" t="s">
        <v>622</v>
      </c>
      <c r="Q2202" s="372" t="s">
        <v>622</v>
      </c>
      <c r="R2202" s="696">
        <v>20190918</v>
      </c>
      <c r="S2202" s="372" t="s">
        <v>14112</v>
      </c>
      <c r="T2202" s="697" t="s">
        <v>771</v>
      </c>
      <c r="U2202" s="372" t="s">
        <v>14113</v>
      </c>
      <c r="V2202" s="723">
        <v>0</v>
      </c>
      <c r="W2202" s="723">
        <v>0</v>
      </c>
      <c r="X2202" s="723">
        <v>0</v>
      </c>
      <c r="Y2202" s="723">
        <v>0</v>
      </c>
      <c r="Z2202" s="382" t="s">
        <v>927</v>
      </c>
      <c r="AA2202" s="372">
        <v>112.394779</v>
      </c>
      <c r="AB2202" s="372">
        <v>154.05210790000001</v>
      </c>
      <c r="AC2202" s="372">
        <v>202.69062109999999</v>
      </c>
      <c r="AD2202" s="372">
        <v>159.67468479999999</v>
      </c>
      <c r="AE2202" s="372">
        <v>0</v>
      </c>
      <c r="AF2202" s="372">
        <v>0</v>
      </c>
      <c r="AG2202" s="372">
        <v>0</v>
      </c>
      <c r="AH2202" s="372">
        <v>0</v>
      </c>
    </row>
    <row r="2203" spans="1:34">
      <c r="A2203" s="372" t="s">
        <v>14114</v>
      </c>
      <c r="B2203" s="372" t="s">
        <v>14115</v>
      </c>
      <c r="C2203" s="372" t="s">
        <v>14116</v>
      </c>
      <c r="D2203" s="374">
        <v>1545110007397</v>
      </c>
      <c r="E2203" s="372" t="s">
        <v>14117</v>
      </c>
      <c r="F2203" s="372" t="s">
        <v>6572</v>
      </c>
      <c r="G2203" s="375" t="s">
        <v>14118</v>
      </c>
      <c r="H2203" s="375" t="s">
        <v>3099</v>
      </c>
      <c r="I2203" s="375" t="s">
        <v>862</v>
      </c>
      <c r="J2203" s="375">
        <v>11942.59296</v>
      </c>
      <c r="K2203" s="375">
        <v>-3018.9634999999998</v>
      </c>
      <c r="L2203" s="375">
        <v>-8175.4877399999996</v>
      </c>
      <c r="M2203" s="375">
        <v>28085.187470000001</v>
      </c>
      <c r="N2203" s="372">
        <v>0.95099999999999996</v>
      </c>
      <c r="O2203" s="704">
        <v>30.229526653491718</v>
      </c>
      <c r="P2203" s="563" t="s">
        <v>622</v>
      </c>
      <c r="Q2203" s="372" t="s">
        <v>622</v>
      </c>
      <c r="R2203" s="696">
        <v>20021115</v>
      </c>
      <c r="S2203" s="372" t="s">
        <v>14119</v>
      </c>
      <c r="T2203" s="697" t="s">
        <v>771</v>
      </c>
      <c r="U2203" s="372" t="s">
        <v>15962</v>
      </c>
      <c r="V2203" s="723" t="s">
        <v>773</v>
      </c>
      <c r="W2203" s="723">
        <v>1.31</v>
      </c>
      <c r="X2203" s="723">
        <v>3.05</v>
      </c>
      <c r="Y2203" s="723">
        <v>8</v>
      </c>
      <c r="Z2203" s="382" t="s">
        <v>927</v>
      </c>
      <c r="AA2203" s="372">
        <v>656.90695200000005</v>
      </c>
      <c r="AB2203" s="372">
        <v>844.39769620000004</v>
      </c>
      <c r="AC2203" s="372">
        <v>225.22930339999999</v>
      </c>
      <c r="AD2203" s="372">
        <v>245.25172950000001</v>
      </c>
      <c r="AE2203" s="372">
        <v>0</v>
      </c>
      <c r="AF2203" s="372">
        <v>0</v>
      </c>
      <c r="AG2203" s="372">
        <v>0</v>
      </c>
      <c r="AH2203" s="372">
        <v>0</v>
      </c>
    </row>
    <row r="2204" spans="1:34">
      <c r="A2204" s="372" t="s">
        <v>14120</v>
      </c>
      <c r="B2204" s="372" t="s">
        <v>14121</v>
      </c>
      <c r="C2204" s="372" t="s">
        <v>14122</v>
      </c>
      <c r="D2204" s="374">
        <v>1942110025941</v>
      </c>
      <c r="E2204" s="372" t="s">
        <v>14123</v>
      </c>
      <c r="F2204" s="372" t="s">
        <v>1276</v>
      </c>
      <c r="G2204" s="375" t="s">
        <v>1452</v>
      </c>
      <c r="H2204" s="375" t="s">
        <v>861</v>
      </c>
      <c r="I2204" s="375" t="s">
        <v>862</v>
      </c>
      <c r="J2204" s="375">
        <v>41439.396000000001</v>
      </c>
      <c r="K2204" s="375">
        <v>1527.8145500000001</v>
      </c>
      <c r="L2204" s="375">
        <v>222.50398999999999</v>
      </c>
      <c r="M2204" s="375">
        <v>70814.816340000005</v>
      </c>
      <c r="N2204" s="372">
        <v>1.06</v>
      </c>
      <c r="O2204" s="704">
        <v>52.761499947298333</v>
      </c>
      <c r="P2204" s="563" t="s">
        <v>622</v>
      </c>
      <c r="Q2204" s="372" t="s">
        <v>622</v>
      </c>
      <c r="R2204" s="696">
        <v>20011214</v>
      </c>
      <c r="S2204" s="372" t="s">
        <v>14124</v>
      </c>
      <c r="T2204" s="697">
        <v>0.20900000000000002</v>
      </c>
      <c r="U2204" s="372" t="s">
        <v>14125</v>
      </c>
      <c r="V2204" s="723">
        <v>10.69</v>
      </c>
      <c r="W2204" s="723">
        <v>0.4</v>
      </c>
      <c r="X2204" s="723">
        <v>0.69</v>
      </c>
      <c r="Y2204" s="723">
        <v>44.31</v>
      </c>
      <c r="Z2204" s="382" t="s">
        <v>927</v>
      </c>
      <c r="AA2204" s="372">
        <v>379.1561979</v>
      </c>
      <c r="AB2204" s="372">
        <v>438.97687209999998</v>
      </c>
      <c r="AC2204" s="372">
        <v>444.0994847</v>
      </c>
      <c r="AD2204" s="372">
        <v>337.75629980000002</v>
      </c>
      <c r="AE2204" s="372">
        <v>0</v>
      </c>
      <c r="AF2204" s="372">
        <v>0</v>
      </c>
      <c r="AG2204" s="372">
        <v>0</v>
      </c>
      <c r="AH2204" s="372">
        <v>0</v>
      </c>
    </row>
    <row r="2205" spans="1:34">
      <c r="A2205" s="372" t="s">
        <v>14126</v>
      </c>
      <c r="B2205" s="372" t="s">
        <v>14127</v>
      </c>
      <c r="C2205" s="372" t="s">
        <v>16054</v>
      </c>
      <c r="D2205" s="374">
        <v>1311110004554</v>
      </c>
      <c r="E2205" s="372" t="s">
        <v>15963</v>
      </c>
      <c r="F2205" s="372" t="s">
        <v>2259</v>
      </c>
      <c r="G2205" s="375" t="s">
        <v>2259</v>
      </c>
      <c r="H2205" s="375" t="s">
        <v>4847</v>
      </c>
      <c r="I2205" s="375" t="s">
        <v>862</v>
      </c>
      <c r="J2205" s="375">
        <v>61905.848859999998</v>
      </c>
      <c r="K2205" s="375">
        <v>-13138.176289999999</v>
      </c>
      <c r="L2205" s="375">
        <v>-6373.2400500000003</v>
      </c>
      <c r="M2205" s="375">
        <v>97943.189289999995</v>
      </c>
      <c r="N2205" s="372">
        <v>0.88400000000000001</v>
      </c>
      <c r="O2205" s="704">
        <v>391.92951724967531</v>
      </c>
      <c r="P2205" s="563" t="s">
        <v>622</v>
      </c>
      <c r="Q2205" s="372" t="s">
        <v>622</v>
      </c>
      <c r="R2205" s="696">
        <v>20001017</v>
      </c>
      <c r="S2205" s="372" t="s">
        <v>14128</v>
      </c>
      <c r="T2205" s="697" t="s">
        <v>771</v>
      </c>
      <c r="U2205" s="372" t="s">
        <v>14129</v>
      </c>
      <c r="V2205" s="723" t="s">
        <v>773</v>
      </c>
      <c r="W2205" s="723">
        <v>0.26</v>
      </c>
      <c r="X2205" s="723">
        <v>0.4</v>
      </c>
      <c r="Y2205" s="723" t="s">
        <v>773</v>
      </c>
      <c r="Z2205" s="382" t="s">
        <v>927</v>
      </c>
      <c r="AA2205" s="372">
        <v>218.86052849999999</v>
      </c>
      <c r="AB2205" s="372">
        <v>252.52397999999999</v>
      </c>
      <c r="AC2205" s="372">
        <v>537.9440439</v>
      </c>
      <c r="AD2205" s="372">
        <v>1738.6929014</v>
      </c>
      <c r="AE2205" s="372">
        <v>0</v>
      </c>
      <c r="AF2205" s="372">
        <v>0</v>
      </c>
      <c r="AG2205" s="372">
        <v>0</v>
      </c>
      <c r="AH2205" s="372">
        <v>0</v>
      </c>
    </row>
    <row r="2206" spans="1:34">
      <c r="A2206" s="372" t="s">
        <v>14130</v>
      </c>
      <c r="B2206" s="372" t="s">
        <v>14131</v>
      </c>
      <c r="C2206" s="372" t="s">
        <v>14132</v>
      </c>
      <c r="D2206" s="374">
        <v>1101110019350</v>
      </c>
      <c r="E2206" s="372" t="s">
        <v>14133</v>
      </c>
      <c r="F2206" s="372" t="s">
        <v>10093</v>
      </c>
      <c r="G2206" s="375" t="s">
        <v>10093</v>
      </c>
      <c r="H2206" s="375" t="s">
        <v>1539</v>
      </c>
      <c r="I2206" s="375" t="s">
        <v>754</v>
      </c>
      <c r="J2206" s="375">
        <v>133728.04477000001</v>
      </c>
      <c r="K2206" s="375">
        <v>836.56137000000001</v>
      </c>
      <c r="L2206" s="375">
        <v>-1176.6493599999999</v>
      </c>
      <c r="M2206" s="375">
        <v>132008.26087999999</v>
      </c>
      <c r="N2206" s="372">
        <v>0.80400000000000005</v>
      </c>
      <c r="O2206" s="704">
        <v>120.17781140519996</v>
      </c>
      <c r="P2206" s="563" t="s">
        <v>622</v>
      </c>
      <c r="Q2206" s="372" t="s">
        <v>622</v>
      </c>
      <c r="R2206" s="696">
        <v>19731228</v>
      </c>
      <c r="S2206" s="372" t="s">
        <v>14134</v>
      </c>
      <c r="T2206" s="697" t="s">
        <v>771</v>
      </c>
      <c r="U2206" s="372" t="s">
        <v>14135</v>
      </c>
      <c r="V2206" s="723">
        <v>12.93</v>
      </c>
      <c r="W2206" s="723">
        <v>0.19</v>
      </c>
      <c r="X2206" s="723">
        <v>0.24</v>
      </c>
      <c r="Y2206" s="723" t="s">
        <v>773</v>
      </c>
      <c r="Z2206" s="382" t="s">
        <v>927</v>
      </c>
      <c r="AA2206" s="372">
        <v>1752.4672816</v>
      </c>
      <c r="AB2206" s="372">
        <v>2003.7290461</v>
      </c>
      <c r="AC2206" s="372">
        <v>1915.1969127</v>
      </c>
      <c r="AD2206" s="372">
        <v>1494.0398115</v>
      </c>
      <c r="AE2206" s="372">
        <v>0</v>
      </c>
      <c r="AF2206" s="372">
        <v>0</v>
      </c>
      <c r="AG2206" s="372">
        <v>0</v>
      </c>
      <c r="AH2206" s="372">
        <v>0</v>
      </c>
    </row>
    <row r="2207" spans="1:34">
      <c r="A2207" s="372" t="s">
        <v>14136</v>
      </c>
      <c r="B2207" s="372" t="s">
        <v>14137</v>
      </c>
      <c r="C2207" s="372" t="s">
        <v>14138</v>
      </c>
      <c r="D2207" s="374">
        <v>1101113602524</v>
      </c>
      <c r="E2207" s="372" t="s">
        <v>14139</v>
      </c>
      <c r="F2207" s="372" t="s">
        <v>2718</v>
      </c>
      <c r="G2207" s="375" t="s">
        <v>2718</v>
      </c>
      <c r="H2207" s="375" t="s">
        <v>1337</v>
      </c>
      <c r="I2207" s="375" t="s">
        <v>862</v>
      </c>
      <c r="J2207" s="375">
        <v>9019.5432799999999</v>
      </c>
      <c r="K2207" s="375">
        <v>805.8546</v>
      </c>
      <c r="L2207" s="375">
        <v>1015.72756</v>
      </c>
      <c r="M2207" s="375">
        <v>13709.298640000001</v>
      </c>
      <c r="N2207" s="372">
        <v>0.68</v>
      </c>
      <c r="O2207" s="704">
        <v>4.0886668071436558</v>
      </c>
      <c r="P2207" s="563" t="s">
        <v>622</v>
      </c>
      <c r="Q2207" s="372" t="s">
        <v>622</v>
      </c>
      <c r="R2207" s="696">
        <v>20160629</v>
      </c>
      <c r="S2207" s="372" t="s">
        <v>14140</v>
      </c>
      <c r="T2207" s="697">
        <v>0.20900000000000002</v>
      </c>
      <c r="U2207" s="372" t="s">
        <v>14141</v>
      </c>
      <c r="V2207" s="723">
        <v>0</v>
      </c>
      <c r="W2207" s="723">
        <v>0</v>
      </c>
      <c r="X2207" s="723">
        <v>0</v>
      </c>
      <c r="Y2207" s="723">
        <v>0</v>
      </c>
      <c r="Z2207" s="382" t="s">
        <v>927</v>
      </c>
      <c r="AA2207" s="372">
        <v>87.220385899999997</v>
      </c>
      <c r="AB2207" s="372">
        <v>82.425080100000002</v>
      </c>
      <c r="AC2207" s="372">
        <v>107.51900430000001</v>
      </c>
      <c r="AD2207" s="372">
        <v>90.233991900000007</v>
      </c>
      <c r="AE2207" s="372">
        <v>0</v>
      </c>
      <c r="AF2207" s="372">
        <v>0</v>
      </c>
      <c r="AG2207" s="372">
        <v>0</v>
      </c>
      <c r="AH2207" s="372">
        <v>0</v>
      </c>
    </row>
    <row r="2208" spans="1:34">
      <c r="A2208" s="372" t="s">
        <v>14142</v>
      </c>
      <c r="B2208" s="372" t="s">
        <v>14143</v>
      </c>
      <c r="C2208" s="372" t="s">
        <v>14144</v>
      </c>
      <c r="D2208" s="374">
        <v>1801110273986</v>
      </c>
      <c r="E2208" s="372" t="s">
        <v>14145</v>
      </c>
      <c r="F2208" s="372" t="s">
        <v>1863</v>
      </c>
      <c r="G2208" s="375" t="s">
        <v>1864</v>
      </c>
      <c r="H2208" s="375" t="s">
        <v>861</v>
      </c>
      <c r="I2208" s="375" t="s">
        <v>862</v>
      </c>
      <c r="J2208" s="375">
        <v>155336.08424</v>
      </c>
      <c r="K2208" s="375">
        <v>-14911.67036</v>
      </c>
      <c r="L2208" s="375">
        <v>-9536.7150000000001</v>
      </c>
      <c r="M2208" s="375">
        <v>76814.055080000006</v>
      </c>
      <c r="N2208" s="372">
        <v>0.51400000000000001</v>
      </c>
      <c r="O2208" s="704">
        <v>119.91841294529706</v>
      </c>
      <c r="P2208" s="563" t="s">
        <v>622</v>
      </c>
      <c r="Q2208" s="372" t="s">
        <v>622</v>
      </c>
      <c r="R2208" s="696">
        <v>20140527</v>
      </c>
      <c r="S2208" s="372" t="s">
        <v>14146</v>
      </c>
      <c r="T2208" s="697" t="s">
        <v>771</v>
      </c>
      <c r="U2208" s="372" t="s">
        <v>14147</v>
      </c>
      <c r="V2208" s="723" t="s">
        <v>773</v>
      </c>
      <c r="W2208" s="723">
        <v>0.73</v>
      </c>
      <c r="X2208" s="723">
        <v>0.3</v>
      </c>
      <c r="Y2208" s="723" t="s">
        <v>773</v>
      </c>
      <c r="Z2208" s="382" t="s">
        <v>927</v>
      </c>
      <c r="AA2208" s="372">
        <v>1376.4874124</v>
      </c>
      <c r="AB2208" s="372">
        <v>1412.435673</v>
      </c>
      <c r="AC2208" s="372">
        <v>1820.1908008</v>
      </c>
      <c r="AD2208" s="372">
        <v>1729.0154186</v>
      </c>
      <c r="AE2208" s="372">
        <v>0</v>
      </c>
      <c r="AF2208" s="372">
        <v>0</v>
      </c>
      <c r="AG2208" s="372">
        <v>0</v>
      </c>
      <c r="AH2208" s="372">
        <v>0</v>
      </c>
    </row>
    <row r="2209" spans="1:34">
      <c r="A2209" s="372" t="s">
        <v>14148</v>
      </c>
      <c r="B2209" s="372" t="s">
        <v>14149</v>
      </c>
      <c r="C2209" s="372" t="s">
        <v>14150</v>
      </c>
      <c r="D2209" s="374">
        <v>1341110000880</v>
      </c>
      <c r="E2209" s="372" t="s">
        <v>14151</v>
      </c>
      <c r="F2209" s="372" t="s">
        <v>4638</v>
      </c>
      <c r="G2209" s="375" t="s">
        <v>4638</v>
      </c>
      <c r="H2209" s="375" t="s">
        <v>861</v>
      </c>
      <c r="I2209" s="375" t="s">
        <v>862</v>
      </c>
      <c r="J2209" s="375">
        <v>24164.118279999999</v>
      </c>
      <c r="K2209" s="375">
        <v>-2424.0949700000001</v>
      </c>
      <c r="L2209" s="375">
        <v>-3024.13085</v>
      </c>
      <c r="M2209" s="375">
        <v>34306.29711</v>
      </c>
      <c r="N2209" s="372">
        <v>0.23400000000000001</v>
      </c>
      <c r="O2209" s="704">
        <v>58.286664304993252</v>
      </c>
      <c r="P2209" s="563" t="s">
        <v>622</v>
      </c>
      <c r="Q2209" s="372" t="s">
        <v>622</v>
      </c>
      <c r="R2209" s="696">
        <v>20000331</v>
      </c>
      <c r="S2209" s="372" t="s">
        <v>14152</v>
      </c>
      <c r="T2209" s="697" t="s">
        <v>771</v>
      </c>
      <c r="U2209" s="372" t="s">
        <v>14153</v>
      </c>
      <c r="V2209" s="723">
        <v>0</v>
      </c>
      <c r="W2209" s="723">
        <v>0</v>
      </c>
      <c r="X2209" s="723">
        <v>0</v>
      </c>
      <c r="Y2209" s="723">
        <v>0</v>
      </c>
      <c r="Z2209" s="382" t="s">
        <v>927</v>
      </c>
      <c r="AA2209" s="372">
        <v>248.0099036</v>
      </c>
      <c r="AB2209" s="372">
        <v>239.9725152</v>
      </c>
      <c r="AC2209" s="372">
        <v>255.00064649999999</v>
      </c>
      <c r="AD2209" s="372">
        <v>255.62323129999999</v>
      </c>
      <c r="AE2209" s="372">
        <v>0</v>
      </c>
      <c r="AF2209" s="372">
        <v>0</v>
      </c>
      <c r="AG2209" s="372">
        <v>0</v>
      </c>
      <c r="AH2209" s="372">
        <v>0</v>
      </c>
    </row>
    <row r="2210" spans="1:34">
      <c r="A2210" s="372" t="s">
        <v>14154</v>
      </c>
      <c r="B2210" s="372" t="s">
        <v>14155</v>
      </c>
      <c r="C2210" s="372" t="s">
        <v>14156</v>
      </c>
      <c r="D2210" s="374">
        <v>1101115488493</v>
      </c>
      <c r="E2210" s="372" t="s">
        <v>14157</v>
      </c>
      <c r="F2210" s="372" t="s">
        <v>11462</v>
      </c>
      <c r="G2210" s="375" t="s">
        <v>11462</v>
      </c>
      <c r="H2210" s="375" t="s">
        <v>1531</v>
      </c>
      <c r="I2210" s="375" t="s">
        <v>862</v>
      </c>
      <c r="J2210" s="375">
        <v>6081.4089700000004</v>
      </c>
      <c r="K2210" s="375">
        <v>-22936.043669999999</v>
      </c>
      <c r="L2210" s="375">
        <v>-11603.552659999999</v>
      </c>
      <c r="M2210" s="375">
        <v>66844.699949999995</v>
      </c>
      <c r="N2210" s="372">
        <v>0.38300000000000001</v>
      </c>
      <c r="O2210" s="704">
        <v>134.38510189661298</v>
      </c>
      <c r="P2210" s="563" t="s">
        <v>16115</v>
      </c>
      <c r="Q2210" s="372" t="s">
        <v>16116</v>
      </c>
      <c r="R2210" s="696">
        <v>20141229</v>
      </c>
      <c r="S2210" s="372" t="s">
        <v>11462</v>
      </c>
      <c r="T2210" s="697" t="s">
        <v>771</v>
      </c>
      <c r="U2210" s="372" t="s">
        <v>14158</v>
      </c>
      <c r="V2210" s="723" t="s">
        <v>773</v>
      </c>
      <c r="W2210" s="723">
        <v>0.35</v>
      </c>
      <c r="X2210" s="723">
        <v>3.17</v>
      </c>
      <c r="Y2210" s="723" t="s">
        <v>773</v>
      </c>
      <c r="Z2210" s="382" t="s">
        <v>927</v>
      </c>
      <c r="AA2210" s="372">
        <v>149.62003989999999</v>
      </c>
      <c r="AB2210" s="372">
        <v>345.25693059999998</v>
      </c>
      <c r="AC2210" s="372">
        <v>184.81103870000001</v>
      </c>
      <c r="AD2210" s="372">
        <v>57.026308499999999</v>
      </c>
      <c r="AE2210" s="372">
        <v>0</v>
      </c>
      <c r="AF2210" s="372">
        <v>0</v>
      </c>
      <c r="AG2210" s="372">
        <v>0</v>
      </c>
      <c r="AH2210" s="372">
        <v>0</v>
      </c>
    </row>
    <row r="2211" spans="1:34">
      <c r="A2211" s="372" t="s">
        <v>14159</v>
      </c>
      <c r="B2211" s="372" t="s">
        <v>14160</v>
      </c>
      <c r="C2211" s="372" t="s">
        <v>14161</v>
      </c>
      <c r="D2211" s="374">
        <v>1101112919938</v>
      </c>
      <c r="E2211" s="372" t="s">
        <v>14162</v>
      </c>
      <c r="F2211" s="372" t="s">
        <v>1370</v>
      </c>
      <c r="G2211" s="375" t="s">
        <v>1370</v>
      </c>
      <c r="H2211" s="375" t="s">
        <v>861</v>
      </c>
      <c r="I2211" s="375" t="s">
        <v>862</v>
      </c>
      <c r="J2211" s="375">
        <v>37634.775229999999</v>
      </c>
      <c r="K2211" s="375">
        <v>3767.8500899999999</v>
      </c>
      <c r="L2211" s="375">
        <v>6700.3340900000003</v>
      </c>
      <c r="M2211" s="375">
        <v>41318.154349999997</v>
      </c>
      <c r="N2211" s="372">
        <v>0.68799999999999994</v>
      </c>
      <c r="O2211" s="704">
        <v>0.49350751530356768</v>
      </c>
      <c r="P2211" s="563" t="s">
        <v>622</v>
      </c>
      <c r="Q2211" s="372" t="s">
        <v>622</v>
      </c>
      <c r="R2211" s="696">
        <v>20180802</v>
      </c>
      <c r="S2211" s="372" t="s">
        <v>14163</v>
      </c>
      <c r="T2211" s="697">
        <v>0.20900000000000002</v>
      </c>
      <c r="U2211" s="372" t="s">
        <v>14164</v>
      </c>
      <c r="V2211" s="723">
        <v>7.61</v>
      </c>
      <c r="W2211" s="723">
        <v>0.86</v>
      </c>
      <c r="X2211" s="723">
        <v>0.96</v>
      </c>
      <c r="Y2211" s="723">
        <v>5.25</v>
      </c>
      <c r="Z2211" s="382" t="s">
        <v>927</v>
      </c>
      <c r="AA2211" s="372">
        <v>253.922875</v>
      </c>
      <c r="AB2211" s="372">
        <v>265.4224155</v>
      </c>
      <c r="AC2211" s="372">
        <v>304.23152329999999</v>
      </c>
      <c r="AD2211" s="372">
        <v>361.40422009999997</v>
      </c>
      <c r="AE2211" s="372">
        <v>415</v>
      </c>
      <c r="AF2211" s="372">
        <v>465</v>
      </c>
      <c r="AG2211" s="372">
        <v>0</v>
      </c>
      <c r="AH2211" s="372">
        <v>0</v>
      </c>
    </row>
    <row r="2212" spans="1:34">
      <c r="A2212" s="372" t="s">
        <v>14165</v>
      </c>
      <c r="B2212" s="372" t="s">
        <v>14166</v>
      </c>
      <c r="C2212" s="372" t="s">
        <v>14167</v>
      </c>
      <c r="D2212" s="374">
        <v>1101113598616</v>
      </c>
      <c r="E2212" s="372" t="s">
        <v>14168</v>
      </c>
      <c r="F2212" s="372" t="s">
        <v>1370</v>
      </c>
      <c r="G2212" s="375" t="s">
        <v>1370</v>
      </c>
      <c r="H2212" s="375" t="s">
        <v>861</v>
      </c>
      <c r="I2212" s="375" t="s">
        <v>862</v>
      </c>
      <c r="J2212" s="375">
        <v>20160.481500000002</v>
      </c>
      <c r="K2212" s="375">
        <v>838.09936000000005</v>
      </c>
      <c r="L2212" s="375">
        <v>1718.4837500000001</v>
      </c>
      <c r="M2212" s="375">
        <v>31691.1646</v>
      </c>
      <c r="N2212" s="372">
        <v>0.94199999999999995</v>
      </c>
      <c r="O2212" s="704">
        <v>17.260432806679223</v>
      </c>
      <c r="P2212" s="563" t="s">
        <v>622</v>
      </c>
      <c r="Q2212" s="372" t="s">
        <v>622</v>
      </c>
      <c r="R2212" s="696">
        <v>20221007</v>
      </c>
      <c r="S2212" s="372" t="s">
        <v>14169</v>
      </c>
      <c r="T2212" s="697">
        <v>0.20900000000000002</v>
      </c>
      <c r="U2212" s="372" t="s">
        <v>14170</v>
      </c>
      <c r="V2212" s="723">
        <v>23.92</v>
      </c>
      <c r="W2212" s="723">
        <v>0.95</v>
      </c>
      <c r="X2212" s="723">
        <v>1.54</v>
      </c>
      <c r="Y2212" s="723">
        <v>14.31</v>
      </c>
      <c r="Z2212" s="382" t="s">
        <v>927</v>
      </c>
      <c r="AA2212" s="372">
        <v>114.05383</v>
      </c>
      <c r="AB2212" s="372">
        <v>164.0490691</v>
      </c>
      <c r="AC2212" s="372">
        <v>162.31490360000001</v>
      </c>
      <c r="AD2212" s="372">
        <v>155.10863449999999</v>
      </c>
      <c r="AE2212" s="372">
        <v>0</v>
      </c>
      <c r="AF2212" s="372">
        <v>0</v>
      </c>
      <c r="AG2212" s="372">
        <v>0</v>
      </c>
      <c r="AH2212" s="372">
        <v>0</v>
      </c>
    </row>
    <row r="2213" spans="1:34">
      <c r="A2213" s="372" t="s">
        <v>14171</v>
      </c>
      <c r="B2213" s="372" t="s">
        <v>14172</v>
      </c>
      <c r="C2213" s="372" t="s">
        <v>14173</v>
      </c>
      <c r="D2213" s="374">
        <v>1301110009274</v>
      </c>
      <c r="E2213" s="372" t="s">
        <v>14173</v>
      </c>
      <c r="F2213" s="372" t="s">
        <v>3721</v>
      </c>
      <c r="G2213" s="375" t="s">
        <v>5442</v>
      </c>
      <c r="H2213" s="375" t="s">
        <v>826</v>
      </c>
      <c r="I2213" s="375" t="s">
        <v>754</v>
      </c>
      <c r="J2213" s="375">
        <v>100292.69168</v>
      </c>
      <c r="K2213" s="375">
        <v>-7137.4522699999998</v>
      </c>
      <c r="L2213" s="375">
        <v>-4723.40445</v>
      </c>
      <c r="M2213" s="375">
        <v>106918.72822</v>
      </c>
      <c r="N2213" s="372">
        <v>0.56100000000000005</v>
      </c>
      <c r="O2213" s="704">
        <v>0.21186280584395284</v>
      </c>
      <c r="P2213" s="563" t="s">
        <v>622</v>
      </c>
      <c r="Q2213" s="372" t="s">
        <v>622</v>
      </c>
      <c r="R2213" s="696">
        <v>19961122</v>
      </c>
      <c r="S2213" s="372" t="s">
        <v>14174</v>
      </c>
      <c r="T2213" s="697" t="s">
        <v>771</v>
      </c>
      <c r="U2213" s="372" t="s">
        <v>14175</v>
      </c>
      <c r="V2213" s="723" t="s">
        <v>773</v>
      </c>
      <c r="W2213" s="723">
        <v>0.3</v>
      </c>
      <c r="X2213" s="723">
        <v>0.32</v>
      </c>
      <c r="Y2213" s="723" t="s">
        <v>773</v>
      </c>
      <c r="Z2213" s="382" t="s">
        <v>927</v>
      </c>
      <c r="AA2213" s="372">
        <v>1024.509186</v>
      </c>
      <c r="AB2213" s="372">
        <v>1176.0713507</v>
      </c>
      <c r="AC2213" s="372">
        <v>1256.8231264000001</v>
      </c>
      <c r="AD2213" s="372">
        <v>1123.1925450000001</v>
      </c>
      <c r="AE2213" s="372">
        <v>0</v>
      </c>
      <c r="AF2213" s="372">
        <v>0</v>
      </c>
      <c r="AG2213" s="372">
        <v>0</v>
      </c>
      <c r="AH2213" s="372">
        <v>0</v>
      </c>
    </row>
    <row r="2214" spans="1:34">
      <c r="A2214" s="372" t="s">
        <v>14176</v>
      </c>
      <c r="B2214" s="372" t="s">
        <v>14177</v>
      </c>
      <c r="C2214" s="372" t="s">
        <v>14178</v>
      </c>
      <c r="D2214" s="374">
        <v>1101110105688</v>
      </c>
      <c r="E2214" s="372" t="s">
        <v>14179</v>
      </c>
      <c r="F2214" s="372" t="s">
        <v>1836</v>
      </c>
      <c r="G2214" s="375" t="s">
        <v>1836</v>
      </c>
      <c r="H2214" s="375" t="s">
        <v>3099</v>
      </c>
      <c r="I2214" s="375" t="s">
        <v>862</v>
      </c>
      <c r="J2214" s="375">
        <v>175179.89684</v>
      </c>
      <c r="K2214" s="375">
        <v>1302.1505400000001</v>
      </c>
      <c r="L2214" s="375">
        <v>1568.4093</v>
      </c>
      <c r="M2214" s="375">
        <v>42854.44526</v>
      </c>
      <c r="N2214" s="372">
        <v>0.55700000000000005</v>
      </c>
      <c r="O2214" s="704">
        <v>82.487354884191859</v>
      </c>
      <c r="P2214" s="563" t="s">
        <v>622</v>
      </c>
      <c r="Q2214" s="372" t="s">
        <v>622</v>
      </c>
      <c r="R2214" s="696">
        <v>20000905</v>
      </c>
      <c r="S2214" s="372" t="s">
        <v>14180</v>
      </c>
      <c r="T2214" s="697">
        <v>0.20900000000000002</v>
      </c>
      <c r="U2214" s="372" t="s">
        <v>14181</v>
      </c>
      <c r="V2214" s="723">
        <v>28.97</v>
      </c>
      <c r="W2214" s="723">
        <v>0.65</v>
      </c>
      <c r="X2214" s="723">
        <v>0.16</v>
      </c>
      <c r="Y2214" s="723">
        <v>23.6</v>
      </c>
      <c r="Z2214" s="382" t="s">
        <v>927</v>
      </c>
      <c r="AA2214" s="372">
        <v>1721.6458858000001</v>
      </c>
      <c r="AB2214" s="372">
        <v>1663.3318477</v>
      </c>
      <c r="AC2214" s="372">
        <v>1662.6665800999999</v>
      </c>
      <c r="AD2214" s="372">
        <v>1797.5179427999999</v>
      </c>
      <c r="AE2214" s="372">
        <v>0</v>
      </c>
      <c r="AF2214" s="372">
        <v>0</v>
      </c>
      <c r="AG2214" s="372">
        <v>0</v>
      </c>
      <c r="AH2214" s="372">
        <v>0</v>
      </c>
    </row>
    <row r="2215" spans="1:34">
      <c r="A2215" s="372" t="s">
        <v>14182</v>
      </c>
      <c r="B2215" s="372" t="s">
        <v>14183</v>
      </c>
      <c r="C2215" s="372" t="s">
        <v>14184</v>
      </c>
      <c r="D2215" s="374">
        <v>1301110044808</v>
      </c>
      <c r="E2215" s="372" t="s">
        <v>14185</v>
      </c>
      <c r="F2215" s="372" t="s">
        <v>2834</v>
      </c>
      <c r="G2215" s="375" t="s">
        <v>2834</v>
      </c>
      <c r="H2215" s="375" t="s">
        <v>861</v>
      </c>
      <c r="I2215" s="375" t="s">
        <v>862</v>
      </c>
      <c r="J2215" s="375">
        <v>15006.213540000001</v>
      </c>
      <c r="K2215" s="375">
        <v>-8020.4348</v>
      </c>
      <c r="L2215" s="375">
        <v>-19008.680899999999</v>
      </c>
      <c r="M2215" s="375">
        <v>38605.896419999997</v>
      </c>
      <c r="N2215" s="372">
        <v>0.86399999999999999</v>
      </c>
      <c r="O2215" s="704">
        <v>105.90617979233177</v>
      </c>
      <c r="P2215" s="563" t="s">
        <v>622</v>
      </c>
      <c r="Q2215" s="372" t="s">
        <v>622</v>
      </c>
      <c r="R2215" s="696">
        <v>20140814</v>
      </c>
      <c r="S2215" s="372" t="s">
        <v>14186</v>
      </c>
      <c r="T2215" s="697" t="s">
        <v>771</v>
      </c>
      <c r="U2215" s="372" t="s">
        <v>15964</v>
      </c>
      <c r="V2215" s="723" t="s">
        <v>773</v>
      </c>
      <c r="W2215" s="723">
        <v>1.1100000000000001</v>
      </c>
      <c r="X2215" s="723">
        <v>2.38</v>
      </c>
      <c r="Y2215" s="723" t="s">
        <v>773</v>
      </c>
      <c r="Z2215" s="382" t="s">
        <v>927</v>
      </c>
      <c r="AA2215" s="372">
        <v>135.8942744</v>
      </c>
      <c r="AB2215" s="372">
        <v>259.84088209999999</v>
      </c>
      <c r="AC2215" s="372">
        <v>211.0009914</v>
      </c>
      <c r="AD2215" s="372">
        <v>174.4995261</v>
      </c>
      <c r="AE2215" s="372">
        <v>0</v>
      </c>
      <c r="AF2215" s="372">
        <v>0</v>
      </c>
      <c r="AG2215" s="372">
        <v>0</v>
      </c>
      <c r="AH2215" s="372">
        <v>0</v>
      </c>
    </row>
    <row r="2216" spans="1:34">
      <c r="A2216" s="372" t="s">
        <v>14187</v>
      </c>
      <c r="B2216" s="372" t="s">
        <v>14188</v>
      </c>
      <c r="C2216" s="372" t="s">
        <v>14189</v>
      </c>
      <c r="D2216" s="374">
        <v>1345110042264</v>
      </c>
      <c r="E2216" s="372" t="s">
        <v>14190</v>
      </c>
      <c r="F2216" s="372" t="s">
        <v>1962</v>
      </c>
      <c r="G2216" s="375" t="s">
        <v>1962</v>
      </c>
      <c r="H2216" s="375" t="s">
        <v>861</v>
      </c>
      <c r="I2216" s="375" t="s">
        <v>862</v>
      </c>
      <c r="J2216" s="375">
        <v>35862.493170000002</v>
      </c>
      <c r="K2216" s="375">
        <v>136.87423999999999</v>
      </c>
      <c r="L2216" s="375">
        <v>-25767.057690000001</v>
      </c>
      <c r="M2216" s="375">
        <v>143948.84245</v>
      </c>
      <c r="N2216" s="372">
        <v>1.1919999999999999</v>
      </c>
      <c r="O2216" s="704">
        <v>135.38913161208612</v>
      </c>
      <c r="P2216" s="563" t="s">
        <v>622</v>
      </c>
      <c r="Q2216" s="372" t="s">
        <v>622</v>
      </c>
      <c r="R2216" s="696">
        <v>20061101</v>
      </c>
      <c r="S2216" s="372" t="s">
        <v>14191</v>
      </c>
      <c r="T2216" s="697" t="s">
        <v>771</v>
      </c>
      <c r="U2216" s="372" t="s">
        <v>14192</v>
      </c>
      <c r="V2216" s="723">
        <v>38.07</v>
      </c>
      <c r="W2216" s="723">
        <v>0.24</v>
      </c>
      <c r="X2216" s="723">
        <v>0.96</v>
      </c>
      <c r="Y2216" s="723" t="s">
        <v>773</v>
      </c>
      <c r="Z2216" s="382" t="s">
        <v>927</v>
      </c>
      <c r="AA2216" s="372">
        <v>96.853636300000005</v>
      </c>
      <c r="AB2216" s="372">
        <v>169.72440209999999</v>
      </c>
      <c r="AC2216" s="372">
        <v>234.6325904</v>
      </c>
      <c r="AD2216" s="372">
        <v>412.57657890000002</v>
      </c>
      <c r="AE2216" s="372">
        <v>0</v>
      </c>
      <c r="AF2216" s="372">
        <v>0</v>
      </c>
      <c r="AG2216" s="372">
        <v>0</v>
      </c>
      <c r="AH2216" s="372">
        <v>0</v>
      </c>
    </row>
    <row r="2217" spans="1:34">
      <c r="A2217" s="372" t="s">
        <v>14193</v>
      </c>
      <c r="B2217" s="372" t="s">
        <v>14194</v>
      </c>
      <c r="C2217" s="372" t="s">
        <v>14195</v>
      </c>
      <c r="D2217" s="374">
        <v>1101115248376</v>
      </c>
      <c r="E2217" s="372" t="s">
        <v>14196</v>
      </c>
      <c r="F2217" s="372" t="s">
        <v>1598</v>
      </c>
      <c r="G2217" s="375" t="s">
        <v>1599</v>
      </c>
      <c r="H2217" s="375" t="s">
        <v>861</v>
      </c>
      <c r="I2217" s="375" t="s">
        <v>862</v>
      </c>
      <c r="J2217" s="375">
        <v>88239.547349999993</v>
      </c>
      <c r="K2217" s="375">
        <v>4882.8821799999996</v>
      </c>
      <c r="L2217" s="375">
        <v>2883.4344599999999</v>
      </c>
      <c r="M2217" s="375">
        <v>19604.900430000002</v>
      </c>
      <c r="N2217" s="372">
        <v>0.38400000000000001</v>
      </c>
      <c r="O2217" s="704">
        <v>65.365821497004916</v>
      </c>
      <c r="P2217" s="563" t="s">
        <v>16115</v>
      </c>
      <c r="Q2217" s="372" t="s">
        <v>16116</v>
      </c>
      <c r="R2217" s="696">
        <v>20140508</v>
      </c>
      <c r="S2217" s="372" t="s">
        <v>14197</v>
      </c>
      <c r="T2217" s="697">
        <v>0.20900000000000002</v>
      </c>
      <c r="U2217" s="372" t="s">
        <v>14198</v>
      </c>
      <c r="V2217" s="723">
        <v>5.22</v>
      </c>
      <c r="W2217" s="723">
        <v>1.55</v>
      </c>
      <c r="X2217" s="723">
        <v>0.36</v>
      </c>
      <c r="Y2217" s="723">
        <v>5.07</v>
      </c>
      <c r="Z2217" s="382" t="s">
        <v>927</v>
      </c>
      <c r="AA2217" s="372">
        <v>473.75057509999999</v>
      </c>
      <c r="AB2217" s="372">
        <v>512.70341350000001</v>
      </c>
      <c r="AC2217" s="372">
        <v>668.04959540000004</v>
      </c>
      <c r="AD2217" s="372">
        <v>880.7643779</v>
      </c>
      <c r="AE2217" s="372">
        <v>0</v>
      </c>
      <c r="AF2217" s="372">
        <v>0</v>
      </c>
      <c r="AG2217" s="372">
        <v>0</v>
      </c>
      <c r="AH2217" s="372">
        <v>0</v>
      </c>
    </row>
    <row r="2218" spans="1:34">
      <c r="A2218" s="372" t="s">
        <v>14199</v>
      </c>
      <c r="B2218" s="372" t="s">
        <v>14200</v>
      </c>
      <c r="C2218" s="372" t="s">
        <v>14201</v>
      </c>
      <c r="D2218" s="374">
        <v>1101111985914</v>
      </c>
      <c r="E2218" s="372" t="s">
        <v>14202</v>
      </c>
      <c r="F2218" s="372" t="s">
        <v>5769</v>
      </c>
      <c r="G2218" s="375" t="s">
        <v>5769</v>
      </c>
      <c r="H2218" s="375" t="s">
        <v>1337</v>
      </c>
      <c r="I2218" s="375" t="s">
        <v>862</v>
      </c>
      <c r="J2218" s="375">
        <v>32723.077010000001</v>
      </c>
      <c r="K2218" s="375">
        <v>1476.9588100000001</v>
      </c>
      <c r="L2218" s="375">
        <v>4280.6363899999997</v>
      </c>
      <c r="M2218" s="375">
        <v>80597.789050000007</v>
      </c>
      <c r="N2218" s="372">
        <v>0.75700000000000001</v>
      </c>
      <c r="O2218" s="704">
        <v>8.1270989931865358</v>
      </c>
      <c r="P2218" s="563" t="s">
        <v>622</v>
      </c>
      <c r="Q2218" s="372" t="s">
        <v>622</v>
      </c>
      <c r="R2218" s="696">
        <v>20050610</v>
      </c>
      <c r="S2218" s="372" t="s">
        <v>14203</v>
      </c>
      <c r="T2218" s="697">
        <v>0.20900000000000002</v>
      </c>
      <c r="U2218" s="372" t="s">
        <v>14204</v>
      </c>
      <c r="V2218" s="723">
        <v>13.27</v>
      </c>
      <c r="W2218" s="723">
        <v>0.48</v>
      </c>
      <c r="X2218" s="723">
        <v>1.1200000000000001</v>
      </c>
      <c r="Y2218" s="723">
        <v>32.07</v>
      </c>
      <c r="Z2218" s="382" t="s">
        <v>927</v>
      </c>
      <c r="AA2218" s="372">
        <v>240.15715779999999</v>
      </c>
      <c r="AB2218" s="372">
        <v>285.56417800000003</v>
      </c>
      <c r="AC2218" s="372">
        <v>313.85362359999999</v>
      </c>
      <c r="AD2218" s="372">
        <v>330.66451619999998</v>
      </c>
      <c r="AE2218" s="372">
        <v>0</v>
      </c>
      <c r="AF2218" s="372">
        <v>0</v>
      </c>
      <c r="AG2218" s="372">
        <v>0</v>
      </c>
      <c r="AH2218" s="372">
        <v>0</v>
      </c>
    </row>
    <row r="2219" spans="1:34">
      <c r="A2219" s="372" t="s">
        <v>14205</v>
      </c>
      <c r="B2219" s="372" t="s">
        <v>14206</v>
      </c>
      <c r="C2219" s="372" t="s">
        <v>14207</v>
      </c>
      <c r="D2219" s="374">
        <v>1101110018138</v>
      </c>
      <c r="E2219" s="372" t="s">
        <v>14208</v>
      </c>
      <c r="F2219" s="372" t="s">
        <v>5700</v>
      </c>
      <c r="G2219" s="375" t="s">
        <v>14209</v>
      </c>
      <c r="H2219" s="375" t="s">
        <v>846</v>
      </c>
      <c r="I2219" s="375" t="s">
        <v>754</v>
      </c>
      <c r="J2219" s="375">
        <v>49280.434600000001</v>
      </c>
      <c r="K2219" s="375">
        <v>897.56282999999996</v>
      </c>
      <c r="L2219" s="375">
        <v>137.10678999999999</v>
      </c>
      <c r="M2219" s="375">
        <v>208145.15672</v>
      </c>
      <c r="N2219" s="372">
        <v>0.58499999999999996</v>
      </c>
      <c r="O2219" s="704">
        <v>75.67122593718338</v>
      </c>
      <c r="P2219" s="563" t="s">
        <v>622</v>
      </c>
      <c r="Q2219" s="372" t="s">
        <v>622</v>
      </c>
      <c r="R2219" s="696">
        <v>19940429</v>
      </c>
      <c r="S2219" s="372" t="s">
        <v>14210</v>
      </c>
      <c r="T2219" s="697">
        <v>9.9000000000000005E-2</v>
      </c>
      <c r="U2219" s="372" t="s">
        <v>14211</v>
      </c>
      <c r="V2219" s="723">
        <v>49.97</v>
      </c>
      <c r="W2219" s="723">
        <v>0.26</v>
      </c>
      <c r="X2219" s="723">
        <v>0.72</v>
      </c>
      <c r="Y2219" s="723" t="s">
        <v>773</v>
      </c>
      <c r="Z2219" s="382" t="s">
        <v>927</v>
      </c>
      <c r="AA2219" s="372">
        <v>511.25793850000002</v>
      </c>
      <c r="AB2219" s="372">
        <v>577.75111890000005</v>
      </c>
      <c r="AC2219" s="372">
        <v>586.33950909999999</v>
      </c>
      <c r="AD2219" s="372">
        <v>471.87842380000001</v>
      </c>
      <c r="AE2219" s="372">
        <v>0</v>
      </c>
      <c r="AF2219" s="372">
        <v>0</v>
      </c>
      <c r="AG2219" s="372">
        <v>0</v>
      </c>
      <c r="AH2219" s="372">
        <v>0</v>
      </c>
    </row>
    <row r="2220" spans="1:34">
      <c r="A2220" s="372" t="s">
        <v>14212</v>
      </c>
      <c r="B2220" s="372" t="s">
        <v>14213</v>
      </c>
      <c r="C2220" s="372" t="s">
        <v>14214</v>
      </c>
      <c r="D2220" s="374">
        <v>1101110032005</v>
      </c>
      <c r="E2220" s="372" t="s">
        <v>14215</v>
      </c>
      <c r="F2220" s="372" t="s">
        <v>2747</v>
      </c>
      <c r="G2220" s="375" t="s">
        <v>2748</v>
      </c>
      <c r="H2220" s="375" t="s">
        <v>812</v>
      </c>
      <c r="I2220" s="375" t="s">
        <v>754</v>
      </c>
      <c r="J2220" s="375">
        <v>160531.12328999999</v>
      </c>
      <c r="K2220" s="375">
        <v>-5494.2635799999998</v>
      </c>
      <c r="L2220" s="375">
        <v>840.54961000000003</v>
      </c>
      <c r="M2220" s="375">
        <v>156624.9621</v>
      </c>
      <c r="N2220" s="372">
        <v>0.77300000000000002</v>
      </c>
      <c r="O2220" s="704">
        <v>0.59219031886819651</v>
      </c>
      <c r="P2220" s="563" t="s">
        <v>622</v>
      </c>
      <c r="Q2220" s="372" t="s">
        <v>622</v>
      </c>
      <c r="R2220" s="696">
        <v>20150924</v>
      </c>
      <c r="S2220" s="372" t="s">
        <v>14216</v>
      </c>
      <c r="T2220" s="697">
        <v>0.20900000000000002</v>
      </c>
      <c r="U2220" s="372" t="s">
        <v>14217</v>
      </c>
      <c r="V2220" s="723">
        <v>0</v>
      </c>
      <c r="W2220" s="723">
        <v>0</v>
      </c>
      <c r="X2220" s="723">
        <v>0</v>
      </c>
      <c r="Y2220" s="723">
        <v>0</v>
      </c>
      <c r="Z2220" s="382" t="s">
        <v>927</v>
      </c>
      <c r="AA2220" s="372">
        <v>1229.1262021</v>
      </c>
      <c r="AB2220" s="372">
        <v>1822.3577387</v>
      </c>
      <c r="AC2220" s="372">
        <v>1967.5761537999999</v>
      </c>
      <c r="AD2220" s="372">
        <v>1808.1260444</v>
      </c>
      <c r="AE2220" s="372">
        <v>0</v>
      </c>
      <c r="AF2220" s="372">
        <v>0</v>
      </c>
      <c r="AG2220" s="372">
        <v>0</v>
      </c>
      <c r="AH2220" s="372">
        <v>0</v>
      </c>
    </row>
    <row r="2221" spans="1:34">
      <c r="A2221" s="372" t="s">
        <v>14218</v>
      </c>
      <c r="B2221" s="372" t="s">
        <v>14219</v>
      </c>
      <c r="C2221" s="372" t="s">
        <v>14220</v>
      </c>
      <c r="D2221" s="374">
        <v>1801110414837</v>
      </c>
      <c r="E2221" s="372" t="s">
        <v>14221</v>
      </c>
      <c r="F2221" s="372" t="s">
        <v>3548</v>
      </c>
      <c r="G2221" s="375" t="s">
        <v>3548</v>
      </c>
      <c r="H2221" s="375" t="s">
        <v>1337</v>
      </c>
      <c r="I2221" s="375" t="s">
        <v>862</v>
      </c>
      <c r="J2221" s="375">
        <v>24347.085849999999</v>
      </c>
      <c r="K2221" s="375">
        <v>-7744.04133</v>
      </c>
      <c r="L2221" s="375">
        <v>-25966.81309</v>
      </c>
      <c r="M2221" s="375">
        <v>24380.90857</v>
      </c>
      <c r="N2221" s="372">
        <v>0.78700000000000003</v>
      </c>
      <c r="O2221" s="704">
        <v>143.2274086462217</v>
      </c>
      <c r="P2221" s="563" t="s">
        <v>622</v>
      </c>
      <c r="Q2221" s="372" t="s">
        <v>622</v>
      </c>
      <c r="R2221" s="696">
        <v>20061010</v>
      </c>
      <c r="S2221" s="372" t="s">
        <v>14222</v>
      </c>
      <c r="T2221" s="697" t="s">
        <v>771</v>
      </c>
      <c r="U2221" s="372" t="s">
        <v>14223</v>
      </c>
      <c r="V2221" s="723" t="s">
        <v>773</v>
      </c>
      <c r="W2221" s="723">
        <v>1.2</v>
      </c>
      <c r="X2221" s="723">
        <v>1.1399999999999999</v>
      </c>
      <c r="Y2221" s="723" t="s">
        <v>773</v>
      </c>
      <c r="Z2221" s="382" t="s">
        <v>927</v>
      </c>
      <c r="AA2221" s="372">
        <v>586.20210110000005</v>
      </c>
      <c r="AB2221" s="372">
        <v>538.83827810000003</v>
      </c>
      <c r="AC2221" s="372">
        <v>466.01511929999998</v>
      </c>
      <c r="AD2221" s="372">
        <v>317.02033249999999</v>
      </c>
      <c r="AE2221" s="372">
        <v>0</v>
      </c>
      <c r="AF2221" s="372">
        <v>0</v>
      </c>
      <c r="AG2221" s="372">
        <v>0</v>
      </c>
      <c r="AH2221" s="372">
        <v>0</v>
      </c>
    </row>
    <row r="2222" spans="1:34">
      <c r="A2222" s="372" t="s">
        <v>14224</v>
      </c>
      <c r="B2222" s="372" t="s">
        <v>14225</v>
      </c>
      <c r="C2222" s="372" t="s">
        <v>14226</v>
      </c>
      <c r="D2222" s="374">
        <v>1101110296073</v>
      </c>
      <c r="E2222" s="372" t="s">
        <v>14227</v>
      </c>
      <c r="F2222" s="372" t="s">
        <v>1459</v>
      </c>
      <c r="G2222" s="375" t="s">
        <v>5643</v>
      </c>
      <c r="H2222" s="375" t="s">
        <v>909</v>
      </c>
      <c r="I2222" s="375" t="s">
        <v>754</v>
      </c>
      <c r="J2222" s="375">
        <v>43787.815779999997</v>
      </c>
      <c r="K2222" s="375">
        <v>-9150.1115800000007</v>
      </c>
      <c r="L2222" s="375">
        <v>-31832.648840000002</v>
      </c>
      <c r="M2222" s="375">
        <v>25901.318950000001</v>
      </c>
      <c r="N2222" s="372">
        <v>0.29099999999999998</v>
      </c>
      <c r="O2222" s="704">
        <v>139.39386927524666</v>
      </c>
      <c r="P2222" s="563" t="s">
        <v>16115</v>
      </c>
      <c r="Q2222" s="372" t="s">
        <v>16116</v>
      </c>
      <c r="R2222" s="696">
        <v>19891202</v>
      </c>
      <c r="S2222" s="372" t="s">
        <v>14228</v>
      </c>
      <c r="T2222" s="697" t="s">
        <v>771</v>
      </c>
      <c r="U2222" s="372" t="s">
        <v>14229</v>
      </c>
      <c r="V2222" s="723" t="s">
        <v>773</v>
      </c>
      <c r="W2222" s="723">
        <v>1.29</v>
      </c>
      <c r="X2222" s="723">
        <v>0.71</v>
      </c>
      <c r="Y2222" s="723" t="s">
        <v>773</v>
      </c>
      <c r="Z2222" s="382" t="s">
        <v>927</v>
      </c>
      <c r="AA2222" s="372">
        <v>1099.2874065999999</v>
      </c>
      <c r="AB2222" s="372">
        <v>968.49603239999999</v>
      </c>
      <c r="AC2222" s="372">
        <v>588.34597889999998</v>
      </c>
      <c r="AD2222" s="372">
        <v>473.8448545</v>
      </c>
      <c r="AE2222" s="372">
        <v>0</v>
      </c>
      <c r="AF2222" s="372">
        <v>0</v>
      </c>
      <c r="AG2222" s="372">
        <v>0</v>
      </c>
      <c r="AH2222" s="372">
        <v>0</v>
      </c>
    </row>
    <row r="2223" spans="1:34">
      <c r="A2223" s="372" t="s">
        <v>14230</v>
      </c>
      <c r="B2223" s="372" t="s">
        <v>14231</v>
      </c>
      <c r="C2223" s="372" t="s">
        <v>14232</v>
      </c>
      <c r="D2223" s="374">
        <v>1101110175467</v>
      </c>
      <c r="E2223" s="372" t="s">
        <v>14233</v>
      </c>
      <c r="F2223" s="372" t="s">
        <v>5119</v>
      </c>
      <c r="G2223" s="375" t="s">
        <v>5119</v>
      </c>
      <c r="H2223" s="375" t="s">
        <v>1386</v>
      </c>
      <c r="I2223" s="375" t="s">
        <v>754</v>
      </c>
      <c r="J2223" s="375">
        <v>128540.91595</v>
      </c>
      <c r="K2223" s="375">
        <v>-8248.4352600000002</v>
      </c>
      <c r="L2223" s="375">
        <v>-4167.2452499999999</v>
      </c>
      <c r="M2223" s="375">
        <v>90034.488150000005</v>
      </c>
      <c r="N2223" s="372">
        <v>0.80800000000000005</v>
      </c>
      <c r="O2223" s="704">
        <v>4.0711269083243797</v>
      </c>
      <c r="P2223" s="563" t="s">
        <v>622</v>
      </c>
      <c r="Q2223" s="372" t="s">
        <v>622</v>
      </c>
      <c r="R2223" s="696">
        <v>20180914</v>
      </c>
      <c r="S2223" s="372" t="s">
        <v>14234</v>
      </c>
      <c r="T2223" s="697" t="s">
        <v>771</v>
      </c>
      <c r="U2223" s="372" t="s">
        <v>14235</v>
      </c>
      <c r="V2223" s="723" t="s">
        <v>773</v>
      </c>
      <c r="W2223" s="723">
        <v>0.27</v>
      </c>
      <c r="X2223" s="723">
        <v>0.2</v>
      </c>
      <c r="Y2223" s="723" t="s">
        <v>773</v>
      </c>
      <c r="Z2223" s="382" t="s">
        <v>927</v>
      </c>
      <c r="AA2223" s="372">
        <v>1404.3120105999999</v>
      </c>
      <c r="AB2223" s="372">
        <v>894.74130709999997</v>
      </c>
      <c r="AC2223" s="372">
        <v>840.45560460000002</v>
      </c>
      <c r="AD2223" s="372">
        <v>1001.6875631</v>
      </c>
      <c r="AE2223" s="372">
        <v>0</v>
      </c>
      <c r="AF2223" s="372">
        <v>0</v>
      </c>
      <c r="AG2223" s="372">
        <v>0</v>
      </c>
      <c r="AH2223" s="372">
        <v>0</v>
      </c>
    </row>
    <row r="2224" spans="1:34">
      <c r="A2224" s="372" t="s">
        <v>14236</v>
      </c>
      <c r="B2224" s="372" t="s">
        <v>14237</v>
      </c>
      <c r="C2224" s="372" t="s">
        <v>14238</v>
      </c>
      <c r="D2224" s="374">
        <v>1115110005269</v>
      </c>
      <c r="E2224" s="372" t="s">
        <v>14239</v>
      </c>
      <c r="F2224" s="372" t="s">
        <v>1836</v>
      </c>
      <c r="G2224" s="375" t="s">
        <v>1836</v>
      </c>
      <c r="H2224" s="375" t="s">
        <v>3099</v>
      </c>
      <c r="I2224" s="375" t="s">
        <v>862</v>
      </c>
      <c r="J2224" s="375">
        <v>154887.90199000001</v>
      </c>
      <c r="K2224" s="375">
        <v>5178.8179399999999</v>
      </c>
      <c r="L2224" s="375">
        <v>1737.44938</v>
      </c>
      <c r="M2224" s="375">
        <v>66194.79247</v>
      </c>
      <c r="N2224" s="372">
        <v>0.72399999999999998</v>
      </c>
      <c r="O2224" s="704">
        <v>201.89817524337087</v>
      </c>
      <c r="P2224" s="563" t="s">
        <v>622</v>
      </c>
      <c r="Q2224" s="372" t="s">
        <v>622</v>
      </c>
      <c r="R2224" s="696">
        <v>19891228</v>
      </c>
      <c r="S2224" s="372" t="s">
        <v>14240</v>
      </c>
      <c r="T2224" s="697">
        <v>0.20900000000000002</v>
      </c>
      <c r="U2224" s="372" t="s">
        <v>14241</v>
      </c>
      <c r="V2224" s="723">
        <v>9.2799999999999994</v>
      </c>
      <c r="W2224" s="723">
        <v>0.46</v>
      </c>
      <c r="X2224" s="723">
        <v>0.21</v>
      </c>
      <c r="Y2224" s="723">
        <v>21.21</v>
      </c>
      <c r="Z2224" s="382" t="s">
        <v>927</v>
      </c>
      <c r="AA2224" s="372">
        <v>1393.6083947</v>
      </c>
      <c r="AB2224" s="372">
        <v>1605.5072927000001</v>
      </c>
      <c r="AC2224" s="372">
        <v>1683.6279821000001</v>
      </c>
      <c r="AD2224" s="372">
        <v>1560.3155598999999</v>
      </c>
      <c r="AE2224" s="372">
        <v>0</v>
      </c>
      <c r="AF2224" s="372">
        <v>0</v>
      </c>
      <c r="AG2224" s="372">
        <v>0</v>
      </c>
      <c r="AH2224" s="372">
        <v>0</v>
      </c>
    </row>
    <row r="2225" spans="1:34">
      <c r="A2225" s="372" t="s">
        <v>14242</v>
      </c>
      <c r="B2225" s="372" t="s">
        <v>14243</v>
      </c>
      <c r="C2225" s="372" t="s">
        <v>14244</v>
      </c>
      <c r="D2225" s="374">
        <v>1348110069163</v>
      </c>
      <c r="E2225" s="372" t="s">
        <v>14245</v>
      </c>
      <c r="F2225" s="372" t="s">
        <v>4871</v>
      </c>
      <c r="G2225" s="375" t="s">
        <v>4871</v>
      </c>
      <c r="H2225" s="375" t="s">
        <v>861</v>
      </c>
      <c r="I2225" s="375" t="s">
        <v>862</v>
      </c>
      <c r="J2225" s="375">
        <v>119495.88337</v>
      </c>
      <c r="K2225" s="375">
        <v>-1822.3015399999999</v>
      </c>
      <c r="L2225" s="375">
        <v>-6298.1987900000004</v>
      </c>
      <c r="M2225" s="375">
        <v>59056.309459999997</v>
      </c>
      <c r="N2225" s="372">
        <v>0.61699999999999999</v>
      </c>
      <c r="O2225" s="704">
        <v>144.47188367037046</v>
      </c>
      <c r="P2225" s="563" t="s">
        <v>622</v>
      </c>
      <c r="Q2225" s="372" t="s">
        <v>622</v>
      </c>
      <c r="R2225" s="696">
        <v>20131106</v>
      </c>
      <c r="S2225" s="372" t="s">
        <v>14246</v>
      </c>
      <c r="T2225" s="697" t="s">
        <v>771</v>
      </c>
      <c r="U2225" s="372" t="s">
        <v>14247</v>
      </c>
      <c r="V2225" s="723">
        <v>10.51</v>
      </c>
      <c r="W2225" s="723">
        <v>0.77</v>
      </c>
      <c r="X2225" s="723">
        <v>0.26</v>
      </c>
      <c r="Y2225" s="723" t="s">
        <v>773</v>
      </c>
      <c r="Z2225" s="382" t="s">
        <v>927</v>
      </c>
      <c r="AA2225" s="372">
        <v>1619.3426755</v>
      </c>
      <c r="AB2225" s="372">
        <v>1408.4499530999999</v>
      </c>
      <c r="AC2225" s="372">
        <v>1638.0622023999999</v>
      </c>
      <c r="AD2225" s="372">
        <v>1211.6883722</v>
      </c>
      <c r="AE2225" s="372">
        <v>0</v>
      </c>
      <c r="AF2225" s="372">
        <v>0</v>
      </c>
      <c r="AG2225" s="372">
        <v>0</v>
      </c>
      <c r="AH2225" s="372">
        <v>0</v>
      </c>
    </row>
    <row r="2226" spans="1:34">
      <c r="A2226" s="372" t="s">
        <v>14248</v>
      </c>
      <c r="B2226" s="372" t="s">
        <v>14249</v>
      </c>
      <c r="C2226" s="372" t="s">
        <v>14250</v>
      </c>
      <c r="D2226" s="374">
        <v>1243110002628</v>
      </c>
      <c r="E2226" s="372" t="s">
        <v>14251</v>
      </c>
      <c r="F2226" s="372" t="s">
        <v>4335</v>
      </c>
      <c r="G2226" s="375" t="s">
        <v>4336</v>
      </c>
      <c r="H2226" s="375" t="s">
        <v>861</v>
      </c>
      <c r="I2226" s="375" t="s">
        <v>862</v>
      </c>
      <c r="J2226" s="375">
        <v>101704.27424</v>
      </c>
      <c r="K2226" s="375">
        <v>1093.1051600000001</v>
      </c>
      <c r="L2226" s="375">
        <v>1937.28712</v>
      </c>
      <c r="M2226" s="375">
        <v>75755.060039999997</v>
      </c>
      <c r="N2226" s="372">
        <v>0.49099999999999999</v>
      </c>
      <c r="O2226" s="704">
        <v>4.5005994768962498</v>
      </c>
      <c r="P2226" s="563" t="s">
        <v>622</v>
      </c>
      <c r="Q2226" s="372" t="s">
        <v>622</v>
      </c>
      <c r="R2226" s="696">
        <v>20110223</v>
      </c>
      <c r="S2226" s="372" t="s">
        <v>14252</v>
      </c>
      <c r="T2226" s="697">
        <v>0.20900000000000002</v>
      </c>
      <c r="U2226" s="372" t="s">
        <v>14253</v>
      </c>
      <c r="V2226" s="723">
        <v>13.2</v>
      </c>
      <c r="W2226" s="723">
        <v>0.44</v>
      </c>
      <c r="X2226" s="723">
        <v>0.34</v>
      </c>
      <c r="Y2226" s="723">
        <v>23.82</v>
      </c>
      <c r="Z2226" s="382" t="s">
        <v>927</v>
      </c>
      <c r="AA2226" s="372">
        <v>1005.9649117</v>
      </c>
      <c r="AB2226" s="372">
        <v>982.27065030000006</v>
      </c>
      <c r="AC2226" s="372">
        <v>918.69520490000002</v>
      </c>
      <c r="AD2226" s="372">
        <v>1010.6022836</v>
      </c>
      <c r="AE2226" s="372">
        <v>0</v>
      </c>
      <c r="AF2226" s="372">
        <v>0</v>
      </c>
      <c r="AG2226" s="372">
        <v>0</v>
      </c>
      <c r="AH2226" s="372">
        <v>0</v>
      </c>
    </row>
    <row r="2227" spans="1:34">
      <c r="A2227" s="372" t="s">
        <v>14254</v>
      </c>
      <c r="B2227" s="372" t="s">
        <v>14255</v>
      </c>
      <c r="C2227" s="372" t="s">
        <v>14256</v>
      </c>
      <c r="D2227" s="374">
        <v>1801110085076</v>
      </c>
      <c r="E2227" s="372" t="s">
        <v>14257</v>
      </c>
      <c r="F2227" s="372" t="s">
        <v>1796</v>
      </c>
      <c r="G2227" s="375" t="s">
        <v>2797</v>
      </c>
      <c r="H2227" s="375" t="s">
        <v>861</v>
      </c>
      <c r="I2227" s="375" t="s">
        <v>862</v>
      </c>
      <c r="J2227" s="375">
        <v>19775.275880000001</v>
      </c>
      <c r="K2227" s="375">
        <v>5490.3078599999999</v>
      </c>
      <c r="L2227" s="375">
        <v>6061.4061600000005</v>
      </c>
      <c r="M2227" s="375">
        <v>24830.958159999998</v>
      </c>
      <c r="N2227" s="372">
        <v>0.68200000000000005</v>
      </c>
      <c r="O2227" s="704">
        <v>8.7141705558149096E-2</v>
      </c>
      <c r="P2227" s="563" t="s">
        <v>622</v>
      </c>
      <c r="Q2227" s="372" t="s">
        <v>622</v>
      </c>
      <c r="R2227" s="696">
        <v>20020716</v>
      </c>
      <c r="S2227" s="372" t="s">
        <v>14258</v>
      </c>
      <c r="T2227" s="697">
        <v>0.20900000000000002</v>
      </c>
      <c r="U2227" s="372" t="s">
        <v>14259</v>
      </c>
      <c r="V2227" s="723">
        <v>0</v>
      </c>
      <c r="W2227" s="723">
        <v>0</v>
      </c>
      <c r="X2227" s="723">
        <v>0</v>
      </c>
      <c r="Y2227" s="723">
        <v>0</v>
      </c>
      <c r="Z2227" s="382" t="s">
        <v>927</v>
      </c>
      <c r="AA2227" s="372">
        <v>121.4340389</v>
      </c>
      <c r="AB2227" s="372">
        <v>140.91536410000001</v>
      </c>
      <c r="AC2227" s="372">
        <v>138.77625990000001</v>
      </c>
      <c r="AD2227" s="372">
        <v>160.54188970000001</v>
      </c>
      <c r="AE2227" s="372">
        <v>0</v>
      </c>
      <c r="AF2227" s="372">
        <v>0</v>
      </c>
      <c r="AG2227" s="372">
        <v>0</v>
      </c>
      <c r="AH2227" s="372">
        <v>0</v>
      </c>
    </row>
    <row r="2228" spans="1:34">
      <c r="A2228" s="372" t="s">
        <v>14260</v>
      </c>
      <c r="B2228" s="372" t="s">
        <v>14261</v>
      </c>
      <c r="C2228" s="372" t="s">
        <v>14262</v>
      </c>
      <c r="D2228" s="374">
        <v>1412110022619</v>
      </c>
      <c r="E2228" s="372" t="s">
        <v>14263</v>
      </c>
      <c r="F2228" s="372" t="s">
        <v>2054</v>
      </c>
      <c r="G2228" s="375" t="s">
        <v>2055</v>
      </c>
      <c r="H2228" s="375" t="s">
        <v>861</v>
      </c>
      <c r="I2228" s="375" t="s">
        <v>862</v>
      </c>
      <c r="J2228" s="375">
        <v>37939.186289999998</v>
      </c>
      <c r="K2228" s="375">
        <v>4174.9554500000004</v>
      </c>
      <c r="L2228" s="375">
        <v>-7426.8312599999999</v>
      </c>
      <c r="M2228" s="375">
        <v>56049.048519999997</v>
      </c>
      <c r="N2228" s="372">
        <v>0.61499999999999999</v>
      </c>
      <c r="O2228" s="704">
        <v>104.46466099177746</v>
      </c>
      <c r="P2228" s="563" t="s">
        <v>622</v>
      </c>
      <c r="Q2228" s="372" t="s">
        <v>622</v>
      </c>
      <c r="R2228" s="696">
        <v>20111215</v>
      </c>
      <c r="S2228" s="372" t="s">
        <v>14264</v>
      </c>
      <c r="T2228" s="697" t="s">
        <v>771</v>
      </c>
      <c r="U2228" s="372" t="s">
        <v>14265</v>
      </c>
      <c r="V2228" s="723">
        <v>9.49</v>
      </c>
      <c r="W2228" s="723">
        <v>0.65</v>
      </c>
      <c r="X2228" s="723">
        <v>0.98</v>
      </c>
      <c r="Y2228" s="723" t="s">
        <v>773</v>
      </c>
      <c r="Z2228" s="382" t="s">
        <v>927</v>
      </c>
      <c r="AA2228" s="372">
        <v>283.18709009999998</v>
      </c>
      <c r="AB2228" s="372">
        <v>354.02267060000003</v>
      </c>
      <c r="AC2228" s="372">
        <v>469.57359250000002</v>
      </c>
      <c r="AD2228" s="372">
        <v>418.0305214</v>
      </c>
      <c r="AE2228" s="372">
        <v>0</v>
      </c>
      <c r="AF2228" s="372">
        <v>0</v>
      </c>
      <c r="AG2228" s="372">
        <v>0</v>
      </c>
      <c r="AH2228" s="372">
        <v>0</v>
      </c>
    </row>
    <row r="2229" spans="1:34">
      <c r="A2229" s="372" t="s">
        <v>14266</v>
      </c>
      <c r="B2229" s="372" t="s">
        <v>14267</v>
      </c>
      <c r="C2229" s="372" t="s">
        <v>14268</v>
      </c>
      <c r="D2229" s="374">
        <v>1801110172667</v>
      </c>
      <c r="E2229" s="372" t="s">
        <v>14269</v>
      </c>
      <c r="F2229" s="372" t="s">
        <v>2834</v>
      </c>
      <c r="G2229" s="375" t="s">
        <v>2835</v>
      </c>
      <c r="H2229" s="375" t="s">
        <v>861</v>
      </c>
      <c r="I2229" s="375" t="s">
        <v>862</v>
      </c>
      <c r="J2229" s="375">
        <v>30606.742160000002</v>
      </c>
      <c r="K2229" s="375">
        <v>-5602.0426399999997</v>
      </c>
      <c r="L2229" s="375">
        <v>-15100.6922</v>
      </c>
      <c r="M2229" s="375">
        <v>37319.384380000003</v>
      </c>
      <c r="N2229" s="372">
        <v>0.48399999999999999</v>
      </c>
      <c r="O2229" s="704">
        <v>64.265162503420314</v>
      </c>
      <c r="P2229" s="563" t="s">
        <v>622</v>
      </c>
      <c r="Q2229" s="372" t="s">
        <v>622</v>
      </c>
      <c r="R2229" s="696">
        <v>20030117</v>
      </c>
      <c r="S2229" s="372" t="s">
        <v>14270</v>
      </c>
      <c r="T2229" s="697" t="s">
        <v>771</v>
      </c>
      <c r="U2229" s="372" t="s">
        <v>14271</v>
      </c>
      <c r="V2229" s="723">
        <v>0</v>
      </c>
      <c r="W2229" s="723">
        <v>0</v>
      </c>
      <c r="X2229" s="723">
        <v>0</v>
      </c>
      <c r="Y2229" s="723">
        <v>0</v>
      </c>
      <c r="Z2229" s="382" t="s">
        <v>927</v>
      </c>
      <c r="AA2229" s="372">
        <v>352.90263729999998</v>
      </c>
      <c r="AB2229" s="372">
        <v>401.13737839999999</v>
      </c>
      <c r="AC2229" s="372">
        <v>319.01368189999999</v>
      </c>
      <c r="AD2229" s="372">
        <v>333.38252940000001</v>
      </c>
      <c r="AE2229" s="372">
        <v>0</v>
      </c>
      <c r="AF2229" s="372">
        <v>0</v>
      </c>
      <c r="AG2229" s="372">
        <v>0</v>
      </c>
      <c r="AH2229" s="372">
        <v>0</v>
      </c>
    </row>
    <row r="2230" spans="1:34">
      <c r="A2230" s="372" t="s">
        <v>14272</v>
      </c>
      <c r="B2230" s="372" t="s">
        <v>14273</v>
      </c>
      <c r="C2230" s="372" t="s">
        <v>14274</v>
      </c>
      <c r="D2230" s="374">
        <v>1601110004426</v>
      </c>
      <c r="E2230" s="372" t="s">
        <v>14275</v>
      </c>
      <c r="F2230" s="372" t="s">
        <v>2747</v>
      </c>
      <c r="G2230" s="375" t="s">
        <v>9398</v>
      </c>
      <c r="H2230" s="375" t="s">
        <v>861</v>
      </c>
      <c r="I2230" s="375" t="s">
        <v>862</v>
      </c>
      <c r="J2230" s="375">
        <v>189659.34531999999</v>
      </c>
      <c r="K2230" s="375">
        <v>2719.60653</v>
      </c>
      <c r="L2230" s="375">
        <v>2703.0421700000002</v>
      </c>
      <c r="M2230" s="375">
        <v>118762.96958</v>
      </c>
      <c r="N2230" s="372">
        <v>1.014</v>
      </c>
      <c r="O2230" s="704">
        <v>123.10447871204467</v>
      </c>
      <c r="P2230" s="563" t="s">
        <v>622</v>
      </c>
      <c r="Q2230" s="372" t="s">
        <v>622</v>
      </c>
      <c r="R2230" s="696">
        <v>20020201</v>
      </c>
      <c r="S2230" s="372" t="s">
        <v>14276</v>
      </c>
      <c r="T2230" s="697">
        <v>0.20900000000000002</v>
      </c>
      <c r="U2230" s="372" t="s">
        <v>14277</v>
      </c>
      <c r="V2230" s="723">
        <v>9.7200000000000006</v>
      </c>
      <c r="W2230" s="723">
        <v>0.28000000000000003</v>
      </c>
      <c r="X2230" s="723">
        <v>0.17</v>
      </c>
      <c r="Y2230" s="723">
        <v>21.38</v>
      </c>
      <c r="Z2230" s="382" t="s">
        <v>927</v>
      </c>
      <c r="AA2230" s="372">
        <v>1868.0966085</v>
      </c>
      <c r="AB2230" s="372">
        <v>2424.4836217000002</v>
      </c>
      <c r="AC2230" s="372">
        <v>2324.5887674999999</v>
      </c>
      <c r="AD2230" s="372">
        <v>2104.6713205000001</v>
      </c>
      <c r="AE2230" s="372">
        <v>0</v>
      </c>
      <c r="AF2230" s="372">
        <v>0</v>
      </c>
      <c r="AG2230" s="372">
        <v>0</v>
      </c>
      <c r="AH2230" s="372">
        <v>0</v>
      </c>
    </row>
    <row r="2231" spans="1:34">
      <c r="A2231" s="372" t="s">
        <v>14278</v>
      </c>
      <c r="B2231" s="372" t="s">
        <v>14279</v>
      </c>
      <c r="C2231" s="372" t="s">
        <v>14280</v>
      </c>
      <c r="D2231" s="374">
        <v>1101110227177</v>
      </c>
      <c r="E2231" s="372" t="s">
        <v>14281</v>
      </c>
      <c r="F2231" s="372" t="s">
        <v>845</v>
      </c>
      <c r="G2231" s="375" t="s">
        <v>845</v>
      </c>
      <c r="H2231" s="375" t="s">
        <v>846</v>
      </c>
      <c r="I2231" s="375" t="s">
        <v>754</v>
      </c>
      <c r="J2231" s="375">
        <v>36008.583939999997</v>
      </c>
      <c r="K2231" s="375">
        <v>2293.1760399999998</v>
      </c>
      <c r="L2231" s="375">
        <v>3628.87417</v>
      </c>
      <c r="M2231" s="375">
        <v>51017.199050000003</v>
      </c>
      <c r="N2231" s="372">
        <v>1.232</v>
      </c>
      <c r="O2231" s="704">
        <v>6.6422195953520252E-2</v>
      </c>
      <c r="P2231" s="563" t="s">
        <v>622</v>
      </c>
      <c r="Q2231" s="372" t="s">
        <v>622</v>
      </c>
      <c r="R2231" s="696">
        <v>19890905</v>
      </c>
      <c r="S2231" s="372" t="s">
        <v>14282</v>
      </c>
      <c r="T2231" s="697">
        <v>0.20900000000000002</v>
      </c>
      <c r="U2231" s="372" t="s">
        <v>14283</v>
      </c>
      <c r="V2231" s="723">
        <v>0</v>
      </c>
      <c r="W2231" s="723">
        <v>0</v>
      </c>
      <c r="X2231" s="723">
        <v>0</v>
      </c>
      <c r="Y2231" s="723">
        <v>0</v>
      </c>
      <c r="Z2231" s="382" t="s">
        <v>927</v>
      </c>
      <c r="AA2231" s="372">
        <v>274.52348119999999</v>
      </c>
      <c r="AB2231" s="372">
        <v>323.94255909999998</v>
      </c>
      <c r="AC2231" s="372">
        <v>280.6582722</v>
      </c>
      <c r="AD2231" s="372">
        <v>361.27556600000003</v>
      </c>
      <c r="AE2231" s="372">
        <v>0</v>
      </c>
      <c r="AF2231" s="372">
        <v>0</v>
      </c>
      <c r="AG2231" s="372">
        <v>0</v>
      </c>
      <c r="AH2231" s="372">
        <v>0</v>
      </c>
    </row>
    <row r="2232" spans="1:34">
      <c r="A2232" s="372" t="s">
        <v>14284</v>
      </c>
      <c r="B2232" s="372" t="s">
        <v>14285</v>
      </c>
      <c r="C2232" s="372" t="s">
        <v>14286</v>
      </c>
      <c r="D2232" s="374">
        <v>1955110052004</v>
      </c>
      <c r="E2232" s="372" t="s">
        <v>14287</v>
      </c>
      <c r="F2232" s="372" t="s">
        <v>14288</v>
      </c>
      <c r="G2232" s="375" t="s">
        <v>14289</v>
      </c>
      <c r="H2232" s="375" t="s">
        <v>861</v>
      </c>
      <c r="I2232" s="375" t="s">
        <v>862</v>
      </c>
      <c r="J2232" s="375">
        <v>91182.802450000003</v>
      </c>
      <c r="K2232" s="375">
        <v>11277.37745</v>
      </c>
      <c r="L2232" s="375">
        <v>10660.650750000001</v>
      </c>
      <c r="M2232" s="375">
        <v>94400.162379999994</v>
      </c>
      <c r="N2232" s="372">
        <v>0.54500000000000004</v>
      </c>
      <c r="O2232" s="704">
        <v>156.32988067702104</v>
      </c>
      <c r="P2232" s="563" t="s">
        <v>622</v>
      </c>
      <c r="Q2232" s="372" t="s">
        <v>622</v>
      </c>
      <c r="R2232" s="696">
        <v>20130802</v>
      </c>
      <c r="S2232" s="372" t="s">
        <v>14290</v>
      </c>
      <c r="T2232" s="697">
        <v>0.20900000000000002</v>
      </c>
      <c r="U2232" s="372" t="s">
        <v>14291</v>
      </c>
      <c r="V2232" s="723">
        <v>8.39</v>
      </c>
      <c r="W2232" s="723">
        <v>0.54</v>
      </c>
      <c r="X2232" s="723">
        <v>0.49</v>
      </c>
      <c r="Y2232" s="723">
        <v>7.73</v>
      </c>
      <c r="Z2232" s="382" t="s">
        <v>927</v>
      </c>
      <c r="AA2232" s="372">
        <v>595.17977229999997</v>
      </c>
      <c r="AB2232" s="372">
        <v>667.01916600000004</v>
      </c>
      <c r="AC2232" s="372">
        <v>868.52635789999999</v>
      </c>
      <c r="AD2232" s="372">
        <v>887.67723390000003</v>
      </c>
      <c r="AE2232" s="372">
        <v>0</v>
      </c>
      <c r="AF2232" s="372">
        <v>0</v>
      </c>
      <c r="AG2232" s="372">
        <v>0</v>
      </c>
      <c r="AH2232" s="372">
        <v>0</v>
      </c>
    </row>
    <row r="2233" spans="1:34">
      <c r="A2233" s="372" t="s">
        <v>14292</v>
      </c>
      <c r="B2233" s="372" t="s">
        <v>14293</v>
      </c>
      <c r="C2233" s="372" t="s">
        <v>14294</v>
      </c>
      <c r="D2233" s="374">
        <v>1101110150691</v>
      </c>
      <c r="E2233" s="372" t="s">
        <v>14295</v>
      </c>
      <c r="F2233" s="372" t="s">
        <v>845</v>
      </c>
      <c r="G2233" s="375" t="s">
        <v>845</v>
      </c>
      <c r="H2233" s="375" t="s">
        <v>3099</v>
      </c>
      <c r="I2233" s="375" t="s">
        <v>862</v>
      </c>
      <c r="J2233" s="375">
        <v>141083.16850999999</v>
      </c>
      <c r="K2233" s="375">
        <v>-3855.2952799999998</v>
      </c>
      <c r="L2233" s="375">
        <v>-1807.71381</v>
      </c>
      <c r="M2233" s="375">
        <v>69164.737240000002</v>
      </c>
      <c r="N2233" s="372">
        <v>0.98599999999999999</v>
      </c>
      <c r="O2233" s="704">
        <v>12.927890779072914</v>
      </c>
      <c r="P2233" s="563" t="s">
        <v>622</v>
      </c>
      <c r="Q2233" s="372" t="s">
        <v>622</v>
      </c>
      <c r="R2233" s="696">
        <v>20020108</v>
      </c>
      <c r="S2233" s="372" t="s">
        <v>14296</v>
      </c>
      <c r="T2233" s="697" t="s">
        <v>771</v>
      </c>
      <c r="U2233" s="372" t="s">
        <v>14297</v>
      </c>
      <c r="V2233" s="723">
        <v>0</v>
      </c>
      <c r="W2233" s="723">
        <v>0</v>
      </c>
      <c r="X2233" s="723">
        <v>0</v>
      </c>
      <c r="Y2233" s="723">
        <v>0</v>
      </c>
      <c r="Z2233" s="382" t="s">
        <v>927</v>
      </c>
      <c r="AA2233" s="372">
        <v>1063.5781622</v>
      </c>
      <c r="AB2233" s="372">
        <v>1654.1592857999999</v>
      </c>
      <c r="AC2233" s="372">
        <v>1824.5264853000001</v>
      </c>
      <c r="AD2233" s="372">
        <v>1376.3468015000001</v>
      </c>
      <c r="AE2233" s="372">
        <v>0</v>
      </c>
      <c r="AF2233" s="372">
        <v>0</v>
      </c>
      <c r="AG2233" s="372">
        <v>0</v>
      </c>
      <c r="AH2233" s="372">
        <v>0</v>
      </c>
    </row>
    <row r="2234" spans="1:34">
      <c r="A2234" s="372" t="s">
        <v>14298</v>
      </c>
      <c r="B2234" s="372" t="s">
        <v>14299</v>
      </c>
      <c r="C2234" s="372" t="s">
        <v>14300</v>
      </c>
      <c r="D2234" s="374">
        <v>2850110151881</v>
      </c>
      <c r="E2234" s="372" t="s">
        <v>14301</v>
      </c>
      <c r="F2234" s="372" t="s">
        <v>1962</v>
      </c>
      <c r="G2234" s="375" t="s">
        <v>1962</v>
      </c>
      <c r="H2234" s="375" t="s">
        <v>861</v>
      </c>
      <c r="I2234" s="375" t="s">
        <v>862</v>
      </c>
      <c r="J2234" s="375">
        <v>67898.34491</v>
      </c>
      <c r="K2234" s="375">
        <v>3086.3255199999999</v>
      </c>
      <c r="L2234" s="375">
        <v>1419.02268</v>
      </c>
      <c r="M2234" s="375">
        <v>33679.570639999998</v>
      </c>
      <c r="N2234" s="372">
        <v>0.82799999999999996</v>
      </c>
      <c r="O2234" s="704">
        <v>87.6518379847452</v>
      </c>
      <c r="P2234" s="563" t="s">
        <v>622</v>
      </c>
      <c r="Q2234" s="372" t="s">
        <v>622</v>
      </c>
      <c r="R2234" s="696">
        <v>20150817</v>
      </c>
      <c r="S2234" s="372" t="s">
        <v>14302</v>
      </c>
      <c r="T2234" s="697">
        <v>0.20900000000000002</v>
      </c>
      <c r="U2234" s="372" t="s">
        <v>14303</v>
      </c>
      <c r="V2234" s="723">
        <v>6.66</v>
      </c>
      <c r="W2234" s="723">
        <v>0.98</v>
      </c>
      <c r="X2234" s="723">
        <v>0.49</v>
      </c>
      <c r="Y2234" s="723">
        <v>133.91999999999999</v>
      </c>
      <c r="Z2234" s="382" t="s">
        <v>927</v>
      </c>
      <c r="AA2234" s="372">
        <v>812.5446293</v>
      </c>
      <c r="AB2234" s="372">
        <v>665.70972749999999</v>
      </c>
      <c r="AC2234" s="372">
        <v>814.11384320000002</v>
      </c>
      <c r="AD2234" s="372">
        <v>447.55330650000002</v>
      </c>
      <c r="AE2234" s="372">
        <v>0</v>
      </c>
      <c r="AF2234" s="372">
        <v>0</v>
      </c>
      <c r="AG2234" s="372">
        <v>0</v>
      </c>
      <c r="AH2234" s="372">
        <v>0</v>
      </c>
    </row>
    <row r="2235" spans="1:34">
      <c r="A2235" s="372" t="s">
        <v>14304</v>
      </c>
      <c r="B2235" s="372" t="s">
        <v>14305</v>
      </c>
      <c r="C2235" s="372" t="s">
        <v>14306</v>
      </c>
      <c r="D2235" s="374">
        <v>1101115703594</v>
      </c>
      <c r="E2235" s="372" t="s">
        <v>14307</v>
      </c>
      <c r="F2235" s="372" t="s">
        <v>1569</v>
      </c>
      <c r="G2235" s="375" t="s">
        <v>1569</v>
      </c>
      <c r="H2235" s="375" t="s">
        <v>3099</v>
      </c>
      <c r="I2235" s="375" t="s">
        <v>862</v>
      </c>
      <c r="J2235" s="375">
        <v>37193.675609999998</v>
      </c>
      <c r="K2235" s="375">
        <v>-485.88076999999998</v>
      </c>
      <c r="L2235" s="375">
        <v>-51784.118040000001</v>
      </c>
      <c r="M2235" s="375">
        <v>15779.454460000001</v>
      </c>
      <c r="N2235" s="372">
        <v>0.51400000000000001</v>
      </c>
      <c r="O2235" s="704">
        <v>22.333607355002176</v>
      </c>
      <c r="P2235" s="563" t="s">
        <v>622</v>
      </c>
      <c r="Q2235" s="372" t="s">
        <v>622</v>
      </c>
      <c r="R2235" s="696">
        <v>20150722</v>
      </c>
      <c r="S2235" s="372" t="s">
        <v>3555</v>
      </c>
      <c r="T2235" s="697" t="s">
        <v>771</v>
      </c>
      <c r="U2235" s="372" t="s">
        <v>14308</v>
      </c>
      <c r="V2235" s="723">
        <v>0</v>
      </c>
      <c r="W2235" s="723">
        <v>0</v>
      </c>
      <c r="X2235" s="723">
        <v>0</v>
      </c>
      <c r="Y2235" s="723">
        <v>0</v>
      </c>
      <c r="Z2235" s="382" t="s">
        <v>927</v>
      </c>
      <c r="AA2235" s="372">
        <v>303.88158479999998</v>
      </c>
      <c r="AB2235" s="372">
        <v>140.484238</v>
      </c>
      <c r="AC2235" s="372">
        <v>208.3879489</v>
      </c>
      <c r="AD2235" s="372">
        <v>284.64604759999997</v>
      </c>
      <c r="AE2235" s="372">
        <v>0</v>
      </c>
      <c r="AF2235" s="372">
        <v>0</v>
      </c>
      <c r="AG2235" s="372">
        <v>0</v>
      </c>
      <c r="AH2235" s="372">
        <v>0</v>
      </c>
    </row>
    <row r="2236" spans="1:34">
      <c r="A2236" s="372" t="s">
        <v>14309</v>
      </c>
      <c r="B2236" s="372" t="s">
        <v>14310</v>
      </c>
      <c r="C2236" s="372" t="s">
        <v>14311</v>
      </c>
      <c r="D2236" s="374">
        <v>1801110005834</v>
      </c>
      <c r="E2236" s="372" t="s">
        <v>14312</v>
      </c>
      <c r="F2236" s="372" t="s">
        <v>4833</v>
      </c>
      <c r="G2236" s="375" t="s">
        <v>4833</v>
      </c>
      <c r="H2236" s="375" t="s">
        <v>861</v>
      </c>
      <c r="I2236" s="375" t="s">
        <v>862</v>
      </c>
      <c r="J2236" s="375">
        <v>85739.509869999994</v>
      </c>
      <c r="K2236" s="375">
        <v>3649.7815300000002</v>
      </c>
      <c r="L2236" s="375">
        <v>-6639.6378400000003</v>
      </c>
      <c r="M2236" s="375">
        <v>49931.648379999999</v>
      </c>
      <c r="N2236" s="372">
        <v>0.84399999999999997</v>
      </c>
      <c r="O2236" s="704">
        <v>305.85328662615137</v>
      </c>
      <c r="P2236" s="563" t="s">
        <v>622</v>
      </c>
      <c r="Q2236" s="372" t="s">
        <v>622</v>
      </c>
      <c r="R2236" s="696">
        <v>19950630</v>
      </c>
      <c r="S2236" s="372" t="s">
        <v>14313</v>
      </c>
      <c r="T2236" s="697" t="s">
        <v>771</v>
      </c>
      <c r="U2236" s="372" t="s">
        <v>14314</v>
      </c>
      <c r="V2236" s="723">
        <v>16.23</v>
      </c>
      <c r="W2236" s="723">
        <v>0.46</v>
      </c>
      <c r="X2236" s="723">
        <v>0.27</v>
      </c>
      <c r="Y2236" s="723" t="s">
        <v>773</v>
      </c>
      <c r="Z2236" s="382" t="s">
        <v>927</v>
      </c>
      <c r="AA2236" s="372">
        <v>773.24076560000003</v>
      </c>
      <c r="AB2236" s="372">
        <v>788.92137319999995</v>
      </c>
      <c r="AC2236" s="372">
        <v>991.24024120000001</v>
      </c>
      <c r="AD2236" s="372">
        <v>948.45849580000004</v>
      </c>
      <c r="AE2236" s="372">
        <v>0</v>
      </c>
      <c r="AF2236" s="372">
        <v>0</v>
      </c>
      <c r="AG2236" s="372">
        <v>0</v>
      </c>
      <c r="AH2236" s="372">
        <v>0</v>
      </c>
    </row>
    <row r="2237" spans="1:34">
      <c r="A2237" s="372" t="s">
        <v>14315</v>
      </c>
      <c r="B2237" s="372" t="s">
        <v>14316</v>
      </c>
      <c r="C2237" s="372" t="s">
        <v>14317</v>
      </c>
      <c r="D2237" s="374">
        <v>1801110031516</v>
      </c>
      <c r="E2237" s="372" t="s">
        <v>14318</v>
      </c>
      <c r="F2237" s="372" t="s">
        <v>6986</v>
      </c>
      <c r="G2237" s="375" t="s">
        <v>14319</v>
      </c>
      <c r="H2237" s="375" t="s">
        <v>3099</v>
      </c>
      <c r="I2237" s="375" t="s">
        <v>862</v>
      </c>
      <c r="J2237" s="375">
        <v>23834.299350000001</v>
      </c>
      <c r="K2237" s="375">
        <v>-2926.6984200000002</v>
      </c>
      <c r="L2237" s="375">
        <v>-10820.93167</v>
      </c>
      <c r="M2237" s="375">
        <v>74979.508889999997</v>
      </c>
      <c r="N2237" s="372">
        <v>0.65800000000000003</v>
      </c>
      <c r="O2237" s="704">
        <v>7.7708860560926771</v>
      </c>
      <c r="P2237" s="563" t="s">
        <v>622</v>
      </c>
      <c r="Q2237" s="372" t="s">
        <v>622</v>
      </c>
      <c r="R2237" s="696">
        <v>20020423</v>
      </c>
      <c r="S2237" s="372" t="s">
        <v>14320</v>
      </c>
      <c r="T2237" s="697" t="s">
        <v>771</v>
      </c>
      <c r="U2237" s="372" t="s">
        <v>14321</v>
      </c>
      <c r="V2237" s="723" t="s">
        <v>773</v>
      </c>
      <c r="W2237" s="723">
        <v>0.33</v>
      </c>
      <c r="X2237" s="723">
        <v>1.06</v>
      </c>
      <c r="Y2237" s="723" t="s">
        <v>773</v>
      </c>
      <c r="Z2237" s="382" t="s">
        <v>927</v>
      </c>
      <c r="AA2237" s="372">
        <v>806.72424999999998</v>
      </c>
      <c r="AB2237" s="372">
        <v>517.01347369999996</v>
      </c>
      <c r="AC2237" s="372">
        <v>752.13651990000005</v>
      </c>
      <c r="AD2237" s="372">
        <v>633.33992890000002</v>
      </c>
      <c r="AE2237" s="372">
        <v>0</v>
      </c>
      <c r="AF2237" s="372">
        <v>0</v>
      </c>
      <c r="AG2237" s="372">
        <v>0</v>
      </c>
      <c r="AH2237" s="372">
        <v>0</v>
      </c>
    </row>
    <row r="2238" spans="1:34">
      <c r="A2238" s="372" t="s">
        <v>14322</v>
      </c>
      <c r="B2238" s="372" t="s">
        <v>14323</v>
      </c>
      <c r="C2238" s="372" t="s">
        <v>14324</v>
      </c>
      <c r="D2238" s="374">
        <v>1801110007062</v>
      </c>
      <c r="E2238" s="372" t="s">
        <v>14325</v>
      </c>
      <c r="F2238" s="372" t="s">
        <v>1323</v>
      </c>
      <c r="G2238" s="375" t="s">
        <v>16106</v>
      </c>
      <c r="H2238" s="375" t="s">
        <v>861</v>
      </c>
      <c r="I2238" s="375" t="s">
        <v>862</v>
      </c>
      <c r="J2238" s="375">
        <v>64094.320209999998</v>
      </c>
      <c r="K2238" s="375">
        <v>-6516.2602100000004</v>
      </c>
      <c r="L2238" s="375">
        <v>-16640.825629999999</v>
      </c>
      <c r="M2238" s="375">
        <v>22192.914919999999</v>
      </c>
      <c r="N2238" s="372">
        <v>0.47499999999999998</v>
      </c>
      <c r="O2238" s="704">
        <v>129.70207607290905</v>
      </c>
      <c r="P2238" s="563" t="s">
        <v>16115</v>
      </c>
      <c r="Q2238" s="372" t="s">
        <v>622</v>
      </c>
      <c r="R2238" s="696">
        <v>20180726</v>
      </c>
      <c r="S2238" s="372" t="s">
        <v>14326</v>
      </c>
      <c r="T2238" s="697" t="s">
        <v>771</v>
      </c>
      <c r="U2238" s="372" t="s">
        <v>14327</v>
      </c>
      <c r="V2238" s="723" t="s">
        <v>773</v>
      </c>
      <c r="W2238" s="723">
        <v>0.73</v>
      </c>
      <c r="X2238" s="723">
        <v>0.34</v>
      </c>
      <c r="Y2238" s="723" t="s">
        <v>773</v>
      </c>
      <c r="Z2238" s="382" t="s">
        <v>927</v>
      </c>
      <c r="AA2238" s="372">
        <v>503.79268990000003</v>
      </c>
      <c r="AB2238" s="372">
        <v>483.03582540000002</v>
      </c>
      <c r="AC2238" s="372">
        <v>612.93490380000003</v>
      </c>
      <c r="AD2238" s="372">
        <v>631.6900971</v>
      </c>
      <c r="AE2238" s="372">
        <v>0</v>
      </c>
      <c r="AF2238" s="372">
        <v>0</v>
      </c>
      <c r="AG2238" s="372">
        <v>0</v>
      </c>
      <c r="AH2238" s="372">
        <v>0</v>
      </c>
    </row>
    <row r="2239" spans="1:34">
      <c r="A2239" s="372" t="s">
        <v>14328</v>
      </c>
      <c r="B2239" s="372" t="s">
        <v>14329</v>
      </c>
      <c r="C2239" s="372" t="s">
        <v>14330</v>
      </c>
      <c r="D2239" s="374">
        <v>1801110002682</v>
      </c>
      <c r="E2239" s="372" t="s">
        <v>14331</v>
      </c>
      <c r="F2239" s="372" t="s">
        <v>2007</v>
      </c>
      <c r="G2239" s="375" t="s">
        <v>2007</v>
      </c>
      <c r="H2239" s="375" t="s">
        <v>792</v>
      </c>
      <c r="I2239" s="375" t="s">
        <v>754</v>
      </c>
      <c r="J2239" s="375">
        <v>219015.11272</v>
      </c>
      <c r="K2239" s="375">
        <v>1639.9024300000001</v>
      </c>
      <c r="L2239" s="375">
        <v>-2647.2824999999998</v>
      </c>
      <c r="M2239" s="375">
        <v>18411.324850000001</v>
      </c>
      <c r="N2239" s="372">
        <v>0.35599999999999998</v>
      </c>
      <c r="O2239" s="704">
        <v>324.52631572502122</v>
      </c>
      <c r="P2239" s="563" t="s">
        <v>16115</v>
      </c>
      <c r="Q2239" s="372" t="s">
        <v>622</v>
      </c>
      <c r="R2239" s="696">
        <v>19751226</v>
      </c>
      <c r="S2239" s="372" t="s">
        <v>14332</v>
      </c>
      <c r="T2239" s="697" t="s">
        <v>771</v>
      </c>
      <c r="U2239" s="372" t="s">
        <v>14333</v>
      </c>
      <c r="V2239" s="723">
        <v>0</v>
      </c>
      <c r="W2239" s="723">
        <v>0</v>
      </c>
      <c r="X2239" s="723">
        <v>0</v>
      </c>
      <c r="Y2239" s="723">
        <v>0</v>
      </c>
      <c r="Z2239" s="382" t="s">
        <v>927</v>
      </c>
      <c r="AA2239" s="372">
        <v>1527.2465889</v>
      </c>
      <c r="AB2239" s="372">
        <v>1868.268157</v>
      </c>
      <c r="AC2239" s="372">
        <v>2305.4945575000002</v>
      </c>
      <c r="AD2239" s="372">
        <v>2417.2062910999998</v>
      </c>
      <c r="AE2239" s="372">
        <v>0</v>
      </c>
      <c r="AF2239" s="372">
        <v>0</v>
      </c>
      <c r="AG2239" s="372">
        <v>0</v>
      </c>
      <c r="AH2239" s="372">
        <v>0</v>
      </c>
    </row>
    <row r="2240" spans="1:34">
      <c r="A2240" s="372" t="s">
        <v>14334</v>
      </c>
      <c r="B2240" s="372" t="s">
        <v>14335</v>
      </c>
      <c r="C2240" s="372" t="s">
        <v>14336</v>
      </c>
      <c r="D2240" s="374">
        <v>1801110000230</v>
      </c>
      <c r="E2240" s="372" t="s">
        <v>14337</v>
      </c>
      <c r="F2240" s="372" t="s">
        <v>4801</v>
      </c>
      <c r="G2240" s="375" t="s">
        <v>4802</v>
      </c>
      <c r="H2240" s="375" t="s">
        <v>1316</v>
      </c>
      <c r="I2240" s="375" t="s">
        <v>754</v>
      </c>
      <c r="J2240" s="375">
        <v>338752.53116999997</v>
      </c>
      <c r="K2240" s="375">
        <v>9221.4208699999999</v>
      </c>
      <c r="L2240" s="375">
        <v>1796.37616</v>
      </c>
      <c r="M2240" s="375">
        <v>53418.094620000003</v>
      </c>
      <c r="N2240" s="372">
        <v>0.88500000000000001</v>
      </c>
      <c r="O2240" s="704">
        <v>362.30999586394262</v>
      </c>
      <c r="P2240" s="563" t="s">
        <v>622</v>
      </c>
      <c r="Q2240" s="372" t="s">
        <v>622</v>
      </c>
      <c r="R2240" s="696">
        <v>19890126</v>
      </c>
      <c r="S2240" s="372" t="s">
        <v>14338</v>
      </c>
      <c r="T2240" s="697">
        <v>0.20900000000000002</v>
      </c>
      <c r="U2240" s="372" t="s">
        <v>14339</v>
      </c>
      <c r="V2240" s="723">
        <v>0</v>
      </c>
      <c r="W2240" s="723">
        <v>0</v>
      </c>
      <c r="X2240" s="723">
        <v>0</v>
      </c>
      <c r="Y2240" s="723">
        <v>0</v>
      </c>
      <c r="Z2240" s="382" t="s">
        <v>927</v>
      </c>
      <c r="AA2240" s="372">
        <v>2661.4798148</v>
      </c>
      <c r="AB2240" s="372">
        <v>2515.2927338999998</v>
      </c>
      <c r="AC2240" s="372">
        <v>2921.5098131</v>
      </c>
      <c r="AD2240" s="372">
        <v>3206.0047118000002</v>
      </c>
      <c r="AE2240" s="372">
        <v>0</v>
      </c>
      <c r="AF2240" s="372">
        <v>0</v>
      </c>
      <c r="AG2240" s="372">
        <v>0</v>
      </c>
      <c r="AH2240" s="372">
        <v>0</v>
      </c>
    </row>
    <row r="2241" spans="1:34">
      <c r="A2241" s="372" t="s">
        <v>14340</v>
      </c>
      <c r="B2241" s="372" t="s">
        <v>14341</v>
      </c>
      <c r="C2241" s="372" t="s">
        <v>14342</v>
      </c>
      <c r="D2241" s="374">
        <v>1101110220288</v>
      </c>
      <c r="E2241" s="372" t="s">
        <v>14343</v>
      </c>
      <c r="F2241" s="372" t="s">
        <v>2747</v>
      </c>
      <c r="G2241" s="375" t="s">
        <v>6512</v>
      </c>
      <c r="H2241" s="375" t="s">
        <v>861</v>
      </c>
      <c r="I2241" s="375" t="s">
        <v>862</v>
      </c>
      <c r="J2241" s="375">
        <v>373255.17596000002</v>
      </c>
      <c r="K2241" s="375">
        <v>11348.88211</v>
      </c>
      <c r="L2241" s="375">
        <v>7612.6958999999997</v>
      </c>
      <c r="M2241" s="375">
        <v>159504.37586999999</v>
      </c>
      <c r="N2241" s="372">
        <v>0.59899999999999998</v>
      </c>
      <c r="O2241" s="704">
        <v>244.09600368207211</v>
      </c>
      <c r="P2241" s="563" t="s">
        <v>622</v>
      </c>
      <c r="Q2241" s="372" t="s">
        <v>622</v>
      </c>
      <c r="R2241" s="696">
        <v>19940621</v>
      </c>
      <c r="S2241" s="372" t="s">
        <v>14344</v>
      </c>
      <c r="T2241" s="697">
        <v>0.20900000000000002</v>
      </c>
      <c r="U2241" s="372" t="s">
        <v>14345</v>
      </c>
      <c r="V2241" s="723">
        <v>6.19</v>
      </c>
      <c r="W2241" s="723">
        <v>0.21</v>
      </c>
      <c r="X2241" s="723">
        <v>0.09</v>
      </c>
      <c r="Y2241" s="723">
        <v>5.38</v>
      </c>
      <c r="Z2241" s="382" t="s">
        <v>927</v>
      </c>
      <c r="AA2241" s="372">
        <v>2450.7886309999999</v>
      </c>
      <c r="AB2241" s="372">
        <v>3278.9360643999999</v>
      </c>
      <c r="AC2241" s="372">
        <v>3850.9717956</v>
      </c>
      <c r="AD2241" s="372">
        <v>3799.8638606</v>
      </c>
      <c r="AE2241" s="372">
        <v>0</v>
      </c>
      <c r="AF2241" s="372">
        <v>0</v>
      </c>
      <c r="AG2241" s="372">
        <v>0</v>
      </c>
      <c r="AH2241" s="372">
        <v>0</v>
      </c>
    </row>
    <row r="2242" spans="1:34">
      <c r="A2242" s="372" t="s">
        <v>14346</v>
      </c>
      <c r="B2242" s="372" t="s">
        <v>14347</v>
      </c>
      <c r="C2242" s="372" t="s">
        <v>14348</v>
      </c>
      <c r="D2242" s="374">
        <v>1101111384075</v>
      </c>
      <c r="E2242" s="372" t="s">
        <v>14349</v>
      </c>
      <c r="F2242" s="372" t="s">
        <v>4286</v>
      </c>
      <c r="G2242" s="375" t="s">
        <v>4286</v>
      </c>
      <c r="H2242" s="375">
        <v>0</v>
      </c>
      <c r="I2242" s="375" t="s">
        <v>862</v>
      </c>
      <c r="J2242" s="375">
        <v>16569.09</v>
      </c>
      <c r="K2242" s="375">
        <v>-5043.0077899999997</v>
      </c>
      <c r="L2242" s="375">
        <v>-10836.88479</v>
      </c>
      <c r="M2242" s="375">
        <v>48056.893920000002</v>
      </c>
      <c r="N2242" s="372">
        <v>0.69099999999999995</v>
      </c>
      <c r="O2242" s="704">
        <v>44.360924995239472</v>
      </c>
      <c r="P2242" s="563" t="s">
        <v>622</v>
      </c>
      <c r="Q2242" s="372" t="s">
        <v>622</v>
      </c>
      <c r="R2242" s="696">
        <v>20020913</v>
      </c>
      <c r="S2242" s="372" t="s">
        <v>14350</v>
      </c>
      <c r="T2242" s="697" t="s">
        <v>771</v>
      </c>
      <c r="U2242" s="372" t="s">
        <v>14351</v>
      </c>
      <c r="V2242" s="723" t="s">
        <v>773</v>
      </c>
      <c r="W2242" s="723">
        <v>0.59</v>
      </c>
      <c r="X2242" s="723">
        <v>1.71</v>
      </c>
      <c r="Y2242" s="723" t="s">
        <v>773</v>
      </c>
      <c r="Z2242" s="382" t="s">
        <v>927</v>
      </c>
      <c r="AA2242" s="372">
        <v>49.783369800000003</v>
      </c>
      <c r="AB2242" s="372">
        <v>218.00883519999999</v>
      </c>
      <c r="AC2242" s="372">
        <v>335.3655991</v>
      </c>
      <c r="AD2242" s="372">
        <v>182.00387989999999</v>
      </c>
      <c r="AE2242" s="372">
        <v>0</v>
      </c>
      <c r="AF2242" s="372">
        <v>0</v>
      </c>
      <c r="AG2242" s="372">
        <v>0</v>
      </c>
      <c r="AH2242" s="372">
        <v>0</v>
      </c>
    </row>
    <row r="2243" spans="1:34">
      <c r="A2243" s="372" t="s">
        <v>14352</v>
      </c>
      <c r="B2243" s="372" t="s">
        <v>14353</v>
      </c>
      <c r="C2243" s="372" t="s">
        <v>14354</v>
      </c>
      <c r="D2243" s="374">
        <v>1101110150229</v>
      </c>
      <c r="E2243" s="372" t="s">
        <v>14355</v>
      </c>
      <c r="F2243" s="372" t="s">
        <v>1276</v>
      </c>
      <c r="G2243" s="375" t="s">
        <v>1452</v>
      </c>
      <c r="H2243" s="375" t="s">
        <v>753</v>
      </c>
      <c r="I2243" s="375" t="s">
        <v>754</v>
      </c>
      <c r="J2243" s="375">
        <v>22366.306990000001</v>
      </c>
      <c r="K2243" s="375">
        <v>-430.05234999999999</v>
      </c>
      <c r="L2243" s="375">
        <v>5445.8736200000003</v>
      </c>
      <c r="M2243" s="375">
        <v>73224.972989999995</v>
      </c>
      <c r="N2243" s="372">
        <v>0.42399999999999999</v>
      </c>
      <c r="O2243" s="704">
        <v>0.35489033224990058</v>
      </c>
      <c r="P2243" s="563" t="s">
        <v>622</v>
      </c>
      <c r="Q2243" s="372" t="s">
        <v>622</v>
      </c>
      <c r="R2243" s="696">
        <v>19890620</v>
      </c>
      <c r="S2243" s="372" t="s">
        <v>14356</v>
      </c>
      <c r="T2243" s="697">
        <v>0.20900000000000002</v>
      </c>
      <c r="U2243" s="372" t="s">
        <v>14357</v>
      </c>
      <c r="V2243" s="723">
        <v>154.4</v>
      </c>
      <c r="W2243" s="723">
        <v>0.42</v>
      </c>
      <c r="X2243" s="723">
        <v>1.47</v>
      </c>
      <c r="Y2243" s="723">
        <v>6.43</v>
      </c>
      <c r="Z2243" s="382" t="s">
        <v>927</v>
      </c>
      <c r="AA2243" s="372">
        <v>207.95738470000001</v>
      </c>
      <c r="AB2243" s="372">
        <v>273.90668640000001</v>
      </c>
      <c r="AC2243" s="372">
        <v>200.57915790000001</v>
      </c>
      <c r="AD2243" s="372">
        <v>211.3626174</v>
      </c>
      <c r="AE2243" s="372">
        <v>0</v>
      </c>
      <c r="AF2243" s="372">
        <v>0</v>
      </c>
      <c r="AG2243" s="372">
        <v>0</v>
      </c>
      <c r="AH2243" s="372">
        <v>0</v>
      </c>
    </row>
    <row r="2244" spans="1:34">
      <c r="A2244" s="372" t="s">
        <v>14358</v>
      </c>
      <c r="B2244" s="372" t="s">
        <v>14359</v>
      </c>
      <c r="C2244" s="372" t="s">
        <v>14360</v>
      </c>
      <c r="D2244" s="374">
        <v>1701110014522</v>
      </c>
      <c r="E2244" s="372" t="s">
        <v>14361</v>
      </c>
      <c r="F2244" s="372" t="s">
        <v>6838</v>
      </c>
      <c r="G2244" s="375" t="s">
        <v>6838</v>
      </c>
      <c r="H2244" s="375" t="s">
        <v>1337</v>
      </c>
      <c r="I2244" s="375" t="s">
        <v>862</v>
      </c>
      <c r="J2244" s="375">
        <v>3613.9083099999998</v>
      </c>
      <c r="K2244" s="375">
        <v>447.79023000000001</v>
      </c>
      <c r="L2244" s="375">
        <v>-296.64058</v>
      </c>
      <c r="M2244" s="375">
        <v>14264.654350000001</v>
      </c>
      <c r="N2244" s="372">
        <v>0.24199999999999999</v>
      </c>
      <c r="O2244" s="704">
        <v>58.048155178259798</v>
      </c>
      <c r="P2244" s="563" t="s">
        <v>622</v>
      </c>
      <c r="Q2244" s="372" t="s">
        <v>622</v>
      </c>
      <c r="R2244" s="696">
        <v>19940621</v>
      </c>
      <c r="S2244" s="372" t="s">
        <v>14362</v>
      </c>
      <c r="T2244" s="697" t="s">
        <v>771</v>
      </c>
      <c r="U2244" s="372" t="s">
        <v>14363</v>
      </c>
      <c r="V2244" s="723">
        <v>0</v>
      </c>
      <c r="W2244" s="723">
        <v>0</v>
      </c>
      <c r="X2244" s="723">
        <v>0</v>
      </c>
      <c r="Y2244" s="723">
        <v>0</v>
      </c>
      <c r="Z2244" s="382" t="s">
        <v>927</v>
      </c>
      <c r="AA2244" s="372">
        <v>41.790728100000003</v>
      </c>
      <c r="AB2244" s="372">
        <v>43.507235299999998</v>
      </c>
      <c r="AC2244" s="372">
        <v>44.296249699999997</v>
      </c>
      <c r="AD2244" s="372">
        <v>37.775305899999999</v>
      </c>
      <c r="AE2244" s="372">
        <v>0</v>
      </c>
      <c r="AF2244" s="372">
        <v>0</v>
      </c>
      <c r="AG2244" s="372">
        <v>0</v>
      </c>
      <c r="AH2244" s="372">
        <v>0</v>
      </c>
    </row>
    <row r="2245" spans="1:34">
      <c r="A2245" s="372" t="s">
        <v>14364</v>
      </c>
      <c r="B2245" s="372" t="s">
        <v>14365</v>
      </c>
      <c r="C2245" s="372" t="s">
        <v>14366</v>
      </c>
      <c r="D2245" s="374">
        <v>1101110172447</v>
      </c>
      <c r="E2245" s="372" t="s">
        <v>14367</v>
      </c>
      <c r="F2245" s="372" t="s">
        <v>6986</v>
      </c>
      <c r="G2245" s="375" t="s">
        <v>13773</v>
      </c>
      <c r="H2245" s="375" t="s">
        <v>846</v>
      </c>
      <c r="I2245" s="375" t="s">
        <v>754</v>
      </c>
      <c r="J2245" s="375">
        <v>218912.31210000001</v>
      </c>
      <c r="K2245" s="375">
        <v>-2953.1507499999998</v>
      </c>
      <c r="L2245" s="375">
        <v>-15969.058199999999</v>
      </c>
      <c r="M2245" s="375">
        <v>96705.66274</v>
      </c>
      <c r="N2245" s="372">
        <v>0.65300000000000002</v>
      </c>
      <c r="O2245" s="704">
        <v>550.13944359064214</v>
      </c>
      <c r="P2245" s="563" t="s">
        <v>622</v>
      </c>
      <c r="Q2245" s="372" t="s">
        <v>622</v>
      </c>
      <c r="R2245" s="696">
        <v>19890728</v>
      </c>
      <c r="S2245" s="372" t="s">
        <v>14368</v>
      </c>
      <c r="T2245" s="697" t="s">
        <v>771</v>
      </c>
      <c r="U2245" s="372" t="s">
        <v>14369</v>
      </c>
      <c r="V2245" s="723">
        <v>14.91</v>
      </c>
      <c r="W2245" s="723">
        <v>0.3</v>
      </c>
      <c r="X2245" s="723">
        <v>0.14000000000000001</v>
      </c>
      <c r="Y2245" s="723" t="s">
        <v>773</v>
      </c>
      <c r="Z2245" s="382" t="s">
        <v>927</v>
      </c>
      <c r="AA2245" s="372">
        <v>2396.1206566000001</v>
      </c>
      <c r="AB2245" s="372">
        <v>2764.8306087999999</v>
      </c>
      <c r="AC2245" s="372">
        <v>2548.5807844999999</v>
      </c>
      <c r="AD2245" s="372">
        <v>2161.1859897999998</v>
      </c>
      <c r="AE2245" s="372">
        <v>0</v>
      </c>
      <c r="AF2245" s="372">
        <v>0</v>
      </c>
      <c r="AG2245" s="372">
        <v>0</v>
      </c>
      <c r="AH2245" s="372">
        <v>0</v>
      </c>
    </row>
    <row r="2246" spans="1:34">
      <c r="A2246" s="372" t="s">
        <v>14370</v>
      </c>
      <c r="B2246" s="372" t="s">
        <v>14371</v>
      </c>
      <c r="C2246" s="372" t="s">
        <v>16138</v>
      </c>
      <c r="D2246" s="374">
        <v>1501110000765</v>
      </c>
      <c r="E2246" s="372" t="s">
        <v>16091</v>
      </c>
      <c r="F2246" s="372" t="s">
        <v>8814</v>
      </c>
      <c r="G2246" s="375" t="s">
        <v>14372</v>
      </c>
      <c r="H2246" s="375" t="s">
        <v>861</v>
      </c>
      <c r="I2246" s="375" t="s">
        <v>862</v>
      </c>
      <c r="J2246" s="375">
        <v>113314.8904</v>
      </c>
      <c r="K2246" s="375">
        <v>-9255.01188</v>
      </c>
      <c r="L2246" s="375">
        <v>-19274.632130000002</v>
      </c>
      <c r="M2246" s="375">
        <v>20335.983749999999</v>
      </c>
      <c r="N2246" s="372">
        <v>0.82399999999999995</v>
      </c>
      <c r="O2246" s="704">
        <v>73.788429204302986</v>
      </c>
      <c r="P2246" s="563" t="s">
        <v>622</v>
      </c>
      <c r="Q2246" s="372" t="s">
        <v>622</v>
      </c>
      <c r="R2246" s="696">
        <v>20010109</v>
      </c>
      <c r="S2246" s="372" t="s">
        <v>14373</v>
      </c>
      <c r="T2246" s="697" t="s">
        <v>771</v>
      </c>
      <c r="U2246" s="372" t="s">
        <v>15965</v>
      </c>
      <c r="V2246" s="723" t="s">
        <v>773</v>
      </c>
      <c r="W2246" s="723">
        <v>1.3</v>
      </c>
      <c r="X2246" s="723">
        <v>0.23</v>
      </c>
      <c r="Y2246" s="723" t="s">
        <v>773</v>
      </c>
      <c r="Z2246" s="382" t="s">
        <v>927</v>
      </c>
      <c r="AA2246" s="372">
        <v>130.49479930000001</v>
      </c>
      <c r="AB2246" s="372">
        <v>257.63954039999999</v>
      </c>
      <c r="AC2246" s="372">
        <v>706.48737310000001</v>
      </c>
      <c r="AD2246" s="372">
        <v>969.91027120000001</v>
      </c>
      <c r="AE2246" s="372">
        <v>0</v>
      </c>
      <c r="AF2246" s="372">
        <v>0</v>
      </c>
      <c r="AG2246" s="372">
        <v>0</v>
      </c>
      <c r="AH2246" s="372">
        <v>0</v>
      </c>
    </row>
    <row r="2247" spans="1:34">
      <c r="A2247" s="372" t="s">
        <v>14374</v>
      </c>
      <c r="B2247" s="372" t="s">
        <v>14375</v>
      </c>
      <c r="C2247" s="372" t="s">
        <v>14376</v>
      </c>
      <c r="D2247" s="374">
        <v>1101111915094</v>
      </c>
      <c r="E2247" s="372" t="s">
        <v>14377</v>
      </c>
      <c r="F2247" s="372" t="s">
        <v>1750</v>
      </c>
      <c r="G2247" s="375" t="s">
        <v>1750</v>
      </c>
      <c r="H2247" s="375" t="s">
        <v>861</v>
      </c>
      <c r="I2247" s="375" t="s">
        <v>862</v>
      </c>
      <c r="J2247" s="375">
        <v>9881.3030500000004</v>
      </c>
      <c r="K2247" s="375">
        <v>948.30358000000001</v>
      </c>
      <c r="L2247" s="375">
        <v>1342.73948</v>
      </c>
      <c r="M2247" s="375">
        <v>25162.950560000001</v>
      </c>
      <c r="N2247" s="372">
        <v>0.85099999999999998</v>
      </c>
      <c r="O2247" s="704">
        <v>0.24356211857800406</v>
      </c>
      <c r="P2247" s="563" t="s">
        <v>622</v>
      </c>
      <c r="Q2247" s="372" t="s">
        <v>622</v>
      </c>
      <c r="R2247" s="696">
        <v>20181219</v>
      </c>
      <c r="S2247" s="372" t="s">
        <v>14378</v>
      </c>
      <c r="T2247" s="697">
        <v>0.20900000000000002</v>
      </c>
      <c r="U2247" s="372" t="s">
        <v>14379</v>
      </c>
      <c r="V2247" s="723">
        <v>0</v>
      </c>
      <c r="W2247" s="723">
        <v>0</v>
      </c>
      <c r="X2247" s="723">
        <v>0</v>
      </c>
      <c r="Y2247" s="723">
        <v>0</v>
      </c>
      <c r="Z2247" s="382" t="s">
        <v>927</v>
      </c>
      <c r="AA2247" s="372">
        <v>49.064847100000001</v>
      </c>
      <c r="AB2247" s="372">
        <v>59.344462499999999</v>
      </c>
      <c r="AC2247" s="372">
        <v>76.440003000000004</v>
      </c>
      <c r="AD2247" s="372">
        <v>82.278473199999993</v>
      </c>
      <c r="AE2247" s="372">
        <v>0</v>
      </c>
      <c r="AF2247" s="372">
        <v>0</v>
      </c>
      <c r="AG2247" s="372">
        <v>0</v>
      </c>
      <c r="AH2247" s="372">
        <v>0</v>
      </c>
    </row>
    <row r="2248" spans="1:34">
      <c r="A2248" s="372" t="s">
        <v>14380</v>
      </c>
      <c r="B2248" s="372" t="s">
        <v>14381</v>
      </c>
      <c r="C2248" s="372" t="s">
        <v>14382</v>
      </c>
      <c r="D2248" s="374">
        <v>1341110002141</v>
      </c>
      <c r="E2248" s="372" t="s">
        <v>14383</v>
      </c>
      <c r="F2248" s="372" t="s">
        <v>10046</v>
      </c>
      <c r="G2248" s="375" t="s">
        <v>10047</v>
      </c>
      <c r="H2248" s="375" t="s">
        <v>861</v>
      </c>
      <c r="I2248" s="375" t="s">
        <v>862</v>
      </c>
      <c r="J2248" s="375">
        <v>94861.661829999997</v>
      </c>
      <c r="K2248" s="375">
        <v>1939.19992</v>
      </c>
      <c r="L2248" s="375">
        <v>2451.3137400000001</v>
      </c>
      <c r="M2248" s="375">
        <v>72484.262400000007</v>
      </c>
      <c r="N2248" s="372">
        <v>0.621</v>
      </c>
      <c r="O2248" s="704">
        <v>30.705510676022591</v>
      </c>
      <c r="P2248" s="563" t="s">
        <v>622</v>
      </c>
      <c r="Q2248" s="372" t="s">
        <v>622</v>
      </c>
      <c r="R2248" s="696">
        <v>20070601</v>
      </c>
      <c r="S2248" s="372" t="s">
        <v>14384</v>
      </c>
      <c r="T2248" s="697">
        <v>0.20900000000000002</v>
      </c>
      <c r="U2248" s="372" t="s">
        <v>14385</v>
      </c>
      <c r="V2248" s="723">
        <v>7.5</v>
      </c>
      <c r="W2248" s="723">
        <v>0.49</v>
      </c>
      <c r="X2248" s="723">
        <v>0.38</v>
      </c>
      <c r="Y2248" s="723">
        <v>19.54</v>
      </c>
      <c r="Z2248" s="382" t="s">
        <v>927</v>
      </c>
      <c r="AA2248" s="372">
        <v>639.12779990000001</v>
      </c>
      <c r="AB2248" s="372">
        <v>768.05148959999997</v>
      </c>
      <c r="AC2248" s="372">
        <v>834.22538829999996</v>
      </c>
      <c r="AD2248" s="372">
        <v>973.22976979999999</v>
      </c>
      <c r="AE2248" s="372">
        <v>0</v>
      </c>
      <c r="AF2248" s="372">
        <v>0</v>
      </c>
      <c r="AG2248" s="372">
        <v>0</v>
      </c>
      <c r="AH2248" s="372">
        <v>0</v>
      </c>
    </row>
    <row r="2249" spans="1:34">
      <c r="A2249" s="372" t="s">
        <v>14386</v>
      </c>
      <c r="B2249" s="372" t="s">
        <v>14387</v>
      </c>
      <c r="C2249" s="372" t="s">
        <v>14388</v>
      </c>
      <c r="D2249" s="374">
        <v>1101116153095</v>
      </c>
      <c r="E2249" s="372" t="s">
        <v>14389</v>
      </c>
      <c r="F2249" s="372" t="s">
        <v>1357</v>
      </c>
      <c r="G2249" s="375" t="s">
        <v>1357</v>
      </c>
      <c r="H2249" s="375" t="s">
        <v>861</v>
      </c>
      <c r="I2249" s="375" t="s">
        <v>862</v>
      </c>
      <c r="J2249" s="375">
        <v>43798.904280000002</v>
      </c>
      <c r="K2249" s="375">
        <v>3470.3962099999999</v>
      </c>
      <c r="L2249" s="375">
        <v>4425.8070699999998</v>
      </c>
      <c r="M2249" s="375">
        <v>41706.491249999999</v>
      </c>
      <c r="N2249" s="372">
        <v>0.36499999999999999</v>
      </c>
      <c r="O2249" s="704">
        <v>0</v>
      </c>
      <c r="P2249" s="563" t="s">
        <v>622</v>
      </c>
      <c r="Q2249" s="372" t="s">
        <v>622</v>
      </c>
      <c r="R2249" s="696">
        <v>20161102</v>
      </c>
      <c r="S2249" s="372" t="s">
        <v>14390</v>
      </c>
      <c r="T2249" s="697">
        <v>0.20900000000000002</v>
      </c>
      <c r="U2249" s="372" t="s">
        <v>14391</v>
      </c>
      <c r="V2249" s="723">
        <v>0</v>
      </c>
      <c r="W2249" s="723">
        <v>0</v>
      </c>
      <c r="X2249" s="723">
        <v>0</v>
      </c>
      <c r="Y2249" s="723">
        <v>0</v>
      </c>
      <c r="Z2249" s="382" t="s">
        <v>927</v>
      </c>
      <c r="AA2249" s="372">
        <v>365.98989829999999</v>
      </c>
      <c r="AB2249" s="372">
        <v>396.60421020000001</v>
      </c>
      <c r="AC2249" s="372">
        <v>379.18740279999997</v>
      </c>
      <c r="AD2249" s="372">
        <v>412.16885869999999</v>
      </c>
      <c r="AE2249" s="372">
        <v>0</v>
      </c>
      <c r="AF2249" s="372">
        <v>0</v>
      </c>
      <c r="AG2249" s="372">
        <v>0</v>
      </c>
      <c r="AH2249" s="372">
        <v>0</v>
      </c>
    </row>
    <row r="2250" spans="1:34">
      <c r="A2250" s="372" t="s">
        <v>14392</v>
      </c>
      <c r="B2250" s="372" t="s">
        <v>14393</v>
      </c>
      <c r="C2250" s="372" t="s">
        <v>14394</v>
      </c>
      <c r="D2250" s="374">
        <v>1101115648518</v>
      </c>
      <c r="E2250" s="372" t="s">
        <v>14395</v>
      </c>
      <c r="F2250" s="372" t="s">
        <v>3451</v>
      </c>
      <c r="G2250" s="375" t="s">
        <v>3451</v>
      </c>
      <c r="H2250" s="375" t="s">
        <v>3099</v>
      </c>
      <c r="I2250" s="375" t="s">
        <v>862</v>
      </c>
      <c r="J2250" s="375">
        <v>45879.894590000004</v>
      </c>
      <c r="K2250" s="375">
        <v>1568.90419</v>
      </c>
      <c r="L2250" s="375">
        <v>1827.66426</v>
      </c>
      <c r="M2250" s="375">
        <v>33761.386359999997</v>
      </c>
      <c r="N2250" s="372">
        <v>0.67300000000000004</v>
      </c>
      <c r="O2250" s="704">
        <v>17.402077866062651</v>
      </c>
      <c r="P2250" s="563" t="s">
        <v>622</v>
      </c>
      <c r="Q2250" s="372" t="s">
        <v>622</v>
      </c>
      <c r="R2250" s="696">
        <v>20150513</v>
      </c>
      <c r="S2250" s="372" t="s">
        <v>14396</v>
      </c>
      <c r="T2250" s="697">
        <v>0.20900000000000002</v>
      </c>
      <c r="U2250" s="372" t="s">
        <v>14397</v>
      </c>
      <c r="V2250" s="723">
        <v>8.02</v>
      </c>
      <c r="W2250" s="723">
        <v>0.72</v>
      </c>
      <c r="X2250" s="723">
        <v>0.56999999999999995</v>
      </c>
      <c r="Y2250" s="723">
        <v>23.91</v>
      </c>
      <c r="Z2250" s="382" t="s">
        <v>927</v>
      </c>
      <c r="AA2250" s="372">
        <v>253.2084199</v>
      </c>
      <c r="AB2250" s="372">
        <v>361.31560949999999</v>
      </c>
      <c r="AC2250" s="372">
        <v>512.32869319999998</v>
      </c>
      <c r="AD2250" s="372">
        <v>486.48552360000002</v>
      </c>
      <c r="AE2250" s="372">
        <v>0</v>
      </c>
      <c r="AF2250" s="372">
        <v>0</v>
      </c>
      <c r="AG2250" s="372">
        <v>0</v>
      </c>
      <c r="AH2250" s="372">
        <v>0</v>
      </c>
    </row>
    <row r="2251" spans="1:34">
      <c r="A2251" s="372" t="s">
        <v>14398</v>
      </c>
      <c r="B2251" s="372" t="s">
        <v>14399</v>
      </c>
      <c r="C2251" s="372" t="s">
        <v>14400</v>
      </c>
      <c r="D2251" s="374">
        <v>1101110252471</v>
      </c>
      <c r="E2251" s="372" t="s">
        <v>14401</v>
      </c>
      <c r="F2251" s="372" t="s">
        <v>1743</v>
      </c>
      <c r="G2251" s="375" t="s">
        <v>1743</v>
      </c>
      <c r="H2251" s="375" t="s">
        <v>3099</v>
      </c>
      <c r="I2251" s="375" t="s">
        <v>862</v>
      </c>
      <c r="J2251" s="375">
        <v>56580.556600000004</v>
      </c>
      <c r="K2251" s="375">
        <v>-5687.9643299999998</v>
      </c>
      <c r="L2251" s="375">
        <v>-3060.6669099999999</v>
      </c>
      <c r="M2251" s="375">
        <v>79824.645759999999</v>
      </c>
      <c r="N2251" s="372">
        <v>0.69</v>
      </c>
      <c r="O2251" s="704">
        <v>76.411067204647395</v>
      </c>
      <c r="P2251" s="563" t="s">
        <v>622</v>
      </c>
      <c r="Q2251" s="372" t="s">
        <v>622</v>
      </c>
      <c r="R2251" s="696">
        <v>19941222</v>
      </c>
      <c r="S2251" s="372" t="s">
        <v>14402</v>
      </c>
      <c r="T2251" s="697" t="s">
        <v>771</v>
      </c>
      <c r="U2251" s="372" t="s">
        <v>14403</v>
      </c>
      <c r="V2251" s="723" t="s">
        <v>773</v>
      </c>
      <c r="W2251" s="723">
        <v>0.32</v>
      </c>
      <c r="X2251" s="723">
        <v>0.48</v>
      </c>
      <c r="Y2251" s="723" t="s">
        <v>773</v>
      </c>
      <c r="Z2251" s="382" t="s">
        <v>927</v>
      </c>
      <c r="AA2251" s="372">
        <v>745.33095249999997</v>
      </c>
      <c r="AB2251" s="372">
        <v>715.24701879999998</v>
      </c>
      <c r="AC2251" s="372">
        <v>714.22007540000004</v>
      </c>
      <c r="AD2251" s="372">
        <v>660.23045990000003</v>
      </c>
      <c r="AE2251" s="372">
        <v>0</v>
      </c>
      <c r="AF2251" s="372">
        <v>0</v>
      </c>
      <c r="AG2251" s="372">
        <v>0</v>
      </c>
      <c r="AH2251" s="372">
        <v>0</v>
      </c>
    </row>
    <row r="2252" spans="1:34">
      <c r="A2252" s="372" t="s">
        <v>14404</v>
      </c>
      <c r="B2252" s="372" t="s">
        <v>14405</v>
      </c>
      <c r="C2252" s="372" t="s">
        <v>14406</v>
      </c>
      <c r="D2252" s="374">
        <v>1101115868041</v>
      </c>
      <c r="E2252" s="372" t="s">
        <v>14407</v>
      </c>
      <c r="F2252" s="372" t="s">
        <v>1370</v>
      </c>
      <c r="G2252" s="375" t="s">
        <v>1370</v>
      </c>
      <c r="H2252" s="375" t="s">
        <v>861</v>
      </c>
      <c r="I2252" s="375" t="s">
        <v>862</v>
      </c>
      <c r="J2252" s="375">
        <v>8636.1066699999992</v>
      </c>
      <c r="K2252" s="375">
        <v>-6939.8589099999999</v>
      </c>
      <c r="L2252" s="375">
        <v>-4056.6225399999998</v>
      </c>
      <c r="M2252" s="375">
        <v>9637.2800900000002</v>
      </c>
      <c r="N2252" s="372">
        <v>0.64400000000000002</v>
      </c>
      <c r="O2252" s="704">
        <v>63.332978918131047</v>
      </c>
      <c r="P2252" s="563" t="s">
        <v>16115</v>
      </c>
      <c r="Q2252" s="372" t="s">
        <v>16116</v>
      </c>
      <c r="R2252" s="696">
        <v>20160302</v>
      </c>
      <c r="S2252" s="372" t="s">
        <v>14408</v>
      </c>
      <c r="T2252" s="697" t="s">
        <v>771</v>
      </c>
      <c r="U2252" s="372" t="s">
        <v>14409</v>
      </c>
      <c r="V2252" s="723" t="s">
        <v>773</v>
      </c>
      <c r="W2252" s="723">
        <v>2.2400000000000002</v>
      </c>
      <c r="X2252" s="723">
        <v>2.46</v>
      </c>
      <c r="Y2252" s="723" t="s">
        <v>773</v>
      </c>
      <c r="Z2252" s="382" t="s">
        <v>927</v>
      </c>
      <c r="AA2252" s="372">
        <v>105.5936909</v>
      </c>
      <c r="AB2252" s="372">
        <v>93.285954000000004</v>
      </c>
      <c r="AC2252" s="372">
        <v>147.10415710000001</v>
      </c>
      <c r="AD2252" s="372">
        <v>136.85620900000001</v>
      </c>
      <c r="AE2252" s="372">
        <v>0</v>
      </c>
      <c r="AF2252" s="372">
        <v>0</v>
      </c>
      <c r="AG2252" s="372">
        <v>0</v>
      </c>
      <c r="AH2252" s="372">
        <v>0</v>
      </c>
    </row>
    <row r="2253" spans="1:34">
      <c r="A2253" s="372" t="s">
        <v>14410</v>
      </c>
      <c r="B2253" s="372" t="s">
        <v>14411</v>
      </c>
      <c r="C2253" s="372" t="s">
        <v>14412</v>
      </c>
      <c r="D2253" s="374">
        <v>1101115527019</v>
      </c>
      <c r="E2253" s="372" t="s">
        <v>14413</v>
      </c>
      <c r="F2253" s="372" t="s">
        <v>1370</v>
      </c>
      <c r="G2253" s="375" t="s">
        <v>1370</v>
      </c>
      <c r="H2253" s="375" t="s">
        <v>861</v>
      </c>
      <c r="I2253" s="375" t="s">
        <v>862</v>
      </c>
      <c r="J2253" s="375">
        <v>36632.544699999999</v>
      </c>
      <c r="K2253" s="375">
        <v>2192.5107600000001</v>
      </c>
      <c r="L2253" s="375">
        <v>2670.7543900000001</v>
      </c>
      <c r="M2253" s="375">
        <v>67213.234240000005</v>
      </c>
      <c r="N2253" s="372">
        <v>0.67100000000000004</v>
      </c>
      <c r="O2253" s="704">
        <v>49.404048941003644</v>
      </c>
      <c r="P2253" s="563" t="s">
        <v>622</v>
      </c>
      <c r="Q2253" s="372" t="s">
        <v>622</v>
      </c>
      <c r="R2253" s="696">
        <v>20141224</v>
      </c>
      <c r="S2253" s="372" t="s">
        <v>14414</v>
      </c>
      <c r="T2253" s="697">
        <v>0.20900000000000002</v>
      </c>
      <c r="U2253" s="372" t="s">
        <v>14415</v>
      </c>
      <c r="V2253" s="723">
        <v>9.31</v>
      </c>
      <c r="W2253" s="723">
        <v>0.49</v>
      </c>
      <c r="X2253" s="723">
        <v>0.74</v>
      </c>
      <c r="Y2253" s="723">
        <v>6.68</v>
      </c>
      <c r="Z2253" s="382" t="s">
        <v>927</v>
      </c>
      <c r="AA2253" s="372">
        <v>581.59653779999996</v>
      </c>
      <c r="AB2253" s="372">
        <v>573.32148370000004</v>
      </c>
      <c r="AC2253" s="372">
        <v>322.2088832</v>
      </c>
      <c r="AD2253" s="372">
        <v>352.81556810000001</v>
      </c>
      <c r="AE2253" s="372">
        <v>0</v>
      </c>
      <c r="AF2253" s="372">
        <v>0</v>
      </c>
      <c r="AG2253" s="372">
        <v>0</v>
      </c>
      <c r="AH2253" s="372">
        <v>0</v>
      </c>
    </row>
    <row r="2254" spans="1:34">
      <c r="A2254" s="372" t="s">
        <v>14416</v>
      </c>
      <c r="B2254" s="372" t="s">
        <v>14417</v>
      </c>
      <c r="C2254" s="372" t="s">
        <v>14418</v>
      </c>
      <c r="D2254" s="374">
        <v>1101112149890</v>
      </c>
      <c r="E2254" s="372" t="s">
        <v>14419</v>
      </c>
      <c r="F2254" s="372" t="s">
        <v>2075</v>
      </c>
      <c r="G2254" s="375" t="s">
        <v>3403</v>
      </c>
      <c r="H2254" s="375" t="s">
        <v>861</v>
      </c>
      <c r="I2254" s="375" t="s">
        <v>862</v>
      </c>
      <c r="J2254" s="375">
        <v>138593.50055</v>
      </c>
      <c r="K2254" s="375">
        <v>-6066.1262999999999</v>
      </c>
      <c r="L2254" s="375">
        <v>-10095.908229999999</v>
      </c>
      <c r="M2254" s="375">
        <v>102753.63383000001</v>
      </c>
      <c r="N2254" s="372">
        <v>0.85699999999999998</v>
      </c>
      <c r="O2254" s="704">
        <v>438.17192889158758</v>
      </c>
      <c r="P2254" s="563" t="s">
        <v>622</v>
      </c>
      <c r="Q2254" s="372" t="s">
        <v>622</v>
      </c>
      <c r="R2254" s="696">
        <v>20071016</v>
      </c>
      <c r="S2254" s="372" t="s">
        <v>14420</v>
      </c>
      <c r="T2254" s="697" t="s">
        <v>771</v>
      </c>
      <c r="U2254" s="372" t="s">
        <v>14421</v>
      </c>
      <c r="V2254" s="723">
        <v>23.31</v>
      </c>
      <c r="W2254" s="723">
        <v>0.51</v>
      </c>
      <c r="X2254" s="723">
        <v>0.23</v>
      </c>
      <c r="Y2254" s="723" t="s">
        <v>773</v>
      </c>
      <c r="Z2254" s="382" t="s">
        <v>927</v>
      </c>
      <c r="AA2254" s="372">
        <v>2548.0007974999999</v>
      </c>
      <c r="AB2254" s="372">
        <v>2461.2589459000001</v>
      </c>
      <c r="AC2254" s="372">
        <v>2087.4489503</v>
      </c>
      <c r="AD2254" s="372">
        <v>1698.5595341000001</v>
      </c>
      <c r="AE2254" s="372">
        <v>0</v>
      </c>
      <c r="AF2254" s="372">
        <v>0</v>
      </c>
      <c r="AG2254" s="372">
        <v>0</v>
      </c>
      <c r="AH2254" s="372">
        <v>0</v>
      </c>
    </row>
    <row r="2255" spans="1:34">
      <c r="A2255" s="372" t="s">
        <v>14422</v>
      </c>
      <c r="B2255" s="372" t="s">
        <v>14423</v>
      </c>
      <c r="C2255" s="372" t="s">
        <v>14424</v>
      </c>
      <c r="D2255" s="374">
        <v>1101111073454</v>
      </c>
      <c r="E2255" s="372" t="s">
        <v>14425</v>
      </c>
      <c r="F2255" s="372" t="s">
        <v>2834</v>
      </c>
      <c r="G2255" s="375" t="s">
        <v>2834</v>
      </c>
      <c r="H2255" s="375" t="s">
        <v>861</v>
      </c>
      <c r="I2255" s="375" t="s">
        <v>862</v>
      </c>
      <c r="J2255" s="375">
        <v>80240.622130000003</v>
      </c>
      <c r="K2255" s="375">
        <v>-1310.69487</v>
      </c>
      <c r="L2255" s="375">
        <v>-2544.0436599999998</v>
      </c>
      <c r="M2255" s="375">
        <v>40032.841009999996</v>
      </c>
      <c r="N2255" s="372">
        <v>0.92800000000000005</v>
      </c>
      <c r="O2255" s="704">
        <v>141.00058330222765</v>
      </c>
      <c r="P2255" s="563" t="s">
        <v>622</v>
      </c>
      <c r="Q2255" s="372" t="s">
        <v>622</v>
      </c>
      <c r="R2255" s="696">
        <v>19991116</v>
      </c>
      <c r="S2255" s="372" t="s">
        <v>14426</v>
      </c>
      <c r="T2255" s="697" t="s">
        <v>771</v>
      </c>
      <c r="U2255" s="372" t="s">
        <v>14427</v>
      </c>
      <c r="V2255" s="723">
        <v>1715.38</v>
      </c>
      <c r="W2255" s="723">
        <v>0.71</v>
      </c>
      <c r="X2255" s="723">
        <v>0.32</v>
      </c>
      <c r="Y2255" s="723" t="s">
        <v>773</v>
      </c>
      <c r="Z2255" s="382" t="s">
        <v>927</v>
      </c>
      <c r="AA2255" s="372">
        <v>688.1244964</v>
      </c>
      <c r="AB2255" s="372">
        <v>618.75159629999996</v>
      </c>
      <c r="AC2255" s="372">
        <v>678.02637790000006</v>
      </c>
      <c r="AD2255" s="372">
        <v>738.84674500000006</v>
      </c>
      <c r="AE2255" s="372">
        <v>0</v>
      </c>
      <c r="AF2255" s="372">
        <v>0</v>
      </c>
      <c r="AG2255" s="372">
        <v>0</v>
      </c>
      <c r="AH2255" s="372">
        <v>0</v>
      </c>
    </row>
    <row r="2256" spans="1:34">
      <c r="A2256" s="372" t="s">
        <v>14428</v>
      </c>
      <c r="B2256" s="372" t="s">
        <v>14429</v>
      </c>
      <c r="C2256" s="372" t="s">
        <v>16055</v>
      </c>
      <c r="D2256" s="374">
        <v>1243110021149</v>
      </c>
      <c r="E2256" s="372" t="s">
        <v>16056</v>
      </c>
      <c r="F2256" s="372" t="s">
        <v>5625</v>
      </c>
      <c r="G2256" s="375" t="s">
        <v>5625</v>
      </c>
      <c r="H2256" s="375" t="s">
        <v>861</v>
      </c>
      <c r="I2256" s="375" t="s">
        <v>862</v>
      </c>
      <c r="J2256" s="375">
        <v>10084.93867</v>
      </c>
      <c r="K2256" s="375">
        <v>-6455.2379600000004</v>
      </c>
      <c r="L2256" s="375">
        <v>-31658.31854</v>
      </c>
      <c r="M2256" s="375">
        <v>101459.7574</v>
      </c>
      <c r="N2256" s="372">
        <v>0.496</v>
      </c>
      <c r="O2256" s="704">
        <v>25.444580380792686</v>
      </c>
      <c r="P2256" s="563" t="s">
        <v>16115</v>
      </c>
      <c r="Q2256" s="372" t="s">
        <v>16116</v>
      </c>
      <c r="R2256" s="696">
        <v>20101105</v>
      </c>
      <c r="S2256" s="372" t="s">
        <v>14430</v>
      </c>
      <c r="T2256" s="697" t="s">
        <v>771</v>
      </c>
      <c r="U2256" s="372" t="s">
        <v>15966</v>
      </c>
      <c r="V2256" s="723" t="s">
        <v>773</v>
      </c>
      <c r="W2256" s="723">
        <v>0.42</v>
      </c>
      <c r="X2256" s="723">
        <v>4.21</v>
      </c>
      <c r="Y2256" s="723" t="s">
        <v>773</v>
      </c>
      <c r="Z2256" s="382" t="s">
        <v>927</v>
      </c>
      <c r="AA2256" s="372">
        <v>175.13830780000001</v>
      </c>
      <c r="AB2256" s="372">
        <v>200.17205200000001</v>
      </c>
      <c r="AC2256" s="372">
        <v>125.15813970000001</v>
      </c>
      <c r="AD2256" s="372">
        <v>78.908931600000003</v>
      </c>
      <c r="AE2256" s="372">
        <v>0</v>
      </c>
      <c r="AF2256" s="372">
        <v>0</v>
      </c>
      <c r="AG2256" s="372">
        <v>0</v>
      </c>
      <c r="AH2256" s="372">
        <v>0</v>
      </c>
    </row>
    <row r="2257" spans="1:34">
      <c r="A2257" s="372" t="s">
        <v>14431</v>
      </c>
      <c r="B2257" s="372" t="s">
        <v>14432</v>
      </c>
      <c r="C2257" s="372" t="s">
        <v>14433</v>
      </c>
      <c r="D2257" s="374">
        <v>1612110007815</v>
      </c>
      <c r="E2257" s="372" t="s">
        <v>14434</v>
      </c>
      <c r="F2257" s="372" t="s">
        <v>16128</v>
      </c>
      <c r="G2257" s="375" t="s">
        <v>16128</v>
      </c>
      <c r="H2257" s="375" t="s">
        <v>3099</v>
      </c>
      <c r="I2257" s="375" t="s">
        <v>862</v>
      </c>
      <c r="J2257" s="375">
        <v>80499.410380000001</v>
      </c>
      <c r="K2257" s="375">
        <v>3181.7547</v>
      </c>
      <c r="L2257" s="375">
        <v>3014.8991900000001</v>
      </c>
      <c r="M2257" s="375">
        <v>50454.794589999998</v>
      </c>
      <c r="N2257" s="372">
        <v>0.59899999999999998</v>
      </c>
      <c r="O2257" s="704">
        <v>53.204088203575218</v>
      </c>
      <c r="P2257" s="563" t="s">
        <v>622</v>
      </c>
      <c r="Q2257" s="372" t="s">
        <v>622</v>
      </c>
      <c r="R2257" s="696">
        <v>20060428</v>
      </c>
      <c r="S2257" s="372" t="s">
        <v>14435</v>
      </c>
      <c r="T2257" s="697">
        <v>0.20900000000000002</v>
      </c>
      <c r="U2257" s="372" t="s">
        <v>14436</v>
      </c>
      <c r="V2257" s="723">
        <v>6.76</v>
      </c>
      <c r="W2257" s="723">
        <v>0.61</v>
      </c>
      <c r="X2257" s="723">
        <v>0.38</v>
      </c>
      <c r="Y2257" s="723">
        <v>12.05</v>
      </c>
      <c r="Z2257" s="382" t="s">
        <v>927</v>
      </c>
      <c r="AA2257" s="372">
        <v>591.19190249999997</v>
      </c>
      <c r="AB2257" s="372">
        <v>628.13558550000005</v>
      </c>
      <c r="AC2257" s="372">
        <v>827.585061</v>
      </c>
      <c r="AD2257" s="372">
        <v>794.76916080000001</v>
      </c>
      <c r="AE2257" s="372">
        <v>0</v>
      </c>
      <c r="AF2257" s="372">
        <v>0</v>
      </c>
      <c r="AG2257" s="372">
        <v>0</v>
      </c>
      <c r="AH2257" s="372">
        <v>0</v>
      </c>
    </row>
    <row r="2258" spans="1:34">
      <c r="A2258" s="372" t="s">
        <v>14437</v>
      </c>
      <c r="B2258" s="372" t="s">
        <v>14438</v>
      </c>
      <c r="C2258" s="372" t="s">
        <v>14439</v>
      </c>
      <c r="D2258" s="374">
        <v>1101111413361</v>
      </c>
      <c r="E2258" s="372" t="s">
        <v>14440</v>
      </c>
      <c r="F2258" s="372" t="s">
        <v>1656</v>
      </c>
      <c r="G2258" s="375" t="s">
        <v>1656</v>
      </c>
      <c r="H2258" s="375" t="s">
        <v>861</v>
      </c>
      <c r="I2258" s="375" t="s">
        <v>862</v>
      </c>
      <c r="J2258" s="375">
        <v>82602.912209999995</v>
      </c>
      <c r="K2258" s="375">
        <v>-32091.361730000001</v>
      </c>
      <c r="L2258" s="375">
        <v>-37559.488989999998</v>
      </c>
      <c r="M2258" s="375">
        <v>31584.747189999998</v>
      </c>
      <c r="N2258" s="372">
        <v>1.0109999999999999</v>
      </c>
      <c r="O2258" s="704">
        <v>165.62079978950464</v>
      </c>
      <c r="P2258" s="563" t="s">
        <v>622</v>
      </c>
      <c r="Q2258" s="372" t="s">
        <v>622</v>
      </c>
      <c r="R2258" s="696">
        <v>20070626</v>
      </c>
      <c r="S2258" s="372" t="s">
        <v>14441</v>
      </c>
      <c r="T2258" s="697" t="s">
        <v>771</v>
      </c>
      <c r="U2258" s="372" t="s">
        <v>5715</v>
      </c>
      <c r="V2258" s="723" t="s">
        <v>773</v>
      </c>
      <c r="W2258" s="723">
        <v>1.2</v>
      </c>
      <c r="X2258" s="723">
        <v>0.35</v>
      </c>
      <c r="Y2258" s="723" t="s">
        <v>773</v>
      </c>
      <c r="Z2258" s="382" t="s">
        <v>927</v>
      </c>
      <c r="AA2258" s="372">
        <v>877.96151320000001</v>
      </c>
      <c r="AB2258" s="372">
        <v>1146.8013120000001</v>
      </c>
      <c r="AC2258" s="372">
        <v>925.93551500000001</v>
      </c>
      <c r="AD2258" s="372">
        <v>616.82037939999998</v>
      </c>
      <c r="AE2258" s="372">
        <v>0</v>
      </c>
      <c r="AF2258" s="372">
        <v>0</v>
      </c>
      <c r="AG2258" s="372">
        <v>0</v>
      </c>
      <c r="AH2258" s="372">
        <v>0</v>
      </c>
    </row>
    <row r="2259" spans="1:34">
      <c r="A2259" s="372" t="s">
        <v>14442</v>
      </c>
      <c r="B2259" s="372" t="s">
        <v>14443</v>
      </c>
      <c r="C2259" s="372" t="s">
        <v>14444</v>
      </c>
      <c r="D2259" s="374">
        <v>1341110064711</v>
      </c>
      <c r="E2259" s="372" t="s">
        <v>14445</v>
      </c>
      <c r="F2259" s="372" t="s">
        <v>1756</v>
      </c>
      <c r="G2259" s="375" t="s">
        <v>6499</v>
      </c>
      <c r="H2259" s="375" t="s">
        <v>861</v>
      </c>
      <c r="I2259" s="375" t="s">
        <v>862</v>
      </c>
      <c r="J2259" s="375">
        <v>33444.12672</v>
      </c>
      <c r="K2259" s="375">
        <v>2142.40816</v>
      </c>
      <c r="L2259" s="375">
        <v>2257.29475</v>
      </c>
      <c r="M2259" s="375">
        <v>72833.362399999998</v>
      </c>
      <c r="N2259" s="372">
        <v>0.88700000000000001</v>
      </c>
      <c r="O2259" s="704">
        <v>70.954023390999936</v>
      </c>
      <c r="P2259" s="563" t="s">
        <v>622</v>
      </c>
      <c r="Q2259" s="372" t="s">
        <v>622</v>
      </c>
      <c r="R2259" s="696">
        <v>20160704</v>
      </c>
      <c r="S2259" s="372" t="s">
        <v>14446</v>
      </c>
      <c r="T2259" s="697">
        <v>0.20900000000000002</v>
      </c>
      <c r="U2259" s="372" t="s">
        <v>14447</v>
      </c>
      <c r="V2259" s="723">
        <v>0</v>
      </c>
      <c r="W2259" s="723">
        <v>0</v>
      </c>
      <c r="X2259" s="723">
        <v>0</v>
      </c>
      <c r="Y2259" s="723">
        <v>0</v>
      </c>
      <c r="Z2259" s="382" t="s">
        <v>927</v>
      </c>
      <c r="AA2259" s="372">
        <v>196.4145316</v>
      </c>
      <c r="AB2259" s="372">
        <v>217.08529849999999</v>
      </c>
      <c r="AC2259" s="372">
        <v>219.9792885</v>
      </c>
      <c r="AD2259" s="372">
        <v>206.83260999999999</v>
      </c>
      <c r="AE2259" s="372">
        <v>0</v>
      </c>
      <c r="AF2259" s="372">
        <v>0</v>
      </c>
      <c r="AG2259" s="372">
        <v>0</v>
      </c>
      <c r="AH2259" s="372">
        <v>0</v>
      </c>
    </row>
    <row r="2260" spans="1:34">
      <c r="A2260" s="372" t="s">
        <v>14448</v>
      </c>
      <c r="B2260" s="372" t="s">
        <v>14449</v>
      </c>
      <c r="C2260" s="372" t="s">
        <v>14450</v>
      </c>
      <c r="D2260" s="374">
        <v>1156110036979</v>
      </c>
      <c r="E2260" s="372" t="s">
        <v>14451</v>
      </c>
      <c r="F2260" s="372" t="s">
        <v>1275</v>
      </c>
      <c r="G2260" s="375" t="s">
        <v>1275</v>
      </c>
      <c r="H2260" s="375" t="s">
        <v>861</v>
      </c>
      <c r="I2260" s="375" t="s">
        <v>862</v>
      </c>
      <c r="J2260" s="375">
        <v>14943.5561</v>
      </c>
      <c r="K2260" s="375">
        <v>-2962.6579200000001</v>
      </c>
      <c r="L2260" s="375">
        <v>-2876.3889300000001</v>
      </c>
      <c r="M2260" s="375">
        <v>36401.196080000002</v>
      </c>
      <c r="N2260" s="372">
        <v>0.66400000000000003</v>
      </c>
      <c r="O2260" s="704">
        <v>30.077299673678908</v>
      </c>
      <c r="P2260" s="563" t="s">
        <v>622</v>
      </c>
      <c r="Q2260" s="372" t="s">
        <v>622</v>
      </c>
      <c r="R2260" s="696">
        <v>20131224</v>
      </c>
      <c r="S2260" s="372" t="s">
        <v>14452</v>
      </c>
      <c r="T2260" s="697" t="s">
        <v>771</v>
      </c>
      <c r="U2260" s="372" t="s">
        <v>14453</v>
      </c>
      <c r="V2260" s="723">
        <v>47.27</v>
      </c>
      <c r="W2260" s="723">
        <v>0.8</v>
      </c>
      <c r="X2260" s="723">
        <v>1.99</v>
      </c>
      <c r="Y2260" s="723" t="s">
        <v>773</v>
      </c>
      <c r="Z2260" s="382" t="s">
        <v>927</v>
      </c>
      <c r="AA2260" s="372">
        <v>238.4914618</v>
      </c>
      <c r="AB2260" s="372">
        <v>252.14601469999999</v>
      </c>
      <c r="AC2260" s="372">
        <v>232.8061452</v>
      </c>
      <c r="AD2260" s="372">
        <v>146.8664866</v>
      </c>
      <c r="AE2260" s="372">
        <v>0</v>
      </c>
      <c r="AF2260" s="372">
        <v>0</v>
      </c>
      <c r="AG2260" s="372">
        <v>0</v>
      </c>
      <c r="AH2260" s="372">
        <v>0</v>
      </c>
    </row>
    <row r="2261" spans="1:34">
      <c r="A2261" s="372" t="s">
        <v>14454</v>
      </c>
      <c r="B2261" s="372" t="s">
        <v>14455</v>
      </c>
      <c r="C2261" s="372" t="s">
        <v>14456</v>
      </c>
      <c r="D2261" s="374">
        <v>1101110086771</v>
      </c>
      <c r="E2261" s="372" t="s">
        <v>14457</v>
      </c>
      <c r="F2261" s="372" t="s">
        <v>1863</v>
      </c>
      <c r="G2261" s="375" t="s">
        <v>1864</v>
      </c>
      <c r="H2261" s="375" t="s">
        <v>792</v>
      </c>
      <c r="I2261" s="375" t="s">
        <v>754</v>
      </c>
      <c r="J2261" s="375">
        <v>10912.400970000001</v>
      </c>
      <c r="K2261" s="375">
        <v>-761.72356000000002</v>
      </c>
      <c r="L2261" s="375">
        <v>853.69090000000006</v>
      </c>
      <c r="M2261" s="375">
        <v>45076.927559999996</v>
      </c>
      <c r="N2261" s="372">
        <v>0.58099999999999996</v>
      </c>
      <c r="O2261" s="704">
        <v>0.1026040417946035</v>
      </c>
      <c r="P2261" s="563" t="s">
        <v>622</v>
      </c>
      <c r="Q2261" s="372" t="s">
        <v>622</v>
      </c>
      <c r="R2261" s="696">
        <v>19750624</v>
      </c>
      <c r="S2261" s="372" t="s">
        <v>14458</v>
      </c>
      <c r="T2261" s="697">
        <v>0.20900000000000002</v>
      </c>
      <c r="U2261" s="372" t="s">
        <v>14459</v>
      </c>
      <c r="V2261" s="723">
        <v>0</v>
      </c>
      <c r="W2261" s="723">
        <v>0</v>
      </c>
      <c r="X2261" s="723">
        <v>0</v>
      </c>
      <c r="Y2261" s="723">
        <v>0</v>
      </c>
      <c r="Z2261" s="382" t="s">
        <v>927</v>
      </c>
      <c r="AA2261" s="372">
        <v>163.3889269</v>
      </c>
      <c r="AB2261" s="372">
        <v>98.276041699999993</v>
      </c>
      <c r="AC2261" s="372">
        <v>109.5465104</v>
      </c>
      <c r="AD2261" s="372">
        <v>92.123144100000005</v>
      </c>
      <c r="AE2261" s="372">
        <v>0</v>
      </c>
      <c r="AF2261" s="372">
        <v>0</v>
      </c>
      <c r="AG2261" s="372">
        <v>0</v>
      </c>
      <c r="AH2261" s="372">
        <v>0</v>
      </c>
    </row>
    <row r="2262" spans="1:34">
      <c r="A2262" s="372" t="s">
        <v>14460</v>
      </c>
      <c r="B2262" s="372" t="s">
        <v>14461</v>
      </c>
      <c r="C2262" s="372" t="s">
        <v>14462</v>
      </c>
      <c r="D2262" s="374">
        <v>1748110017627</v>
      </c>
      <c r="E2262" s="372" t="s">
        <v>14463</v>
      </c>
      <c r="F2262" s="372" t="s">
        <v>1863</v>
      </c>
      <c r="G2262" s="375" t="s">
        <v>1864</v>
      </c>
      <c r="H2262" s="375" t="s">
        <v>861</v>
      </c>
      <c r="I2262" s="375" t="s">
        <v>862</v>
      </c>
      <c r="J2262" s="375">
        <v>82211.234280000004</v>
      </c>
      <c r="K2262" s="375">
        <v>-887.85864000000004</v>
      </c>
      <c r="L2262" s="375">
        <v>-539.02810999999997</v>
      </c>
      <c r="M2262" s="375">
        <v>93422.390950000001</v>
      </c>
      <c r="N2262" s="372">
        <v>0.78800000000000003</v>
      </c>
      <c r="O2262" s="704">
        <v>38.74506281754477</v>
      </c>
      <c r="P2262" s="563" t="s">
        <v>622</v>
      </c>
      <c r="Q2262" s="372" t="s">
        <v>622</v>
      </c>
      <c r="R2262" s="696">
        <v>20110208</v>
      </c>
      <c r="S2262" s="372" t="s">
        <v>14464</v>
      </c>
      <c r="T2262" s="697" t="s">
        <v>771</v>
      </c>
      <c r="U2262" s="372" t="s">
        <v>14465</v>
      </c>
      <c r="V2262" s="723">
        <v>18.34</v>
      </c>
      <c r="W2262" s="723">
        <v>0.36</v>
      </c>
      <c r="X2262" s="723">
        <v>0.28999999999999998</v>
      </c>
      <c r="Y2262" s="723">
        <v>10.71</v>
      </c>
      <c r="Z2262" s="382" t="s">
        <v>927</v>
      </c>
      <c r="AA2262" s="372">
        <v>793.47760989999995</v>
      </c>
      <c r="AB2262" s="372">
        <v>803.94390810000004</v>
      </c>
      <c r="AC2262" s="372">
        <v>813.44275879999998</v>
      </c>
      <c r="AD2262" s="372">
        <v>794.95864089999998</v>
      </c>
      <c r="AE2262" s="372">
        <v>0</v>
      </c>
      <c r="AF2262" s="372">
        <v>0</v>
      </c>
      <c r="AG2262" s="372">
        <v>0</v>
      </c>
      <c r="AH2262" s="372">
        <v>0</v>
      </c>
    </row>
    <row r="2263" spans="1:34">
      <c r="A2263" s="372" t="s">
        <v>14466</v>
      </c>
      <c r="B2263" s="372" t="s">
        <v>14467</v>
      </c>
      <c r="C2263" s="372" t="s">
        <v>14468</v>
      </c>
      <c r="D2263" s="374">
        <v>1101118546719</v>
      </c>
      <c r="E2263" s="372" t="s">
        <v>14469</v>
      </c>
      <c r="F2263" s="372" t="s">
        <v>1143</v>
      </c>
      <c r="G2263" s="375" t="s">
        <v>1144</v>
      </c>
      <c r="H2263" s="375" t="s">
        <v>895</v>
      </c>
      <c r="I2263" s="375" t="s">
        <v>862</v>
      </c>
      <c r="J2263" s="375">
        <v>0</v>
      </c>
      <c r="K2263" s="375">
        <v>-72.28425</v>
      </c>
      <c r="L2263" s="375">
        <v>1190.6782000000001</v>
      </c>
      <c r="M2263" s="375">
        <v>37867.612390000002</v>
      </c>
      <c r="N2263" s="372" t="s">
        <v>1026</v>
      </c>
      <c r="O2263" s="704">
        <v>11.887229171365382</v>
      </c>
      <c r="P2263" s="563" t="s">
        <v>622</v>
      </c>
      <c r="Q2263" s="372" t="s">
        <v>622</v>
      </c>
      <c r="R2263" s="696">
        <v>20231004</v>
      </c>
      <c r="S2263" s="372" t="s">
        <v>14470</v>
      </c>
      <c r="T2263" s="697">
        <v>0.20900000000000002</v>
      </c>
      <c r="U2263" s="372">
        <v>0</v>
      </c>
      <c r="V2263" s="723">
        <v>0</v>
      </c>
      <c r="W2263" s="723">
        <v>0</v>
      </c>
      <c r="X2263" s="723">
        <v>0</v>
      </c>
      <c r="Y2263" s="723">
        <v>0</v>
      </c>
      <c r="Z2263" s="382" t="s">
        <v>773</v>
      </c>
      <c r="AA2263" s="372">
        <v>0</v>
      </c>
      <c r="AB2263" s="372">
        <v>0</v>
      </c>
      <c r="AC2263" s="372">
        <v>0</v>
      </c>
      <c r="AD2263" s="372">
        <v>0</v>
      </c>
      <c r="AE2263" s="372">
        <v>0</v>
      </c>
      <c r="AF2263" s="372">
        <v>0</v>
      </c>
      <c r="AG2263" s="372">
        <v>0</v>
      </c>
      <c r="AH2263" s="372">
        <v>0</v>
      </c>
    </row>
    <row r="2264" spans="1:34">
      <c r="A2264" s="372" t="s">
        <v>14471</v>
      </c>
      <c r="B2264" s="372" t="s">
        <v>14472</v>
      </c>
      <c r="C2264" s="372" t="s">
        <v>14473</v>
      </c>
      <c r="D2264" s="374">
        <v>1101110027593</v>
      </c>
      <c r="E2264" s="372" t="s">
        <v>14473</v>
      </c>
      <c r="F2264" s="372" t="s">
        <v>2245</v>
      </c>
      <c r="G2264" s="375" t="s">
        <v>11900</v>
      </c>
      <c r="H2264" s="375" t="s">
        <v>3957</v>
      </c>
      <c r="I2264" s="375" t="s">
        <v>754</v>
      </c>
      <c r="J2264" s="375">
        <v>358052.18796000001</v>
      </c>
      <c r="K2264" s="375">
        <v>-18094.222030000001</v>
      </c>
      <c r="L2264" s="375">
        <v>-193058.57308</v>
      </c>
      <c r="M2264" s="375">
        <v>219483.74937000001</v>
      </c>
      <c r="N2264" s="372">
        <v>0.68799999999999994</v>
      </c>
      <c r="O2264" s="704">
        <v>560.03720126252676</v>
      </c>
      <c r="P2264" s="563" t="s">
        <v>622</v>
      </c>
      <c r="Q2264" s="372" t="s">
        <v>622</v>
      </c>
      <c r="R2264" s="696">
        <v>19760522</v>
      </c>
      <c r="S2264" s="372" t="s">
        <v>14474</v>
      </c>
      <c r="T2264" s="697" t="s">
        <v>771</v>
      </c>
      <c r="U2264" s="372" t="s">
        <v>14475</v>
      </c>
      <c r="V2264" s="723" t="s">
        <v>773</v>
      </c>
      <c r="W2264" s="723">
        <v>0.19</v>
      </c>
      <c r="X2264" s="723">
        <v>0.12</v>
      </c>
      <c r="Y2264" s="723" t="s">
        <v>773</v>
      </c>
      <c r="Z2264" s="382" t="s">
        <v>927</v>
      </c>
      <c r="AA2264" s="372">
        <v>4125.3021478000001</v>
      </c>
      <c r="AB2264" s="372">
        <v>4653.1834995999998</v>
      </c>
      <c r="AC2264" s="372">
        <v>5066.9121435999996</v>
      </c>
      <c r="AD2264" s="372">
        <v>4410.6187674000003</v>
      </c>
      <c r="AE2264" s="372">
        <v>0</v>
      </c>
      <c r="AF2264" s="372">
        <v>0</v>
      </c>
      <c r="AG2264" s="372">
        <v>0</v>
      </c>
      <c r="AH2264" s="372">
        <v>0</v>
      </c>
    </row>
    <row r="2265" spans="1:34">
      <c r="A2265" s="372" t="s">
        <v>14476</v>
      </c>
      <c r="B2265" s="372" t="s">
        <v>14477</v>
      </c>
      <c r="C2265" s="372" t="s">
        <v>14478</v>
      </c>
      <c r="D2265" s="374">
        <v>1701110150847</v>
      </c>
      <c r="E2265" s="372" t="s">
        <v>14479</v>
      </c>
      <c r="F2265" s="372" t="s">
        <v>1569</v>
      </c>
      <c r="G2265" s="375" t="s">
        <v>1569</v>
      </c>
      <c r="H2265" s="375" t="s">
        <v>3099</v>
      </c>
      <c r="I2265" s="375" t="s">
        <v>862</v>
      </c>
      <c r="J2265" s="375">
        <v>0</v>
      </c>
      <c r="K2265" s="375">
        <v>0</v>
      </c>
      <c r="L2265" s="375">
        <v>0</v>
      </c>
      <c r="M2265" s="375">
        <v>62526.444000000003</v>
      </c>
      <c r="N2265" s="372">
        <v>0.628</v>
      </c>
      <c r="O2265" s="704">
        <v>79.040383760787947</v>
      </c>
      <c r="P2265" s="563" t="s">
        <v>16115</v>
      </c>
      <c r="Q2265" s="372" t="s">
        <v>16116</v>
      </c>
      <c r="R2265" s="696">
        <v>20041027</v>
      </c>
      <c r="S2265" s="372" t="s">
        <v>14480</v>
      </c>
      <c r="T2265" s="697" t="s">
        <v>771</v>
      </c>
      <c r="U2265" s="372" t="s">
        <v>14481</v>
      </c>
      <c r="V2265" s="723">
        <v>0</v>
      </c>
      <c r="W2265" s="723">
        <v>0.43</v>
      </c>
      <c r="X2265" s="723">
        <v>0</v>
      </c>
      <c r="Y2265" s="723">
        <v>0</v>
      </c>
      <c r="Z2265" s="382" t="s">
        <v>927</v>
      </c>
      <c r="AA2265" s="372">
        <v>118.4568465</v>
      </c>
      <c r="AB2265" s="372">
        <v>83.135865199999998</v>
      </c>
      <c r="AC2265" s="372">
        <v>93.726882399999994</v>
      </c>
      <c r="AD2265" s="372">
        <v>52.886983000000001</v>
      </c>
      <c r="AE2265" s="372">
        <v>0</v>
      </c>
      <c r="AF2265" s="372">
        <v>0</v>
      </c>
      <c r="AG2265" s="372">
        <v>0</v>
      </c>
      <c r="AH2265" s="372">
        <v>0</v>
      </c>
    </row>
    <row r="2266" spans="1:34">
      <c r="A2266" s="372" t="s">
        <v>14482</v>
      </c>
      <c r="B2266" s="372" t="s">
        <v>14483</v>
      </c>
      <c r="C2266" s="372" t="s">
        <v>14484</v>
      </c>
      <c r="D2266" s="374">
        <v>1101116982139</v>
      </c>
      <c r="E2266" s="372" t="s">
        <v>14485</v>
      </c>
      <c r="F2266" s="372" t="s">
        <v>1357</v>
      </c>
      <c r="G2266" s="375" t="s">
        <v>1357</v>
      </c>
      <c r="H2266" s="375" t="s">
        <v>861</v>
      </c>
      <c r="I2266" s="375" t="s">
        <v>862</v>
      </c>
      <c r="J2266" s="375">
        <v>33160.52291</v>
      </c>
      <c r="K2266" s="375">
        <v>1389.2748200000001</v>
      </c>
      <c r="L2266" s="375">
        <v>-977.27374999999995</v>
      </c>
      <c r="M2266" s="375">
        <v>30844.485219999999</v>
      </c>
      <c r="N2266" s="372">
        <v>-0.13900000000000001</v>
      </c>
      <c r="O2266" s="704">
        <v>94.417059608466573</v>
      </c>
      <c r="P2266" s="563" t="s">
        <v>16115</v>
      </c>
      <c r="Q2266" s="372" t="s">
        <v>16116</v>
      </c>
      <c r="R2266" s="696">
        <v>20190429</v>
      </c>
      <c r="S2266" s="372" t="s">
        <v>9018</v>
      </c>
      <c r="T2266" s="697" t="s">
        <v>771</v>
      </c>
      <c r="U2266" s="372" t="s">
        <v>14486</v>
      </c>
      <c r="V2266" s="723">
        <v>20.61</v>
      </c>
      <c r="W2266" s="723">
        <v>0.96</v>
      </c>
      <c r="X2266" s="723">
        <v>0.85</v>
      </c>
      <c r="Y2266" s="723" t="s">
        <v>773</v>
      </c>
      <c r="Z2266" s="382" t="s">
        <v>927</v>
      </c>
      <c r="AA2266" s="372">
        <v>616.46874769999999</v>
      </c>
      <c r="AB2266" s="372">
        <v>498.70571649999999</v>
      </c>
      <c r="AC2266" s="372">
        <v>629.25391609999997</v>
      </c>
      <c r="AD2266" s="372">
        <v>399.84448889999999</v>
      </c>
      <c r="AE2266" s="372">
        <v>0</v>
      </c>
      <c r="AF2266" s="372">
        <v>0</v>
      </c>
      <c r="AG2266" s="372">
        <v>0</v>
      </c>
      <c r="AH2266" s="372">
        <v>0</v>
      </c>
    </row>
    <row r="2267" spans="1:34">
      <c r="A2267" s="372" t="s">
        <v>14487</v>
      </c>
      <c r="B2267" s="372" t="s">
        <v>14488</v>
      </c>
      <c r="C2267" s="372" t="s">
        <v>14489</v>
      </c>
      <c r="D2267" s="374">
        <v>1101111930787</v>
      </c>
      <c r="E2267" s="372" t="s">
        <v>14490</v>
      </c>
      <c r="F2267" s="372" t="s">
        <v>1656</v>
      </c>
      <c r="G2267" s="375" t="s">
        <v>1656</v>
      </c>
      <c r="H2267" s="375" t="s">
        <v>861</v>
      </c>
      <c r="I2267" s="375" t="s">
        <v>862</v>
      </c>
      <c r="J2267" s="375">
        <v>38070.303469999999</v>
      </c>
      <c r="K2267" s="375">
        <v>-881.64913999999999</v>
      </c>
      <c r="L2267" s="375">
        <v>-496.86968000000002</v>
      </c>
      <c r="M2267" s="375">
        <v>41503.703889999997</v>
      </c>
      <c r="N2267" s="372">
        <v>0.74299999999999999</v>
      </c>
      <c r="O2267" s="704">
        <v>15.190188173936352</v>
      </c>
      <c r="P2267" s="563" t="s">
        <v>622</v>
      </c>
      <c r="Q2267" s="372" t="s">
        <v>622</v>
      </c>
      <c r="R2267" s="696">
        <v>20090331</v>
      </c>
      <c r="S2267" s="372" t="s">
        <v>14491</v>
      </c>
      <c r="T2267" s="697" t="s">
        <v>771</v>
      </c>
      <c r="U2267" s="372" t="s">
        <v>14492</v>
      </c>
      <c r="V2267" s="723">
        <v>320.88</v>
      </c>
      <c r="W2267" s="723">
        <v>0.73</v>
      </c>
      <c r="X2267" s="723">
        <v>0.74</v>
      </c>
      <c r="Y2267" s="723" t="s">
        <v>773</v>
      </c>
      <c r="Z2267" s="382" t="s">
        <v>927</v>
      </c>
      <c r="AA2267" s="372">
        <v>107.6031144</v>
      </c>
      <c r="AB2267" s="372">
        <v>157.94482669999999</v>
      </c>
      <c r="AC2267" s="372">
        <v>248.46936260000001</v>
      </c>
      <c r="AD2267" s="372">
        <v>358.69230490000001</v>
      </c>
      <c r="AE2267" s="372">
        <v>0</v>
      </c>
      <c r="AF2267" s="372">
        <v>0</v>
      </c>
      <c r="AG2267" s="372">
        <v>0</v>
      </c>
      <c r="AH2267" s="372">
        <v>0</v>
      </c>
    </row>
    <row r="2268" spans="1:34">
      <c r="A2268" s="372" t="s">
        <v>14493</v>
      </c>
      <c r="B2268" s="372" t="s">
        <v>14494</v>
      </c>
      <c r="C2268" s="372" t="s">
        <v>14495</v>
      </c>
      <c r="D2268" s="374">
        <v>1101111716898</v>
      </c>
      <c r="E2268" s="372" t="s">
        <v>14496</v>
      </c>
      <c r="F2268" s="372" t="s">
        <v>2511</v>
      </c>
      <c r="G2268" s="375" t="s">
        <v>2511</v>
      </c>
      <c r="H2268" s="375" t="s">
        <v>861</v>
      </c>
      <c r="I2268" s="375" t="s">
        <v>862</v>
      </c>
      <c r="J2268" s="375">
        <v>76015.950110000005</v>
      </c>
      <c r="K2268" s="375">
        <v>-561.10335999999995</v>
      </c>
      <c r="L2268" s="375">
        <v>-6770.5848800000003</v>
      </c>
      <c r="M2268" s="375">
        <v>60949.294959999999</v>
      </c>
      <c r="N2268" s="372">
        <v>0.72099999999999997</v>
      </c>
      <c r="O2268" s="704">
        <v>161.72831081827428</v>
      </c>
      <c r="P2268" s="563" t="s">
        <v>622</v>
      </c>
      <c r="Q2268" s="372" t="s">
        <v>622</v>
      </c>
      <c r="R2268" s="696">
        <v>20020514</v>
      </c>
      <c r="S2268" s="372" t="s">
        <v>14497</v>
      </c>
      <c r="T2268" s="697" t="s">
        <v>771</v>
      </c>
      <c r="U2268" s="372" t="s">
        <v>14498</v>
      </c>
      <c r="V2268" s="723">
        <v>11.75</v>
      </c>
      <c r="W2268" s="723">
        <v>0.42</v>
      </c>
      <c r="X2268" s="723">
        <v>0.35</v>
      </c>
      <c r="Y2268" s="723" t="s">
        <v>773</v>
      </c>
      <c r="Z2268" s="382" t="s">
        <v>927</v>
      </c>
      <c r="AA2268" s="372">
        <v>1352.4334297</v>
      </c>
      <c r="AB2268" s="372">
        <v>1097.6434426000001</v>
      </c>
      <c r="AC2268" s="372">
        <v>824.59528150000006</v>
      </c>
      <c r="AD2268" s="372">
        <v>732.18466049999995</v>
      </c>
      <c r="AE2268" s="372">
        <v>0</v>
      </c>
      <c r="AF2268" s="372">
        <v>0</v>
      </c>
      <c r="AG2268" s="372">
        <v>0</v>
      </c>
      <c r="AH2268" s="372">
        <v>0</v>
      </c>
    </row>
    <row r="2269" spans="1:34">
      <c r="A2269" s="372" t="s">
        <v>14499</v>
      </c>
      <c r="B2269" s="372" t="s">
        <v>14500</v>
      </c>
      <c r="C2269" s="372" t="s">
        <v>14501</v>
      </c>
      <c r="D2269" s="374">
        <v>1345110066131</v>
      </c>
      <c r="E2269" s="372" t="s">
        <v>14502</v>
      </c>
      <c r="F2269" s="372" t="s">
        <v>1656</v>
      </c>
      <c r="G2269" s="375" t="s">
        <v>1656</v>
      </c>
      <c r="H2269" s="375" t="s">
        <v>861</v>
      </c>
      <c r="I2269" s="375" t="s">
        <v>862</v>
      </c>
      <c r="J2269" s="375">
        <v>88520.974310000005</v>
      </c>
      <c r="K2269" s="375">
        <v>1316.74496</v>
      </c>
      <c r="L2269" s="375">
        <v>-22771.61118</v>
      </c>
      <c r="M2269" s="375">
        <v>36311.083039999998</v>
      </c>
      <c r="N2269" s="372">
        <v>0.47899999999999998</v>
      </c>
      <c r="O2269" s="704">
        <v>21.51760779324826</v>
      </c>
      <c r="P2269" s="563" t="s">
        <v>16115</v>
      </c>
      <c r="Q2269" s="372" t="s">
        <v>16116</v>
      </c>
      <c r="R2269" s="696">
        <v>20100917</v>
      </c>
      <c r="S2269" s="372" t="s">
        <v>14503</v>
      </c>
      <c r="T2269" s="697" t="s">
        <v>771</v>
      </c>
      <c r="U2269" s="372" t="s">
        <v>14504</v>
      </c>
      <c r="V2269" s="723">
        <v>11.62</v>
      </c>
      <c r="W2269" s="723">
        <v>1.04</v>
      </c>
      <c r="X2269" s="723">
        <v>0.42</v>
      </c>
      <c r="Y2269" s="723" t="s">
        <v>773</v>
      </c>
      <c r="Z2269" s="382" t="s">
        <v>927</v>
      </c>
      <c r="AA2269" s="372">
        <v>643.01401039999996</v>
      </c>
      <c r="AB2269" s="372">
        <v>744.48361720000003</v>
      </c>
      <c r="AC2269" s="372">
        <v>898.24586669999997</v>
      </c>
      <c r="AD2269" s="372">
        <v>798.73110310000004</v>
      </c>
      <c r="AE2269" s="372">
        <v>0</v>
      </c>
      <c r="AF2269" s="372">
        <v>0</v>
      </c>
      <c r="AG2269" s="372">
        <v>0</v>
      </c>
      <c r="AH2269" s="372">
        <v>0</v>
      </c>
    </row>
    <row r="2270" spans="1:34">
      <c r="A2270" s="372" t="s">
        <v>14505</v>
      </c>
      <c r="B2270" s="372" t="s">
        <v>14506</v>
      </c>
      <c r="C2270" s="372" t="s">
        <v>14507</v>
      </c>
      <c r="D2270" s="374">
        <v>0</v>
      </c>
      <c r="E2270" s="372" t="s">
        <v>14508</v>
      </c>
      <c r="F2270" s="372" t="s">
        <v>893</v>
      </c>
      <c r="G2270" s="375" t="s">
        <v>894</v>
      </c>
      <c r="H2270" s="375">
        <v>0</v>
      </c>
      <c r="I2270" s="375" t="s">
        <v>862</v>
      </c>
      <c r="J2270" s="375">
        <v>187712.98699999999</v>
      </c>
      <c r="K2270" s="375">
        <v>19417.576000000001</v>
      </c>
      <c r="L2270" s="375">
        <v>17997.427</v>
      </c>
      <c r="M2270" s="375">
        <v>204852.12400000001</v>
      </c>
      <c r="N2270" s="372">
        <v>0.93</v>
      </c>
      <c r="O2270" s="704">
        <v>32.421587421818231</v>
      </c>
      <c r="P2270" s="563" t="s">
        <v>622</v>
      </c>
      <c r="Q2270" s="372" t="s">
        <v>622</v>
      </c>
      <c r="R2270" s="696">
        <v>20181130</v>
      </c>
      <c r="S2270" s="372" t="s">
        <v>14509</v>
      </c>
      <c r="T2270" s="697">
        <v>0.20900000000000002</v>
      </c>
      <c r="U2270" s="372" t="s">
        <v>14510</v>
      </c>
      <c r="V2270" s="723">
        <v>3.56</v>
      </c>
      <c r="W2270" s="723">
        <v>0.45</v>
      </c>
      <c r="X2270" s="723">
        <v>0.49</v>
      </c>
      <c r="Y2270" s="723">
        <v>5.57</v>
      </c>
      <c r="Z2270" s="382" t="s">
        <v>927</v>
      </c>
      <c r="AA2270" s="372">
        <v>1304.5319999999999</v>
      </c>
      <c r="AB2270" s="372">
        <v>1534.4224400000001</v>
      </c>
      <c r="AC2270" s="372">
        <v>1685.97291</v>
      </c>
      <c r="AD2270" s="372">
        <v>1748.8492799999999</v>
      </c>
      <c r="AE2270" s="372">
        <v>0</v>
      </c>
      <c r="AF2270" s="372">
        <v>0</v>
      </c>
      <c r="AG2270" s="372">
        <v>0</v>
      </c>
      <c r="AH2270" s="372">
        <v>0</v>
      </c>
    </row>
    <row r="2271" spans="1:34">
      <c r="A2271" s="372" t="s">
        <v>14511</v>
      </c>
      <c r="B2271" s="372" t="s">
        <v>14512</v>
      </c>
      <c r="C2271" s="372" t="s">
        <v>14513</v>
      </c>
      <c r="D2271" s="374">
        <v>1101110030934</v>
      </c>
      <c r="E2271" s="372" t="s">
        <v>14514</v>
      </c>
      <c r="F2271" s="372" t="s">
        <v>5278</v>
      </c>
      <c r="G2271" s="375" t="s">
        <v>5278</v>
      </c>
      <c r="H2271" s="375" t="s">
        <v>1539</v>
      </c>
      <c r="I2271" s="375" t="s">
        <v>754</v>
      </c>
      <c r="J2271" s="375">
        <v>227404.34096</v>
      </c>
      <c r="K2271" s="375">
        <v>4104.4197400000003</v>
      </c>
      <c r="L2271" s="375">
        <v>3586.0384199999999</v>
      </c>
      <c r="M2271" s="375">
        <v>126738.38194000001</v>
      </c>
      <c r="N2271" s="372">
        <v>0.85199999999999998</v>
      </c>
      <c r="O2271" s="704">
        <v>343.16377763448202</v>
      </c>
      <c r="P2271" s="563" t="s">
        <v>622</v>
      </c>
      <c r="Q2271" s="372" t="s">
        <v>622</v>
      </c>
      <c r="R2271" s="696">
        <v>19760713</v>
      </c>
      <c r="S2271" s="372" t="s">
        <v>14515</v>
      </c>
      <c r="T2271" s="697">
        <v>0.20900000000000002</v>
      </c>
      <c r="U2271" s="372" t="s">
        <v>14516</v>
      </c>
      <c r="V2271" s="723">
        <v>11.92</v>
      </c>
      <c r="W2271" s="723">
        <v>0.28000000000000003</v>
      </c>
      <c r="X2271" s="723">
        <v>0.12</v>
      </c>
      <c r="Y2271" s="723">
        <v>18.649999999999999</v>
      </c>
      <c r="Z2271" s="382" t="s">
        <v>927</v>
      </c>
      <c r="AA2271" s="372">
        <v>1833.0113951000001</v>
      </c>
      <c r="AB2271" s="372">
        <v>1878.6342122000001</v>
      </c>
      <c r="AC2271" s="372">
        <v>2130.5215699</v>
      </c>
      <c r="AD2271" s="372">
        <v>2172.9802072000002</v>
      </c>
      <c r="AE2271" s="372">
        <v>0</v>
      </c>
      <c r="AF2271" s="372">
        <v>0</v>
      </c>
      <c r="AG2271" s="372">
        <v>0</v>
      </c>
      <c r="AH2271" s="372">
        <v>0</v>
      </c>
    </row>
    <row r="2272" spans="1:34">
      <c r="A2272" s="372" t="s">
        <v>14517</v>
      </c>
      <c r="B2272" s="372" t="s">
        <v>14518</v>
      </c>
      <c r="C2272" s="372" t="s">
        <v>14519</v>
      </c>
      <c r="D2272" s="374">
        <v>1154110011579</v>
      </c>
      <c r="E2272" s="372" t="s">
        <v>14520</v>
      </c>
      <c r="F2272" s="372" t="s">
        <v>10831</v>
      </c>
      <c r="G2272" s="375" t="s">
        <v>14521</v>
      </c>
      <c r="H2272" s="375" t="s">
        <v>861</v>
      </c>
      <c r="I2272" s="375" t="s">
        <v>862</v>
      </c>
      <c r="J2272" s="375">
        <v>33926.382689999999</v>
      </c>
      <c r="K2272" s="375">
        <v>1610.41119</v>
      </c>
      <c r="L2272" s="375">
        <v>2664.4436300000002</v>
      </c>
      <c r="M2272" s="375">
        <v>60419.069949999997</v>
      </c>
      <c r="N2272" s="372">
        <v>0.80200000000000005</v>
      </c>
      <c r="O2272" s="704">
        <v>11.155585143070473</v>
      </c>
      <c r="P2272" s="563" t="s">
        <v>622</v>
      </c>
      <c r="Q2272" s="372" t="s">
        <v>622</v>
      </c>
      <c r="R2272" s="696">
        <v>20110131</v>
      </c>
      <c r="S2272" s="372" t="s">
        <v>14522</v>
      </c>
      <c r="T2272" s="697">
        <v>0.20900000000000002</v>
      </c>
      <c r="U2272" s="372" t="s">
        <v>14523</v>
      </c>
      <c r="V2272" s="723">
        <v>11.8</v>
      </c>
      <c r="W2272" s="723">
        <v>0.48</v>
      </c>
      <c r="X2272" s="723">
        <v>0.9</v>
      </c>
      <c r="Y2272" s="723">
        <v>12.22</v>
      </c>
      <c r="Z2272" s="382" t="s">
        <v>927</v>
      </c>
      <c r="AA2272" s="372">
        <v>276.80416339999999</v>
      </c>
      <c r="AB2272" s="372">
        <v>352.76379989999998</v>
      </c>
      <c r="AC2272" s="372">
        <v>371.78543009999999</v>
      </c>
      <c r="AD2272" s="372">
        <v>257.05183779999999</v>
      </c>
      <c r="AE2272" s="372">
        <v>0</v>
      </c>
      <c r="AF2272" s="372">
        <v>0</v>
      </c>
      <c r="AG2272" s="372">
        <v>0</v>
      </c>
      <c r="AH2272" s="372">
        <v>0</v>
      </c>
    </row>
    <row r="2273" spans="1:34">
      <c r="A2273" s="372" t="s">
        <v>14524</v>
      </c>
      <c r="B2273" s="372" t="s">
        <v>14525</v>
      </c>
      <c r="C2273" s="372" t="s">
        <v>14526</v>
      </c>
      <c r="D2273" s="374">
        <v>1101116219037</v>
      </c>
      <c r="E2273" s="372" t="s">
        <v>14527</v>
      </c>
      <c r="F2273" s="372" t="s">
        <v>1370</v>
      </c>
      <c r="G2273" s="375" t="s">
        <v>1370</v>
      </c>
      <c r="H2273" s="375" t="s">
        <v>861</v>
      </c>
      <c r="I2273" s="375" t="s">
        <v>862</v>
      </c>
      <c r="J2273" s="375">
        <v>16595.04263</v>
      </c>
      <c r="K2273" s="375">
        <v>-3920.6716500000002</v>
      </c>
      <c r="L2273" s="375">
        <v>-3052.5413800000001</v>
      </c>
      <c r="M2273" s="375">
        <v>10804.9049</v>
      </c>
      <c r="N2273" s="372">
        <v>0.64500000000000002</v>
      </c>
      <c r="O2273" s="704">
        <v>103.13738073500059</v>
      </c>
      <c r="P2273" s="563" t="s">
        <v>622</v>
      </c>
      <c r="Q2273" s="372" t="s">
        <v>622</v>
      </c>
      <c r="R2273" s="696">
        <v>20170427</v>
      </c>
      <c r="S2273" s="372" t="s">
        <v>14528</v>
      </c>
      <c r="T2273" s="697" t="s">
        <v>771</v>
      </c>
      <c r="U2273" s="372" t="s">
        <v>14529</v>
      </c>
      <c r="V2273" s="723" t="s">
        <v>773</v>
      </c>
      <c r="W2273" s="723">
        <v>1.8</v>
      </c>
      <c r="X2273" s="723">
        <v>1.35</v>
      </c>
      <c r="Y2273" s="723" t="s">
        <v>773</v>
      </c>
      <c r="Z2273" s="382" t="s">
        <v>927</v>
      </c>
      <c r="AA2273" s="372">
        <v>189.25356489999999</v>
      </c>
      <c r="AB2273" s="372">
        <v>205.63915689999999</v>
      </c>
      <c r="AC2273" s="372">
        <v>190.1738928</v>
      </c>
      <c r="AD2273" s="372">
        <v>184.85371900000001</v>
      </c>
      <c r="AE2273" s="372">
        <v>0</v>
      </c>
      <c r="AF2273" s="372">
        <v>0</v>
      </c>
      <c r="AG2273" s="372">
        <v>0</v>
      </c>
      <c r="AH2273" s="372">
        <v>0</v>
      </c>
    </row>
    <row r="2274" spans="1:34">
      <c r="A2274" s="372" t="s">
        <v>14530</v>
      </c>
      <c r="B2274" s="372" t="s">
        <v>14531</v>
      </c>
      <c r="C2274" s="372" t="s">
        <v>14532</v>
      </c>
      <c r="D2274" s="374">
        <v>1101111844970</v>
      </c>
      <c r="E2274" s="372" t="s">
        <v>14533</v>
      </c>
      <c r="F2274" s="372" t="s">
        <v>1262</v>
      </c>
      <c r="G2274" s="375" t="s">
        <v>1263</v>
      </c>
      <c r="H2274" s="375" t="s">
        <v>895</v>
      </c>
      <c r="I2274" s="375" t="s">
        <v>862</v>
      </c>
      <c r="J2274" s="375">
        <v>0</v>
      </c>
      <c r="K2274" s="375">
        <v>0</v>
      </c>
      <c r="L2274" s="375">
        <v>0</v>
      </c>
      <c r="M2274" s="375">
        <v>0</v>
      </c>
      <c r="N2274" s="372">
        <v>0.56499999999999995</v>
      </c>
      <c r="O2274" s="704" t="s">
        <v>16301</v>
      </c>
      <c r="P2274" s="563" t="s">
        <v>622</v>
      </c>
      <c r="Q2274" s="372" t="s">
        <v>622</v>
      </c>
      <c r="R2274" s="696">
        <v>20191120</v>
      </c>
      <c r="S2274" s="372" t="s">
        <v>14534</v>
      </c>
      <c r="T2274" s="697" t="s">
        <v>771</v>
      </c>
      <c r="U2274" s="372" t="s">
        <v>14535</v>
      </c>
      <c r="V2274" s="723">
        <v>0</v>
      </c>
      <c r="W2274" s="723">
        <v>0</v>
      </c>
      <c r="X2274" s="723">
        <v>0</v>
      </c>
      <c r="Y2274" s="723">
        <v>0</v>
      </c>
      <c r="Z2274" s="382" t="s">
        <v>927</v>
      </c>
      <c r="AA2274" s="372">
        <v>725.93897449999997</v>
      </c>
      <c r="AB2274" s="372">
        <v>875.73781180000003</v>
      </c>
      <c r="AC2274" s="372">
        <v>475.5581181</v>
      </c>
      <c r="AD2274" s="372">
        <v>553.31140100000005</v>
      </c>
      <c r="AE2274" s="372">
        <v>0</v>
      </c>
      <c r="AF2274" s="372">
        <v>0</v>
      </c>
      <c r="AG2274" s="372">
        <v>0</v>
      </c>
      <c r="AH2274" s="372">
        <v>0</v>
      </c>
    </row>
    <row r="2275" spans="1:34">
      <c r="A2275" s="372" t="s">
        <v>14536</v>
      </c>
      <c r="B2275" s="372" t="s">
        <v>14537</v>
      </c>
      <c r="C2275" s="372" t="s">
        <v>14538</v>
      </c>
      <c r="D2275" s="374">
        <v>1201110153916</v>
      </c>
      <c r="E2275" s="372" t="s">
        <v>14539</v>
      </c>
      <c r="F2275" s="372" t="s">
        <v>4238</v>
      </c>
      <c r="G2275" s="375" t="s">
        <v>14540</v>
      </c>
      <c r="H2275" s="375" t="s">
        <v>861</v>
      </c>
      <c r="I2275" s="375" t="s">
        <v>862</v>
      </c>
      <c r="J2275" s="375">
        <v>17613.585159999999</v>
      </c>
      <c r="K2275" s="375">
        <v>373.78028</v>
      </c>
      <c r="L2275" s="375">
        <v>3133.1078499999999</v>
      </c>
      <c r="M2275" s="375">
        <v>78682.325169999996</v>
      </c>
      <c r="N2275" s="372">
        <v>0.63300000000000001</v>
      </c>
      <c r="O2275" s="704">
        <v>1.4714608787889838</v>
      </c>
      <c r="P2275" s="563" t="s">
        <v>622</v>
      </c>
      <c r="Q2275" s="372" t="s">
        <v>622</v>
      </c>
      <c r="R2275" s="696">
        <v>20051115</v>
      </c>
      <c r="S2275" s="372" t="s">
        <v>14541</v>
      </c>
      <c r="T2275" s="697">
        <v>0.20900000000000002</v>
      </c>
      <c r="U2275" s="372" t="s">
        <v>14542</v>
      </c>
      <c r="V2275" s="723">
        <v>0</v>
      </c>
      <c r="W2275" s="723">
        <v>0</v>
      </c>
      <c r="X2275" s="723">
        <v>0</v>
      </c>
      <c r="Y2275" s="723">
        <v>0</v>
      </c>
      <c r="Z2275" s="382" t="s">
        <v>927</v>
      </c>
      <c r="AA2275" s="372">
        <v>183.1057945</v>
      </c>
      <c r="AB2275" s="372">
        <v>200.2700413</v>
      </c>
      <c r="AC2275" s="372">
        <v>195.11073049999999</v>
      </c>
      <c r="AD2275" s="372">
        <v>176.77716359999999</v>
      </c>
      <c r="AE2275" s="372">
        <v>0</v>
      </c>
      <c r="AF2275" s="372">
        <v>0</v>
      </c>
      <c r="AG2275" s="372">
        <v>0</v>
      </c>
      <c r="AH2275" s="372">
        <v>0</v>
      </c>
    </row>
    <row r="2276" spans="1:34">
      <c r="A2276" s="372" t="s">
        <v>14543</v>
      </c>
      <c r="B2276" s="372" t="s">
        <v>14544</v>
      </c>
      <c r="C2276" s="372" t="s">
        <v>14545</v>
      </c>
      <c r="D2276" s="374">
        <v>1512110004847</v>
      </c>
      <c r="E2276" s="372" t="s">
        <v>14546</v>
      </c>
      <c r="F2276" s="372" t="s">
        <v>16123</v>
      </c>
      <c r="G2276" s="375" t="s">
        <v>16123</v>
      </c>
      <c r="H2276" s="375" t="s">
        <v>861</v>
      </c>
      <c r="I2276" s="375" t="s">
        <v>862</v>
      </c>
      <c r="J2276" s="375">
        <v>35037.395210000002</v>
      </c>
      <c r="K2276" s="375">
        <v>-2358.4446899999998</v>
      </c>
      <c r="L2276" s="375">
        <v>-4073.4012499999999</v>
      </c>
      <c r="M2276" s="375">
        <v>43213.214010000003</v>
      </c>
      <c r="N2276" s="372">
        <v>1.0580000000000001</v>
      </c>
      <c r="O2276" s="704">
        <v>68.464093633622923</v>
      </c>
      <c r="P2276" s="563" t="s">
        <v>622</v>
      </c>
      <c r="Q2276" s="372" t="s">
        <v>622</v>
      </c>
      <c r="R2276" s="696">
        <v>20201211</v>
      </c>
      <c r="S2276" s="372" t="s">
        <v>14547</v>
      </c>
      <c r="T2276" s="697" t="s">
        <v>771</v>
      </c>
      <c r="U2276" s="372" t="s">
        <v>14548</v>
      </c>
      <c r="V2276" s="723">
        <v>0</v>
      </c>
      <c r="W2276" s="723">
        <v>0</v>
      </c>
      <c r="X2276" s="723">
        <v>0</v>
      </c>
      <c r="Y2276" s="723">
        <v>0</v>
      </c>
      <c r="Z2276" s="382" t="s">
        <v>927</v>
      </c>
      <c r="AA2276" s="372">
        <v>345.63133429999999</v>
      </c>
      <c r="AB2276" s="372">
        <v>334.660145</v>
      </c>
      <c r="AC2276" s="372">
        <v>342.39810599999998</v>
      </c>
      <c r="AD2276" s="372">
        <v>340.24284249999999</v>
      </c>
      <c r="AE2276" s="372">
        <v>0</v>
      </c>
      <c r="AF2276" s="372">
        <v>0</v>
      </c>
      <c r="AG2276" s="372">
        <v>0</v>
      </c>
      <c r="AH2276" s="372">
        <v>0</v>
      </c>
    </row>
    <row r="2277" spans="1:34">
      <c r="A2277" s="372" t="s">
        <v>14549</v>
      </c>
      <c r="B2277" s="372" t="s">
        <v>14550</v>
      </c>
      <c r="C2277" s="372" t="s">
        <v>14551</v>
      </c>
      <c r="D2277" s="374">
        <v>1341110131073</v>
      </c>
      <c r="E2277" s="372" t="s">
        <v>14552</v>
      </c>
      <c r="F2277" s="372" t="s">
        <v>12072</v>
      </c>
      <c r="G2277" s="375" t="s">
        <v>12072</v>
      </c>
      <c r="H2277" s="375" t="s">
        <v>909</v>
      </c>
      <c r="I2277" s="375" t="s">
        <v>754</v>
      </c>
      <c r="J2277" s="375">
        <v>121801.91843999999</v>
      </c>
      <c r="K2277" s="375">
        <v>-2662.7059800000002</v>
      </c>
      <c r="L2277" s="375">
        <v>-5149.4611800000002</v>
      </c>
      <c r="M2277" s="375">
        <v>65586.654309999998</v>
      </c>
      <c r="N2277" s="372">
        <v>0.57799999999999996</v>
      </c>
      <c r="O2277" s="704">
        <v>369.80388901222307</v>
      </c>
      <c r="P2277" s="563" t="s">
        <v>622</v>
      </c>
      <c r="Q2277" s="372" t="s">
        <v>622</v>
      </c>
      <c r="R2277" s="696">
        <v>20050725</v>
      </c>
      <c r="S2277" s="372" t="s">
        <v>14553</v>
      </c>
      <c r="T2277" s="697" t="s">
        <v>771</v>
      </c>
      <c r="U2277" s="372" t="s">
        <v>14554</v>
      </c>
      <c r="V2277" s="723">
        <v>31.87</v>
      </c>
      <c r="W2277" s="723">
        <v>0.35</v>
      </c>
      <c r="X2277" s="723">
        <v>0.21</v>
      </c>
      <c r="Y2277" s="723" t="s">
        <v>773</v>
      </c>
      <c r="Z2277" s="382" t="s">
        <v>927</v>
      </c>
      <c r="AA2277" s="372">
        <v>835.41287250000005</v>
      </c>
      <c r="AB2277" s="372">
        <v>811.75925440000003</v>
      </c>
      <c r="AC2277" s="372">
        <v>1044.2901478000001</v>
      </c>
      <c r="AD2277" s="372">
        <v>1199.7071567999999</v>
      </c>
      <c r="AE2277" s="372">
        <v>0</v>
      </c>
      <c r="AF2277" s="372">
        <v>0</v>
      </c>
      <c r="AG2277" s="372">
        <v>0</v>
      </c>
      <c r="AH2277" s="372">
        <v>0</v>
      </c>
    </row>
    <row r="2278" spans="1:34">
      <c r="A2278" s="372" t="s">
        <v>14555</v>
      </c>
      <c r="B2278" s="372" t="s">
        <v>14556</v>
      </c>
      <c r="C2278" s="372" t="s">
        <v>14557</v>
      </c>
      <c r="D2278" s="374">
        <v>1901110037223</v>
      </c>
      <c r="E2278" s="372" t="s">
        <v>14558</v>
      </c>
      <c r="F2278" s="372" t="s">
        <v>1863</v>
      </c>
      <c r="G2278" s="375" t="s">
        <v>1864</v>
      </c>
      <c r="H2278" s="375" t="s">
        <v>861</v>
      </c>
      <c r="I2278" s="375" t="s">
        <v>862</v>
      </c>
      <c r="J2278" s="375">
        <v>34233.23762</v>
      </c>
      <c r="K2278" s="375">
        <v>-1084.6975199999999</v>
      </c>
      <c r="L2278" s="375">
        <v>-929.94170999999994</v>
      </c>
      <c r="M2278" s="375">
        <v>63635.704080000003</v>
      </c>
      <c r="N2278" s="372">
        <v>0.746</v>
      </c>
      <c r="O2278" s="704">
        <v>32.471980606285697</v>
      </c>
      <c r="P2278" s="563" t="s">
        <v>622</v>
      </c>
      <c r="Q2278" s="372" t="s">
        <v>622</v>
      </c>
      <c r="R2278" s="696">
        <v>20090123</v>
      </c>
      <c r="S2278" s="372" t="s">
        <v>14559</v>
      </c>
      <c r="T2278" s="697" t="s">
        <v>771</v>
      </c>
      <c r="U2278" s="372" t="s">
        <v>14560</v>
      </c>
      <c r="V2278" s="723">
        <v>0</v>
      </c>
      <c r="W2278" s="723">
        <v>0</v>
      </c>
      <c r="X2278" s="723">
        <v>0</v>
      </c>
      <c r="Y2278" s="723">
        <v>0</v>
      </c>
      <c r="Z2278" s="382" t="s">
        <v>927</v>
      </c>
      <c r="AA2278" s="372">
        <v>320.87598739999999</v>
      </c>
      <c r="AB2278" s="372">
        <v>328.50559759999999</v>
      </c>
      <c r="AC2278" s="372">
        <v>272.551829</v>
      </c>
      <c r="AD2278" s="372">
        <v>294.04450800000001</v>
      </c>
      <c r="AE2278" s="372">
        <v>0</v>
      </c>
      <c r="AF2278" s="372">
        <v>0</v>
      </c>
      <c r="AG2278" s="372">
        <v>0</v>
      </c>
      <c r="AH2278" s="372">
        <v>0</v>
      </c>
    </row>
    <row r="2279" spans="1:34">
      <c r="A2279" s="372" t="s">
        <v>14561</v>
      </c>
      <c r="B2279" s="372" t="s">
        <v>14562</v>
      </c>
      <c r="C2279" s="372" t="s">
        <v>14563</v>
      </c>
      <c r="D2279" s="374">
        <v>1801110346204</v>
      </c>
      <c r="E2279" s="372" t="s">
        <v>14564</v>
      </c>
      <c r="F2279" s="372" t="s">
        <v>2668</v>
      </c>
      <c r="G2279" s="375" t="s">
        <v>12938</v>
      </c>
      <c r="H2279" s="375" t="s">
        <v>1539</v>
      </c>
      <c r="I2279" s="375" t="s">
        <v>754</v>
      </c>
      <c r="J2279" s="375">
        <v>179218.52090999999</v>
      </c>
      <c r="K2279" s="375">
        <v>3613.0102499999998</v>
      </c>
      <c r="L2279" s="375">
        <v>810.06349</v>
      </c>
      <c r="M2279" s="375">
        <v>60446.543610000001</v>
      </c>
      <c r="N2279" s="372">
        <v>0.627</v>
      </c>
      <c r="O2279" s="704">
        <v>89.620393639355584</v>
      </c>
      <c r="P2279" s="563" t="s">
        <v>622</v>
      </c>
      <c r="Q2279" s="372" t="s">
        <v>622</v>
      </c>
      <c r="R2279" s="696">
        <v>20051219</v>
      </c>
      <c r="S2279" s="372" t="s">
        <v>14565</v>
      </c>
      <c r="T2279" s="697">
        <v>0.20900000000000002</v>
      </c>
      <c r="U2279" s="372" t="s">
        <v>14566</v>
      </c>
      <c r="V2279" s="723">
        <v>5.74</v>
      </c>
      <c r="W2279" s="723">
        <v>0.5</v>
      </c>
      <c r="X2279" s="723">
        <v>0.17</v>
      </c>
      <c r="Y2279" s="723">
        <v>44.39</v>
      </c>
      <c r="Z2279" s="382" t="s">
        <v>927</v>
      </c>
      <c r="AA2279" s="372">
        <v>1731.3970839999999</v>
      </c>
      <c r="AB2279" s="372">
        <v>1880.7554958000001</v>
      </c>
      <c r="AC2279" s="372">
        <v>2030.9152125000001</v>
      </c>
      <c r="AD2279" s="372">
        <v>1971.0336803</v>
      </c>
      <c r="AE2279" s="372">
        <v>0</v>
      </c>
      <c r="AF2279" s="372">
        <v>0</v>
      </c>
      <c r="AG2279" s="372">
        <v>0</v>
      </c>
      <c r="AH2279" s="372">
        <v>0</v>
      </c>
    </row>
    <row r="2280" spans="1:34">
      <c r="A2280" s="372" t="s">
        <v>14567</v>
      </c>
      <c r="B2280" s="372" t="s">
        <v>14568</v>
      </c>
      <c r="C2280" s="372" t="s">
        <v>14569</v>
      </c>
      <c r="D2280" s="374">
        <v>1101110350712</v>
      </c>
      <c r="E2280" s="372" t="s">
        <v>14570</v>
      </c>
      <c r="F2280" s="372" t="s">
        <v>1849</v>
      </c>
      <c r="G2280" s="375" t="s">
        <v>1850</v>
      </c>
      <c r="H2280" s="375" t="s">
        <v>4847</v>
      </c>
      <c r="I2280" s="375" t="s">
        <v>862</v>
      </c>
      <c r="J2280" s="375">
        <v>270468.47240000003</v>
      </c>
      <c r="K2280" s="375">
        <v>7320.8325500000001</v>
      </c>
      <c r="L2280" s="375">
        <v>14532.699189999999</v>
      </c>
      <c r="M2280" s="375">
        <v>110759.06066</v>
      </c>
      <c r="N2280" s="372">
        <v>0.67</v>
      </c>
      <c r="O2280" s="704">
        <v>135.0211183341882</v>
      </c>
      <c r="P2280" s="563" t="s">
        <v>622</v>
      </c>
      <c r="Q2280" s="372" t="s">
        <v>622</v>
      </c>
      <c r="R2280" s="696">
        <v>19941130</v>
      </c>
      <c r="S2280" s="372" t="s">
        <v>14571</v>
      </c>
      <c r="T2280" s="697">
        <v>0.20900000000000002</v>
      </c>
      <c r="U2280" s="372" t="s">
        <v>14572</v>
      </c>
      <c r="V2280" s="723">
        <v>0</v>
      </c>
      <c r="W2280" s="723">
        <v>0</v>
      </c>
      <c r="X2280" s="723">
        <v>0</v>
      </c>
      <c r="Y2280" s="723">
        <v>0</v>
      </c>
      <c r="Z2280" s="382" t="s">
        <v>927</v>
      </c>
      <c r="AA2280" s="372">
        <v>1238.0710958</v>
      </c>
      <c r="AB2280" s="372">
        <v>1390.6080927999999</v>
      </c>
      <c r="AC2280" s="372">
        <v>1882.1017151000001</v>
      </c>
      <c r="AD2280" s="372">
        <v>3097.5535319999999</v>
      </c>
      <c r="AE2280" s="372">
        <v>0</v>
      </c>
      <c r="AF2280" s="372">
        <v>0</v>
      </c>
      <c r="AG2280" s="372">
        <v>0</v>
      </c>
      <c r="AH2280" s="372">
        <v>0</v>
      </c>
    </row>
    <row r="2281" spans="1:34">
      <c r="A2281" s="372" t="s">
        <v>14573</v>
      </c>
      <c r="B2281" s="372" t="s">
        <v>14574</v>
      </c>
      <c r="C2281" s="372" t="s">
        <v>14575</v>
      </c>
      <c r="D2281" s="374">
        <v>1101110015853</v>
      </c>
      <c r="E2281" s="372" t="s">
        <v>14576</v>
      </c>
      <c r="F2281" s="372" t="s">
        <v>7037</v>
      </c>
      <c r="G2281" s="375" t="s">
        <v>7037</v>
      </c>
      <c r="H2281" s="375" t="s">
        <v>846</v>
      </c>
      <c r="I2281" s="375" t="s">
        <v>754</v>
      </c>
      <c r="J2281" s="375">
        <v>34830.688710000002</v>
      </c>
      <c r="K2281" s="375">
        <v>-1424.45173</v>
      </c>
      <c r="L2281" s="375">
        <v>-2058.7282500000001</v>
      </c>
      <c r="M2281" s="375">
        <v>25458.159019999999</v>
      </c>
      <c r="N2281" s="372">
        <v>0.23200000000000001</v>
      </c>
      <c r="O2281" s="704">
        <v>53.30647828857078</v>
      </c>
      <c r="P2281" s="563" t="s">
        <v>622</v>
      </c>
      <c r="Q2281" s="372" t="s">
        <v>622</v>
      </c>
      <c r="R2281" s="696">
        <v>19681227</v>
      </c>
      <c r="S2281" s="372" t="s">
        <v>14577</v>
      </c>
      <c r="T2281" s="697" t="s">
        <v>771</v>
      </c>
      <c r="U2281" s="372" t="s">
        <v>14578</v>
      </c>
      <c r="V2281" s="723">
        <v>0</v>
      </c>
      <c r="W2281" s="723">
        <v>0</v>
      </c>
      <c r="X2281" s="723">
        <v>0</v>
      </c>
      <c r="Y2281" s="723">
        <v>0</v>
      </c>
      <c r="Z2281" s="382" t="s">
        <v>927</v>
      </c>
      <c r="AA2281" s="372">
        <v>22.341962299999999</v>
      </c>
      <c r="AB2281" s="372">
        <v>178.8022296</v>
      </c>
      <c r="AC2281" s="372">
        <v>337.10303329999999</v>
      </c>
      <c r="AD2281" s="372">
        <v>313.28511049999997</v>
      </c>
      <c r="AE2281" s="372">
        <v>0</v>
      </c>
      <c r="AF2281" s="372">
        <v>0</v>
      </c>
      <c r="AG2281" s="372">
        <v>0</v>
      </c>
      <c r="AH2281" s="372">
        <v>0</v>
      </c>
    </row>
    <row r="2282" spans="1:34">
      <c r="A2282" s="372" t="s">
        <v>14579</v>
      </c>
      <c r="B2282" s="372" t="s">
        <v>14580</v>
      </c>
      <c r="C2282" s="372" t="s">
        <v>14581</v>
      </c>
      <c r="D2282" s="374">
        <v>1355110101465</v>
      </c>
      <c r="E2282" s="372" t="s">
        <v>14582</v>
      </c>
      <c r="F2282" s="372" t="s">
        <v>1276</v>
      </c>
      <c r="G2282" s="375" t="s">
        <v>1452</v>
      </c>
      <c r="H2282" s="375" t="s">
        <v>861</v>
      </c>
      <c r="I2282" s="375" t="s">
        <v>862</v>
      </c>
      <c r="J2282" s="375">
        <v>307347.95513999998</v>
      </c>
      <c r="K2282" s="375">
        <v>17393.32661</v>
      </c>
      <c r="L2282" s="375">
        <v>10220.099190000001</v>
      </c>
      <c r="M2282" s="375">
        <v>127879.91219</v>
      </c>
      <c r="N2282" s="372">
        <v>0.80900000000000005</v>
      </c>
      <c r="O2282" s="704">
        <v>325.96002012822015</v>
      </c>
      <c r="P2282" s="563" t="s">
        <v>622</v>
      </c>
      <c r="Q2282" s="372" t="s">
        <v>622</v>
      </c>
      <c r="R2282" s="696">
        <v>20070730</v>
      </c>
      <c r="S2282" s="372" t="s">
        <v>14583</v>
      </c>
      <c r="T2282" s="697">
        <v>0.20900000000000002</v>
      </c>
      <c r="U2282" s="372" t="s">
        <v>14584</v>
      </c>
      <c r="V2282" s="723">
        <v>3.71</v>
      </c>
      <c r="W2282" s="723">
        <v>0.33</v>
      </c>
      <c r="X2282" s="723">
        <v>0.1</v>
      </c>
      <c r="Y2282" s="723">
        <v>23.56</v>
      </c>
      <c r="Z2282" s="382" t="s">
        <v>927</v>
      </c>
      <c r="AA2282" s="372">
        <v>2549.7299502000001</v>
      </c>
      <c r="AB2282" s="372">
        <v>3309.9708879</v>
      </c>
      <c r="AC2282" s="372">
        <v>3360.8745359</v>
      </c>
      <c r="AD2282" s="372">
        <v>2510.8514859000002</v>
      </c>
      <c r="AE2282" s="372">
        <v>0</v>
      </c>
      <c r="AF2282" s="372">
        <v>0</v>
      </c>
      <c r="AG2282" s="372">
        <v>0</v>
      </c>
      <c r="AH2282" s="372">
        <v>0</v>
      </c>
    </row>
    <row r="2283" spans="1:34">
      <c r="A2283" s="372" t="s">
        <v>14585</v>
      </c>
      <c r="B2283" s="372" t="s">
        <v>14586</v>
      </c>
      <c r="C2283" s="372" t="s">
        <v>14587</v>
      </c>
      <c r="D2283" s="374">
        <v>1101112021395</v>
      </c>
      <c r="E2283" s="372" t="s">
        <v>14588</v>
      </c>
      <c r="F2283" s="372" t="s">
        <v>1796</v>
      </c>
      <c r="G2283" s="375" t="s">
        <v>2797</v>
      </c>
      <c r="H2283" s="375" t="s">
        <v>861</v>
      </c>
      <c r="I2283" s="375" t="s">
        <v>862</v>
      </c>
      <c r="J2283" s="375">
        <v>36633.803140000004</v>
      </c>
      <c r="K2283" s="375">
        <v>-3627.5649699999999</v>
      </c>
      <c r="L2283" s="375">
        <v>-25972.836500000001</v>
      </c>
      <c r="M2283" s="375">
        <v>24669.89446</v>
      </c>
      <c r="N2283" s="372">
        <v>0.96</v>
      </c>
      <c r="O2283" s="704">
        <v>270.78464786824395</v>
      </c>
      <c r="P2283" s="563" t="s">
        <v>622</v>
      </c>
      <c r="Q2283" s="372" t="s">
        <v>622</v>
      </c>
      <c r="R2283" s="696">
        <v>20100601</v>
      </c>
      <c r="S2283" s="372" t="s">
        <v>14589</v>
      </c>
      <c r="T2283" s="697" t="s">
        <v>771</v>
      </c>
      <c r="U2283" s="372" t="s">
        <v>14590</v>
      </c>
      <c r="V2283" s="723">
        <v>71.3</v>
      </c>
      <c r="W2283" s="723">
        <v>0.41</v>
      </c>
      <c r="X2283" s="723">
        <v>0.33</v>
      </c>
      <c r="Y2283" s="723" t="s">
        <v>773</v>
      </c>
      <c r="Z2283" s="382" t="s">
        <v>927</v>
      </c>
      <c r="AA2283" s="372">
        <v>386.61176499999999</v>
      </c>
      <c r="AB2283" s="372">
        <v>377.95433500000001</v>
      </c>
      <c r="AC2283" s="372">
        <v>432.14170890000003</v>
      </c>
      <c r="AD2283" s="372">
        <v>430.16191959999998</v>
      </c>
      <c r="AE2283" s="372">
        <v>0</v>
      </c>
      <c r="AF2283" s="372">
        <v>0</v>
      </c>
      <c r="AG2283" s="372">
        <v>0</v>
      </c>
      <c r="AH2283" s="372">
        <v>0</v>
      </c>
    </row>
    <row r="2284" spans="1:34">
      <c r="A2284" s="372" t="s">
        <v>14591</v>
      </c>
      <c r="B2284" s="372" t="s">
        <v>14592</v>
      </c>
      <c r="C2284" s="372" t="s">
        <v>14593</v>
      </c>
      <c r="D2284" s="374">
        <v>1314110346786</v>
      </c>
      <c r="E2284" s="372" t="s">
        <v>14594</v>
      </c>
      <c r="F2284" s="372" t="s">
        <v>11047</v>
      </c>
      <c r="G2284" s="375" t="s">
        <v>11047</v>
      </c>
      <c r="H2284" s="375" t="s">
        <v>861</v>
      </c>
      <c r="I2284" s="375" t="s">
        <v>862</v>
      </c>
      <c r="J2284" s="375">
        <v>27816.983270000001</v>
      </c>
      <c r="K2284" s="375">
        <v>3057.1152999999999</v>
      </c>
      <c r="L2284" s="375">
        <v>2755.8627700000002</v>
      </c>
      <c r="M2284" s="375">
        <v>45145.284140000003</v>
      </c>
      <c r="N2284" s="372" t="s">
        <v>1026</v>
      </c>
      <c r="O2284" s="704">
        <v>17.106696874184497</v>
      </c>
      <c r="P2284" s="563" t="s">
        <v>622</v>
      </c>
      <c r="Q2284" s="372" t="s">
        <v>622</v>
      </c>
      <c r="R2284" s="696">
        <v>20230420</v>
      </c>
      <c r="S2284" s="372" t="s">
        <v>14595</v>
      </c>
      <c r="T2284" s="697">
        <v>0.20900000000000002</v>
      </c>
      <c r="U2284" s="372" t="s">
        <v>14596</v>
      </c>
      <c r="V2284" s="723">
        <v>6.18</v>
      </c>
      <c r="W2284" s="723">
        <v>0.63</v>
      </c>
      <c r="X2284" s="723">
        <v>1.07</v>
      </c>
      <c r="Y2284" s="723">
        <v>21.07</v>
      </c>
      <c r="Z2284" s="382" t="s">
        <v>927</v>
      </c>
      <c r="AA2284" s="372">
        <v>285.88366150000002</v>
      </c>
      <c r="AB2284" s="372">
        <v>351.60758079999999</v>
      </c>
      <c r="AC2284" s="372">
        <v>275.44537880000001</v>
      </c>
      <c r="AD2284" s="372">
        <v>273.24211000000003</v>
      </c>
      <c r="AE2284" s="372">
        <v>0</v>
      </c>
      <c r="AF2284" s="372">
        <v>0</v>
      </c>
      <c r="AG2284" s="372">
        <v>0</v>
      </c>
      <c r="AH2284" s="372">
        <v>0</v>
      </c>
    </row>
    <row r="2285" spans="1:34">
      <c r="A2285" s="372" t="s">
        <v>14597</v>
      </c>
      <c r="B2285" s="372" t="s">
        <v>14598</v>
      </c>
      <c r="C2285" s="372" t="s">
        <v>14599</v>
      </c>
      <c r="D2285" s="374">
        <v>1101110569074</v>
      </c>
      <c r="E2285" s="372" t="s">
        <v>14600</v>
      </c>
      <c r="F2285" s="372" t="s">
        <v>14601</v>
      </c>
      <c r="G2285" s="375" t="s">
        <v>14601</v>
      </c>
      <c r="H2285" s="375" t="s">
        <v>861</v>
      </c>
      <c r="I2285" s="375" t="s">
        <v>862</v>
      </c>
      <c r="J2285" s="375">
        <v>74664.901889999994</v>
      </c>
      <c r="K2285" s="375">
        <v>-1475.2688499999999</v>
      </c>
      <c r="L2285" s="375">
        <v>-1548.4106400000001</v>
      </c>
      <c r="M2285" s="375">
        <v>41206.271379999998</v>
      </c>
      <c r="N2285" s="372">
        <v>0.91300000000000003</v>
      </c>
      <c r="O2285" s="704">
        <v>6.3468374102555973</v>
      </c>
      <c r="P2285" s="563" t="s">
        <v>622</v>
      </c>
      <c r="Q2285" s="372" t="s">
        <v>622</v>
      </c>
      <c r="R2285" s="696">
        <v>19991218</v>
      </c>
      <c r="S2285" s="372" t="s">
        <v>14602</v>
      </c>
      <c r="T2285" s="697" t="s">
        <v>771</v>
      </c>
      <c r="U2285" s="372" t="s">
        <v>14603</v>
      </c>
      <c r="V2285" s="723">
        <v>0</v>
      </c>
      <c r="W2285" s="723">
        <v>0</v>
      </c>
      <c r="X2285" s="723">
        <v>0</v>
      </c>
      <c r="Y2285" s="723">
        <v>0</v>
      </c>
      <c r="Z2285" s="382" t="s">
        <v>927</v>
      </c>
      <c r="AA2285" s="372">
        <v>600.03206680000005</v>
      </c>
      <c r="AB2285" s="372">
        <v>673.32598459999997</v>
      </c>
      <c r="AC2285" s="372">
        <v>778.80466409999997</v>
      </c>
      <c r="AD2285" s="372">
        <v>753.62474829999996</v>
      </c>
      <c r="AE2285" s="372">
        <v>0</v>
      </c>
      <c r="AF2285" s="372">
        <v>0</v>
      </c>
      <c r="AG2285" s="372">
        <v>0</v>
      </c>
      <c r="AH2285" s="372">
        <v>0</v>
      </c>
    </row>
    <row r="2286" spans="1:34">
      <c r="A2286" s="372" t="s">
        <v>14604</v>
      </c>
      <c r="B2286" s="372" t="s">
        <v>14605</v>
      </c>
      <c r="C2286" s="372" t="s">
        <v>14606</v>
      </c>
      <c r="D2286" s="374">
        <v>1101117189544</v>
      </c>
      <c r="E2286" s="372" t="s">
        <v>14607</v>
      </c>
      <c r="F2286" s="372" t="s">
        <v>1370</v>
      </c>
      <c r="G2286" s="375" t="s">
        <v>1370</v>
      </c>
      <c r="H2286" s="375" t="s">
        <v>861</v>
      </c>
      <c r="I2286" s="375" t="s">
        <v>862</v>
      </c>
      <c r="J2286" s="375">
        <v>26450.996660000001</v>
      </c>
      <c r="K2286" s="375">
        <v>1421.47138</v>
      </c>
      <c r="L2286" s="375">
        <v>2159.7847299999999</v>
      </c>
      <c r="M2286" s="375">
        <v>20514.29075</v>
      </c>
      <c r="N2286" s="372">
        <v>0.69399999999999995</v>
      </c>
      <c r="O2286" s="704">
        <v>0.90193114833854815</v>
      </c>
      <c r="P2286" s="563" t="s">
        <v>622</v>
      </c>
      <c r="Q2286" s="372" t="s">
        <v>622</v>
      </c>
      <c r="R2286" s="696">
        <v>20191031</v>
      </c>
      <c r="S2286" s="372" t="s">
        <v>14608</v>
      </c>
      <c r="T2286" s="697">
        <v>0.20900000000000002</v>
      </c>
      <c r="U2286" s="372" t="s">
        <v>14609</v>
      </c>
      <c r="V2286" s="723">
        <v>0</v>
      </c>
      <c r="W2286" s="723">
        <v>0</v>
      </c>
      <c r="X2286" s="723">
        <v>0</v>
      </c>
      <c r="Y2286" s="723">
        <v>0</v>
      </c>
      <c r="Z2286" s="382" t="s">
        <v>927</v>
      </c>
      <c r="AA2286" s="372">
        <v>244.8898232</v>
      </c>
      <c r="AB2286" s="372">
        <v>263.04384729999998</v>
      </c>
      <c r="AC2286" s="372">
        <v>232.06668339999999</v>
      </c>
      <c r="AD2286" s="372">
        <v>245.8939398</v>
      </c>
      <c r="AE2286" s="372">
        <v>0</v>
      </c>
      <c r="AF2286" s="372">
        <v>0</v>
      </c>
      <c r="AG2286" s="372">
        <v>0</v>
      </c>
      <c r="AH2286" s="372">
        <v>0</v>
      </c>
    </row>
    <row r="2287" spans="1:34">
      <c r="A2287" s="372" t="s">
        <v>14610</v>
      </c>
      <c r="B2287" s="372" t="s">
        <v>14611</v>
      </c>
      <c r="C2287" s="372" t="s">
        <v>14612</v>
      </c>
      <c r="D2287" s="374">
        <v>1313110020308</v>
      </c>
      <c r="E2287" s="372" t="s">
        <v>14613</v>
      </c>
      <c r="F2287" s="372" t="s">
        <v>1863</v>
      </c>
      <c r="G2287" s="375" t="s">
        <v>1864</v>
      </c>
      <c r="H2287" s="375" t="s">
        <v>861</v>
      </c>
      <c r="I2287" s="375" t="s">
        <v>862</v>
      </c>
      <c r="J2287" s="375">
        <v>185942.54969000001</v>
      </c>
      <c r="K2287" s="375">
        <v>4715.0946400000003</v>
      </c>
      <c r="L2287" s="375">
        <v>5018.1390000000001</v>
      </c>
      <c r="M2287" s="375">
        <v>58701.456259999999</v>
      </c>
      <c r="N2287" s="372">
        <v>0.89100000000000001</v>
      </c>
      <c r="O2287" s="704">
        <v>139.03676384579893</v>
      </c>
      <c r="P2287" s="563" t="s">
        <v>622</v>
      </c>
      <c r="Q2287" s="372" t="s">
        <v>622</v>
      </c>
      <c r="R2287" s="696">
        <v>20061103</v>
      </c>
      <c r="S2287" s="372" t="s">
        <v>14614</v>
      </c>
      <c r="T2287" s="697">
        <v>0.20900000000000002</v>
      </c>
      <c r="U2287" s="372" t="s">
        <v>14615</v>
      </c>
      <c r="V2287" s="723">
        <v>5.79</v>
      </c>
      <c r="W2287" s="723">
        <v>0.61</v>
      </c>
      <c r="X2287" s="723">
        <v>0.17</v>
      </c>
      <c r="Y2287" s="723">
        <v>6</v>
      </c>
      <c r="Z2287" s="382" t="s">
        <v>927</v>
      </c>
      <c r="AA2287" s="372">
        <v>1255.0234333000001</v>
      </c>
      <c r="AB2287" s="372">
        <v>1445.7859242</v>
      </c>
      <c r="AC2287" s="372">
        <v>1847.8454363000001</v>
      </c>
      <c r="AD2287" s="372">
        <v>1692.7418888</v>
      </c>
      <c r="AE2287" s="372">
        <v>0</v>
      </c>
      <c r="AF2287" s="372">
        <v>0</v>
      </c>
      <c r="AG2287" s="372">
        <v>0</v>
      </c>
      <c r="AH2287" s="372">
        <v>0</v>
      </c>
    </row>
    <row r="2288" spans="1:34">
      <c r="A2288" s="372" t="s">
        <v>14616</v>
      </c>
      <c r="B2288" s="372" t="s">
        <v>14617</v>
      </c>
      <c r="C2288" s="372" t="s">
        <v>14618</v>
      </c>
      <c r="D2288" s="374">
        <v>1648110035910</v>
      </c>
      <c r="E2288" s="372" t="s">
        <v>14619</v>
      </c>
      <c r="F2288" s="372" t="s">
        <v>1863</v>
      </c>
      <c r="G2288" s="375" t="s">
        <v>1864</v>
      </c>
      <c r="H2288" s="375" t="s">
        <v>861</v>
      </c>
      <c r="I2288" s="375" t="s">
        <v>862</v>
      </c>
      <c r="J2288" s="375">
        <v>83674.934139999998</v>
      </c>
      <c r="K2288" s="375">
        <v>3801.9185299999999</v>
      </c>
      <c r="L2288" s="375">
        <v>3621.4431199999999</v>
      </c>
      <c r="M2288" s="375">
        <v>21545.48632</v>
      </c>
      <c r="N2288" s="372">
        <v>0.88400000000000001</v>
      </c>
      <c r="O2288" s="704">
        <v>59.487102868766016</v>
      </c>
      <c r="P2288" s="563" t="s">
        <v>622</v>
      </c>
      <c r="Q2288" s="372" t="s">
        <v>622</v>
      </c>
      <c r="R2288" s="696">
        <v>20121122</v>
      </c>
      <c r="S2288" s="372" t="s">
        <v>14620</v>
      </c>
      <c r="T2288" s="697">
        <v>0.20900000000000002</v>
      </c>
      <c r="U2288" s="372" t="s">
        <v>14621</v>
      </c>
      <c r="V2288" s="723">
        <v>5.51</v>
      </c>
      <c r="W2288" s="723">
        <v>1.27</v>
      </c>
      <c r="X2288" s="723">
        <v>0.33</v>
      </c>
      <c r="Y2288" s="723">
        <v>6.99</v>
      </c>
      <c r="Z2288" s="382" t="s">
        <v>927</v>
      </c>
      <c r="AA2288" s="372">
        <v>818.29561120000005</v>
      </c>
      <c r="AB2288" s="372">
        <v>648.47839839999995</v>
      </c>
      <c r="AC2288" s="372">
        <v>649.51916640000002</v>
      </c>
      <c r="AD2288" s="372">
        <v>860.34323900000004</v>
      </c>
      <c r="AE2288" s="372">
        <v>0</v>
      </c>
      <c r="AF2288" s="372">
        <v>0</v>
      </c>
      <c r="AG2288" s="372">
        <v>0</v>
      </c>
      <c r="AH2288" s="372">
        <v>0</v>
      </c>
    </row>
    <row r="2289" spans="1:34">
      <c r="A2289" s="372" t="s">
        <v>14622</v>
      </c>
      <c r="B2289" s="372" t="s">
        <v>14623</v>
      </c>
      <c r="C2289" s="372" t="s">
        <v>14624</v>
      </c>
      <c r="D2289" s="374">
        <v>1243110031007</v>
      </c>
      <c r="E2289" s="372" t="s">
        <v>14625</v>
      </c>
      <c r="F2289" s="372" t="s">
        <v>845</v>
      </c>
      <c r="G2289" s="375" t="s">
        <v>845</v>
      </c>
      <c r="H2289" s="375" t="s">
        <v>3099</v>
      </c>
      <c r="I2289" s="375" t="s">
        <v>862</v>
      </c>
      <c r="J2289" s="375">
        <v>18404.559689999998</v>
      </c>
      <c r="K2289" s="375">
        <v>-4804.4310100000002</v>
      </c>
      <c r="L2289" s="375">
        <v>-13812.82836</v>
      </c>
      <c r="M2289" s="375">
        <v>28359.358929999999</v>
      </c>
      <c r="N2289" s="372">
        <v>0.71399999999999997</v>
      </c>
      <c r="O2289" s="704">
        <v>24.53003993672969</v>
      </c>
      <c r="P2289" s="563" t="s">
        <v>622</v>
      </c>
      <c r="Q2289" s="372" t="s">
        <v>622</v>
      </c>
      <c r="R2289" s="696">
        <v>20020709</v>
      </c>
      <c r="S2289" s="372" t="s">
        <v>14626</v>
      </c>
      <c r="T2289" s="697" t="s">
        <v>771</v>
      </c>
      <c r="U2289" s="372" t="s">
        <v>14627</v>
      </c>
      <c r="V2289" s="723" t="s">
        <v>773</v>
      </c>
      <c r="W2289" s="723">
        <v>1.21</v>
      </c>
      <c r="X2289" s="723">
        <v>1.87</v>
      </c>
      <c r="Y2289" s="723" t="s">
        <v>773</v>
      </c>
      <c r="Z2289" s="382" t="s">
        <v>927</v>
      </c>
      <c r="AA2289" s="372">
        <v>136.00978799999999</v>
      </c>
      <c r="AB2289" s="372">
        <v>148.73652749999999</v>
      </c>
      <c r="AC2289" s="372">
        <v>101.0693653</v>
      </c>
      <c r="AD2289" s="372">
        <v>225.5946946</v>
      </c>
      <c r="AE2289" s="372">
        <v>0</v>
      </c>
      <c r="AF2289" s="372">
        <v>0</v>
      </c>
      <c r="AG2289" s="372">
        <v>0</v>
      </c>
      <c r="AH2289" s="372">
        <v>0</v>
      </c>
    </row>
    <row r="2290" spans="1:34">
      <c r="A2290" s="372" t="s">
        <v>14628</v>
      </c>
      <c r="B2290" s="372" t="s">
        <v>14629</v>
      </c>
      <c r="C2290" s="372" t="s">
        <v>14630</v>
      </c>
      <c r="D2290" s="374">
        <v>1243110020000</v>
      </c>
      <c r="E2290" s="372" t="s">
        <v>14631</v>
      </c>
      <c r="F2290" s="372" t="s">
        <v>2834</v>
      </c>
      <c r="G2290" s="375" t="s">
        <v>2834</v>
      </c>
      <c r="H2290" s="375" t="s">
        <v>861</v>
      </c>
      <c r="I2290" s="375" t="s">
        <v>862</v>
      </c>
      <c r="J2290" s="375">
        <v>138927.61817</v>
      </c>
      <c r="K2290" s="375">
        <v>-7187.8668299999999</v>
      </c>
      <c r="L2290" s="375">
        <v>-3378.6250700000001</v>
      </c>
      <c r="M2290" s="375">
        <v>103964.9803</v>
      </c>
      <c r="N2290" s="372">
        <v>0.88</v>
      </c>
      <c r="O2290" s="704">
        <v>31.267303126768219</v>
      </c>
      <c r="P2290" s="563" t="s">
        <v>622</v>
      </c>
      <c r="Q2290" s="372" t="s">
        <v>622</v>
      </c>
      <c r="R2290" s="696">
        <v>20071012</v>
      </c>
      <c r="S2290" s="372" t="s">
        <v>14632</v>
      </c>
      <c r="T2290" s="697" t="s">
        <v>771</v>
      </c>
      <c r="U2290" s="372" t="s">
        <v>14633</v>
      </c>
      <c r="V2290" s="723" t="s">
        <v>773</v>
      </c>
      <c r="W2290" s="723">
        <v>0.71</v>
      </c>
      <c r="X2290" s="723">
        <v>0.52</v>
      </c>
      <c r="Y2290" s="723" t="s">
        <v>773</v>
      </c>
      <c r="Z2290" s="382" t="s">
        <v>927</v>
      </c>
      <c r="AA2290" s="372">
        <v>1137.5689569000001</v>
      </c>
      <c r="AB2290" s="372">
        <v>1435.8326592000001</v>
      </c>
      <c r="AC2290" s="372">
        <v>1659.2478653999999</v>
      </c>
      <c r="AD2290" s="372">
        <v>1492.1240173000001</v>
      </c>
      <c r="AE2290" s="372">
        <v>0</v>
      </c>
      <c r="AF2290" s="372">
        <v>0</v>
      </c>
      <c r="AG2290" s="372">
        <v>0</v>
      </c>
      <c r="AH2290" s="372">
        <v>0</v>
      </c>
    </row>
    <row r="2291" spans="1:34">
      <c r="A2291" s="372" t="s">
        <v>14634</v>
      </c>
      <c r="B2291" s="372" t="s">
        <v>14635</v>
      </c>
      <c r="C2291" s="372" t="s">
        <v>14636</v>
      </c>
      <c r="D2291" s="374">
        <v>1243110014409</v>
      </c>
      <c r="E2291" s="372" t="s">
        <v>14637</v>
      </c>
      <c r="F2291" s="372" t="s">
        <v>4638</v>
      </c>
      <c r="G2291" s="375" t="s">
        <v>4638</v>
      </c>
      <c r="H2291" s="375" t="s">
        <v>861</v>
      </c>
      <c r="I2291" s="375" t="s">
        <v>862</v>
      </c>
      <c r="J2291" s="375">
        <v>58639.504280000001</v>
      </c>
      <c r="K2291" s="375">
        <v>1925.2697599999999</v>
      </c>
      <c r="L2291" s="375">
        <v>1145.6474800000001</v>
      </c>
      <c r="M2291" s="375">
        <v>76333.988100000002</v>
      </c>
      <c r="N2291" s="372">
        <v>0.60299999999999998</v>
      </c>
      <c r="O2291" s="704">
        <v>107.5941701845327</v>
      </c>
      <c r="P2291" s="563" t="s">
        <v>622</v>
      </c>
      <c r="Q2291" s="372" t="s">
        <v>622</v>
      </c>
      <c r="R2291" s="696">
        <v>20080520</v>
      </c>
      <c r="S2291" s="372" t="s">
        <v>14638</v>
      </c>
      <c r="T2291" s="697">
        <v>0.20900000000000002</v>
      </c>
      <c r="U2291" s="372" t="s">
        <v>14639</v>
      </c>
      <c r="V2291" s="723">
        <v>14.28</v>
      </c>
      <c r="W2291" s="723">
        <v>0.86</v>
      </c>
      <c r="X2291" s="723">
        <v>0.51</v>
      </c>
      <c r="Y2291" s="723">
        <v>24.26</v>
      </c>
      <c r="Z2291" s="382" t="s">
        <v>927</v>
      </c>
      <c r="AA2291" s="372">
        <v>395.24380439999999</v>
      </c>
      <c r="AB2291" s="372">
        <v>393.47387670000001</v>
      </c>
      <c r="AC2291" s="372">
        <v>437.03465290000003</v>
      </c>
      <c r="AD2291" s="372">
        <v>579.19354659999999</v>
      </c>
      <c r="AE2291" s="372">
        <v>0</v>
      </c>
      <c r="AF2291" s="372">
        <v>0</v>
      </c>
      <c r="AG2291" s="372">
        <v>0</v>
      </c>
      <c r="AH2291" s="372">
        <v>0</v>
      </c>
    </row>
    <row r="2292" spans="1:34">
      <c r="A2292" s="372" t="s">
        <v>14640</v>
      </c>
      <c r="B2292" s="372" t="s">
        <v>14641</v>
      </c>
      <c r="C2292" s="372" t="s">
        <v>14642</v>
      </c>
      <c r="D2292" s="374">
        <v>1101110171168</v>
      </c>
      <c r="E2292" s="372" t="s">
        <v>14643</v>
      </c>
      <c r="F2292" s="372" t="s">
        <v>3236</v>
      </c>
      <c r="G2292" s="375" t="s">
        <v>3236</v>
      </c>
      <c r="H2292" s="375" t="s">
        <v>861</v>
      </c>
      <c r="I2292" s="375" t="s">
        <v>862</v>
      </c>
      <c r="J2292" s="375">
        <v>28903.576099999998</v>
      </c>
      <c r="K2292" s="375">
        <v>-8655.3178000000007</v>
      </c>
      <c r="L2292" s="375">
        <v>-6873.8538600000002</v>
      </c>
      <c r="M2292" s="375">
        <v>36445.292229999999</v>
      </c>
      <c r="N2292" s="372">
        <v>0.63600000000000001</v>
      </c>
      <c r="O2292" s="704">
        <v>57.06051209481118</v>
      </c>
      <c r="P2292" s="563" t="s">
        <v>622</v>
      </c>
      <c r="Q2292" s="372" t="s">
        <v>622</v>
      </c>
      <c r="R2292" s="696">
        <v>20011218</v>
      </c>
      <c r="S2292" s="372" t="s">
        <v>14644</v>
      </c>
      <c r="T2292" s="697" t="s">
        <v>771</v>
      </c>
      <c r="U2292" s="372" t="s">
        <v>14645</v>
      </c>
      <c r="V2292" s="723" t="s">
        <v>773</v>
      </c>
      <c r="W2292" s="723">
        <v>0.56000000000000005</v>
      </c>
      <c r="X2292" s="723">
        <v>0.73</v>
      </c>
      <c r="Y2292" s="723" t="s">
        <v>773</v>
      </c>
      <c r="Z2292" s="382" t="s">
        <v>927</v>
      </c>
      <c r="AA2292" s="372">
        <v>237.8969065</v>
      </c>
      <c r="AB2292" s="372">
        <v>331.3270986</v>
      </c>
      <c r="AC2292" s="372">
        <v>208.96933139999999</v>
      </c>
      <c r="AD2292" s="372">
        <v>202.30592909999999</v>
      </c>
      <c r="AE2292" s="372">
        <v>0</v>
      </c>
      <c r="AF2292" s="372">
        <v>0</v>
      </c>
      <c r="AG2292" s="372">
        <v>0</v>
      </c>
      <c r="AH2292" s="372">
        <v>0</v>
      </c>
    </row>
    <row r="2293" spans="1:34">
      <c r="A2293" s="372" t="s">
        <v>14646</v>
      </c>
      <c r="B2293" s="372" t="s">
        <v>14647</v>
      </c>
      <c r="C2293" s="372" t="s">
        <v>14648</v>
      </c>
      <c r="D2293" s="374">
        <v>1311110005114</v>
      </c>
      <c r="E2293" s="372" t="s">
        <v>14649</v>
      </c>
      <c r="F2293" s="372" t="s">
        <v>1276</v>
      </c>
      <c r="G2293" s="375" t="s">
        <v>1718</v>
      </c>
      <c r="H2293" s="375" t="s">
        <v>753</v>
      </c>
      <c r="I2293" s="375" t="s">
        <v>754</v>
      </c>
      <c r="J2293" s="375">
        <v>51509.149100000002</v>
      </c>
      <c r="K2293" s="375">
        <v>1170.54422</v>
      </c>
      <c r="L2293" s="375">
        <v>2022.40345</v>
      </c>
      <c r="M2293" s="375">
        <v>38868.096689999998</v>
      </c>
      <c r="N2293" s="372">
        <v>0.85199999999999998</v>
      </c>
      <c r="O2293" s="704">
        <v>78.217102057783123</v>
      </c>
      <c r="P2293" s="563" t="s">
        <v>622</v>
      </c>
      <c r="Q2293" s="372" t="s">
        <v>622</v>
      </c>
      <c r="R2293" s="696">
        <v>19900324</v>
      </c>
      <c r="S2293" s="372" t="s">
        <v>14650</v>
      </c>
      <c r="T2293" s="697">
        <v>0.20900000000000002</v>
      </c>
      <c r="U2293" s="372" t="s">
        <v>14651</v>
      </c>
      <c r="V2293" s="723">
        <v>16.190000000000001</v>
      </c>
      <c r="W2293" s="723">
        <v>0.72</v>
      </c>
      <c r="X2293" s="723">
        <v>0.56000000000000005</v>
      </c>
      <c r="Y2293" s="723">
        <v>15.99</v>
      </c>
      <c r="Z2293" s="382" t="s">
        <v>927</v>
      </c>
      <c r="AA2293" s="372">
        <v>378.82645789999998</v>
      </c>
      <c r="AB2293" s="372">
        <v>493.43656970000001</v>
      </c>
      <c r="AC2293" s="372">
        <v>499.7389872</v>
      </c>
      <c r="AD2293" s="372">
        <v>450.6380193</v>
      </c>
      <c r="AE2293" s="372">
        <v>0</v>
      </c>
      <c r="AF2293" s="372">
        <v>0</v>
      </c>
      <c r="AG2293" s="372">
        <v>0</v>
      </c>
      <c r="AH2293" s="372">
        <v>0</v>
      </c>
    </row>
    <row r="2294" spans="1:34">
      <c r="A2294" s="372" t="s">
        <v>14652</v>
      </c>
      <c r="B2294" s="372" t="s">
        <v>14653</v>
      </c>
      <c r="C2294" s="372" t="s">
        <v>14654</v>
      </c>
      <c r="D2294" s="374">
        <v>1101118365862</v>
      </c>
      <c r="E2294" s="372" t="s">
        <v>14655</v>
      </c>
      <c r="F2294" s="372" t="s">
        <v>1143</v>
      </c>
      <c r="G2294" s="375" t="s">
        <v>1144</v>
      </c>
      <c r="H2294" s="375" t="s">
        <v>895</v>
      </c>
      <c r="I2294" s="375" t="s">
        <v>862</v>
      </c>
      <c r="J2294" s="375">
        <v>0</v>
      </c>
      <c r="K2294" s="375">
        <v>-66.311790000000002</v>
      </c>
      <c r="L2294" s="375">
        <v>1155.56819</v>
      </c>
      <c r="M2294" s="375">
        <v>34238.083709999999</v>
      </c>
      <c r="N2294" s="372">
        <v>0.38300000000000001</v>
      </c>
      <c r="O2294" s="704">
        <v>8.5250954863117023</v>
      </c>
      <c r="P2294" s="563" t="s">
        <v>622</v>
      </c>
      <c r="Q2294" s="372" t="s">
        <v>622</v>
      </c>
      <c r="R2294" s="696">
        <v>20221026</v>
      </c>
      <c r="S2294" s="372" t="s">
        <v>9018</v>
      </c>
      <c r="T2294" s="697">
        <v>0.20900000000000002</v>
      </c>
      <c r="U2294" s="372">
        <v>0</v>
      </c>
      <c r="V2294" s="723">
        <v>0</v>
      </c>
      <c r="W2294" s="723">
        <v>0</v>
      </c>
      <c r="X2294" s="723">
        <v>0</v>
      </c>
      <c r="Y2294" s="723">
        <v>0</v>
      </c>
      <c r="Z2294" s="382" t="s">
        <v>773</v>
      </c>
      <c r="AA2294" s="372">
        <v>0</v>
      </c>
      <c r="AB2294" s="372">
        <v>0</v>
      </c>
      <c r="AC2294" s="372">
        <v>0</v>
      </c>
      <c r="AD2294" s="372">
        <v>0</v>
      </c>
      <c r="AE2294" s="372">
        <v>0</v>
      </c>
      <c r="AF2294" s="372">
        <v>0</v>
      </c>
      <c r="AG2294" s="372">
        <v>0</v>
      </c>
      <c r="AH2294" s="372">
        <v>0</v>
      </c>
    </row>
    <row r="2295" spans="1:34">
      <c r="A2295" s="372" t="s">
        <v>14656</v>
      </c>
      <c r="B2295" s="372" t="s">
        <v>14657</v>
      </c>
      <c r="C2295" s="372" t="s">
        <v>14658</v>
      </c>
      <c r="D2295" s="374">
        <v>1350110096608</v>
      </c>
      <c r="E2295" s="372" t="s">
        <v>14659</v>
      </c>
      <c r="F2295" s="372" t="s">
        <v>1303</v>
      </c>
      <c r="G2295" s="375" t="s">
        <v>1303</v>
      </c>
      <c r="H2295" s="375" t="s">
        <v>861</v>
      </c>
      <c r="I2295" s="375" t="s">
        <v>862</v>
      </c>
      <c r="J2295" s="375">
        <v>31237.307779999999</v>
      </c>
      <c r="K2295" s="375">
        <v>-414.03904999999997</v>
      </c>
      <c r="L2295" s="375">
        <v>7.84138</v>
      </c>
      <c r="M2295" s="375">
        <v>14328.996440000001</v>
      </c>
      <c r="N2295" s="372">
        <v>0.69499999999999995</v>
      </c>
      <c r="O2295" s="704">
        <v>9.9442845240265143</v>
      </c>
      <c r="P2295" s="563" t="s">
        <v>622</v>
      </c>
      <c r="Q2295" s="372" t="s">
        <v>622</v>
      </c>
      <c r="R2295" s="696">
        <v>20080918</v>
      </c>
      <c r="S2295" s="372" t="s">
        <v>14660</v>
      </c>
      <c r="T2295" s="697">
        <v>9.9000000000000005E-2</v>
      </c>
      <c r="U2295" s="372" t="s">
        <v>14661</v>
      </c>
      <c r="V2295" s="723">
        <v>97.93</v>
      </c>
      <c r="W2295" s="723">
        <v>2.06</v>
      </c>
      <c r="X2295" s="723">
        <v>0.94</v>
      </c>
      <c r="Y2295" s="723">
        <v>127.68</v>
      </c>
      <c r="Z2295" s="382" t="s">
        <v>927</v>
      </c>
      <c r="AA2295" s="372">
        <v>148.06518489999999</v>
      </c>
      <c r="AB2295" s="372">
        <v>240.5902859</v>
      </c>
      <c r="AC2295" s="372">
        <v>344.72979659999999</v>
      </c>
      <c r="AD2295" s="372">
        <v>263.1191177</v>
      </c>
      <c r="AE2295" s="372">
        <v>0</v>
      </c>
      <c r="AF2295" s="372">
        <v>0</v>
      </c>
      <c r="AG2295" s="372">
        <v>0</v>
      </c>
      <c r="AH2295" s="372">
        <v>0</v>
      </c>
    </row>
    <row r="2296" spans="1:34">
      <c r="A2296" s="372" t="s">
        <v>14662</v>
      </c>
      <c r="B2296" s="372" t="s">
        <v>14663</v>
      </c>
      <c r="C2296" s="372" t="s">
        <v>14664</v>
      </c>
      <c r="D2296" s="374">
        <v>1101114481282</v>
      </c>
      <c r="E2296" s="372" t="s">
        <v>14665</v>
      </c>
      <c r="F2296" s="372" t="s">
        <v>16101</v>
      </c>
      <c r="G2296" s="375" t="s">
        <v>16101</v>
      </c>
      <c r="H2296" s="375" t="s">
        <v>861</v>
      </c>
      <c r="I2296" s="375" t="s">
        <v>862</v>
      </c>
      <c r="J2296" s="375">
        <v>6012.1251300000004</v>
      </c>
      <c r="K2296" s="375">
        <v>-2844.8323599999999</v>
      </c>
      <c r="L2296" s="375">
        <v>21911.102350000001</v>
      </c>
      <c r="M2296" s="375">
        <v>37496.173519999997</v>
      </c>
      <c r="N2296" s="372">
        <v>1.53</v>
      </c>
      <c r="O2296" s="704">
        <v>1.8836748805761301</v>
      </c>
      <c r="P2296" s="563" t="s">
        <v>622</v>
      </c>
      <c r="Q2296" s="372" t="s">
        <v>622</v>
      </c>
      <c r="R2296" s="696">
        <v>20200821</v>
      </c>
      <c r="S2296" s="372" t="s">
        <v>14666</v>
      </c>
      <c r="T2296" s="697">
        <v>0.23100000000000001</v>
      </c>
      <c r="U2296" s="372" t="s">
        <v>14667</v>
      </c>
      <c r="V2296" s="723" t="s">
        <v>773</v>
      </c>
      <c r="W2296" s="723">
        <v>0.93</v>
      </c>
      <c r="X2296" s="723">
        <v>5.82</v>
      </c>
      <c r="Y2296" s="723">
        <v>1.6</v>
      </c>
      <c r="Z2296" s="382" t="s">
        <v>927</v>
      </c>
      <c r="AA2296" s="372">
        <v>52.652641899999999</v>
      </c>
      <c r="AB2296" s="372">
        <v>80.842789600000003</v>
      </c>
      <c r="AC2296" s="372">
        <v>87.289400099999995</v>
      </c>
      <c r="AD2296" s="372">
        <v>65.775783700000005</v>
      </c>
      <c r="AE2296" s="372">
        <v>0</v>
      </c>
      <c r="AF2296" s="372">
        <v>0</v>
      </c>
      <c r="AG2296" s="372">
        <v>0</v>
      </c>
      <c r="AH2296" s="372">
        <v>0</v>
      </c>
    </row>
    <row r="2297" spans="1:34">
      <c r="A2297" s="372" t="s">
        <v>14668</v>
      </c>
      <c r="B2297" s="372" t="s">
        <v>14669</v>
      </c>
      <c r="C2297" s="372" t="s">
        <v>14670</v>
      </c>
      <c r="D2297" s="374">
        <v>0</v>
      </c>
      <c r="E2297" s="372" t="s">
        <v>14671</v>
      </c>
      <c r="F2297" s="372" t="s">
        <v>893</v>
      </c>
      <c r="G2297" s="375" t="s">
        <v>894</v>
      </c>
      <c r="H2297" s="375">
        <v>0</v>
      </c>
      <c r="I2297" s="375" t="s">
        <v>862</v>
      </c>
      <c r="J2297" s="375">
        <v>66658.553</v>
      </c>
      <c r="K2297" s="375">
        <v>16906.359</v>
      </c>
      <c r="L2297" s="375">
        <v>21096.665000000001</v>
      </c>
      <c r="M2297" s="375">
        <v>448054.73700000002</v>
      </c>
      <c r="N2297" s="372">
        <v>0.85399999999999998</v>
      </c>
      <c r="O2297" s="704">
        <v>0.54165536819370808</v>
      </c>
      <c r="P2297" s="563" t="s">
        <v>622</v>
      </c>
      <c r="Q2297" s="372" t="s">
        <v>622</v>
      </c>
      <c r="R2297" s="696">
        <v>20100331</v>
      </c>
      <c r="S2297" s="372" t="s">
        <v>14672</v>
      </c>
      <c r="T2297" s="697">
        <v>0.23100000000000001</v>
      </c>
      <c r="U2297" s="372" t="s">
        <v>14673</v>
      </c>
      <c r="V2297" s="723">
        <v>0.8</v>
      </c>
      <c r="W2297" s="723">
        <v>7.0000000000000007E-2</v>
      </c>
      <c r="X2297" s="723">
        <v>0.38</v>
      </c>
      <c r="Y2297" s="723">
        <v>1.21</v>
      </c>
      <c r="Z2297" s="382" t="s">
        <v>927</v>
      </c>
      <c r="AA2297" s="372">
        <v>634.05593999999996</v>
      </c>
      <c r="AB2297" s="372">
        <v>1045.9268400000001</v>
      </c>
      <c r="AC2297" s="372">
        <v>1013.76328</v>
      </c>
      <c r="AD2297" s="372">
        <v>716.17385000000002</v>
      </c>
      <c r="AE2297" s="372">
        <v>0</v>
      </c>
      <c r="AF2297" s="372">
        <v>0</v>
      </c>
      <c r="AG2297" s="372">
        <v>0</v>
      </c>
      <c r="AH2297" s="372">
        <v>0</v>
      </c>
    </row>
    <row r="2298" spans="1:34">
      <c r="A2298" s="372" t="s">
        <v>14674</v>
      </c>
      <c r="B2298" s="372" t="s">
        <v>14675</v>
      </c>
      <c r="C2298" s="372" t="s">
        <v>14676</v>
      </c>
      <c r="D2298" s="374">
        <v>2043110000419</v>
      </c>
      <c r="E2298" s="372" t="s">
        <v>14677</v>
      </c>
      <c r="F2298" s="372" t="s">
        <v>1275</v>
      </c>
      <c r="G2298" s="375" t="s">
        <v>1275</v>
      </c>
      <c r="H2298" s="375" t="s">
        <v>861</v>
      </c>
      <c r="I2298" s="375" t="s">
        <v>862</v>
      </c>
      <c r="J2298" s="375">
        <v>27486.60629</v>
      </c>
      <c r="K2298" s="375">
        <v>-4702.6798399999998</v>
      </c>
      <c r="L2298" s="375">
        <v>-3417.4503500000001</v>
      </c>
      <c r="M2298" s="375">
        <v>17337.807079999999</v>
      </c>
      <c r="N2298" s="372" t="s">
        <v>1026</v>
      </c>
      <c r="O2298" s="704">
        <v>43.977539641399879</v>
      </c>
      <c r="P2298" s="563" t="s">
        <v>16115</v>
      </c>
      <c r="Q2298" s="372" t="s">
        <v>16116</v>
      </c>
      <c r="R2298" s="696">
        <v>20011120</v>
      </c>
      <c r="S2298" s="372" t="s">
        <v>14678</v>
      </c>
      <c r="T2298" s="697" t="s">
        <v>771</v>
      </c>
      <c r="U2298" s="372" t="s">
        <v>15967</v>
      </c>
      <c r="V2298" s="723" t="s">
        <v>773</v>
      </c>
      <c r="W2298" s="723">
        <v>2.2999999999999998</v>
      </c>
      <c r="X2298" s="723">
        <v>1.29</v>
      </c>
      <c r="Y2298" s="723" t="s">
        <v>773</v>
      </c>
      <c r="Z2298" s="382" t="s">
        <v>927</v>
      </c>
      <c r="AA2298" s="372">
        <v>117.9723968</v>
      </c>
      <c r="AB2298" s="372">
        <v>61.009927400000002</v>
      </c>
      <c r="AC2298" s="372">
        <v>59.931095900000003</v>
      </c>
      <c r="AD2298" s="372">
        <v>66.535052500000006</v>
      </c>
      <c r="AE2298" s="372">
        <v>0</v>
      </c>
      <c r="AF2298" s="372">
        <v>0</v>
      </c>
      <c r="AG2298" s="372">
        <v>0</v>
      </c>
      <c r="AH2298" s="372">
        <v>0</v>
      </c>
    </row>
    <row r="2299" spans="1:34">
      <c r="A2299" s="372" t="s">
        <v>14679</v>
      </c>
      <c r="B2299" s="372" t="s">
        <v>14680</v>
      </c>
      <c r="C2299" s="372" t="s">
        <v>14681</v>
      </c>
      <c r="D2299" s="374">
        <v>1101116902393</v>
      </c>
      <c r="E2299" s="372" t="s">
        <v>14682</v>
      </c>
      <c r="F2299" s="372" t="s">
        <v>880</v>
      </c>
      <c r="G2299" s="375" t="s">
        <v>880</v>
      </c>
      <c r="H2299" s="375" t="s">
        <v>861</v>
      </c>
      <c r="I2299" s="375" t="s">
        <v>862</v>
      </c>
      <c r="J2299" s="375">
        <v>104506.07966</v>
      </c>
      <c r="K2299" s="375">
        <v>5279.0678600000001</v>
      </c>
      <c r="L2299" s="375">
        <v>1721.18714</v>
      </c>
      <c r="M2299" s="375">
        <v>51741.385249999999</v>
      </c>
      <c r="N2299" s="372">
        <v>0.64400000000000002</v>
      </c>
      <c r="O2299" s="704">
        <v>111.35437600659314</v>
      </c>
      <c r="P2299" s="563" t="s">
        <v>622</v>
      </c>
      <c r="Q2299" s="372" t="s">
        <v>622</v>
      </c>
      <c r="R2299" s="696">
        <v>20181220</v>
      </c>
      <c r="S2299" s="372" t="s">
        <v>14683</v>
      </c>
      <c r="T2299" s="697">
        <v>0.20900000000000002</v>
      </c>
      <c r="U2299" s="372" t="s">
        <v>14684</v>
      </c>
      <c r="V2299" s="723">
        <v>4.95</v>
      </c>
      <c r="W2299" s="723">
        <v>0.45</v>
      </c>
      <c r="X2299" s="723">
        <v>0.22</v>
      </c>
      <c r="Y2299" s="723">
        <v>14.38</v>
      </c>
      <c r="Z2299" s="382" t="s">
        <v>927</v>
      </c>
      <c r="AA2299" s="372">
        <v>780.24949449999997</v>
      </c>
      <c r="AB2299" s="372">
        <v>872.68255839999995</v>
      </c>
      <c r="AC2299" s="372">
        <v>1206.5261774000001</v>
      </c>
      <c r="AD2299" s="372">
        <v>1224.1966293</v>
      </c>
      <c r="AE2299" s="372">
        <v>0</v>
      </c>
      <c r="AF2299" s="372">
        <v>0</v>
      </c>
      <c r="AG2299" s="372">
        <v>0</v>
      </c>
      <c r="AH2299" s="372">
        <v>0</v>
      </c>
    </row>
    <row r="2300" spans="1:34">
      <c r="A2300" s="372" t="s">
        <v>14685</v>
      </c>
      <c r="B2300" s="372" t="s">
        <v>14686</v>
      </c>
      <c r="C2300" s="372" t="s">
        <v>14687</v>
      </c>
      <c r="D2300" s="374">
        <v>1101111487267</v>
      </c>
      <c r="E2300" s="372" t="s">
        <v>14688</v>
      </c>
      <c r="F2300" s="372" t="s">
        <v>1370</v>
      </c>
      <c r="G2300" s="375" t="s">
        <v>1370</v>
      </c>
      <c r="H2300" s="375" t="s">
        <v>861</v>
      </c>
      <c r="I2300" s="375" t="s">
        <v>862</v>
      </c>
      <c r="J2300" s="375">
        <v>32533.060270000002</v>
      </c>
      <c r="K2300" s="375">
        <v>-2246.88051</v>
      </c>
      <c r="L2300" s="375">
        <v>-2594.7341099999999</v>
      </c>
      <c r="M2300" s="375">
        <v>35882.336719999999</v>
      </c>
      <c r="N2300" s="372">
        <v>0.73299999999999998</v>
      </c>
      <c r="O2300" s="704">
        <v>1.1195409163054852</v>
      </c>
      <c r="P2300" s="563" t="s">
        <v>622</v>
      </c>
      <c r="Q2300" s="372" t="s">
        <v>622</v>
      </c>
      <c r="R2300" s="696">
        <v>20011009</v>
      </c>
      <c r="S2300" s="372" t="s">
        <v>14689</v>
      </c>
      <c r="T2300" s="697" t="s">
        <v>771</v>
      </c>
      <c r="U2300" s="372" t="s">
        <v>14690</v>
      </c>
      <c r="V2300" s="723">
        <v>0</v>
      </c>
      <c r="W2300" s="723">
        <v>0</v>
      </c>
      <c r="X2300" s="723">
        <v>0</v>
      </c>
      <c r="Y2300" s="723">
        <v>0</v>
      </c>
      <c r="Z2300" s="382" t="s">
        <v>927</v>
      </c>
      <c r="AA2300" s="372">
        <v>780.09757649999995</v>
      </c>
      <c r="AB2300" s="372">
        <v>571.13767640000003</v>
      </c>
      <c r="AC2300" s="372">
        <v>549.59963619999996</v>
      </c>
      <c r="AD2300" s="372">
        <v>433.94810180000002</v>
      </c>
      <c r="AE2300" s="372">
        <v>0</v>
      </c>
      <c r="AF2300" s="372">
        <v>0</v>
      </c>
      <c r="AG2300" s="372">
        <v>0</v>
      </c>
      <c r="AH2300" s="372">
        <v>0</v>
      </c>
    </row>
    <row r="2301" spans="1:34">
      <c r="A2301" s="372" t="s">
        <v>14691</v>
      </c>
      <c r="B2301" s="372" t="s">
        <v>14692</v>
      </c>
      <c r="C2301" s="372" t="s">
        <v>14693</v>
      </c>
      <c r="D2301" s="374">
        <v>1101113197088</v>
      </c>
      <c r="E2301" s="372" t="s">
        <v>14694</v>
      </c>
      <c r="F2301" s="372" t="s">
        <v>14695</v>
      </c>
      <c r="G2301" s="375" t="s">
        <v>14695</v>
      </c>
      <c r="H2301" s="375" t="s">
        <v>861</v>
      </c>
      <c r="I2301" s="375" t="s">
        <v>862</v>
      </c>
      <c r="J2301" s="375">
        <v>38482.804219999998</v>
      </c>
      <c r="K2301" s="375">
        <v>-7253.3887599999998</v>
      </c>
      <c r="L2301" s="375">
        <v>-10782.720960000001</v>
      </c>
      <c r="M2301" s="375">
        <v>35950.807070000003</v>
      </c>
      <c r="N2301" s="372">
        <v>0.52700000000000002</v>
      </c>
      <c r="O2301" s="704">
        <v>154.6272098852636</v>
      </c>
      <c r="P2301" s="563" t="s">
        <v>622</v>
      </c>
      <c r="Q2301" s="372" t="s">
        <v>622</v>
      </c>
      <c r="R2301" s="696">
        <v>20220224</v>
      </c>
      <c r="S2301" s="372" t="s">
        <v>14696</v>
      </c>
      <c r="T2301" s="697" t="s">
        <v>771</v>
      </c>
      <c r="U2301" s="372" t="s">
        <v>14697</v>
      </c>
      <c r="V2301" s="723" t="s">
        <v>773</v>
      </c>
      <c r="W2301" s="723">
        <v>0.7</v>
      </c>
      <c r="X2301" s="723">
        <v>0.67</v>
      </c>
      <c r="Y2301" s="723" t="s">
        <v>773</v>
      </c>
      <c r="Z2301" s="382" t="s">
        <v>927</v>
      </c>
      <c r="AA2301" s="372">
        <v>407.48436040000001</v>
      </c>
      <c r="AB2301" s="372">
        <v>536.70328589999997</v>
      </c>
      <c r="AC2301" s="372">
        <v>543.43550630000004</v>
      </c>
      <c r="AD2301" s="372">
        <v>372.24393559999999</v>
      </c>
      <c r="AE2301" s="372">
        <v>985</v>
      </c>
      <c r="AF2301" s="372">
        <v>0</v>
      </c>
      <c r="AG2301" s="372">
        <v>0</v>
      </c>
      <c r="AH2301" s="372">
        <v>0</v>
      </c>
    </row>
    <row r="2302" spans="1:34">
      <c r="A2302" s="372" t="s">
        <v>14698</v>
      </c>
      <c r="B2302" s="372" t="s">
        <v>14699</v>
      </c>
      <c r="C2302" s="372" t="s">
        <v>14700</v>
      </c>
      <c r="D2302" s="374">
        <v>1601110031099</v>
      </c>
      <c r="E2302" s="372" t="s">
        <v>14701</v>
      </c>
      <c r="F2302" s="372" t="s">
        <v>2864</v>
      </c>
      <c r="G2302" s="375" t="s">
        <v>12570</v>
      </c>
      <c r="H2302" s="375" t="s">
        <v>861</v>
      </c>
      <c r="I2302" s="375" t="s">
        <v>862</v>
      </c>
      <c r="J2302" s="375">
        <v>28577.43115</v>
      </c>
      <c r="K2302" s="375">
        <v>1497.7645199999999</v>
      </c>
      <c r="L2302" s="375">
        <v>1614.8258499999999</v>
      </c>
      <c r="M2302" s="375">
        <v>38837.471429999998</v>
      </c>
      <c r="N2302" s="372">
        <v>0.751</v>
      </c>
      <c r="O2302" s="704">
        <v>1.9737463924425886</v>
      </c>
      <c r="P2302" s="563" t="s">
        <v>622</v>
      </c>
      <c r="Q2302" s="372" t="s">
        <v>622</v>
      </c>
      <c r="R2302" s="696">
        <v>20020111</v>
      </c>
      <c r="S2302" s="372" t="s">
        <v>14702</v>
      </c>
      <c r="T2302" s="697">
        <v>0.20900000000000002</v>
      </c>
      <c r="U2302" s="372" t="s">
        <v>14703</v>
      </c>
      <c r="V2302" s="723">
        <v>14.36</v>
      </c>
      <c r="W2302" s="723">
        <v>0.67</v>
      </c>
      <c r="X2302" s="723">
        <v>0.98</v>
      </c>
      <c r="Y2302" s="723">
        <v>21.15</v>
      </c>
      <c r="Z2302" s="382" t="s">
        <v>927</v>
      </c>
      <c r="AA2302" s="372">
        <v>252.40245630000001</v>
      </c>
      <c r="AB2302" s="372">
        <v>295.64006699999999</v>
      </c>
      <c r="AC2302" s="372">
        <v>302.27839369999998</v>
      </c>
      <c r="AD2302" s="372">
        <v>294.81472710000003</v>
      </c>
      <c r="AE2302" s="372">
        <v>0</v>
      </c>
      <c r="AF2302" s="372">
        <v>0</v>
      </c>
      <c r="AG2302" s="372">
        <v>0</v>
      </c>
      <c r="AH2302" s="372">
        <v>0</v>
      </c>
    </row>
    <row r="2303" spans="1:34">
      <c r="A2303" s="372" t="s">
        <v>14704</v>
      </c>
      <c r="B2303" s="372" t="s">
        <v>14705</v>
      </c>
      <c r="C2303" s="372" t="s">
        <v>14706</v>
      </c>
      <c r="D2303" s="374">
        <v>1801110145953</v>
      </c>
      <c r="E2303" s="372" t="s">
        <v>14707</v>
      </c>
      <c r="F2303" s="372" t="s">
        <v>14708</v>
      </c>
      <c r="G2303" s="375" t="s">
        <v>14709</v>
      </c>
      <c r="H2303" s="375" t="s">
        <v>861</v>
      </c>
      <c r="I2303" s="375" t="s">
        <v>862</v>
      </c>
      <c r="J2303" s="375">
        <v>35484.135179999997</v>
      </c>
      <c r="K2303" s="375">
        <v>891.73907999999994</v>
      </c>
      <c r="L2303" s="375">
        <v>-2038.0272</v>
      </c>
      <c r="M2303" s="375">
        <v>109316.5733</v>
      </c>
      <c r="N2303" s="372">
        <v>0.90800000000000003</v>
      </c>
      <c r="O2303" s="704">
        <v>29.507471015719698</v>
      </c>
      <c r="P2303" s="563" t="s">
        <v>622</v>
      </c>
      <c r="Q2303" s="372" t="s">
        <v>622</v>
      </c>
      <c r="R2303" s="696">
        <v>20001024</v>
      </c>
      <c r="S2303" s="372" t="s">
        <v>14710</v>
      </c>
      <c r="T2303" s="697" t="s">
        <v>771</v>
      </c>
      <c r="U2303" s="372" t="s">
        <v>14711</v>
      </c>
      <c r="V2303" s="723">
        <v>0</v>
      </c>
      <c r="W2303" s="723">
        <v>0</v>
      </c>
      <c r="X2303" s="723">
        <v>0</v>
      </c>
      <c r="Y2303" s="723">
        <v>0</v>
      </c>
      <c r="Z2303" s="382" t="s">
        <v>927</v>
      </c>
      <c r="AA2303" s="372">
        <v>360.46351049999998</v>
      </c>
      <c r="AB2303" s="372">
        <v>363.53883389999999</v>
      </c>
      <c r="AC2303" s="372">
        <v>454.7379775</v>
      </c>
      <c r="AD2303" s="372">
        <v>370.89482390000001</v>
      </c>
      <c r="AE2303" s="372">
        <v>0</v>
      </c>
      <c r="AF2303" s="372">
        <v>0</v>
      </c>
      <c r="AG2303" s="372">
        <v>0</v>
      </c>
      <c r="AH2303" s="372">
        <v>0</v>
      </c>
    </row>
    <row r="2304" spans="1:34">
      <c r="A2304" s="372" t="s">
        <v>14712</v>
      </c>
      <c r="B2304" s="372" t="s">
        <v>14713</v>
      </c>
      <c r="C2304" s="372" t="s">
        <v>14714</v>
      </c>
      <c r="D2304" s="374">
        <v>1101110522311</v>
      </c>
      <c r="E2304" s="372" t="s">
        <v>14715</v>
      </c>
      <c r="F2304" s="372" t="s">
        <v>2281</v>
      </c>
      <c r="G2304" s="375" t="s">
        <v>5096</v>
      </c>
      <c r="H2304" s="375" t="s">
        <v>861</v>
      </c>
      <c r="I2304" s="375" t="s">
        <v>862</v>
      </c>
      <c r="J2304" s="375">
        <v>61871.257819999999</v>
      </c>
      <c r="K2304" s="375">
        <v>36.17436</v>
      </c>
      <c r="L2304" s="375">
        <v>421.45776000000001</v>
      </c>
      <c r="M2304" s="375">
        <v>44367.960749999998</v>
      </c>
      <c r="N2304" s="372">
        <v>0.68200000000000005</v>
      </c>
      <c r="O2304" s="704">
        <v>15.604424324625707</v>
      </c>
      <c r="P2304" s="563" t="s">
        <v>622</v>
      </c>
      <c r="Q2304" s="372" t="s">
        <v>622</v>
      </c>
      <c r="R2304" s="696">
        <v>20001010</v>
      </c>
      <c r="S2304" s="372" t="s">
        <v>14716</v>
      </c>
      <c r="T2304" s="697">
        <v>0.20900000000000002</v>
      </c>
      <c r="U2304" s="372" t="s">
        <v>14717</v>
      </c>
      <c r="V2304" s="723">
        <v>4.3600000000000003</v>
      </c>
      <c r="W2304" s="723">
        <v>0.52</v>
      </c>
      <c r="X2304" s="723">
        <v>0.37</v>
      </c>
      <c r="Y2304" s="723" t="s">
        <v>773</v>
      </c>
      <c r="Z2304" s="382" t="s">
        <v>927</v>
      </c>
      <c r="AA2304" s="372">
        <v>616.10800419999998</v>
      </c>
      <c r="AB2304" s="372">
        <v>645.66020100000003</v>
      </c>
      <c r="AC2304" s="372">
        <v>652.00996339999995</v>
      </c>
      <c r="AD2304" s="372">
        <v>629.87939889999996</v>
      </c>
      <c r="AE2304" s="372">
        <v>0</v>
      </c>
      <c r="AF2304" s="372">
        <v>0</v>
      </c>
      <c r="AG2304" s="372">
        <v>0</v>
      </c>
      <c r="AH2304" s="372">
        <v>0</v>
      </c>
    </row>
    <row r="2305" spans="1:34">
      <c r="A2305" s="372" t="s">
        <v>14718</v>
      </c>
      <c r="B2305" s="372" t="s">
        <v>14719</v>
      </c>
      <c r="C2305" s="372" t="s">
        <v>14720</v>
      </c>
      <c r="D2305" s="374">
        <v>1101110922214</v>
      </c>
      <c r="E2305" s="372" t="s">
        <v>14721</v>
      </c>
      <c r="F2305" s="372" t="s">
        <v>1357</v>
      </c>
      <c r="G2305" s="375" t="s">
        <v>1357</v>
      </c>
      <c r="H2305" s="375" t="s">
        <v>861</v>
      </c>
      <c r="I2305" s="375" t="s">
        <v>862</v>
      </c>
      <c r="J2305" s="375">
        <v>78351.278149999998</v>
      </c>
      <c r="K2305" s="375">
        <v>4049.8204900000001</v>
      </c>
      <c r="L2305" s="375">
        <v>3718.8230400000002</v>
      </c>
      <c r="M2305" s="375">
        <v>53915.440029999998</v>
      </c>
      <c r="N2305" s="372">
        <v>0.751</v>
      </c>
      <c r="O2305" s="704">
        <v>22.598778679570206</v>
      </c>
      <c r="P2305" s="563" t="s">
        <v>622</v>
      </c>
      <c r="Q2305" s="372" t="s">
        <v>622</v>
      </c>
      <c r="R2305" s="696">
        <v>19970818</v>
      </c>
      <c r="S2305" s="372" t="s">
        <v>14722</v>
      </c>
      <c r="T2305" s="697">
        <v>0.20900000000000002</v>
      </c>
      <c r="U2305" s="372" t="s">
        <v>14723</v>
      </c>
      <c r="V2305" s="723">
        <v>3.99</v>
      </c>
      <c r="W2305" s="723">
        <v>0.55000000000000004</v>
      </c>
      <c r="X2305" s="723">
        <v>0.39</v>
      </c>
      <c r="Y2305" s="723">
        <v>10.220000000000001</v>
      </c>
      <c r="Z2305" s="382" t="s">
        <v>927</v>
      </c>
      <c r="AA2305" s="372">
        <v>564.40310099999999</v>
      </c>
      <c r="AB2305" s="372">
        <v>484.0635906</v>
      </c>
      <c r="AC2305" s="372">
        <v>649.25485179999998</v>
      </c>
      <c r="AD2305" s="372">
        <v>745.6678531</v>
      </c>
      <c r="AE2305" s="372">
        <v>0</v>
      </c>
      <c r="AF2305" s="372">
        <v>0</v>
      </c>
      <c r="AG2305" s="372">
        <v>0</v>
      </c>
      <c r="AH2305" s="372">
        <v>0</v>
      </c>
    </row>
    <row r="2306" spans="1:34">
      <c r="A2306" s="372" t="s">
        <v>14724</v>
      </c>
      <c r="B2306" s="372" t="s">
        <v>14725</v>
      </c>
      <c r="C2306" s="372" t="s">
        <v>14726</v>
      </c>
      <c r="D2306" s="374">
        <v>1101114969189</v>
      </c>
      <c r="E2306" s="372" t="s">
        <v>14727</v>
      </c>
      <c r="F2306" s="372" t="s">
        <v>1796</v>
      </c>
      <c r="G2306" s="375" t="s">
        <v>1797</v>
      </c>
      <c r="H2306" s="375" t="s">
        <v>861</v>
      </c>
      <c r="I2306" s="375" t="s">
        <v>862</v>
      </c>
      <c r="J2306" s="375">
        <v>6928.3530000000001</v>
      </c>
      <c r="K2306" s="375">
        <v>-10126.191709999999</v>
      </c>
      <c r="L2306" s="375">
        <v>-11072.314270000001</v>
      </c>
      <c r="M2306" s="375">
        <v>8918.82798</v>
      </c>
      <c r="N2306" s="372">
        <v>0.48099999999999998</v>
      </c>
      <c r="O2306" s="704">
        <v>5.0091630159403273</v>
      </c>
      <c r="P2306" s="563" t="s">
        <v>622</v>
      </c>
      <c r="Q2306" s="372" t="s">
        <v>622</v>
      </c>
      <c r="R2306" s="696">
        <v>20210323</v>
      </c>
      <c r="S2306" s="372" t="s">
        <v>14728</v>
      </c>
      <c r="T2306" s="697" t="s">
        <v>771</v>
      </c>
      <c r="U2306" s="372" t="s">
        <v>14729</v>
      </c>
      <c r="V2306" s="723" t="s">
        <v>773</v>
      </c>
      <c r="W2306" s="723">
        <v>6.47</v>
      </c>
      <c r="X2306" s="723">
        <v>6.4</v>
      </c>
      <c r="Y2306" s="723" t="s">
        <v>773</v>
      </c>
      <c r="Z2306" s="382" t="s">
        <v>927</v>
      </c>
      <c r="AA2306" s="372">
        <v>26.654291799999999</v>
      </c>
      <c r="AB2306" s="372">
        <v>46.3437318</v>
      </c>
      <c r="AC2306" s="372">
        <v>28.189198300000001</v>
      </c>
      <c r="AD2306" s="372">
        <v>33.2534408</v>
      </c>
      <c r="AE2306" s="372">
        <v>0</v>
      </c>
      <c r="AF2306" s="372">
        <v>0</v>
      </c>
      <c r="AG2306" s="372">
        <v>0</v>
      </c>
      <c r="AH2306" s="372">
        <v>0</v>
      </c>
    </row>
    <row r="2307" spans="1:34">
      <c r="A2307" s="372" t="s">
        <v>14730</v>
      </c>
      <c r="B2307" s="372" t="s">
        <v>14731</v>
      </c>
      <c r="C2307" s="372" t="s">
        <v>14732</v>
      </c>
      <c r="D2307" s="374">
        <v>1243110006042</v>
      </c>
      <c r="E2307" s="372" t="s">
        <v>14733</v>
      </c>
      <c r="F2307" s="372" t="s">
        <v>3243</v>
      </c>
      <c r="G2307" s="375" t="s">
        <v>14734</v>
      </c>
      <c r="H2307" s="375" t="s">
        <v>817</v>
      </c>
      <c r="I2307" s="375" t="s">
        <v>754</v>
      </c>
      <c r="J2307" s="375">
        <v>10721.12707</v>
      </c>
      <c r="K2307" s="375">
        <v>-3270.9807500000002</v>
      </c>
      <c r="L2307" s="375">
        <v>-4875.1053499999998</v>
      </c>
      <c r="M2307" s="375">
        <v>39036.33279</v>
      </c>
      <c r="N2307" s="372">
        <v>0.72899999999999998</v>
      </c>
      <c r="O2307" s="704">
        <v>97.539523267281197</v>
      </c>
      <c r="P2307" s="563" t="s">
        <v>622</v>
      </c>
      <c r="Q2307" s="372" t="s">
        <v>622</v>
      </c>
      <c r="R2307" s="696">
        <v>19881223</v>
      </c>
      <c r="S2307" s="372" t="s">
        <v>14735</v>
      </c>
      <c r="T2307" s="697" t="s">
        <v>771</v>
      </c>
      <c r="U2307" s="372" t="s">
        <v>14736</v>
      </c>
      <c r="V2307" s="723">
        <v>0</v>
      </c>
      <c r="W2307" s="723">
        <v>0</v>
      </c>
      <c r="X2307" s="723">
        <v>0</v>
      </c>
      <c r="Y2307" s="723">
        <v>0</v>
      </c>
      <c r="Z2307" s="382" t="s">
        <v>927</v>
      </c>
      <c r="AA2307" s="372">
        <v>58.924977300000002</v>
      </c>
      <c r="AB2307" s="372">
        <v>70.606494100000006</v>
      </c>
      <c r="AC2307" s="372">
        <v>76.267320400000003</v>
      </c>
      <c r="AD2307" s="372">
        <v>132.70580140000001</v>
      </c>
      <c r="AE2307" s="372">
        <v>0</v>
      </c>
      <c r="AF2307" s="372">
        <v>0</v>
      </c>
      <c r="AG2307" s="372">
        <v>0</v>
      </c>
      <c r="AH2307" s="372">
        <v>0</v>
      </c>
    </row>
    <row r="2308" spans="1:34">
      <c r="A2308" s="372" t="s">
        <v>14737</v>
      </c>
      <c r="B2308" s="372" t="s">
        <v>14738</v>
      </c>
      <c r="C2308" s="372" t="s">
        <v>14739</v>
      </c>
      <c r="D2308" s="374">
        <v>1101111643736</v>
      </c>
      <c r="E2308" s="372" t="s">
        <v>14740</v>
      </c>
      <c r="F2308" s="372" t="s">
        <v>1796</v>
      </c>
      <c r="G2308" s="375" t="s">
        <v>1797</v>
      </c>
      <c r="H2308" s="375" t="s">
        <v>861</v>
      </c>
      <c r="I2308" s="375" t="s">
        <v>862</v>
      </c>
      <c r="J2308" s="375">
        <v>5936.3463499999998</v>
      </c>
      <c r="K2308" s="375">
        <v>-3864.0918700000002</v>
      </c>
      <c r="L2308" s="375">
        <v>-15365.730079999999</v>
      </c>
      <c r="M2308" s="375">
        <v>10941.4643</v>
      </c>
      <c r="N2308" s="372">
        <v>1.1499999999999999</v>
      </c>
      <c r="O2308" s="704">
        <v>55.257422728865492</v>
      </c>
      <c r="P2308" s="563" t="s">
        <v>622</v>
      </c>
      <c r="Q2308" s="372" t="s">
        <v>622</v>
      </c>
      <c r="R2308" s="696">
        <v>20131206</v>
      </c>
      <c r="S2308" s="372" t="s">
        <v>14741</v>
      </c>
      <c r="T2308" s="697" t="s">
        <v>771</v>
      </c>
      <c r="U2308" s="372" t="s">
        <v>14742</v>
      </c>
      <c r="V2308" s="723" t="s">
        <v>773</v>
      </c>
      <c r="W2308" s="723">
        <v>2.4300000000000002</v>
      </c>
      <c r="X2308" s="723">
        <v>6.79</v>
      </c>
      <c r="Y2308" s="723" t="s">
        <v>773</v>
      </c>
      <c r="Z2308" s="382" t="s">
        <v>927</v>
      </c>
      <c r="AA2308" s="372">
        <v>441.0097141</v>
      </c>
      <c r="AB2308" s="372">
        <v>362.53604569999999</v>
      </c>
      <c r="AC2308" s="372">
        <v>72.446849999999998</v>
      </c>
      <c r="AD2308" s="372">
        <v>62.298900000000003</v>
      </c>
      <c r="AE2308" s="372">
        <v>0</v>
      </c>
      <c r="AF2308" s="372">
        <v>0</v>
      </c>
      <c r="AG2308" s="372">
        <v>0</v>
      </c>
      <c r="AH2308" s="372">
        <v>0</v>
      </c>
    </row>
    <row r="2309" spans="1:34">
      <c r="A2309" s="372" t="s">
        <v>14743</v>
      </c>
      <c r="B2309" s="372" t="s">
        <v>14744</v>
      </c>
      <c r="C2309" s="372" t="s">
        <v>14745</v>
      </c>
      <c r="D2309" s="374">
        <v>1101115551646</v>
      </c>
      <c r="E2309" s="372" t="s">
        <v>14746</v>
      </c>
      <c r="F2309" s="372" t="s">
        <v>2032</v>
      </c>
      <c r="G2309" s="375" t="s">
        <v>14747</v>
      </c>
      <c r="H2309" s="375" t="s">
        <v>1531</v>
      </c>
      <c r="I2309" s="375" t="s">
        <v>862</v>
      </c>
      <c r="J2309" s="375">
        <v>6139.0352300000004</v>
      </c>
      <c r="K2309" s="375">
        <v>-3765.3212199999998</v>
      </c>
      <c r="L2309" s="375">
        <v>-4444.3887500000001</v>
      </c>
      <c r="M2309" s="375">
        <v>3483.8319900000001</v>
      </c>
      <c r="N2309" s="372">
        <v>0.80100000000000005</v>
      </c>
      <c r="O2309" s="704">
        <v>19.01383680972663</v>
      </c>
      <c r="P2309" s="563" t="s">
        <v>622</v>
      </c>
      <c r="Q2309" s="372" t="s">
        <v>622</v>
      </c>
      <c r="R2309" s="696">
        <v>20191029</v>
      </c>
      <c r="S2309" s="372" t="s">
        <v>14748</v>
      </c>
      <c r="T2309" s="697" t="s">
        <v>771</v>
      </c>
      <c r="U2309" s="372" t="s">
        <v>14749</v>
      </c>
      <c r="V2309" s="723" t="s">
        <v>773</v>
      </c>
      <c r="W2309" s="723">
        <v>5.81</v>
      </c>
      <c r="X2309" s="723">
        <v>4.07</v>
      </c>
      <c r="Y2309" s="723" t="s">
        <v>773</v>
      </c>
      <c r="Z2309" s="382" t="s">
        <v>927</v>
      </c>
      <c r="AA2309" s="372">
        <v>62.351933699999996</v>
      </c>
      <c r="AB2309" s="372">
        <v>66.860995900000006</v>
      </c>
      <c r="AC2309" s="372">
        <v>100.88032990000001</v>
      </c>
      <c r="AD2309" s="372">
        <v>84.835108899999994</v>
      </c>
      <c r="AE2309" s="372">
        <v>0</v>
      </c>
      <c r="AF2309" s="372">
        <v>0</v>
      </c>
      <c r="AG2309" s="372">
        <v>0</v>
      </c>
      <c r="AH2309" s="372">
        <v>0</v>
      </c>
    </row>
    <row r="2310" spans="1:34">
      <c r="A2310" s="372" t="s">
        <v>14750</v>
      </c>
      <c r="B2310" s="372" t="s">
        <v>14751</v>
      </c>
      <c r="C2310" s="372" t="s">
        <v>14752</v>
      </c>
      <c r="D2310" s="374">
        <v>1101110100951</v>
      </c>
      <c r="E2310" s="372" t="s">
        <v>14753</v>
      </c>
      <c r="F2310" s="372" t="s">
        <v>5769</v>
      </c>
      <c r="G2310" s="375" t="s">
        <v>5769</v>
      </c>
      <c r="H2310" s="375" t="s">
        <v>817</v>
      </c>
      <c r="I2310" s="375" t="s">
        <v>754</v>
      </c>
      <c r="J2310" s="375">
        <v>10679.358410000001</v>
      </c>
      <c r="K2310" s="375">
        <v>1447.6464800000001</v>
      </c>
      <c r="L2310" s="375">
        <v>-10404.62595</v>
      </c>
      <c r="M2310" s="375">
        <v>60688.158060000002</v>
      </c>
      <c r="N2310" s="372">
        <v>1.073</v>
      </c>
      <c r="O2310" s="704">
        <v>61.627493843706084</v>
      </c>
      <c r="P2310" s="563" t="s">
        <v>622</v>
      </c>
      <c r="Q2310" s="372" t="s">
        <v>622</v>
      </c>
      <c r="R2310" s="696">
        <v>19991126</v>
      </c>
      <c r="S2310" s="372" t="s">
        <v>14754</v>
      </c>
      <c r="T2310" s="697" t="s">
        <v>771</v>
      </c>
      <c r="U2310" s="372" t="s">
        <v>14755</v>
      </c>
      <c r="V2310" s="723">
        <v>0</v>
      </c>
      <c r="W2310" s="723">
        <v>0</v>
      </c>
      <c r="X2310" s="723">
        <v>0</v>
      </c>
      <c r="Y2310" s="723">
        <v>0</v>
      </c>
      <c r="Z2310" s="382" t="s">
        <v>927</v>
      </c>
      <c r="AA2310" s="372">
        <v>57.707664399999999</v>
      </c>
      <c r="AB2310" s="372">
        <v>78.0792158</v>
      </c>
      <c r="AC2310" s="372">
        <v>128.28359259999999</v>
      </c>
      <c r="AD2310" s="372">
        <v>130.2558698</v>
      </c>
      <c r="AE2310" s="372">
        <v>0</v>
      </c>
      <c r="AF2310" s="372">
        <v>0</v>
      </c>
      <c r="AG2310" s="372">
        <v>0</v>
      </c>
      <c r="AH2310" s="372">
        <v>0</v>
      </c>
    </row>
    <row r="2311" spans="1:34">
      <c r="A2311" s="372" t="s">
        <v>14756</v>
      </c>
      <c r="B2311" s="372" t="s">
        <v>14757</v>
      </c>
      <c r="C2311" s="372" t="s">
        <v>14758</v>
      </c>
      <c r="D2311" s="374">
        <v>1412110004279</v>
      </c>
      <c r="E2311" s="372" t="s">
        <v>14759</v>
      </c>
      <c r="F2311" s="372" t="s">
        <v>2864</v>
      </c>
      <c r="G2311" s="375" t="s">
        <v>12570</v>
      </c>
      <c r="H2311" s="375" t="s">
        <v>861</v>
      </c>
      <c r="I2311" s="375" t="s">
        <v>862</v>
      </c>
      <c r="J2311" s="375">
        <v>44052.634050000001</v>
      </c>
      <c r="K2311" s="375">
        <v>326.68198999999998</v>
      </c>
      <c r="L2311" s="375">
        <v>-2078.7562600000001</v>
      </c>
      <c r="M2311" s="375">
        <v>21786.501899999999</v>
      </c>
      <c r="N2311" s="372">
        <v>0.51600000000000001</v>
      </c>
      <c r="O2311" s="704">
        <v>129.4383442013042</v>
      </c>
      <c r="P2311" s="563" t="s">
        <v>622</v>
      </c>
      <c r="Q2311" s="372" t="s">
        <v>622</v>
      </c>
      <c r="R2311" s="696">
        <v>20020201</v>
      </c>
      <c r="S2311" s="372" t="s">
        <v>14760</v>
      </c>
      <c r="T2311" s="697" t="s">
        <v>771</v>
      </c>
      <c r="U2311" s="372" t="s">
        <v>14761</v>
      </c>
      <c r="V2311" s="723">
        <v>12.93</v>
      </c>
      <c r="W2311" s="723">
        <v>0.77</v>
      </c>
      <c r="X2311" s="723">
        <v>0.26</v>
      </c>
      <c r="Y2311" s="723" t="s">
        <v>773</v>
      </c>
      <c r="Z2311" s="382" t="s">
        <v>927</v>
      </c>
      <c r="AA2311" s="372">
        <v>425.5178904</v>
      </c>
      <c r="AB2311" s="372">
        <v>469.7062009</v>
      </c>
      <c r="AC2311" s="372">
        <v>459.83827239999999</v>
      </c>
      <c r="AD2311" s="372">
        <v>488.92913829999998</v>
      </c>
      <c r="AE2311" s="372">
        <v>0</v>
      </c>
      <c r="AF2311" s="372">
        <v>0</v>
      </c>
      <c r="AG2311" s="372">
        <v>0</v>
      </c>
      <c r="AH2311" s="372">
        <v>0</v>
      </c>
    </row>
    <row r="2312" spans="1:34">
      <c r="A2312" s="372" t="s">
        <v>14762</v>
      </c>
      <c r="B2312" s="372" t="s">
        <v>14763</v>
      </c>
      <c r="C2312" s="372" t="s">
        <v>14764</v>
      </c>
      <c r="D2312" s="374">
        <v>1243110017841</v>
      </c>
      <c r="E2312" s="372" t="s">
        <v>14765</v>
      </c>
      <c r="F2312" s="372" t="s">
        <v>5625</v>
      </c>
      <c r="G2312" s="375" t="s">
        <v>5625</v>
      </c>
      <c r="H2312" s="375" t="s">
        <v>753</v>
      </c>
      <c r="I2312" s="375" t="s">
        <v>754</v>
      </c>
      <c r="J2312" s="375">
        <v>5186.3860800000002</v>
      </c>
      <c r="K2312" s="375">
        <v>-7636.4330900000004</v>
      </c>
      <c r="L2312" s="375">
        <v>-10178.030479999999</v>
      </c>
      <c r="M2312" s="375">
        <v>1740.5665899999999</v>
      </c>
      <c r="N2312" s="372" t="s">
        <v>1026</v>
      </c>
      <c r="O2312" s="704">
        <v>28.767929687541905</v>
      </c>
      <c r="P2312" s="563" t="s">
        <v>622</v>
      </c>
      <c r="Q2312" s="372" t="s">
        <v>622</v>
      </c>
      <c r="R2312" s="696">
        <v>19981104</v>
      </c>
      <c r="S2312" s="372" t="s">
        <v>14766</v>
      </c>
      <c r="T2312" s="697" t="s">
        <v>771</v>
      </c>
      <c r="U2312" s="372" t="s">
        <v>14767</v>
      </c>
      <c r="V2312" s="723">
        <v>0</v>
      </c>
      <c r="W2312" s="723">
        <v>0</v>
      </c>
      <c r="X2312" s="723">
        <v>0</v>
      </c>
      <c r="Y2312" s="723">
        <v>0</v>
      </c>
      <c r="Z2312" s="382" t="s">
        <v>927</v>
      </c>
      <c r="AA2312" s="372">
        <v>272.73277380000002</v>
      </c>
      <c r="AB2312" s="372">
        <v>224.37243580000001</v>
      </c>
      <c r="AC2312" s="372">
        <v>79.033866799999998</v>
      </c>
      <c r="AD2312" s="372">
        <v>55.044825799999998</v>
      </c>
      <c r="AE2312" s="372">
        <v>0</v>
      </c>
      <c r="AF2312" s="372">
        <v>0</v>
      </c>
      <c r="AG2312" s="372">
        <v>0</v>
      </c>
      <c r="AH2312" s="372">
        <v>0</v>
      </c>
    </row>
    <row r="2313" spans="1:34">
      <c r="A2313" s="372" t="s">
        <v>14768</v>
      </c>
      <c r="B2313" s="372" t="s">
        <v>14769</v>
      </c>
      <c r="C2313" s="372" t="s">
        <v>14770</v>
      </c>
      <c r="D2313" s="374">
        <v>1101111790834</v>
      </c>
      <c r="E2313" s="372" t="s">
        <v>14771</v>
      </c>
      <c r="F2313" s="372" t="s">
        <v>2184</v>
      </c>
      <c r="G2313" s="375" t="s">
        <v>3523</v>
      </c>
      <c r="H2313" s="375" t="s">
        <v>861</v>
      </c>
      <c r="I2313" s="375" t="s">
        <v>862</v>
      </c>
      <c r="J2313" s="375">
        <v>19051.374400000001</v>
      </c>
      <c r="K2313" s="375">
        <v>-5799.5243700000001</v>
      </c>
      <c r="L2313" s="375">
        <v>-5410.3990400000002</v>
      </c>
      <c r="M2313" s="375">
        <v>60946.91403</v>
      </c>
      <c r="N2313" s="372">
        <v>0.85399999999999998</v>
      </c>
      <c r="O2313" s="704">
        <v>17.123663453037526</v>
      </c>
      <c r="P2313" s="563" t="s">
        <v>622</v>
      </c>
      <c r="Q2313" s="372" t="s">
        <v>622</v>
      </c>
      <c r="R2313" s="696">
        <v>20150428</v>
      </c>
      <c r="S2313" s="372" t="s">
        <v>14772</v>
      </c>
      <c r="T2313" s="697" t="s">
        <v>771</v>
      </c>
      <c r="U2313" s="372" t="s">
        <v>14773</v>
      </c>
      <c r="V2313" s="723" t="s">
        <v>773</v>
      </c>
      <c r="W2313" s="723">
        <v>0.33</v>
      </c>
      <c r="X2313" s="723">
        <v>1.22</v>
      </c>
      <c r="Y2313" s="723" t="s">
        <v>773</v>
      </c>
      <c r="Z2313" s="382" t="s">
        <v>927</v>
      </c>
      <c r="AA2313" s="372">
        <v>288.62656479999998</v>
      </c>
      <c r="AB2313" s="372">
        <v>261.81340760000001</v>
      </c>
      <c r="AC2313" s="372">
        <v>236.11630790000001</v>
      </c>
      <c r="AD2313" s="372">
        <v>214.12070650000001</v>
      </c>
      <c r="AE2313" s="372">
        <v>0</v>
      </c>
      <c r="AF2313" s="372">
        <v>0</v>
      </c>
      <c r="AG2313" s="372">
        <v>0</v>
      </c>
      <c r="AH2313" s="372">
        <v>0</v>
      </c>
    </row>
    <row r="2314" spans="1:34">
      <c r="A2314" s="372" t="s">
        <v>14774</v>
      </c>
      <c r="B2314" s="372" t="s">
        <v>14775</v>
      </c>
      <c r="C2314" s="372" t="s">
        <v>16092</v>
      </c>
      <c r="D2314" s="374">
        <v>1101111005879</v>
      </c>
      <c r="E2314" s="372" t="s">
        <v>14776</v>
      </c>
      <c r="F2314" s="372" t="s">
        <v>1962</v>
      </c>
      <c r="G2314" s="375" t="s">
        <v>1962</v>
      </c>
      <c r="H2314" s="375" t="s">
        <v>861</v>
      </c>
      <c r="I2314" s="375" t="s">
        <v>4413</v>
      </c>
      <c r="J2314" s="375">
        <v>24064.364119999998</v>
      </c>
      <c r="K2314" s="375">
        <v>-2408.2145500000001</v>
      </c>
      <c r="L2314" s="375">
        <v>-9546.1228699999992</v>
      </c>
      <c r="M2314" s="375">
        <v>57654.16936</v>
      </c>
      <c r="N2314" s="372" t="s">
        <v>1026</v>
      </c>
      <c r="O2314" s="704" t="e">
        <v>#DIV/0!</v>
      </c>
      <c r="P2314" s="563" t="s">
        <v>622</v>
      </c>
      <c r="Q2314" s="372" t="s">
        <v>622</v>
      </c>
      <c r="R2314" s="696">
        <v>20020201</v>
      </c>
      <c r="S2314" s="372" t="e">
        <v>#N/A</v>
      </c>
      <c r="T2314" s="697" t="s">
        <v>771</v>
      </c>
      <c r="U2314" s="372" t="s">
        <v>14777</v>
      </c>
      <c r="V2314" s="723" t="s">
        <v>773</v>
      </c>
      <c r="W2314" s="723">
        <v>0</v>
      </c>
      <c r="X2314" s="723">
        <v>0</v>
      </c>
      <c r="Y2314" s="723">
        <v>0</v>
      </c>
      <c r="Z2314" s="382" t="s">
        <v>927</v>
      </c>
      <c r="AA2314" s="372">
        <v>200.59239059999999</v>
      </c>
      <c r="AB2314" s="372">
        <v>137.2976874</v>
      </c>
      <c r="AC2314" s="372">
        <v>143.3040704</v>
      </c>
      <c r="AD2314" s="372">
        <v>219.599423</v>
      </c>
      <c r="AE2314" s="372">
        <v>0</v>
      </c>
      <c r="AF2314" s="372">
        <v>0</v>
      </c>
      <c r="AG2314" s="372">
        <v>0</v>
      </c>
      <c r="AH2314" s="372">
        <v>0</v>
      </c>
    </row>
    <row r="2315" spans="1:34">
      <c r="A2315" s="372" t="s">
        <v>14778</v>
      </c>
      <c r="B2315" s="372" t="s">
        <v>14779</v>
      </c>
      <c r="C2315" s="372" t="s">
        <v>14780</v>
      </c>
      <c r="D2315" s="374">
        <v>1615110031686</v>
      </c>
      <c r="E2315" s="372" t="s">
        <v>14781</v>
      </c>
      <c r="F2315" s="372" t="s">
        <v>1185</v>
      </c>
      <c r="G2315" s="375" t="s">
        <v>1186</v>
      </c>
      <c r="H2315" s="375" t="s">
        <v>861</v>
      </c>
      <c r="I2315" s="375" t="s">
        <v>862</v>
      </c>
      <c r="J2315" s="375">
        <v>32611.04981</v>
      </c>
      <c r="K2315" s="375">
        <v>-6717.8865500000002</v>
      </c>
      <c r="L2315" s="375">
        <v>-11868.90605</v>
      </c>
      <c r="M2315" s="375">
        <v>27767.616279999998</v>
      </c>
      <c r="N2315" s="372">
        <v>0.82499999999999996</v>
      </c>
      <c r="O2315" s="704">
        <v>249.36910813961111</v>
      </c>
      <c r="P2315" s="563" t="s">
        <v>622</v>
      </c>
      <c r="Q2315" s="372" t="s">
        <v>622</v>
      </c>
      <c r="R2315" s="696">
        <v>20151229</v>
      </c>
      <c r="S2315" s="372" t="s">
        <v>14782</v>
      </c>
      <c r="T2315" s="697" t="s">
        <v>771</v>
      </c>
      <c r="U2315" s="372" t="s">
        <v>15968</v>
      </c>
      <c r="V2315" s="723" t="s">
        <v>773</v>
      </c>
      <c r="W2315" s="723">
        <v>0.54</v>
      </c>
      <c r="X2315" s="723">
        <v>0.77</v>
      </c>
      <c r="Y2315" s="723" t="s">
        <v>773</v>
      </c>
      <c r="Z2315" s="382" t="s">
        <v>927</v>
      </c>
      <c r="AA2315" s="372">
        <v>280.38701980000002</v>
      </c>
      <c r="AB2315" s="372">
        <v>453.59981859999999</v>
      </c>
      <c r="AC2315" s="372">
        <v>201.118584</v>
      </c>
      <c r="AD2315" s="372">
        <v>202.12268109999999</v>
      </c>
      <c r="AE2315" s="372">
        <v>0</v>
      </c>
      <c r="AF2315" s="372">
        <v>0</v>
      </c>
      <c r="AG2315" s="372">
        <v>0</v>
      </c>
      <c r="AH2315" s="372">
        <v>0</v>
      </c>
    </row>
    <row r="2316" spans="1:34">
      <c r="A2316" s="372" t="s">
        <v>14783</v>
      </c>
      <c r="B2316" s="372" t="s">
        <v>14784</v>
      </c>
      <c r="C2316" s="372" t="s">
        <v>14785</v>
      </c>
      <c r="D2316" s="374">
        <v>1746110001096</v>
      </c>
      <c r="E2316" s="372" t="s">
        <v>14786</v>
      </c>
      <c r="F2316" s="372" t="s">
        <v>1185</v>
      </c>
      <c r="G2316" s="375" t="s">
        <v>1186</v>
      </c>
      <c r="H2316" s="375" t="s">
        <v>1043</v>
      </c>
      <c r="I2316" s="375" t="s">
        <v>754</v>
      </c>
      <c r="J2316" s="375">
        <v>70305.841159999996</v>
      </c>
      <c r="K2316" s="375">
        <v>-28524.224149999998</v>
      </c>
      <c r="L2316" s="375">
        <v>-29231.955450000001</v>
      </c>
      <c r="M2316" s="375">
        <v>83752.397100000002</v>
      </c>
      <c r="N2316" s="372">
        <v>0.51800000000000002</v>
      </c>
      <c r="O2316" s="704">
        <v>72.067447063971755</v>
      </c>
      <c r="P2316" s="563" t="s">
        <v>622</v>
      </c>
      <c r="Q2316" s="372" t="s">
        <v>622</v>
      </c>
      <c r="R2316" s="696">
        <v>19871112</v>
      </c>
      <c r="S2316" s="372" t="s">
        <v>14787</v>
      </c>
      <c r="T2316" s="697" t="s">
        <v>771</v>
      </c>
      <c r="U2316" s="372" t="s">
        <v>14788</v>
      </c>
      <c r="V2316" s="723" t="s">
        <v>773</v>
      </c>
      <c r="W2316" s="723">
        <v>0.48</v>
      </c>
      <c r="X2316" s="723">
        <v>0.5</v>
      </c>
      <c r="Y2316" s="723" t="s">
        <v>773</v>
      </c>
      <c r="Z2316" s="382" t="s">
        <v>927</v>
      </c>
      <c r="AA2316" s="372">
        <v>1686.7252885</v>
      </c>
      <c r="AB2316" s="372">
        <v>1505.6297817</v>
      </c>
      <c r="AC2316" s="372">
        <v>1705.8635397999999</v>
      </c>
      <c r="AD2316" s="372">
        <v>762.55465570000001</v>
      </c>
      <c r="AE2316" s="372">
        <v>0</v>
      </c>
      <c r="AF2316" s="372">
        <v>0</v>
      </c>
      <c r="AG2316" s="372">
        <v>0</v>
      </c>
      <c r="AH2316" s="372">
        <v>0</v>
      </c>
    </row>
    <row r="2317" spans="1:34">
      <c r="A2317" s="372" t="s">
        <v>14789</v>
      </c>
      <c r="B2317" s="372" t="s">
        <v>14790</v>
      </c>
      <c r="C2317" s="372" t="s">
        <v>16057</v>
      </c>
      <c r="D2317" s="374">
        <v>1101115131886</v>
      </c>
      <c r="E2317" s="372" t="s">
        <v>16058</v>
      </c>
      <c r="F2317" s="372" t="s">
        <v>1006</v>
      </c>
      <c r="G2317" s="375" t="s">
        <v>1006</v>
      </c>
      <c r="H2317" s="375" t="s">
        <v>861</v>
      </c>
      <c r="I2317" s="375" t="s">
        <v>862</v>
      </c>
      <c r="J2317" s="375">
        <v>11835.85658</v>
      </c>
      <c r="K2317" s="375">
        <v>-4364.2910499999998</v>
      </c>
      <c r="L2317" s="375">
        <v>-3360.47885</v>
      </c>
      <c r="M2317" s="375">
        <v>695.52772000000004</v>
      </c>
      <c r="N2317" s="372" t="s">
        <v>1026</v>
      </c>
      <c r="O2317" s="704">
        <v>4.9641909850024657</v>
      </c>
      <c r="P2317" s="563" t="s">
        <v>16115</v>
      </c>
      <c r="Q2317" s="372" t="s">
        <v>16116</v>
      </c>
      <c r="R2317" s="696">
        <v>20181203</v>
      </c>
      <c r="S2317" s="372" t="s">
        <v>2505</v>
      </c>
      <c r="T2317" s="697" t="s">
        <v>771</v>
      </c>
      <c r="U2317" s="372" t="s">
        <v>14791</v>
      </c>
      <c r="V2317" s="723" t="s">
        <v>773</v>
      </c>
      <c r="W2317" s="723">
        <v>46.7</v>
      </c>
      <c r="X2317" s="723">
        <v>2.2200000000000002</v>
      </c>
      <c r="Y2317" s="723" t="s">
        <v>773</v>
      </c>
      <c r="Z2317" s="382" t="s">
        <v>927</v>
      </c>
      <c r="AA2317" s="372">
        <v>682.95096860000001</v>
      </c>
      <c r="AB2317" s="372">
        <v>454.39137720000002</v>
      </c>
      <c r="AC2317" s="372">
        <v>54.787764899999999</v>
      </c>
      <c r="AD2317" s="372">
        <v>6.4025090000000002</v>
      </c>
      <c r="AE2317" s="372">
        <v>0</v>
      </c>
      <c r="AF2317" s="372">
        <v>0</v>
      </c>
      <c r="AG2317" s="372">
        <v>0</v>
      </c>
      <c r="AH2317" s="372">
        <v>0</v>
      </c>
    </row>
    <row r="2318" spans="1:34">
      <c r="A2318" s="372" t="s">
        <v>14792</v>
      </c>
      <c r="B2318" s="372" t="s">
        <v>14793</v>
      </c>
      <c r="C2318" s="372" t="s">
        <v>14794</v>
      </c>
      <c r="D2318" s="374">
        <v>1201110059410</v>
      </c>
      <c r="E2318" s="372" t="s">
        <v>14795</v>
      </c>
      <c r="F2318" s="372" t="s">
        <v>1871</v>
      </c>
      <c r="G2318" s="375" t="s">
        <v>5823</v>
      </c>
      <c r="H2318" s="375" t="s">
        <v>861</v>
      </c>
      <c r="I2318" s="375" t="s">
        <v>862</v>
      </c>
      <c r="J2318" s="375">
        <v>55666.5671</v>
      </c>
      <c r="K2318" s="375">
        <v>-2535.77115</v>
      </c>
      <c r="L2318" s="375">
        <v>-2618.42931</v>
      </c>
      <c r="M2318" s="375">
        <v>58157.632290000001</v>
      </c>
      <c r="N2318" s="372">
        <v>0.63400000000000001</v>
      </c>
      <c r="O2318" s="704">
        <v>58.387845168531825</v>
      </c>
      <c r="P2318" s="563" t="s">
        <v>622</v>
      </c>
      <c r="Q2318" s="372" t="s">
        <v>622</v>
      </c>
      <c r="R2318" s="696">
        <v>20000905</v>
      </c>
      <c r="S2318" s="372" t="s">
        <v>14796</v>
      </c>
      <c r="T2318" s="697" t="s">
        <v>771</v>
      </c>
      <c r="U2318" s="372" t="s">
        <v>14797</v>
      </c>
      <c r="V2318" s="723" t="s">
        <v>773</v>
      </c>
      <c r="W2318" s="723">
        <v>0.42</v>
      </c>
      <c r="X2318" s="723">
        <v>0.44</v>
      </c>
      <c r="Y2318" s="723" t="s">
        <v>773</v>
      </c>
      <c r="Z2318" s="382" t="s">
        <v>927</v>
      </c>
      <c r="AA2318" s="372">
        <v>554.88440030000004</v>
      </c>
      <c r="AB2318" s="372">
        <v>717.83044040000004</v>
      </c>
      <c r="AC2318" s="372">
        <v>813.78633379999997</v>
      </c>
      <c r="AD2318" s="372">
        <v>666.37115080000001</v>
      </c>
      <c r="AE2318" s="372">
        <v>0</v>
      </c>
      <c r="AF2318" s="372">
        <v>0</v>
      </c>
      <c r="AG2318" s="372">
        <v>0</v>
      </c>
      <c r="AH2318" s="372">
        <v>0</v>
      </c>
    </row>
    <row r="2319" spans="1:34">
      <c r="A2319" s="372" t="s">
        <v>14798</v>
      </c>
      <c r="B2319" s="372" t="s">
        <v>14799</v>
      </c>
      <c r="C2319" s="372" t="s">
        <v>14800</v>
      </c>
      <c r="D2319" s="374">
        <v>1101110046204</v>
      </c>
      <c r="E2319" s="372" t="s">
        <v>14801</v>
      </c>
      <c r="F2319" s="372" t="s">
        <v>6167</v>
      </c>
      <c r="G2319" s="375" t="s">
        <v>6168</v>
      </c>
      <c r="H2319" s="375">
        <v>0</v>
      </c>
      <c r="I2319" s="375" t="s">
        <v>754</v>
      </c>
      <c r="J2319" s="375">
        <v>179659.32333000001</v>
      </c>
      <c r="K2319" s="375">
        <v>-2363.0913999999998</v>
      </c>
      <c r="L2319" s="375">
        <v>-1365.1704099999999</v>
      </c>
      <c r="M2319" s="375">
        <v>47119.784019999999</v>
      </c>
      <c r="N2319" s="372">
        <v>0.73799999999999999</v>
      </c>
      <c r="O2319" s="704">
        <v>135.57932476890906</v>
      </c>
      <c r="P2319" s="563" t="s">
        <v>622</v>
      </c>
      <c r="Q2319" s="372" t="s">
        <v>622</v>
      </c>
      <c r="R2319" s="696">
        <v>19961122</v>
      </c>
      <c r="S2319" s="372" t="s">
        <v>14802</v>
      </c>
      <c r="T2319" s="697" t="s">
        <v>771</v>
      </c>
      <c r="U2319" s="372" t="s">
        <v>14803</v>
      </c>
      <c r="V2319" s="723" t="s">
        <v>773</v>
      </c>
      <c r="W2319" s="723">
        <v>0.59</v>
      </c>
      <c r="X2319" s="723">
        <v>0.15</v>
      </c>
      <c r="Y2319" s="723" t="s">
        <v>773</v>
      </c>
      <c r="Z2319" s="382" t="s">
        <v>927</v>
      </c>
      <c r="AA2319" s="372">
        <v>1453.7073926</v>
      </c>
      <c r="AB2319" s="372">
        <v>1446.1908902</v>
      </c>
      <c r="AC2319" s="372">
        <v>1770.3884095000001</v>
      </c>
      <c r="AD2319" s="372">
        <v>1419.4490218000001</v>
      </c>
      <c r="AE2319" s="372">
        <v>0</v>
      </c>
      <c r="AF2319" s="372">
        <v>0</v>
      </c>
      <c r="AG2319" s="372">
        <v>0</v>
      </c>
      <c r="AH2319" s="372">
        <v>0</v>
      </c>
    </row>
    <row r="2320" spans="1:34">
      <c r="A2320" s="372" t="s">
        <v>14804</v>
      </c>
      <c r="B2320" s="372" t="s">
        <v>14805</v>
      </c>
      <c r="C2320" s="372" t="s">
        <v>14806</v>
      </c>
      <c r="D2320" s="374">
        <v>1101111293119</v>
      </c>
      <c r="E2320" s="372" t="s">
        <v>14807</v>
      </c>
      <c r="F2320" s="372" t="s">
        <v>14808</v>
      </c>
      <c r="G2320" s="375" t="s">
        <v>14808</v>
      </c>
      <c r="H2320" s="375" t="s">
        <v>1337</v>
      </c>
      <c r="I2320" s="375" t="s">
        <v>862</v>
      </c>
      <c r="J2320" s="375">
        <v>42854.50144</v>
      </c>
      <c r="K2320" s="375">
        <v>2159.85698</v>
      </c>
      <c r="L2320" s="375">
        <v>2316.1267699999999</v>
      </c>
      <c r="M2320" s="375">
        <v>17868.70624</v>
      </c>
      <c r="N2320" s="372">
        <v>0.86099999999999999</v>
      </c>
      <c r="O2320" s="704">
        <v>9.1310321380435813</v>
      </c>
      <c r="P2320" s="563" t="s">
        <v>622</v>
      </c>
      <c r="Q2320" s="372" t="s">
        <v>622</v>
      </c>
      <c r="R2320" s="696">
        <v>20150729</v>
      </c>
      <c r="S2320" s="372" t="s">
        <v>14809</v>
      </c>
      <c r="T2320" s="697">
        <v>0.20900000000000002</v>
      </c>
      <c r="U2320" s="372" t="s">
        <v>14810</v>
      </c>
      <c r="V2320" s="723">
        <v>0</v>
      </c>
      <c r="W2320" s="723">
        <v>0</v>
      </c>
      <c r="X2320" s="723">
        <v>0</v>
      </c>
      <c r="Y2320" s="723">
        <v>0</v>
      </c>
      <c r="Z2320" s="382" t="s">
        <v>927</v>
      </c>
      <c r="AA2320" s="372">
        <v>328.53346729999998</v>
      </c>
      <c r="AB2320" s="372">
        <v>341.93506209999998</v>
      </c>
      <c r="AC2320" s="372">
        <v>328.20905260000001</v>
      </c>
      <c r="AD2320" s="372">
        <v>364.54449390000002</v>
      </c>
      <c r="AE2320" s="372">
        <v>0</v>
      </c>
      <c r="AF2320" s="372">
        <v>0</v>
      </c>
      <c r="AG2320" s="372">
        <v>0</v>
      </c>
      <c r="AH2320" s="372">
        <v>0</v>
      </c>
    </row>
    <row r="2321" spans="1:34">
      <c r="A2321" s="372" t="s">
        <v>14811</v>
      </c>
      <c r="B2321" s="372" t="s">
        <v>14812</v>
      </c>
      <c r="C2321" s="372" t="s">
        <v>14813</v>
      </c>
      <c r="D2321" s="374">
        <v>1101113036096</v>
      </c>
      <c r="E2321" s="372" t="s">
        <v>14814</v>
      </c>
      <c r="F2321" s="372" t="s">
        <v>14815</v>
      </c>
      <c r="G2321" s="375" t="s">
        <v>14815</v>
      </c>
      <c r="H2321" s="375">
        <v>0</v>
      </c>
      <c r="I2321" s="375" t="s">
        <v>862</v>
      </c>
      <c r="J2321" s="375">
        <v>25048.47207</v>
      </c>
      <c r="K2321" s="375">
        <v>-1972.1749</v>
      </c>
      <c r="L2321" s="375">
        <v>-2502.9999200000002</v>
      </c>
      <c r="M2321" s="375">
        <v>21153.758249999999</v>
      </c>
      <c r="N2321" s="372">
        <v>0.53</v>
      </c>
      <c r="O2321" s="704">
        <v>54.602911477271562</v>
      </c>
      <c r="P2321" s="563" t="s">
        <v>622</v>
      </c>
      <c r="Q2321" s="372" t="s">
        <v>622</v>
      </c>
      <c r="R2321" s="696">
        <v>20140708</v>
      </c>
      <c r="S2321" s="372" t="s">
        <v>14816</v>
      </c>
      <c r="T2321" s="697" t="s">
        <v>771</v>
      </c>
      <c r="U2321" s="372" t="s">
        <v>14817</v>
      </c>
      <c r="V2321" s="723" t="s">
        <v>773</v>
      </c>
      <c r="W2321" s="723">
        <v>1.39</v>
      </c>
      <c r="X2321" s="723">
        <v>1.18</v>
      </c>
      <c r="Y2321" s="723" t="s">
        <v>773</v>
      </c>
      <c r="Z2321" s="382" t="s">
        <v>927</v>
      </c>
      <c r="AA2321" s="372">
        <v>228.4357747</v>
      </c>
      <c r="AB2321" s="372">
        <v>243.78112820000001</v>
      </c>
      <c r="AC2321" s="372">
        <v>240.47390429999999</v>
      </c>
      <c r="AD2321" s="372">
        <v>263.9565887</v>
      </c>
      <c r="AE2321" s="372">
        <v>0</v>
      </c>
      <c r="AF2321" s="372">
        <v>0</v>
      </c>
      <c r="AG2321" s="372">
        <v>0</v>
      </c>
      <c r="AH2321" s="372">
        <v>0</v>
      </c>
    </row>
    <row r="2322" spans="1:34">
      <c r="A2322" s="372" t="s">
        <v>14818</v>
      </c>
      <c r="B2322" s="372" t="s">
        <v>14819</v>
      </c>
      <c r="C2322" s="372" t="s">
        <v>14820</v>
      </c>
      <c r="D2322" s="374">
        <v>1101110574164</v>
      </c>
      <c r="E2322" s="372" t="s">
        <v>14821</v>
      </c>
      <c r="F2322" s="372" t="s">
        <v>9168</v>
      </c>
      <c r="G2322" s="375" t="s">
        <v>9168</v>
      </c>
      <c r="H2322" s="375" t="s">
        <v>753</v>
      </c>
      <c r="I2322" s="375" t="s">
        <v>754</v>
      </c>
      <c r="J2322" s="375">
        <v>49687.483269999997</v>
      </c>
      <c r="K2322" s="375">
        <v>-3517.4014999999999</v>
      </c>
      <c r="L2322" s="375">
        <v>-3147.52639</v>
      </c>
      <c r="M2322" s="375">
        <v>35826.50965</v>
      </c>
      <c r="N2322" s="372">
        <v>0.54400000000000004</v>
      </c>
      <c r="O2322" s="704">
        <v>19.83603144687817</v>
      </c>
      <c r="P2322" s="563" t="s">
        <v>622</v>
      </c>
      <c r="Q2322" s="372" t="s">
        <v>622</v>
      </c>
      <c r="R2322" s="696">
        <v>20061115</v>
      </c>
      <c r="S2322" s="372" t="s">
        <v>14822</v>
      </c>
      <c r="T2322" s="697" t="s">
        <v>771</v>
      </c>
      <c r="U2322" s="372" t="s">
        <v>14823</v>
      </c>
      <c r="V2322" s="723" t="s">
        <v>773</v>
      </c>
      <c r="W2322" s="723">
        <v>0.55000000000000004</v>
      </c>
      <c r="X2322" s="723">
        <v>0.43</v>
      </c>
      <c r="Y2322" s="723" t="s">
        <v>773</v>
      </c>
      <c r="Z2322" s="382" t="s">
        <v>927</v>
      </c>
      <c r="AA2322" s="372">
        <v>626.60644420000006</v>
      </c>
      <c r="AB2322" s="372">
        <v>882.4828278</v>
      </c>
      <c r="AC2322" s="372">
        <v>666.67583590000004</v>
      </c>
      <c r="AD2322" s="372">
        <v>435.04587020000002</v>
      </c>
      <c r="AE2322" s="372">
        <v>0</v>
      </c>
      <c r="AF2322" s="372">
        <v>0</v>
      </c>
      <c r="AG2322" s="372">
        <v>0</v>
      </c>
      <c r="AH2322" s="372">
        <v>0</v>
      </c>
    </row>
    <row r="2323" spans="1:34">
      <c r="A2323" s="372" t="s">
        <v>14824</v>
      </c>
      <c r="B2323" s="372" t="s">
        <v>14825</v>
      </c>
      <c r="C2323" s="372" t="s">
        <v>14826</v>
      </c>
      <c r="D2323" s="374">
        <v>1101118251277</v>
      </c>
      <c r="E2323" s="372" t="s">
        <v>14827</v>
      </c>
      <c r="F2323" s="372" t="s">
        <v>1143</v>
      </c>
      <c r="G2323" s="375" t="s">
        <v>1144</v>
      </c>
      <c r="H2323" s="375" t="s">
        <v>895</v>
      </c>
      <c r="I2323" s="375" t="s">
        <v>4413</v>
      </c>
      <c r="J2323" s="375">
        <v>0</v>
      </c>
      <c r="K2323" s="375">
        <v>0</v>
      </c>
      <c r="L2323" s="375">
        <v>0</v>
      </c>
      <c r="M2323" s="375">
        <v>0</v>
      </c>
      <c r="N2323" s="372" t="s">
        <v>1026</v>
      </c>
      <c r="O2323" s="704" t="s">
        <v>16301</v>
      </c>
      <c r="P2323" s="563" t="s">
        <v>622</v>
      </c>
      <c r="Q2323" s="372" t="s">
        <v>622</v>
      </c>
      <c r="R2323" s="696">
        <v>20220826</v>
      </c>
      <c r="S2323" s="372" t="e">
        <v>#N/A</v>
      </c>
      <c r="T2323" s="697" t="s">
        <v>771</v>
      </c>
      <c r="U2323" s="372">
        <v>0</v>
      </c>
      <c r="V2323" s="723">
        <v>0</v>
      </c>
      <c r="W2323" s="723">
        <v>0</v>
      </c>
      <c r="X2323" s="723">
        <v>0</v>
      </c>
      <c r="Y2323" s="723">
        <v>0</v>
      </c>
      <c r="Z2323" s="382" t="s">
        <v>773</v>
      </c>
      <c r="AA2323" s="372">
        <v>0</v>
      </c>
      <c r="AB2323" s="372">
        <v>0</v>
      </c>
      <c r="AC2323" s="372">
        <v>0</v>
      </c>
      <c r="AD2323" s="372">
        <v>0</v>
      </c>
      <c r="AE2323" s="372">
        <v>0</v>
      </c>
      <c r="AF2323" s="372">
        <v>0</v>
      </c>
      <c r="AG2323" s="372">
        <v>0</v>
      </c>
      <c r="AH2323" s="372">
        <v>0</v>
      </c>
    </row>
    <row r="2324" spans="1:34">
      <c r="A2324" s="372" t="s">
        <v>14828</v>
      </c>
      <c r="B2324" s="372" t="s">
        <v>14829</v>
      </c>
      <c r="C2324" s="372" t="s">
        <v>16093</v>
      </c>
      <c r="D2324" s="374">
        <v>1101110226327</v>
      </c>
      <c r="E2324" s="372" t="s">
        <v>16094</v>
      </c>
      <c r="F2324" s="372" t="s">
        <v>2511</v>
      </c>
      <c r="G2324" s="375" t="s">
        <v>2511</v>
      </c>
      <c r="H2324" s="375" t="s">
        <v>861</v>
      </c>
      <c r="I2324" s="375" t="s">
        <v>862</v>
      </c>
      <c r="J2324" s="375">
        <v>15288.7233</v>
      </c>
      <c r="K2324" s="375">
        <v>-6696.2049900000002</v>
      </c>
      <c r="L2324" s="375">
        <v>-5242.4408700000004</v>
      </c>
      <c r="M2324" s="375">
        <v>26696.876670000001</v>
      </c>
      <c r="N2324" s="372">
        <v>1.3220000000000001</v>
      </c>
      <c r="O2324" s="704">
        <v>45.21679889836323</v>
      </c>
      <c r="P2324" s="563" t="s">
        <v>622</v>
      </c>
      <c r="Q2324" s="372" t="s">
        <v>622</v>
      </c>
      <c r="R2324" s="696">
        <v>20020115</v>
      </c>
      <c r="S2324" s="372" t="s">
        <v>14830</v>
      </c>
      <c r="T2324" s="697" t="s">
        <v>771</v>
      </c>
      <c r="U2324" s="372" t="s">
        <v>14831</v>
      </c>
      <c r="V2324" s="723" t="s">
        <v>773</v>
      </c>
      <c r="W2324" s="723">
        <v>1.34</v>
      </c>
      <c r="X2324" s="723">
        <v>2.04</v>
      </c>
      <c r="Y2324" s="723" t="s">
        <v>773</v>
      </c>
      <c r="Z2324" s="382" t="s">
        <v>927</v>
      </c>
      <c r="AA2324" s="372">
        <v>80.590534399999996</v>
      </c>
      <c r="AB2324" s="372">
        <v>176.62419130000001</v>
      </c>
      <c r="AC2324" s="372">
        <v>111.32856630000001</v>
      </c>
      <c r="AD2324" s="372">
        <v>105.00794550000001</v>
      </c>
      <c r="AE2324" s="372">
        <v>0</v>
      </c>
      <c r="AF2324" s="372">
        <v>0</v>
      </c>
      <c r="AG2324" s="372">
        <v>0</v>
      </c>
      <c r="AH2324" s="372">
        <v>0</v>
      </c>
    </row>
    <row r="2325" spans="1:34">
      <c r="A2325" s="372" t="s">
        <v>14832</v>
      </c>
      <c r="B2325" s="372" t="s">
        <v>14833</v>
      </c>
      <c r="C2325" s="372" t="s">
        <v>14834</v>
      </c>
      <c r="D2325" s="374">
        <v>1746110001244</v>
      </c>
      <c r="E2325" s="372" t="s">
        <v>14835</v>
      </c>
      <c r="F2325" s="372" t="s">
        <v>1459</v>
      </c>
      <c r="G2325" s="375" t="s">
        <v>4119</v>
      </c>
      <c r="H2325" s="375" t="s">
        <v>8018</v>
      </c>
      <c r="I2325" s="375" t="s">
        <v>862</v>
      </c>
      <c r="J2325" s="375">
        <v>102924.50212999999</v>
      </c>
      <c r="K2325" s="375">
        <v>2499.96956</v>
      </c>
      <c r="L2325" s="375">
        <v>1539.80215</v>
      </c>
      <c r="M2325" s="375">
        <v>63718.825270000001</v>
      </c>
      <c r="N2325" s="372">
        <v>0.60599999999999998</v>
      </c>
      <c r="O2325" s="704">
        <v>123.01154277788055</v>
      </c>
      <c r="P2325" s="563" t="s">
        <v>622</v>
      </c>
      <c r="Q2325" s="372" t="s">
        <v>622</v>
      </c>
      <c r="R2325" s="696">
        <v>19970315</v>
      </c>
      <c r="S2325" s="372" t="s">
        <v>14836</v>
      </c>
      <c r="T2325" s="697">
        <v>0.20900000000000002</v>
      </c>
      <c r="U2325" s="372" t="s">
        <v>14837</v>
      </c>
      <c r="V2325" s="723">
        <v>0</v>
      </c>
      <c r="W2325" s="723">
        <v>0</v>
      </c>
      <c r="X2325" s="723">
        <v>0</v>
      </c>
      <c r="Y2325" s="723">
        <v>0</v>
      </c>
      <c r="Z2325" s="382" t="s">
        <v>927</v>
      </c>
      <c r="AA2325" s="372">
        <v>834.49244150000004</v>
      </c>
      <c r="AB2325" s="372">
        <v>853.68837189999999</v>
      </c>
      <c r="AC2325" s="372">
        <v>919.7931585</v>
      </c>
      <c r="AD2325" s="372">
        <v>996.68556009999998</v>
      </c>
      <c r="AE2325" s="372">
        <v>0</v>
      </c>
      <c r="AF2325" s="372">
        <v>0</v>
      </c>
      <c r="AG2325" s="372">
        <v>0</v>
      </c>
      <c r="AH2325" s="372">
        <v>0</v>
      </c>
    </row>
    <row r="2326" spans="1:34">
      <c r="A2326" s="372" t="s">
        <v>14838</v>
      </c>
      <c r="B2326" s="372" t="s">
        <v>14839</v>
      </c>
      <c r="C2326" s="372" t="s">
        <v>14840</v>
      </c>
      <c r="D2326" s="374">
        <v>1601110007032</v>
      </c>
      <c r="E2326" s="372" t="s">
        <v>14841</v>
      </c>
      <c r="F2326" s="372" t="s">
        <v>16139</v>
      </c>
      <c r="G2326" s="375" t="s">
        <v>14842</v>
      </c>
      <c r="H2326" s="375" t="s">
        <v>792</v>
      </c>
      <c r="I2326" s="375" t="s">
        <v>754</v>
      </c>
      <c r="J2326" s="375">
        <v>69259.158599999995</v>
      </c>
      <c r="K2326" s="375">
        <v>-16787.04751</v>
      </c>
      <c r="L2326" s="375">
        <v>-12003.9609</v>
      </c>
      <c r="M2326" s="375">
        <v>29463.702160000001</v>
      </c>
      <c r="N2326" s="372">
        <v>0.53400000000000003</v>
      </c>
      <c r="O2326" s="704">
        <v>244.05825867270846</v>
      </c>
      <c r="P2326" s="563" t="s">
        <v>622</v>
      </c>
      <c r="Q2326" s="372" t="s">
        <v>622</v>
      </c>
      <c r="R2326" s="696">
        <v>19760525</v>
      </c>
      <c r="S2326" s="372" t="s">
        <v>14843</v>
      </c>
      <c r="T2326" s="697" t="s">
        <v>771</v>
      </c>
      <c r="U2326" s="372" t="s">
        <v>14844</v>
      </c>
      <c r="V2326" s="723" t="s">
        <v>773</v>
      </c>
      <c r="W2326" s="723">
        <v>1.08</v>
      </c>
      <c r="X2326" s="723">
        <v>0.36</v>
      </c>
      <c r="Y2326" s="723" t="s">
        <v>773</v>
      </c>
      <c r="Z2326" s="382" t="s">
        <v>927</v>
      </c>
      <c r="AA2326" s="372">
        <v>1178.3437506</v>
      </c>
      <c r="AB2326" s="372">
        <v>1335.1043792</v>
      </c>
      <c r="AC2326" s="372">
        <v>1170.5874051000001</v>
      </c>
      <c r="AD2326" s="372">
        <v>784.06266619999997</v>
      </c>
      <c r="AE2326" s="372">
        <v>0</v>
      </c>
      <c r="AF2326" s="372">
        <v>0</v>
      </c>
      <c r="AG2326" s="372">
        <v>0</v>
      </c>
      <c r="AH2326" s="372">
        <v>0</v>
      </c>
    </row>
    <row r="2327" spans="1:34">
      <c r="A2327" s="372" t="s">
        <v>14845</v>
      </c>
      <c r="B2327" s="372" t="s">
        <v>14846</v>
      </c>
      <c r="C2327" s="372" t="s">
        <v>14847</v>
      </c>
      <c r="D2327" s="374">
        <v>1101115782473</v>
      </c>
      <c r="E2327" s="372" t="s">
        <v>14848</v>
      </c>
      <c r="F2327" s="372" t="s">
        <v>10063</v>
      </c>
      <c r="G2327" s="375" t="s">
        <v>10063</v>
      </c>
      <c r="H2327" s="375" t="s">
        <v>861</v>
      </c>
      <c r="I2327" s="375" t="s">
        <v>862</v>
      </c>
      <c r="J2327" s="375">
        <v>103099.72616000001</v>
      </c>
      <c r="K2327" s="375">
        <v>5963.4363599999997</v>
      </c>
      <c r="L2327" s="375">
        <v>5168.67911</v>
      </c>
      <c r="M2327" s="375">
        <v>78243.989619999993</v>
      </c>
      <c r="N2327" s="372">
        <v>0.72499999999999998</v>
      </c>
      <c r="O2327" s="704">
        <v>57.091482779711257</v>
      </c>
      <c r="P2327" s="563" t="s">
        <v>622</v>
      </c>
      <c r="Q2327" s="372" t="s">
        <v>622</v>
      </c>
      <c r="R2327" s="696">
        <v>20151005</v>
      </c>
      <c r="S2327" s="372" t="s">
        <v>14849</v>
      </c>
      <c r="T2327" s="697">
        <v>0.20900000000000002</v>
      </c>
      <c r="U2327" s="372" t="s">
        <v>14850</v>
      </c>
      <c r="V2327" s="723">
        <v>2.86</v>
      </c>
      <c r="W2327" s="723">
        <v>0.31</v>
      </c>
      <c r="X2327" s="723">
        <v>0.24</v>
      </c>
      <c r="Y2327" s="723">
        <v>6.4</v>
      </c>
      <c r="Z2327" s="382" t="s">
        <v>927</v>
      </c>
      <c r="AA2327" s="372">
        <v>580.92503639999995</v>
      </c>
      <c r="AB2327" s="372">
        <v>863.75355000000002</v>
      </c>
      <c r="AC2327" s="372">
        <v>1099.4279776000001</v>
      </c>
      <c r="AD2327" s="372">
        <v>1060.0295939</v>
      </c>
      <c r="AE2327" s="372">
        <v>0</v>
      </c>
      <c r="AF2327" s="372">
        <v>0</v>
      </c>
      <c r="AG2327" s="372">
        <v>0</v>
      </c>
      <c r="AH2327" s="372">
        <v>0</v>
      </c>
    </row>
    <row r="2328" spans="1:34">
      <c r="A2328" s="372" t="s">
        <v>14851</v>
      </c>
      <c r="B2328" s="372" t="s">
        <v>14852</v>
      </c>
      <c r="C2328" s="372" t="s">
        <v>14853</v>
      </c>
      <c r="D2328" s="374">
        <v>1351110065750</v>
      </c>
      <c r="E2328" s="372" t="s">
        <v>14854</v>
      </c>
      <c r="F2328" s="372" t="s">
        <v>1276</v>
      </c>
      <c r="G2328" s="375" t="s">
        <v>1452</v>
      </c>
      <c r="H2328" s="375" t="s">
        <v>861</v>
      </c>
      <c r="I2328" s="375" t="s">
        <v>862</v>
      </c>
      <c r="J2328" s="375">
        <v>34528.216869999997</v>
      </c>
      <c r="K2328" s="375">
        <v>870.08771999999999</v>
      </c>
      <c r="L2328" s="375">
        <v>4385.4407199999996</v>
      </c>
      <c r="M2328" s="375">
        <v>59526.669430000002</v>
      </c>
      <c r="N2328" s="372">
        <v>0.55300000000000005</v>
      </c>
      <c r="O2328" s="704">
        <v>131.32627180466122</v>
      </c>
      <c r="P2328" s="563" t="s">
        <v>622</v>
      </c>
      <c r="Q2328" s="372" t="s">
        <v>622</v>
      </c>
      <c r="R2328" s="696">
        <v>20131227</v>
      </c>
      <c r="S2328" s="372" t="s">
        <v>14855</v>
      </c>
      <c r="T2328" s="697">
        <v>0.20900000000000002</v>
      </c>
      <c r="U2328" s="372" t="s">
        <v>14856</v>
      </c>
      <c r="V2328" s="723">
        <v>0</v>
      </c>
      <c r="W2328" s="723">
        <v>0</v>
      </c>
      <c r="X2328" s="723">
        <v>0</v>
      </c>
      <c r="Y2328" s="723">
        <v>0</v>
      </c>
      <c r="Z2328" s="382" t="s">
        <v>927</v>
      </c>
      <c r="AA2328" s="372">
        <v>1510.6472226000001</v>
      </c>
      <c r="AB2328" s="372">
        <v>1345.4917310999999</v>
      </c>
      <c r="AC2328" s="372">
        <v>1578.7242329999999</v>
      </c>
      <c r="AD2328" s="372">
        <v>1587.7041529999999</v>
      </c>
      <c r="AE2328" s="372">
        <v>0</v>
      </c>
      <c r="AF2328" s="372">
        <v>0</v>
      </c>
      <c r="AG2328" s="372">
        <v>0</v>
      </c>
      <c r="AH2328" s="372">
        <v>0</v>
      </c>
    </row>
    <row r="2329" spans="1:34">
      <c r="A2329" s="372" t="s">
        <v>14857</v>
      </c>
      <c r="B2329" s="372" t="s">
        <v>14858</v>
      </c>
      <c r="C2329" s="372" t="s">
        <v>14859</v>
      </c>
      <c r="D2329" s="374">
        <v>1201110001769</v>
      </c>
      <c r="E2329" s="372" t="s">
        <v>14860</v>
      </c>
      <c r="F2329" s="372" t="s">
        <v>1537</v>
      </c>
      <c r="G2329" s="375" t="s">
        <v>1538</v>
      </c>
      <c r="H2329" s="375" t="s">
        <v>861</v>
      </c>
      <c r="I2329" s="375" t="s">
        <v>862</v>
      </c>
      <c r="J2329" s="375">
        <v>26542.830010000001</v>
      </c>
      <c r="K2329" s="375">
        <v>-3370.1878999999999</v>
      </c>
      <c r="L2329" s="375">
        <v>-4370.7695599999997</v>
      </c>
      <c r="M2329" s="375">
        <v>20627.67236</v>
      </c>
      <c r="N2329" s="372">
        <v>0.65300000000000002</v>
      </c>
      <c r="O2329" s="704">
        <v>80.766022764074521</v>
      </c>
      <c r="P2329" s="563" t="s">
        <v>622</v>
      </c>
      <c r="Q2329" s="372" t="s">
        <v>622</v>
      </c>
      <c r="R2329" s="696">
        <v>19970718</v>
      </c>
      <c r="S2329" s="372" t="s">
        <v>14861</v>
      </c>
      <c r="T2329" s="697" t="s">
        <v>771</v>
      </c>
      <c r="U2329" s="372" t="s">
        <v>14862</v>
      </c>
      <c r="V2329" s="723">
        <v>0</v>
      </c>
      <c r="W2329" s="723">
        <v>0</v>
      </c>
      <c r="X2329" s="723">
        <v>0</v>
      </c>
      <c r="Y2329" s="723">
        <v>0</v>
      </c>
      <c r="Z2329" s="382" t="s">
        <v>927</v>
      </c>
      <c r="AA2329" s="372">
        <v>290.83209690000001</v>
      </c>
      <c r="AB2329" s="372">
        <v>308.7098886</v>
      </c>
      <c r="AC2329" s="372">
        <v>333.00032709999999</v>
      </c>
      <c r="AD2329" s="372">
        <v>289.37832600000002</v>
      </c>
      <c r="AE2329" s="372">
        <v>0</v>
      </c>
      <c r="AF2329" s="372">
        <v>0</v>
      </c>
      <c r="AG2329" s="372">
        <v>0</v>
      </c>
      <c r="AH2329" s="372">
        <v>0</v>
      </c>
    </row>
    <row r="2330" spans="1:34">
      <c r="A2330" s="372" t="s">
        <v>14863</v>
      </c>
      <c r="B2330" s="372" t="s">
        <v>14864</v>
      </c>
      <c r="C2330" s="372" t="s">
        <v>14865</v>
      </c>
      <c r="D2330" s="374">
        <v>1101111551608</v>
      </c>
      <c r="E2330" s="372" t="s">
        <v>14866</v>
      </c>
      <c r="F2330" s="372" t="s">
        <v>2834</v>
      </c>
      <c r="G2330" s="375" t="s">
        <v>8395</v>
      </c>
      <c r="H2330" s="375" t="s">
        <v>861</v>
      </c>
      <c r="I2330" s="375" t="s">
        <v>862</v>
      </c>
      <c r="J2330" s="375">
        <v>35961.774790000003</v>
      </c>
      <c r="K2330" s="375">
        <v>-4314.3103899999996</v>
      </c>
      <c r="L2330" s="375">
        <v>-5567.12608</v>
      </c>
      <c r="M2330" s="375">
        <v>19029.45451</v>
      </c>
      <c r="N2330" s="372">
        <v>1.238</v>
      </c>
      <c r="O2330" s="704">
        <v>35.873796121952651</v>
      </c>
      <c r="P2330" s="563" t="s">
        <v>622</v>
      </c>
      <c r="Q2330" s="372" t="s">
        <v>622</v>
      </c>
      <c r="R2330" s="696">
        <v>20051129</v>
      </c>
      <c r="S2330" s="372" t="s">
        <v>14867</v>
      </c>
      <c r="T2330" s="697" t="s">
        <v>771</v>
      </c>
      <c r="U2330" s="372" t="s">
        <v>14868</v>
      </c>
      <c r="V2330" s="723" t="s">
        <v>773</v>
      </c>
      <c r="W2330" s="723">
        <v>1.21</v>
      </c>
      <c r="X2330" s="723">
        <v>0.66</v>
      </c>
      <c r="Y2330" s="723" t="s">
        <v>773</v>
      </c>
      <c r="Z2330" s="382" t="s">
        <v>927</v>
      </c>
      <c r="AA2330" s="372">
        <v>278.97101129999999</v>
      </c>
      <c r="AB2330" s="372">
        <v>389.49658740000001</v>
      </c>
      <c r="AC2330" s="372">
        <v>555.73936749999996</v>
      </c>
      <c r="AD2330" s="372">
        <v>632.13111679999997</v>
      </c>
      <c r="AE2330" s="372">
        <v>0</v>
      </c>
      <c r="AF2330" s="372">
        <v>0</v>
      </c>
      <c r="AG2330" s="372">
        <v>0</v>
      </c>
      <c r="AH2330" s="372">
        <v>0</v>
      </c>
    </row>
    <row r="2331" spans="1:34">
      <c r="A2331" s="372" t="s">
        <v>14869</v>
      </c>
      <c r="B2331" s="372" t="s">
        <v>14870</v>
      </c>
      <c r="C2331" s="372" t="s">
        <v>14871</v>
      </c>
      <c r="D2331" s="374">
        <v>1101110192635</v>
      </c>
      <c r="E2331" s="372" t="s">
        <v>14872</v>
      </c>
      <c r="F2331" s="372" t="s">
        <v>4191</v>
      </c>
      <c r="G2331" s="375" t="s">
        <v>14873</v>
      </c>
      <c r="H2331" s="375" t="s">
        <v>968</v>
      </c>
      <c r="I2331" s="375" t="s">
        <v>754</v>
      </c>
      <c r="J2331" s="375">
        <v>263085.65784</v>
      </c>
      <c r="K2331" s="375">
        <v>2073.1256699999999</v>
      </c>
      <c r="L2331" s="375">
        <v>-8456.5783499999998</v>
      </c>
      <c r="M2331" s="375">
        <v>42289.740949999999</v>
      </c>
      <c r="N2331" s="372">
        <v>0.63300000000000001</v>
      </c>
      <c r="O2331" s="704">
        <v>104.80278908770384</v>
      </c>
      <c r="P2331" s="563" t="s">
        <v>622</v>
      </c>
      <c r="Q2331" s="372" t="s">
        <v>622</v>
      </c>
      <c r="R2331" s="696">
        <v>19950708</v>
      </c>
      <c r="S2331" s="372" t="s">
        <v>14874</v>
      </c>
      <c r="T2331" s="697" t="s">
        <v>771</v>
      </c>
      <c r="U2331" s="372" t="s">
        <v>14875</v>
      </c>
      <c r="V2331" s="723">
        <v>10.39</v>
      </c>
      <c r="W2331" s="723">
        <v>0.83</v>
      </c>
      <c r="X2331" s="723">
        <v>0.14000000000000001</v>
      </c>
      <c r="Y2331" s="723" t="s">
        <v>773</v>
      </c>
      <c r="Z2331" s="382" t="s">
        <v>927</v>
      </c>
      <c r="AA2331" s="372">
        <v>2336.8043956000001</v>
      </c>
      <c r="AB2331" s="372">
        <v>2017.7169142</v>
      </c>
      <c r="AC2331" s="372">
        <v>2059.5633607999998</v>
      </c>
      <c r="AD2331" s="372">
        <v>2306.1747552000002</v>
      </c>
      <c r="AE2331" s="372">
        <v>0</v>
      </c>
      <c r="AF2331" s="372">
        <v>0</v>
      </c>
      <c r="AG2331" s="372">
        <v>0</v>
      </c>
      <c r="AH2331" s="372">
        <v>0</v>
      </c>
    </row>
    <row r="2332" spans="1:34">
      <c r="A2332" s="372" t="s">
        <v>14876</v>
      </c>
      <c r="B2332" s="372" t="s">
        <v>14877</v>
      </c>
      <c r="C2332" s="372" t="s">
        <v>14878</v>
      </c>
      <c r="D2332" s="374">
        <v>1845110001541</v>
      </c>
      <c r="E2332" s="372" t="s">
        <v>14879</v>
      </c>
      <c r="F2332" s="372" t="s">
        <v>1863</v>
      </c>
      <c r="G2332" s="375" t="s">
        <v>1864</v>
      </c>
      <c r="H2332" s="375" t="s">
        <v>861</v>
      </c>
      <c r="I2332" s="375" t="s">
        <v>862</v>
      </c>
      <c r="J2332" s="375">
        <v>164037.28466</v>
      </c>
      <c r="K2332" s="375">
        <v>6988.9821400000001</v>
      </c>
      <c r="L2332" s="375">
        <v>-4204.8107200000004</v>
      </c>
      <c r="M2332" s="375">
        <v>34031.430950000002</v>
      </c>
      <c r="N2332" s="372">
        <v>0.751</v>
      </c>
      <c r="O2332" s="704">
        <v>163.83091479832481</v>
      </c>
      <c r="P2332" s="563" t="s">
        <v>622</v>
      </c>
      <c r="Q2332" s="372" t="s">
        <v>622</v>
      </c>
      <c r="R2332" s="696">
        <v>20010814</v>
      </c>
      <c r="S2332" s="372" t="s">
        <v>14880</v>
      </c>
      <c r="T2332" s="697" t="s">
        <v>771</v>
      </c>
      <c r="U2332" s="372" t="s">
        <v>14881</v>
      </c>
      <c r="V2332" s="723">
        <v>2.89</v>
      </c>
      <c r="W2332" s="723">
        <v>0.56000000000000005</v>
      </c>
      <c r="X2332" s="723">
        <v>0.12</v>
      </c>
      <c r="Y2332" s="723" t="s">
        <v>773</v>
      </c>
      <c r="Z2332" s="382" t="s">
        <v>927</v>
      </c>
      <c r="AA2332" s="372">
        <v>1193.7079002999999</v>
      </c>
      <c r="AB2332" s="372">
        <v>1284.3225041999999</v>
      </c>
      <c r="AC2332" s="372">
        <v>1560.5132822999999</v>
      </c>
      <c r="AD2332" s="372">
        <v>1698.9521256</v>
      </c>
      <c r="AE2332" s="372">
        <v>0</v>
      </c>
      <c r="AF2332" s="372">
        <v>0</v>
      </c>
      <c r="AG2332" s="372">
        <v>0</v>
      </c>
      <c r="AH2332" s="372">
        <v>0</v>
      </c>
    </row>
    <row r="2333" spans="1:34">
      <c r="A2333" s="372" t="s">
        <v>14882</v>
      </c>
      <c r="B2333" s="372" t="s">
        <v>14883</v>
      </c>
      <c r="C2333" s="372" t="s">
        <v>14884</v>
      </c>
      <c r="D2333" s="374">
        <v>1741110002630</v>
      </c>
      <c r="E2333" s="372" t="s">
        <v>14885</v>
      </c>
      <c r="F2333" s="372" t="s">
        <v>10606</v>
      </c>
      <c r="G2333" s="375" t="s">
        <v>10607</v>
      </c>
      <c r="H2333" s="375" t="s">
        <v>861</v>
      </c>
      <c r="I2333" s="375" t="s">
        <v>862</v>
      </c>
      <c r="J2333" s="375">
        <v>102767.72888</v>
      </c>
      <c r="K2333" s="375">
        <v>-6189.1426199999996</v>
      </c>
      <c r="L2333" s="375">
        <v>-6880.6073699999997</v>
      </c>
      <c r="M2333" s="375">
        <v>46271.985769999999</v>
      </c>
      <c r="N2333" s="372">
        <v>1.113</v>
      </c>
      <c r="O2333" s="704">
        <v>114.43080579969912</v>
      </c>
      <c r="P2333" s="563" t="s">
        <v>622</v>
      </c>
      <c r="Q2333" s="372" t="s">
        <v>622</v>
      </c>
      <c r="R2333" s="696">
        <v>19930723</v>
      </c>
      <c r="S2333" s="372" t="s">
        <v>14886</v>
      </c>
      <c r="T2333" s="697" t="s">
        <v>771</v>
      </c>
      <c r="U2333" s="372" t="s">
        <v>14887</v>
      </c>
      <c r="V2333" s="723">
        <v>0</v>
      </c>
      <c r="W2333" s="723">
        <v>0</v>
      </c>
      <c r="X2333" s="723">
        <v>0</v>
      </c>
      <c r="Y2333" s="723">
        <v>0</v>
      </c>
      <c r="Z2333" s="382" t="s">
        <v>927</v>
      </c>
      <c r="AA2333" s="372">
        <v>1111.1994336</v>
      </c>
      <c r="AB2333" s="372">
        <v>1342.7616198000001</v>
      </c>
      <c r="AC2333" s="372">
        <v>1469.3075675</v>
      </c>
      <c r="AD2333" s="372">
        <v>1330.6516174999999</v>
      </c>
      <c r="AE2333" s="372">
        <v>0</v>
      </c>
      <c r="AF2333" s="372">
        <v>0</v>
      </c>
      <c r="AG2333" s="372">
        <v>0</v>
      </c>
      <c r="AH2333" s="372">
        <v>0</v>
      </c>
    </row>
    <row r="2334" spans="1:34">
      <c r="A2334" s="372" t="s">
        <v>14888</v>
      </c>
      <c r="B2334" s="372" t="s">
        <v>14889</v>
      </c>
      <c r="C2334" s="372" t="s">
        <v>14890</v>
      </c>
      <c r="D2334" s="374">
        <v>1101118233415</v>
      </c>
      <c r="E2334" s="372" t="s">
        <v>14891</v>
      </c>
      <c r="F2334" s="372" t="s">
        <v>5769</v>
      </c>
      <c r="G2334" s="375" t="s">
        <v>5769</v>
      </c>
      <c r="H2334" s="375" t="s">
        <v>1337</v>
      </c>
      <c r="I2334" s="375" t="s">
        <v>862</v>
      </c>
      <c r="J2334" s="375">
        <v>26040.140790000001</v>
      </c>
      <c r="K2334" s="375">
        <v>-2155.6460000000002</v>
      </c>
      <c r="L2334" s="375">
        <v>-1756.3344300000001</v>
      </c>
      <c r="M2334" s="375">
        <v>24320.520659999998</v>
      </c>
      <c r="N2334" s="372">
        <v>0.72399999999999998</v>
      </c>
      <c r="O2334" s="704">
        <v>8.0302974962030849</v>
      </c>
      <c r="P2334" s="563" t="s">
        <v>622</v>
      </c>
      <c r="Q2334" s="372" t="s">
        <v>622</v>
      </c>
      <c r="R2334" s="696">
        <v>20220722</v>
      </c>
      <c r="S2334" s="372" t="s">
        <v>14892</v>
      </c>
      <c r="T2334" s="697" t="s">
        <v>771</v>
      </c>
      <c r="U2334" s="372" t="s">
        <v>14893</v>
      </c>
      <c r="V2334" s="723">
        <v>0</v>
      </c>
      <c r="W2334" s="723">
        <v>0</v>
      </c>
      <c r="X2334" s="723">
        <v>0</v>
      </c>
      <c r="Y2334" s="723">
        <v>0</v>
      </c>
      <c r="Z2334" s="382" t="s">
        <v>927</v>
      </c>
      <c r="AA2334" s="372">
        <v>195.72237509999999</v>
      </c>
      <c r="AB2334" s="372">
        <v>252.42361650000001</v>
      </c>
      <c r="AC2334" s="372">
        <v>272.10184659999999</v>
      </c>
      <c r="AD2334" s="372">
        <v>263.9429839</v>
      </c>
      <c r="AE2334" s="372">
        <v>0</v>
      </c>
      <c r="AF2334" s="372">
        <v>0</v>
      </c>
      <c r="AG2334" s="372">
        <v>0</v>
      </c>
      <c r="AH2334" s="372">
        <v>0</v>
      </c>
    </row>
    <row r="2335" spans="1:34">
      <c r="A2335" s="372" t="s">
        <v>14894</v>
      </c>
      <c r="B2335" s="372" t="s">
        <v>14895</v>
      </c>
      <c r="C2335" s="372" t="s">
        <v>14896</v>
      </c>
      <c r="D2335" s="374">
        <v>1943110000537</v>
      </c>
      <c r="E2335" s="372" t="s">
        <v>14897</v>
      </c>
      <c r="F2335" s="372" t="s">
        <v>1962</v>
      </c>
      <c r="G2335" s="375" t="s">
        <v>1962</v>
      </c>
      <c r="H2335" s="375" t="s">
        <v>1043</v>
      </c>
      <c r="I2335" s="375" t="s">
        <v>754</v>
      </c>
      <c r="J2335" s="375">
        <v>49691.90324</v>
      </c>
      <c r="K2335" s="375">
        <v>736.92489999999998</v>
      </c>
      <c r="L2335" s="375">
        <v>275.93758000000003</v>
      </c>
      <c r="M2335" s="375">
        <v>33014.329579999998</v>
      </c>
      <c r="N2335" s="372">
        <v>0.96099999999999997</v>
      </c>
      <c r="O2335" s="704">
        <v>19.938909868172573</v>
      </c>
      <c r="P2335" s="563" t="s">
        <v>622</v>
      </c>
      <c r="Q2335" s="372" t="s">
        <v>622</v>
      </c>
      <c r="R2335" s="696">
        <v>19970718</v>
      </c>
      <c r="S2335" s="372" t="s">
        <v>14898</v>
      </c>
      <c r="T2335" s="697">
        <v>0.20900000000000002</v>
      </c>
      <c r="U2335" s="372" t="s">
        <v>14899</v>
      </c>
      <c r="V2335" s="723">
        <v>0</v>
      </c>
      <c r="W2335" s="723">
        <v>0</v>
      </c>
      <c r="X2335" s="723">
        <v>0</v>
      </c>
      <c r="Y2335" s="723">
        <v>0</v>
      </c>
      <c r="Z2335" s="382" t="s">
        <v>927</v>
      </c>
      <c r="AA2335" s="372">
        <v>338.85845080000001</v>
      </c>
      <c r="AB2335" s="372">
        <v>453.09649949999999</v>
      </c>
      <c r="AC2335" s="372">
        <v>543.71102410000003</v>
      </c>
      <c r="AD2335" s="372">
        <v>538.11233049999998</v>
      </c>
      <c r="AE2335" s="372">
        <v>0</v>
      </c>
      <c r="AF2335" s="372">
        <v>0</v>
      </c>
      <c r="AG2335" s="372">
        <v>0</v>
      </c>
      <c r="AH2335" s="372">
        <v>0</v>
      </c>
    </row>
    <row r="2336" spans="1:34">
      <c r="A2336" s="372" t="s">
        <v>14900</v>
      </c>
      <c r="B2336" s="372" t="s">
        <v>14901</v>
      </c>
      <c r="C2336" s="372" t="s">
        <v>14902</v>
      </c>
      <c r="D2336" s="374">
        <v>1101111848675</v>
      </c>
      <c r="E2336" s="372" t="s">
        <v>14903</v>
      </c>
      <c r="F2336" s="372" t="s">
        <v>1370</v>
      </c>
      <c r="G2336" s="375" t="s">
        <v>1370</v>
      </c>
      <c r="H2336" s="375" t="s">
        <v>861</v>
      </c>
      <c r="I2336" s="375" t="s">
        <v>862</v>
      </c>
      <c r="J2336" s="375">
        <v>31250.659769999998</v>
      </c>
      <c r="K2336" s="375">
        <v>-2656.3098</v>
      </c>
      <c r="L2336" s="375">
        <v>-3232.0066099999999</v>
      </c>
      <c r="M2336" s="375">
        <v>7407.1518900000001</v>
      </c>
      <c r="N2336" s="372">
        <v>0.443</v>
      </c>
      <c r="O2336" s="704">
        <v>4.2437106830889721</v>
      </c>
      <c r="P2336" s="563" t="s">
        <v>622</v>
      </c>
      <c r="Q2336" s="372" t="s">
        <v>622</v>
      </c>
      <c r="R2336" s="696">
        <v>20140121</v>
      </c>
      <c r="S2336" s="372" t="s">
        <v>14904</v>
      </c>
      <c r="T2336" s="697" t="s">
        <v>771</v>
      </c>
      <c r="U2336" s="372" t="s">
        <v>14905</v>
      </c>
      <c r="V2336" s="723" t="s">
        <v>773</v>
      </c>
      <c r="W2336" s="723">
        <v>2.67</v>
      </c>
      <c r="X2336" s="723">
        <v>0.62</v>
      </c>
      <c r="Y2336" s="723" t="s">
        <v>773</v>
      </c>
      <c r="Z2336" s="382" t="s">
        <v>927</v>
      </c>
      <c r="AA2336" s="372">
        <v>226.4554593</v>
      </c>
      <c r="AB2336" s="372">
        <v>280.67131999999998</v>
      </c>
      <c r="AC2336" s="372">
        <v>314.61108080000002</v>
      </c>
      <c r="AD2336" s="372">
        <v>318.31832250000002</v>
      </c>
      <c r="AE2336" s="372">
        <v>0</v>
      </c>
      <c r="AF2336" s="372">
        <v>0</v>
      </c>
      <c r="AG2336" s="372">
        <v>0</v>
      </c>
      <c r="AH2336" s="372">
        <v>0</v>
      </c>
    </row>
    <row r="2337" spans="1:34">
      <c r="A2337" s="372" t="s">
        <v>14906</v>
      </c>
      <c r="B2337" s="372" t="s">
        <v>14907</v>
      </c>
      <c r="C2337" s="372" t="s">
        <v>16059</v>
      </c>
      <c r="D2337" s="374">
        <v>1101110527767</v>
      </c>
      <c r="E2337" s="372" t="s">
        <v>15969</v>
      </c>
      <c r="F2337" s="372" t="s">
        <v>845</v>
      </c>
      <c r="G2337" s="375" t="s">
        <v>845</v>
      </c>
      <c r="H2337" s="375" t="s">
        <v>3099</v>
      </c>
      <c r="I2337" s="375" t="s">
        <v>862</v>
      </c>
      <c r="J2337" s="375">
        <v>13691.627119999999</v>
      </c>
      <c r="K2337" s="375">
        <v>-5004.8292799999999</v>
      </c>
      <c r="L2337" s="375">
        <v>-19355.953679999999</v>
      </c>
      <c r="M2337" s="375">
        <v>37632.130140000001</v>
      </c>
      <c r="N2337" s="372">
        <v>0.45800000000000002</v>
      </c>
      <c r="O2337" s="704">
        <v>20.794849777958426</v>
      </c>
      <c r="P2337" s="563" t="s">
        <v>622</v>
      </c>
      <c r="Q2337" s="372" t="s">
        <v>622</v>
      </c>
      <c r="R2337" s="696">
        <v>20011009</v>
      </c>
      <c r="S2337" s="372" t="s">
        <v>14908</v>
      </c>
      <c r="T2337" s="697" t="s">
        <v>771</v>
      </c>
      <c r="U2337" s="372" t="s">
        <v>15970</v>
      </c>
      <c r="V2337" s="723" t="s">
        <v>773</v>
      </c>
      <c r="W2337" s="723">
        <v>1.1499999999999999</v>
      </c>
      <c r="X2337" s="723">
        <v>3.05</v>
      </c>
      <c r="Y2337" s="723" t="s">
        <v>773</v>
      </c>
      <c r="Z2337" s="382" t="s">
        <v>927</v>
      </c>
      <c r="AA2337" s="372">
        <v>52.0671058</v>
      </c>
      <c r="AB2337" s="372">
        <v>88.481734099999997</v>
      </c>
      <c r="AC2337" s="372">
        <v>38.965715099999997</v>
      </c>
      <c r="AD2337" s="372">
        <v>158.94717009999999</v>
      </c>
      <c r="AE2337" s="372">
        <v>0</v>
      </c>
      <c r="AF2337" s="372">
        <v>0</v>
      </c>
      <c r="AG2337" s="372">
        <v>0</v>
      </c>
      <c r="AH2337" s="372">
        <v>0</v>
      </c>
    </row>
    <row r="2338" spans="1:34">
      <c r="A2338" s="372" t="s">
        <v>14909</v>
      </c>
      <c r="B2338" s="372" t="s">
        <v>14910</v>
      </c>
      <c r="C2338" s="372" t="s">
        <v>14911</v>
      </c>
      <c r="D2338" s="374">
        <v>1101113301944</v>
      </c>
      <c r="E2338" s="372" t="s">
        <v>14912</v>
      </c>
      <c r="F2338" s="372" t="s">
        <v>1096</v>
      </c>
      <c r="G2338" s="375" t="s">
        <v>1097</v>
      </c>
      <c r="H2338" s="375" t="s">
        <v>861</v>
      </c>
      <c r="I2338" s="375" t="s">
        <v>862</v>
      </c>
      <c r="J2338" s="375">
        <v>10317.645780000001</v>
      </c>
      <c r="K2338" s="375">
        <v>1028.47066</v>
      </c>
      <c r="L2338" s="375">
        <v>1488.9969699999999</v>
      </c>
      <c r="M2338" s="375">
        <v>16460.46225</v>
      </c>
      <c r="N2338" s="372">
        <v>0.439</v>
      </c>
      <c r="O2338" s="704">
        <v>0.51792469156607723</v>
      </c>
      <c r="P2338" s="563" t="s">
        <v>622</v>
      </c>
      <c r="Q2338" s="372" t="s">
        <v>622</v>
      </c>
      <c r="R2338" s="696">
        <v>20200427</v>
      </c>
      <c r="S2338" s="372" t="s">
        <v>14913</v>
      </c>
      <c r="T2338" s="697">
        <v>0.20900000000000002</v>
      </c>
      <c r="U2338" s="372" t="s">
        <v>14914</v>
      </c>
      <c r="V2338" s="723">
        <v>0</v>
      </c>
      <c r="W2338" s="723">
        <v>0</v>
      </c>
      <c r="X2338" s="723">
        <v>0</v>
      </c>
      <c r="Y2338" s="723">
        <v>0</v>
      </c>
      <c r="Z2338" s="382" t="s">
        <v>927</v>
      </c>
      <c r="AA2338" s="372">
        <v>71.814106600000002</v>
      </c>
      <c r="AB2338" s="372">
        <v>93.850178200000002</v>
      </c>
      <c r="AC2338" s="372">
        <v>91.393867299999997</v>
      </c>
      <c r="AD2338" s="372">
        <v>101.0104048</v>
      </c>
      <c r="AE2338" s="372">
        <v>0</v>
      </c>
      <c r="AF2338" s="372">
        <v>0</v>
      </c>
      <c r="AG2338" s="372">
        <v>0</v>
      </c>
      <c r="AH2338" s="372">
        <v>0</v>
      </c>
    </row>
    <row r="2339" spans="1:34">
      <c r="A2339" s="372" t="s">
        <v>14915</v>
      </c>
      <c r="B2339" s="372" t="s">
        <v>14916</v>
      </c>
      <c r="C2339" s="372" t="s">
        <v>16060</v>
      </c>
      <c r="D2339" s="374">
        <v>1101110511588</v>
      </c>
      <c r="E2339" s="372" t="s">
        <v>16061</v>
      </c>
      <c r="F2339" s="372" t="s">
        <v>3885</v>
      </c>
      <c r="G2339" s="375" t="s">
        <v>7794</v>
      </c>
      <c r="H2339" s="375" t="s">
        <v>895</v>
      </c>
      <c r="I2339" s="375" t="s">
        <v>862</v>
      </c>
      <c r="J2339" s="375">
        <v>0</v>
      </c>
      <c r="K2339" s="375">
        <v>0</v>
      </c>
      <c r="L2339" s="375">
        <v>0</v>
      </c>
      <c r="M2339" s="375">
        <v>0</v>
      </c>
      <c r="N2339" s="372">
        <v>0.70199999999999996</v>
      </c>
      <c r="O2339" s="704" t="s">
        <v>16301</v>
      </c>
      <c r="P2339" s="563" t="s">
        <v>622</v>
      </c>
      <c r="Q2339" s="372" t="s">
        <v>622</v>
      </c>
      <c r="R2339" s="696">
        <v>19890307</v>
      </c>
      <c r="S2339" s="372" t="s">
        <v>14917</v>
      </c>
      <c r="T2339" s="697" t="s">
        <v>771</v>
      </c>
      <c r="U2339" s="372" t="s">
        <v>14918</v>
      </c>
      <c r="V2339" s="723">
        <v>0</v>
      </c>
      <c r="W2339" s="723">
        <v>0</v>
      </c>
      <c r="X2339" s="723">
        <v>0</v>
      </c>
      <c r="Y2339" s="723">
        <v>0</v>
      </c>
      <c r="Z2339" s="382" t="s">
        <v>927</v>
      </c>
      <c r="AA2339" s="372">
        <v>439.8008777</v>
      </c>
      <c r="AB2339" s="372">
        <v>264.65241420000001</v>
      </c>
      <c r="AC2339" s="372">
        <v>68.805197500000006</v>
      </c>
      <c r="AD2339" s="372">
        <v>69.508696200000003</v>
      </c>
      <c r="AE2339" s="372">
        <v>0</v>
      </c>
      <c r="AF2339" s="372">
        <v>0</v>
      </c>
      <c r="AG2339" s="372">
        <v>0</v>
      </c>
      <c r="AH2339" s="372">
        <v>0</v>
      </c>
    </row>
    <row r="2340" spans="1:34">
      <c r="A2340" s="372" t="s">
        <v>14919</v>
      </c>
      <c r="B2340" s="372" t="s">
        <v>14920</v>
      </c>
      <c r="C2340" s="372" t="s">
        <v>14921</v>
      </c>
      <c r="D2340" s="374">
        <v>1101110224727</v>
      </c>
      <c r="E2340" s="372" t="s">
        <v>14922</v>
      </c>
      <c r="F2340" s="372" t="s">
        <v>9928</v>
      </c>
      <c r="G2340" s="375" t="s">
        <v>9928</v>
      </c>
      <c r="H2340" s="375" t="s">
        <v>3099</v>
      </c>
      <c r="I2340" s="375" t="s">
        <v>862</v>
      </c>
      <c r="J2340" s="375">
        <v>91597.728210000001</v>
      </c>
      <c r="K2340" s="375">
        <v>539.16057000000001</v>
      </c>
      <c r="L2340" s="375">
        <v>-461.70166</v>
      </c>
      <c r="M2340" s="375">
        <v>17319.80127</v>
      </c>
      <c r="N2340" s="372">
        <v>0.66400000000000003</v>
      </c>
      <c r="O2340" s="704">
        <v>79.253954274193546</v>
      </c>
      <c r="P2340" s="563" t="s">
        <v>622</v>
      </c>
      <c r="Q2340" s="372" t="s">
        <v>622</v>
      </c>
      <c r="R2340" s="696">
        <v>19950630</v>
      </c>
      <c r="S2340" s="372" t="s">
        <v>14923</v>
      </c>
      <c r="T2340" s="697" t="s">
        <v>771</v>
      </c>
      <c r="U2340" s="372" t="s">
        <v>14924</v>
      </c>
      <c r="V2340" s="723">
        <v>26.4</v>
      </c>
      <c r="W2340" s="723">
        <v>1.44</v>
      </c>
      <c r="X2340" s="723">
        <v>0.27</v>
      </c>
      <c r="Y2340" s="723" t="s">
        <v>773</v>
      </c>
      <c r="Z2340" s="382" t="s">
        <v>927</v>
      </c>
      <c r="AA2340" s="372">
        <v>627.44276549999995</v>
      </c>
      <c r="AB2340" s="372">
        <v>712.98676469999998</v>
      </c>
      <c r="AC2340" s="372">
        <v>734.2193426</v>
      </c>
      <c r="AD2340" s="372">
        <v>883.77059729999996</v>
      </c>
      <c r="AE2340" s="372">
        <v>0</v>
      </c>
      <c r="AF2340" s="372">
        <v>0</v>
      </c>
      <c r="AG2340" s="372">
        <v>0</v>
      </c>
      <c r="AH2340" s="372">
        <v>0</v>
      </c>
    </row>
    <row r="2341" spans="1:34">
      <c r="A2341" s="372" t="s">
        <v>14925</v>
      </c>
      <c r="B2341" s="372" t="s">
        <v>14926</v>
      </c>
      <c r="C2341" s="372" t="s">
        <v>14927</v>
      </c>
      <c r="D2341" s="374">
        <v>2042110000370</v>
      </c>
      <c r="E2341" s="372" t="s">
        <v>14928</v>
      </c>
      <c r="F2341" s="372" t="s">
        <v>2705</v>
      </c>
      <c r="G2341" s="375" t="s">
        <v>5195</v>
      </c>
      <c r="H2341" s="375" t="s">
        <v>861</v>
      </c>
      <c r="I2341" s="375" t="s">
        <v>862</v>
      </c>
      <c r="J2341" s="375">
        <v>40402.365270000002</v>
      </c>
      <c r="K2341" s="375">
        <v>-1948.82906</v>
      </c>
      <c r="L2341" s="375">
        <v>1853.0146</v>
      </c>
      <c r="M2341" s="375">
        <v>107214.71662000001</v>
      </c>
      <c r="N2341" s="372">
        <v>0.53400000000000003</v>
      </c>
      <c r="O2341" s="704">
        <v>0</v>
      </c>
      <c r="P2341" s="563" t="s">
        <v>622</v>
      </c>
      <c r="Q2341" s="372" t="s">
        <v>622</v>
      </c>
      <c r="R2341" s="696">
        <v>20050119</v>
      </c>
      <c r="S2341" s="372" t="s">
        <v>14929</v>
      </c>
      <c r="T2341" s="697">
        <v>0.20900000000000002</v>
      </c>
      <c r="U2341" s="372" t="s">
        <v>14930</v>
      </c>
      <c r="V2341" s="723">
        <v>258.13</v>
      </c>
      <c r="W2341" s="723">
        <v>0.34</v>
      </c>
      <c r="X2341" s="723">
        <v>0.6</v>
      </c>
      <c r="Y2341" s="723">
        <v>14.57</v>
      </c>
      <c r="Z2341" s="382" t="s">
        <v>927</v>
      </c>
      <c r="AA2341" s="372">
        <v>395.873941</v>
      </c>
      <c r="AB2341" s="372">
        <v>560.85178640000004</v>
      </c>
      <c r="AC2341" s="372">
        <v>491.63419140000002</v>
      </c>
      <c r="AD2341" s="372">
        <v>412.52744460000002</v>
      </c>
      <c r="AE2341" s="372">
        <v>0</v>
      </c>
      <c r="AF2341" s="372">
        <v>0</v>
      </c>
      <c r="AG2341" s="372">
        <v>0</v>
      </c>
      <c r="AH2341" s="372">
        <v>0</v>
      </c>
    </row>
    <row r="2342" spans="1:34">
      <c r="A2342" s="372" t="s">
        <v>14931</v>
      </c>
      <c r="B2342" s="372" t="s">
        <v>14932</v>
      </c>
      <c r="C2342" s="372" t="s">
        <v>14933</v>
      </c>
      <c r="D2342" s="374">
        <v>1951110010951</v>
      </c>
      <c r="E2342" s="372" t="s">
        <v>14934</v>
      </c>
      <c r="F2342" s="372" t="s">
        <v>2747</v>
      </c>
      <c r="G2342" s="375" t="s">
        <v>9398</v>
      </c>
      <c r="H2342" s="375" t="s">
        <v>812</v>
      </c>
      <c r="I2342" s="375" t="s">
        <v>754</v>
      </c>
      <c r="J2342" s="375">
        <v>112759.99546000001</v>
      </c>
      <c r="K2342" s="375">
        <v>-22937.374739999999</v>
      </c>
      <c r="L2342" s="375">
        <v>-23161.531709999999</v>
      </c>
      <c r="M2342" s="375">
        <v>47592.552049999998</v>
      </c>
      <c r="N2342" s="372">
        <v>0.97099999999999997</v>
      </c>
      <c r="O2342" s="704">
        <v>331.76170605838882</v>
      </c>
      <c r="P2342" s="563" t="s">
        <v>622</v>
      </c>
      <c r="Q2342" s="372" t="s">
        <v>622</v>
      </c>
      <c r="R2342" s="696">
        <v>20140722</v>
      </c>
      <c r="S2342" s="372" t="s">
        <v>14935</v>
      </c>
      <c r="T2342" s="697" t="s">
        <v>771</v>
      </c>
      <c r="U2342" s="372" t="s">
        <v>14936</v>
      </c>
      <c r="V2342" s="723" t="s">
        <v>773</v>
      </c>
      <c r="W2342" s="723">
        <v>0.6</v>
      </c>
      <c r="X2342" s="723">
        <v>0.24</v>
      </c>
      <c r="Y2342" s="723" t="s">
        <v>773</v>
      </c>
      <c r="Z2342" s="382" t="s">
        <v>927</v>
      </c>
      <c r="AA2342" s="372">
        <v>986.47266990000003</v>
      </c>
      <c r="AB2342" s="372">
        <v>1240.7683525</v>
      </c>
      <c r="AC2342" s="372">
        <v>1396.0422642999999</v>
      </c>
      <c r="AD2342" s="372">
        <v>1321.9770171</v>
      </c>
      <c r="AE2342" s="372">
        <v>0</v>
      </c>
      <c r="AF2342" s="372">
        <v>0</v>
      </c>
      <c r="AG2342" s="372">
        <v>0</v>
      </c>
      <c r="AH2342" s="372">
        <v>0</v>
      </c>
    </row>
    <row r="2343" spans="1:34">
      <c r="A2343" s="372" t="s">
        <v>14937</v>
      </c>
      <c r="B2343" s="372" t="s">
        <v>14938</v>
      </c>
      <c r="C2343" s="372" t="s">
        <v>14939</v>
      </c>
      <c r="D2343" s="374">
        <v>1345110037710</v>
      </c>
      <c r="E2343" s="372" t="s">
        <v>14940</v>
      </c>
      <c r="F2343" s="372" t="s">
        <v>3721</v>
      </c>
      <c r="G2343" s="375" t="s">
        <v>3722</v>
      </c>
      <c r="H2343" s="375" t="s">
        <v>861</v>
      </c>
      <c r="I2343" s="375" t="s">
        <v>862</v>
      </c>
      <c r="J2343" s="375">
        <v>52786.53241</v>
      </c>
      <c r="K2343" s="375">
        <v>-1939.38681</v>
      </c>
      <c r="L2343" s="375">
        <v>729.33536000000004</v>
      </c>
      <c r="M2343" s="375">
        <v>33067.649460000001</v>
      </c>
      <c r="N2343" s="372" t="s">
        <v>1026</v>
      </c>
      <c r="O2343" s="704">
        <v>108.07838165527022</v>
      </c>
      <c r="P2343" s="563" t="s">
        <v>622</v>
      </c>
      <c r="Q2343" s="372" t="s">
        <v>622</v>
      </c>
      <c r="R2343" s="696">
        <v>20070130</v>
      </c>
      <c r="S2343" s="372" t="s">
        <v>14941</v>
      </c>
      <c r="T2343" s="697">
        <v>0.20900000000000002</v>
      </c>
      <c r="U2343" s="372" t="s">
        <v>14942</v>
      </c>
      <c r="V2343" s="723" t="s">
        <v>773</v>
      </c>
      <c r="W2343" s="723">
        <v>0.66</v>
      </c>
      <c r="X2343" s="723">
        <v>0.5</v>
      </c>
      <c r="Y2343" s="723" t="s">
        <v>773</v>
      </c>
      <c r="Z2343" s="382" t="s">
        <v>927</v>
      </c>
      <c r="AA2343" s="372">
        <v>433.1151036</v>
      </c>
      <c r="AB2343" s="372">
        <v>470.65982989999998</v>
      </c>
      <c r="AC2343" s="372">
        <v>501.6361473</v>
      </c>
      <c r="AD2343" s="372">
        <v>424.01462049999998</v>
      </c>
      <c r="AE2343" s="372">
        <v>0</v>
      </c>
      <c r="AF2343" s="372">
        <v>0</v>
      </c>
      <c r="AG2343" s="372">
        <v>0</v>
      </c>
      <c r="AH2343" s="372">
        <v>0</v>
      </c>
    </row>
    <row r="2344" spans="1:34">
      <c r="A2344" s="372" t="s">
        <v>14943</v>
      </c>
      <c r="B2344" s="372" t="s">
        <v>14944</v>
      </c>
      <c r="C2344" s="372" t="s">
        <v>14945</v>
      </c>
      <c r="D2344" s="374">
        <v>1101114422103</v>
      </c>
      <c r="E2344" s="372" t="s">
        <v>14946</v>
      </c>
      <c r="F2344" s="372" t="s">
        <v>1370</v>
      </c>
      <c r="G2344" s="375" t="s">
        <v>1370</v>
      </c>
      <c r="H2344" s="375" t="s">
        <v>861</v>
      </c>
      <c r="I2344" s="375" t="s">
        <v>862</v>
      </c>
      <c r="J2344" s="375">
        <v>0</v>
      </c>
      <c r="K2344" s="375">
        <v>0</v>
      </c>
      <c r="L2344" s="375">
        <v>0</v>
      </c>
      <c r="M2344" s="375">
        <v>27033.472180000001</v>
      </c>
      <c r="N2344" s="372">
        <v>0.73</v>
      </c>
      <c r="O2344" s="704">
        <v>5.4653660220428311</v>
      </c>
      <c r="P2344" s="563" t="s">
        <v>622</v>
      </c>
      <c r="Q2344" s="372" t="s">
        <v>622</v>
      </c>
      <c r="R2344" s="696">
        <v>20180806</v>
      </c>
      <c r="S2344" s="372" t="s">
        <v>14947</v>
      </c>
      <c r="T2344" s="697" t="s">
        <v>771</v>
      </c>
      <c r="U2344" s="372" t="s">
        <v>14948</v>
      </c>
      <c r="V2344" s="723">
        <v>0</v>
      </c>
      <c r="W2344" s="723">
        <v>0.69</v>
      </c>
      <c r="X2344" s="723">
        <v>0</v>
      </c>
      <c r="Y2344" s="723">
        <v>0</v>
      </c>
      <c r="Z2344" s="382" t="s">
        <v>927</v>
      </c>
      <c r="AA2344" s="372">
        <v>103.39381349999999</v>
      </c>
      <c r="AB2344" s="372">
        <v>106.675341</v>
      </c>
      <c r="AC2344" s="372">
        <v>125.09384180000001</v>
      </c>
      <c r="AD2344" s="372">
        <v>121.5759851</v>
      </c>
      <c r="AE2344" s="372">
        <v>0</v>
      </c>
      <c r="AF2344" s="372">
        <v>0</v>
      </c>
      <c r="AG2344" s="372">
        <v>0</v>
      </c>
      <c r="AH2344" s="372">
        <v>0</v>
      </c>
    </row>
    <row r="2345" spans="1:34">
      <c r="A2345" s="372" t="s">
        <v>14949</v>
      </c>
      <c r="B2345" s="372" t="s">
        <v>14950</v>
      </c>
      <c r="C2345" s="372" t="s">
        <v>14951</v>
      </c>
      <c r="D2345" s="374">
        <v>1701110141812</v>
      </c>
      <c r="E2345" s="372" t="s">
        <v>14952</v>
      </c>
      <c r="F2345" s="372" t="s">
        <v>1276</v>
      </c>
      <c r="G2345" s="375" t="s">
        <v>16109</v>
      </c>
      <c r="H2345" s="375" t="s">
        <v>861</v>
      </c>
      <c r="I2345" s="375" t="s">
        <v>862</v>
      </c>
      <c r="J2345" s="375">
        <v>34797.509579999998</v>
      </c>
      <c r="K2345" s="375">
        <v>1455.22272</v>
      </c>
      <c r="L2345" s="375">
        <v>-2723.42238</v>
      </c>
      <c r="M2345" s="375">
        <v>20193.927479999998</v>
      </c>
      <c r="N2345" s="372">
        <v>0.435</v>
      </c>
      <c r="O2345" s="704">
        <v>14.913241824895639</v>
      </c>
      <c r="P2345" s="563" t="s">
        <v>16115</v>
      </c>
      <c r="Q2345" s="372" t="s">
        <v>16116</v>
      </c>
      <c r="R2345" s="696">
        <v>20101019</v>
      </c>
      <c r="S2345" s="372" t="s">
        <v>14953</v>
      </c>
      <c r="T2345" s="697" t="s">
        <v>771</v>
      </c>
      <c r="U2345" s="372" t="s">
        <v>15971</v>
      </c>
      <c r="V2345" s="723">
        <v>11.38</v>
      </c>
      <c r="W2345" s="723">
        <v>1.4</v>
      </c>
      <c r="X2345" s="723">
        <v>0.86</v>
      </c>
      <c r="Y2345" s="723" t="s">
        <v>773</v>
      </c>
      <c r="Z2345" s="382" t="s">
        <v>927</v>
      </c>
      <c r="AA2345" s="372">
        <v>277.72933810000001</v>
      </c>
      <c r="AB2345" s="372">
        <v>277.9730515</v>
      </c>
      <c r="AC2345" s="372">
        <v>378.85603129999998</v>
      </c>
      <c r="AD2345" s="372">
        <v>343.47681879999999</v>
      </c>
      <c r="AE2345" s="372">
        <v>0</v>
      </c>
      <c r="AF2345" s="372">
        <v>0</v>
      </c>
      <c r="AG2345" s="372">
        <v>0</v>
      </c>
      <c r="AH2345" s="372">
        <v>0</v>
      </c>
    </row>
    <row r="2346" spans="1:34">
      <c r="A2346" s="372" t="s">
        <v>14954</v>
      </c>
      <c r="B2346" s="372" t="s">
        <v>14955</v>
      </c>
      <c r="C2346" s="372" t="s">
        <v>14956</v>
      </c>
      <c r="D2346" s="374">
        <v>1941110002884</v>
      </c>
      <c r="E2346" s="372" t="s">
        <v>14957</v>
      </c>
      <c r="F2346" s="372" t="s">
        <v>1136</v>
      </c>
      <c r="G2346" s="375" t="s">
        <v>3128</v>
      </c>
      <c r="H2346" s="375" t="s">
        <v>861</v>
      </c>
      <c r="I2346" s="375" t="s">
        <v>862</v>
      </c>
      <c r="J2346" s="375">
        <v>30642.868170000002</v>
      </c>
      <c r="K2346" s="375">
        <v>3882.7713600000002</v>
      </c>
      <c r="L2346" s="375">
        <v>3831.7388999999998</v>
      </c>
      <c r="M2346" s="375">
        <v>37542.561229999999</v>
      </c>
      <c r="N2346" s="372">
        <v>0.59799999999999998</v>
      </c>
      <c r="O2346" s="704">
        <v>34.43782628078818</v>
      </c>
      <c r="P2346" s="563" t="s">
        <v>622</v>
      </c>
      <c r="Q2346" s="372" t="s">
        <v>622</v>
      </c>
      <c r="R2346" s="696">
        <v>20091110</v>
      </c>
      <c r="S2346" s="372" t="s">
        <v>14958</v>
      </c>
      <c r="T2346" s="697">
        <v>0.20900000000000002</v>
      </c>
      <c r="U2346" s="372" t="s">
        <v>14959</v>
      </c>
      <c r="V2346" s="723">
        <v>0</v>
      </c>
      <c r="W2346" s="723">
        <v>0</v>
      </c>
      <c r="X2346" s="723">
        <v>0</v>
      </c>
      <c r="Y2346" s="723">
        <v>0</v>
      </c>
      <c r="Z2346" s="382" t="s">
        <v>927</v>
      </c>
      <c r="AA2346" s="372">
        <v>215.5499547</v>
      </c>
      <c r="AB2346" s="372">
        <v>229.81429130000001</v>
      </c>
      <c r="AC2346" s="372">
        <v>248.59836849999999</v>
      </c>
      <c r="AD2346" s="372">
        <v>273.07982900000002</v>
      </c>
      <c r="AE2346" s="372">
        <v>0</v>
      </c>
      <c r="AF2346" s="372">
        <v>0</v>
      </c>
      <c r="AG2346" s="372">
        <v>0</v>
      </c>
      <c r="AH2346" s="372">
        <v>0</v>
      </c>
    </row>
    <row r="2347" spans="1:34">
      <c r="A2347" s="372" t="s">
        <v>14960</v>
      </c>
      <c r="B2347" s="372" t="s">
        <v>14961</v>
      </c>
      <c r="C2347" s="372" t="s">
        <v>14962</v>
      </c>
      <c r="D2347" s="374">
        <v>1101116136877</v>
      </c>
      <c r="E2347" s="372" t="s">
        <v>14963</v>
      </c>
      <c r="F2347" s="372" t="s">
        <v>3198</v>
      </c>
      <c r="G2347" s="375" t="s">
        <v>3198</v>
      </c>
      <c r="H2347" s="375" t="s">
        <v>3099</v>
      </c>
      <c r="I2347" s="375" t="s">
        <v>862</v>
      </c>
      <c r="J2347" s="375">
        <v>47330.853139999999</v>
      </c>
      <c r="K2347" s="375">
        <v>-3377.8196800000001</v>
      </c>
      <c r="L2347" s="375">
        <v>-5335.93768</v>
      </c>
      <c r="M2347" s="375">
        <v>55258.287539999998</v>
      </c>
      <c r="N2347" s="372">
        <v>0.64700000000000002</v>
      </c>
      <c r="O2347" s="704">
        <v>145.61992604203019</v>
      </c>
      <c r="P2347" s="563" t="s">
        <v>622</v>
      </c>
      <c r="Q2347" s="372" t="s">
        <v>622</v>
      </c>
      <c r="R2347" s="696">
        <v>20190610</v>
      </c>
      <c r="S2347" s="372" t="s">
        <v>14964</v>
      </c>
      <c r="T2347" s="697" t="s">
        <v>771</v>
      </c>
      <c r="U2347" s="372" t="s">
        <v>14965</v>
      </c>
      <c r="V2347" s="723" t="s">
        <v>773</v>
      </c>
      <c r="W2347" s="723">
        <v>0.39</v>
      </c>
      <c r="X2347" s="723">
        <v>0.48</v>
      </c>
      <c r="Y2347" s="723" t="s">
        <v>773</v>
      </c>
      <c r="Z2347" s="382" t="s">
        <v>927</v>
      </c>
      <c r="AA2347" s="372">
        <v>672.74849449999999</v>
      </c>
      <c r="AB2347" s="372">
        <v>746.74920150000003</v>
      </c>
      <c r="AC2347" s="372">
        <v>617.60652440000001</v>
      </c>
      <c r="AD2347" s="372">
        <v>484.15136519999999</v>
      </c>
      <c r="AE2347" s="372">
        <v>1118</v>
      </c>
      <c r="AF2347" s="372">
        <v>0</v>
      </c>
      <c r="AG2347" s="372">
        <v>0</v>
      </c>
      <c r="AH2347" s="372">
        <v>0</v>
      </c>
    </row>
    <row r="2348" spans="1:34">
      <c r="A2348" s="372" t="s">
        <v>14966</v>
      </c>
      <c r="B2348" s="372" t="s">
        <v>14967</v>
      </c>
      <c r="C2348" s="372" t="s">
        <v>14968</v>
      </c>
      <c r="D2348" s="374">
        <v>1101110340979</v>
      </c>
      <c r="E2348" s="372" t="s">
        <v>14969</v>
      </c>
      <c r="F2348" s="372" t="s">
        <v>845</v>
      </c>
      <c r="G2348" s="375" t="s">
        <v>845</v>
      </c>
      <c r="H2348" s="375" t="s">
        <v>3099</v>
      </c>
      <c r="I2348" s="375" t="s">
        <v>862</v>
      </c>
      <c r="J2348" s="375">
        <v>25297.265380000001</v>
      </c>
      <c r="K2348" s="375">
        <v>-372.46543000000003</v>
      </c>
      <c r="L2348" s="375">
        <v>4281.4160899999997</v>
      </c>
      <c r="M2348" s="375">
        <v>65091.294779999997</v>
      </c>
      <c r="N2348" s="372">
        <v>1.1299999999999999</v>
      </c>
      <c r="O2348" s="704">
        <v>8.9645569234473097</v>
      </c>
      <c r="P2348" s="563" t="s">
        <v>622</v>
      </c>
      <c r="Q2348" s="372" t="s">
        <v>622</v>
      </c>
      <c r="R2348" s="696">
        <v>19930414</v>
      </c>
      <c r="S2348" s="372" t="s">
        <v>14970</v>
      </c>
      <c r="T2348" s="697">
        <v>0.20900000000000002</v>
      </c>
      <c r="U2348" s="372" t="s">
        <v>15972</v>
      </c>
      <c r="V2348" s="723">
        <v>23.91</v>
      </c>
      <c r="W2348" s="723">
        <v>0.37</v>
      </c>
      <c r="X2348" s="723">
        <v>0.72</v>
      </c>
      <c r="Y2348" s="723">
        <v>4.24</v>
      </c>
      <c r="Z2348" s="382" t="s">
        <v>927</v>
      </c>
      <c r="AA2348" s="372">
        <v>241.48847509999999</v>
      </c>
      <c r="AB2348" s="372">
        <v>347.39693720000002</v>
      </c>
      <c r="AC2348" s="372">
        <v>256.43172340000001</v>
      </c>
      <c r="AD2348" s="372">
        <v>313.52678400000002</v>
      </c>
      <c r="AE2348" s="372">
        <v>0</v>
      </c>
      <c r="AF2348" s="372">
        <v>0</v>
      </c>
      <c r="AG2348" s="372">
        <v>0</v>
      </c>
      <c r="AH2348" s="372">
        <v>0</v>
      </c>
    </row>
    <row r="2349" spans="1:34">
      <c r="A2349" s="372" t="s">
        <v>14971</v>
      </c>
      <c r="B2349" s="372" t="s">
        <v>14972</v>
      </c>
      <c r="C2349" s="372" t="s">
        <v>14973</v>
      </c>
      <c r="D2349" s="374">
        <v>1101110111825</v>
      </c>
      <c r="E2349" s="372" t="s">
        <v>14974</v>
      </c>
      <c r="F2349" s="372" t="s">
        <v>824</v>
      </c>
      <c r="G2349" s="375" t="s">
        <v>16108</v>
      </c>
      <c r="H2349" s="375" t="s">
        <v>826</v>
      </c>
      <c r="I2349" s="375" t="s">
        <v>754</v>
      </c>
      <c r="J2349" s="375">
        <v>10765.601619999999</v>
      </c>
      <c r="K2349" s="375">
        <v>-31048.82877</v>
      </c>
      <c r="L2349" s="375">
        <v>34969.603869999999</v>
      </c>
      <c r="M2349" s="375">
        <v>103500.6366</v>
      </c>
      <c r="N2349" s="372">
        <v>0.46800000000000003</v>
      </c>
      <c r="O2349" s="704">
        <v>16.286163285202946</v>
      </c>
      <c r="P2349" s="563" t="s">
        <v>16115</v>
      </c>
      <c r="Q2349" s="372" t="s">
        <v>622</v>
      </c>
      <c r="R2349" s="696">
        <v>19740528</v>
      </c>
      <c r="S2349" s="372" t="s">
        <v>14975</v>
      </c>
      <c r="T2349" s="697">
        <v>0.23100000000000001</v>
      </c>
      <c r="U2349" s="372" t="s">
        <v>14976</v>
      </c>
      <c r="V2349" s="723">
        <v>0</v>
      </c>
      <c r="W2349" s="723">
        <v>0</v>
      </c>
      <c r="X2349" s="723">
        <v>0</v>
      </c>
      <c r="Y2349" s="723">
        <v>0</v>
      </c>
      <c r="Z2349" s="382" t="s">
        <v>927</v>
      </c>
      <c r="AA2349" s="372">
        <v>2547.2272634999999</v>
      </c>
      <c r="AB2349" s="372">
        <v>5824.2914565000001</v>
      </c>
      <c r="AC2349" s="372">
        <v>4271.8732148999998</v>
      </c>
      <c r="AD2349" s="372">
        <v>755.94416630000001</v>
      </c>
      <c r="AE2349" s="372">
        <v>0</v>
      </c>
      <c r="AF2349" s="372">
        <v>0</v>
      </c>
      <c r="AG2349" s="372">
        <v>0</v>
      </c>
      <c r="AH2349" s="372">
        <v>0</v>
      </c>
    </row>
    <row r="2350" spans="1:34">
      <c r="A2350" s="372" t="s">
        <v>14977</v>
      </c>
      <c r="B2350" s="372" t="s">
        <v>14978</v>
      </c>
      <c r="C2350" s="372" t="s">
        <v>14979</v>
      </c>
      <c r="D2350" s="374">
        <v>1347110002644</v>
      </c>
      <c r="E2350" s="372" t="s">
        <v>14980</v>
      </c>
      <c r="F2350" s="372" t="s">
        <v>845</v>
      </c>
      <c r="G2350" s="375" t="s">
        <v>845</v>
      </c>
      <c r="H2350" s="375" t="s">
        <v>846</v>
      </c>
      <c r="I2350" s="375" t="s">
        <v>754</v>
      </c>
      <c r="J2350" s="375">
        <v>2057.0728399999998</v>
      </c>
      <c r="K2350" s="375">
        <v>-4159.7481500000004</v>
      </c>
      <c r="L2350" s="375">
        <v>-1096.86139</v>
      </c>
      <c r="M2350" s="375">
        <v>73748.239610000004</v>
      </c>
      <c r="N2350" s="372">
        <v>0.497</v>
      </c>
      <c r="O2350" s="704">
        <v>7.6277216196439293</v>
      </c>
      <c r="P2350" s="563" t="s">
        <v>622</v>
      </c>
      <c r="Q2350" s="372" t="s">
        <v>622</v>
      </c>
      <c r="R2350" s="696">
        <v>19760630</v>
      </c>
      <c r="S2350" s="372" t="s">
        <v>14981</v>
      </c>
      <c r="T2350" s="697" t="s">
        <v>771</v>
      </c>
      <c r="U2350" s="372" t="s">
        <v>15973</v>
      </c>
      <c r="V2350" s="723" t="s">
        <v>773</v>
      </c>
      <c r="W2350" s="723">
        <v>0.41</v>
      </c>
      <c r="X2350" s="723">
        <v>16.14</v>
      </c>
      <c r="Y2350" s="723" t="s">
        <v>773</v>
      </c>
      <c r="Z2350" s="382" t="s">
        <v>927</v>
      </c>
      <c r="AA2350" s="372">
        <v>337.71091310000003</v>
      </c>
      <c r="AB2350" s="372">
        <v>259.02411940000002</v>
      </c>
      <c r="AC2350" s="372">
        <v>187.81761710000001</v>
      </c>
      <c r="AD2350" s="372">
        <v>268.9572182</v>
      </c>
      <c r="AE2350" s="372">
        <v>0</v>
      </c>
      <c r="AF2350" s="372">
        <v>0</v>
      </c>
      <c r="AG2350" s="372">
        <v>0</v>
      </c>
      <c r="AH2350" s="372">
        <v>0</v>
      </c>
    </row>
    <row r="2351" spans="1:34">
      <c r="A2351" s="372" t="s">
        <v>14982</v>
      </c>
      <c r="B2351" s="372" t="s">
        <v>14983</v>
      </c>
      <c r="C2351" s="372" t="s">
        <v>14984</v>
      </c>
      <c r="D2351" s="374">
        <v>1101111999444</v>
      </c>
      <c r="E2351" s="372" t="s">
        <v>14985</v>
      </c>
      <c r="F2351" s="372" t="s">
        <v>4638</v>
      </c>
      <c r="G2351" s="375" t="s">
        <v>4638</v>
      </c>
      <c r="H2351" s="375" t="s">
        <v>861</v>
      </c>
      <c r="I2351" s="375" t="s">
        <v>862</v>
      </c>
      <c r="J2351" s="375">
        <v>9437.7663699999994</v>
      </c>
      <c r="K2351" s="375">
        <v>-4436.88364</v>
      </c>
      <c r="L2351" s="375">
        <v>-11185.02418</v>
      </c>
      <c r="M2351" s="375">
        <v>2704.01181</v>
      </c>
      <c r="N2351" s="372">
        <v>0.67300000000000004</v>
      </c>
      <c r="O2351" s="704">
        <v>41.492819263539403</v>
      </c>
      <c r="P2351" s="563" t="s">
        <v>622</v>
      </c>
      <c r="Q2351" s="372" t="s">
        <v>622</v>
      </c>
      <c r="R2351" s="696">
        <v>20191224</v>
      </c>
      <c r="S2351" s="372" t="s">
        <v>14986</v>
      </c>
      <c r="T2351" s="697" t="s">
        <v>771</v>
      </c>
      <c r="U2351" s="372" t="s">
        <v>14987</v>
      </c>
      <c r="V2351" s="723" t="s">
        <v>773</v>
      </c>
      <c r="W2351" s="723">
        <v>7.25</v>
      </c>
      <c r="X2351" s="723">
        <v>3.4</v>
      </c>
      <c r="Y2351" s="723" t="s">
        <v>773</v>
      </c>
      <c r="Z2351" s="382" t="s">
        <v>927</v>
      </c>
      <c r="AA2351" s="372">
        <v>98.153082999999995</v>
      </c>
      <c r="AB2351" s="372">
        <v>118.4017305</v>
      </c>
      <c r="AC2351" s="372">
        <v>106.31575429999999</v>
      </c>
      <c r="AD2351" s="372">
        <v>104.7194961</v>
      </c>
      <c r="AE2351" s="372">
        <v>0</v>
      </c>
      <c r="AF2351" s="372">
        <v>0</v>
      </c>
      <c r="AG2351" s="372">
        <v>0</v>
      </c>
      <c r="AH2351" s="372">
        <v>0</v>
      </c>
    </row>
    <row r="2352" spans="1:34">
      <c r="A2352" s="372" t="s">
        <v>14988</v>
      </c>
      <c r="B2352" s="372" t="s">
        <v>14989</v>
      </c>
      <c r="C2352" s="372" t="s">
        <v>14990</v>
      </c>
      <c r="D2352" s="374">
        <v>1201110040676</v>
      </c>
      <c r="E2352" s="372" t="s">
        <v>14991</v>
      </c>
      <c r="F2352" s="372" t="s">
        <v>8468</v>
      </c>
      <c r="G2352" s="375" t="s">
        <v>14992</v>
      </c>
      <c r="H2352" s="375" t="s">
        <v>861</v>
      </c>
      <c r="I2352" s="375" t="s">
        <v>862</v>
      </c>
      <c r="J2352" s="375">
        <v>23389.024430000001</v>
      </c>
      <c r="K2352" s="375">
        <v>-3141.7584099999999</v>
      </c>
      <c r="L2352" s="375">
        <v>-3069.7694299999998</v>
      </c>
      <c r="M2352" s="375">
        <v>14261.47127</v>
      </c>
      <c r="N2352" s="372">
        <v>0.68100000000000005</v>
      </c>
      <c r="O2352" s="704">
        <v>25.575721659677285</v>
      </c>
      <c r="P2352" s="563" t="s">
        <v>622</v>
      </c>
      <c r="Q2352" s="372" t="s">
        <v>622</v>
      </c>
      <c r="R2352" s="696">
        <v>20040204</v>
      </c>
      <c r="S2352" s="372" t="s">
        <v>14993</v>
      </c>
      <c r="T2352" s="697" t="s">
        <v>771</v>
      </c>
      <c r="U2352" s="372" t="s">
        <v>14994</v>
      </c>
      <c r="V2352" s="723">
        <v>0</v>
      </c>
      <c r="W2352" s="723">
        <v>0</v>
      </c>
      <c r="X2352" s="723">
        <v>0</v>
      </c>
      <c r="Y2352" s="723">
        <v>0</v>
      </c>
      <c r="Z2352" s="382" t="s">
        <v>927</v>
      </c>
      <c r="AA2352" s="372">
        <v>440.87850750000001</v>
      </c>
      <c r="AB2352" s="372">
        <v>386.48443900000001</v>
      </c>
      <c r="AC2352" s="372">
        <v>315.70718620000002</v>
      </c>
      <c r="AD2352" s="372">
        <v>237.4473567</v>
      </c>
      <c r="AE2352" s="372">
        <v>0</v>
      </c>
      <c r="AF2352" s="372">
        <v>0</v>
      </c>
      <c r="AG2352" s="372">
        <v>0</v>
      </c>
      <c r="AH2352" s="372">
        <v>0</v>
      </c>
    </row>
    <row r="2353" spans="1:34">
      <c r="A2353" s="372" t="s">
        <v>14995</v>
      </c>
      <c r="B2353" s="372" t="s">
        <v>14996</v>
      </c>
      <c r="C2353" s="372" t="s">
        <v>14997</v>
      </c>
      <c r="D2353" s="374">
        <v>1760110025872</v>
      </c>
      <c r="E2353" s="372" t="s">
        <v>14998</v>
      </c>
      <c r="F2353" s="372" t="s">
        <v>1357</v>
      </c>
      <c r="G2353" s="375" t="s">
        <v>1357</v>
      </c>
      <c r="H2353" s="375" t="s">
        <v>861</v>
      </c>
      <c r="I2353" s="375" t="s">
        <v>862</v>
      </c>
      <c r="J2353" s="375">
        <v>9856.1570900000006</v>
      </c>
      <c r="K2353" s="375">
        <v>-6940.1712100000004</v>
      </c>
      <c r="L2353" s="375">
        <v>-16072.527749999999</v>
      </c>
      <c r="M2353" s="375">
        <v>25496.939289999998</v>
      </c>
      <c r="N2353" s="372">
        <v>0.77100000000000002</v>
      </c>
      <c r="O2353" s="704">
        <v>12.329147548850738</v>
      </c>
      <c r="P2353" s="563" t="s">
        <v>16115</v>
      </c>
      <c r="Q2353" s="372" t="s">
        <v>16116</v>
      </c>
      <c r="R2353" s="696">
        <v>20051005</v>
      </c>
      <c r="S2353" s="372" t="s">
        <v>2069</v>
      </c>
      <c r="T2353" s="697" t="s">
        <v>771</v>
      </c>
      <c r="U2353" s="372" t="s">
        <v>14999</v>
      </c>
      <c r="V2353" s="723" t="s">
        <v>773</v>
      </c>
      <c r="W2353" s="723">
        <v>1.88</v>
      </c>
      <c r="X2353" s="723">
        <v>4.55</v>
      </c>
      <c r="Y2353" s="723" t="s">
        <v>773</v>
      </c>
      <c r="Z2353" s="382" t="s">
        <v>927</v>
      </c>
      <c r="AA2353" s="372">
        <v>210.15637050000001</v>
      </c>
      <c r="AB2353" s="372">
        <v>125.4499024</v>
      </c>
      <c r="AC2353" s="372">
        <v>89.983685100000002</v>
      </c>
      <c r="AD2353" s="372">
        <v>96.080346399999996</v>
      </c>
      <c r="AE2353" s="372">
        <v>0</v>
      </c>
      <c r="AF2353" s="372">
        <v>0</v>
      </c>
      <c r="AG2353" s="372">
        <v>0</v>
      </c>
      <c r="AH2353" s="372">
        <v>0</v>
      </c>
    </row>
    <row r="2354" spans="1:34">
      <c r="A2354" s="372" t="s">
        <v>15000</v>
      </c>
      <c r="B2354" s="372" t="s">
        <v>15001</v>
      </c>
      <c r="C2354" s="372" t="s">
        <v>15002</v>
      </c>
      <c r="D2354" s="374">
        <v>1101118519055</v>
      </c>
      <c r="E2354" s="372" t="s">
        <v>15003</v>
      </c>
      <c r="F2354" s="372" t="s">
        <v>1143</v>
      </c>
      <c r="G2354" s="375" t="s">
        <v>1144</v>
      </c>
      <c r="H2354" s="375" t="s">
        <v>895</v>
      </c>
      <c r="I2354" s="375" t="s">
        <v>862</v>
      </c>
      <c r="J2354" s="375">
        <v>0</v>
      </c>
      <c r="K2354" s="375">
        <v>-70.262649999999994</v>
      </c>
      <c r="L2354" s="375">
        <v>884.10735999999997</v>
      </c>
      <c r="M2354" s="375">
        <v>28130.9529</v>
      </c>
      <c r="N2354" s="372" t="s">
        <v>1026</v>
      </c>
      <c r="O2354" s="704">
        <v>8.5486620209059225</v>
      </c>
      <c r="P2354" s="563" t="s">
        <v>622</v>
      </c>
      <c r="Q2354" s="372" t="s">
        <v>622</v>
      </c>
      <c r="R2354" s="696">
        <v>20230623</v>
      </c>
      <c r="S2354" s="372" t="s">
        <v>5471</v>
      </c>
      <c r="T2354" s="697">
        <v>0.20900000000000002</v>
      </c>
      <c r="U2354" s="372">
        <v>0</v>
      </c>
      <c r="V2354" s="723">
        <v>0</v>
      </c>
      <c r="W2354" s="723">
        <v>0</v>
      </c>
      <c r="X2354" s="723">
        <v>0</v>
      </c>
      <c r="Y2354" s="723">
        <v>0</v>
      </c>
      <c r="Z2354" s="382" t="s">
        <v>773</v>
      </c>
      <c r="AA2354" s="372">
        <v>0</v>
      </c>
      <c r="AB2354" s="372">
        <v>0</v>
      </c>
      <c r="AC2354" s="372">
        <v>0</v>
      </c>
      <c r="AD2354" s="372">
        <v>0</v>
      </c>
      <c r="AE2354" s="372">
        <v>0</v>
      </c>
      <c r="AF2354" s="372">
        <v>0</v>
      </c>
      <c r="AG2354" s="372">
        <v>0</v>
      </c>
      <c r="AH2354" s="372">
        <v>0</v>
      </c>
    </row>
    <row r="2355" spans="1:34">
      <c r="A2355" s="372" t="s">
        <v>15004</v>
      </c>
      <c r="B2355" s="372" t="s">
        <v>15005</v>
      </c>
      <c r="C2355" s="372" t="s">
        <v>15006</v>
      </c>
      <c r="D2355" s="374">
        <v>1243110009781</v>
      </c>
      <c r="E2355" s="372" t="s">
        <v>15007</v>
      </c>
      <c r="F2355" s="372" t="s">
        <v>1414</v>
      </c>
      <c r="G2355" s="375" t="s">
        <v>1414</v>
      </c>
      <c r="H2355" s="375" t="s">
        <v>861</v>
      </c>
      <c r="I2355" s="375" t="s">
        <v>862</v>
      </c>
      <c r="J2355" s="375">
        <v>34467.474549999999</v>
      </c>
      <c r="K2355" s="375">
        <v>-2640.5232700000001</v>
      </c>
      <c r="L2355" s="375">
        <v>-6267.7662099999998</v>
      </c>
      <c r="M2355" s="375">
        <v>30290.644840000001</v>
      </c>
      <c r="N2355" s="372">
        <v>0.67900000000000005</v>
      </c>
      <c r="O2355" s="704">
        <v>249.40665280870945</v>
      </c>
      <c r="P2355" s="563" t="s">
        <v>622</v>
      </c>
      <c r="Q2355" s="372" t="s">
        <v>622</v>
      </c>
      <c r="R2355" s="696">
        <v>19991201</v>
      </c>
      <c r="S2355" s="372" t="s">
        <v>15008</v>
      </c>
      <c r="T2355" s="697" t="s">
        <v>771</v>
      </c>
      <c r="U2355" s="372" t="s">
        <v>15009</v>
      </c>
      <c r="V2355" s="723" t="s">
        <v>773</v>
      </c>
      <c r="W2355" s="723">
        <v>0.64</v>
      </c>
      <c r="X2355" s="723">
        <v>0.56000000000000005</v>
      </c>
      <c r="Y2355" s="723" t="s">
        <v>773</v>
      </c>
      <c r="Z2355" s="382" t="s">
        <v>927</v>
      </c>
      <c r="AA2355" s="372">
        <v>598.24246719999996</v>
      </c>
      <c r="AB2355" s="372">
        <v>691.19405630000006</v>
      </c>
      <c r="AC2355" s="372">
        <v>518.36203950000004</v>
      </c>
      <c r="AD2355" s="372">
        <v>345.8669165</v>
      </c>
      <c r="AE2355" s="372">
        <v>0</v>
      </c>
      <c r="AF2355" s="372">
        <v>0</v>
      </c>
      <c r="AG2355" s="372">
        <v>0</v>
      </c>
      <c r="AH2355" s="372">
        <v>0</v>
      </c>
    </row>
    <row r="2356" spans="1:34">
      <c r="A2356" s="372" t="s">
        <v>15010</v>
      </c>
      <c r="B2356" s="372" t="s">
        <v>15011</v>
      </c>
      <c r="C2356" s="372" t="s">
        <v>15012</v>
      </c>
      <c r="D2356" s="374">
        <v>1350110047883</v>
      </c>
      <c r="E2356" s="372" t="s">
        <v>15013</v>
      </c>
      <c r="F2356" s="372" t="s">
        <v>10463</v>
      </c>
      <c r="G2356" s="375" t="s">
        <v>15014</v>
      </c>
      <c r="H2356" s="375" t="s">
        <v>861</v>
      </c>
      <c r="I2356" s="375" t="s">
        <v>862</v>
      </c>
      <c r="J2356" s="375">
        <v>32472.73026</v>
      </c>
      <c r="K2356" s="375">
        <v>699.09560999999997</v>
      </c>
      <c r="L2356" s="375">
        <v>2166.8627900000001</v>
      </c>
      <c r="M2356" s="375">
        <v>48949.70132</v>
      </c>
      <c r="N2356" s="372">
        <v>0.56299999999999994</v>
      </c>
      <c r="O2356" s="704">
        <v>98.390905876376408</v>
      </c>
      <c r="P2356" s="563" t="s">
        <v>622</v>
      </c>
      <c r="Q2356" s="372" t="s">
        <v>622</v>
      </c>
      <c r="R2356" s="696">
        <v>20020423</v>
      </c>
      <c r="S2356" s="372" t="s">
        <v>15015</v>
      </c>
      <c r="T2356" s="697">
        <v>0.20900000000000002</v>
      </c>
      <c r="U2356" s="372" t="s">
        <v>15016</v>
      </c>
      <c r="V2356" s="723">
        <v>0</v>
      </c>
      <c r="W2356" s="723">
        <v>0</v>
      </c>
      <c r="X2356" s="723">
        <v>0</v>
      </c>
      <c r="Y2356" s="723">
        <v>0</v>
      </c>
      <c r="Z2356" s="382" t="s">
        <v>927</v>
      </c>
      <c r="AA2356" s="372">
        <v>259.10976799999997</v>
      </c>
      <c r="AB2356" s="372">
        <v>314.87005470000003</v>
      </c>
      <c r="AC2356" s="372">
        <v>368.70058879999999</v>
      </c>
      <c r="AD2356" s="372">
        <v>348.71199760000002</v>
      </c>
      <c r="AE2356" s="372">
        <v>0</v>
      </c>
      <c r="AF2356" s="372">
        <v>0</v>
      </c>
      <c r="AG2356" s="372">
        <v>0</v>
      </c>
      <c r="AH2356" s="372">
        <v>0</v>
      </c>
    </row>
    <row r="2357" spans="1:34">
      <c r="A2357" s="372" t="s">
        <v>15017</v>
      </c>
      <c r="B2357" s="372" t="s">
        <v>15018</v>
      </c>
      <c r="C2357" s="372" t="s">
        <v>15019</v>
      </c>
      <c r="D2357" s="374">
        <v>1101110028541</v>
      </c>
      <c r="E2357" s="372" t="s">
        <v>15020</v>
      </c>
      <c r="F2357" s="372" t="s">
        <v>7386</v>
      </c>
      <c r="G2357" s="375" t="s">
        <v>7386</v>
      </c>
      <c r="H2357" s="375" t="s">
        <v>753</v>
      </c>
      <c r="I2357" s="375" t="s">
        <v>754</v>
      </c>
      <c r="J2357" s="375">
        <v>51955.367100000003</v>
      </c>
      <c r="K2357" s="375">
        <v>-7295.3359899999996</v>
      </c>
      <c r="L2357" s="375">
        <v>-17238.39169</v>
      </c>
      <c r="M2357" s="375">
        <v>4925.8532599999999</v>
      </c>
      <c r="N2357" s="372">
        <v>0.54900000000000004</v>
      </c>
      <c r="O2357" s="704">
        <v>74.131301062113437</v>
      </c>
      <c r="P2357" s="563" t="s">
        <v>622</v>
      </c>
      <c r="Q2357" s="372" t="s">
        <v>622</v>
      </c>
      <c r="R2357" s="696">
        <v>19731115</v>
      </c>
      <c r="S2357" s="372" t="s">
        <v>15021</v>
      </c>
      <c r="T2357" s="697" t="s">
        <v>771</v>
      </c>
      <c r="U2357" s="372" t="s">
        <v>15022</v>
      </c>
      <c r="V2357" s="723" t="s">
        <v>773</v>
      </c>
      <c r="W2357" s="723">
        <v>0.75</v>
      </c>
      <c r="X2357" s="723">
        <v>0.68</v>
      </c>
      <c r="Y2357" s="723" t="s">
        <v>773</v>
      </c>
      <c r="Z2357" s="382" t="s">
        <v>927</v>
      </c>
      <c r="AA2357" s="372">
        <v>450.02237739999998</v>
      </c>
      <c r="AB2357" s="372">
        <v>416.40597680000002</v>
      </c>
      <c r="AC2357" s="372">
        <v>460.15093150000001</v>
      </c>
      <c r="AD2357" s="372">
        <v>533.72993650000001</v>
      </c>
      <c r="AE2357" s="372">
        <v>0</v>
      </c>
      <c r="AF2357" s="372">
        <v>0</v>
      </c>
      <c r="AG2357" s="372">
        <v>0</v>
      </c>
      <c r="AH2357" s="372">
        <v>0</v>
      </c>
    </row>
    <row r="2358" spans="1:34">
      <c r="A2358" s="372" t="s">
        <v>15023</v>
      </c>
      <c r="B2358" s="372" t="s">
        <v>15024</v>
      </c>
      <c r="C2358" s="372" t="s">
        <v>15025</v>
      </c>
      <c r="D2358" s="374">
        <v>1101110774376</v>
      </c>
      <c r="E2358" s="372" t="s">
        <v>15026</v>
      </c>
      <c r="F2358" s="372" t="s">
        <v>15027</v>
      </c>
      <c r="G2358" s="375" t="s">
        <v>15028</v>
      </c>
      <c r="H2358" s="375" t="s">
        <v>4847</v>
      </c>
      <c r="I2358" s="375" t="s">
        <v>862</v>
      </c>
      <c r="J2358" s="375">
        <v>179039.61079999999</v>
      </c>
      <c r="K2358" s="375">
        <v>6607.3744399999996</v>
      </c>
      <c r="L2358" s="375">
        <v>3883.5738500000002</v>
      </c>
      <c r="M2358" s="375">
        <v>77641.690069999997</v>
      </c>
      <c r="N2358" s="372">
        <v>0.77800000000000002</v>
      </c>
      <c r="O2358" s="704">
        <v>135.99538319279242</v>
      </c>
      <c r="P2358" s="563" t="s">
        <v>622</v>
      </c>
      <c r="Q2358" s="372" t="s">
        <v>622</v>
      </c>
      <c r="R2358" s="696">
        <v>20011211</v>
      </c>
      <c r="S2358" s="372" t="s">
        <v>15029</v>
      </c>
      <c r="T2358" s="697">
        <v>0.20900000000000002</v>
      </c>
      <c r="U2358" s="372" t="s">
        <v>15030</v>
      </c>
      <c r="V2358" s="723">
        <v>6.07</v>
      </c>
      <c r="W2358" s="723">
        <v>0.4</v>
      </c>
      <c r="X2358" s="723">
        <v>0.14000000000000001</v>
      </c>
      <c r="Y2358" s="723">
        <v>15.92</v>
      </c>
      <c r="Z2358" s="382" t="s">
        <v>927</v>
      </c>
      <c r="AA2358" s="372">
        <v>2342.8245299</v>
      </c>
      <c r="AB2358" s="372">
        <v>2208.1256834999999</v>
      </c>
      <c r="AC2358" s="372">
        <v>2267.5950186</v>
      </c>
      <c r="AD2358" s="372">
        <v>1799.1471985999999</v>
      </c>
      <c r="AE2358" s="372">
        <v>0</v>
      </c>
      <c r="AF2358" s="372">
        <v>0</v>
      </c>
      <c r="AG2358" s="372">
        <v>0</v>
      </c>
      <c r="AH2358" s="372">
        <v>0</v>
      </c>
    </row>
    <row r="2359" spans="1:34">
      <c r="A2359" s="372" t="s">
        <v>15031</v>
      </c>
      <c r="B2359" s="372" t="s">
        <v>15032</v>
      </c>
      <c r="C2359" s="372" t="s">
        <v>15033</v>
      </c>
      <c r="D2359" s="374">
        <v>0</v>
      </c>
      <c r="E2359" s="372" t="s">
        <v>15034</v>
      </c>
      <c r="F2359" s="372" t="s">
        <v>893</v>
      </c>
      <c r="G2359" s="375" t="s">
        <v>894</v>
      </c>
      <c r="H2359" s="375">
        <v>0</v>
      </c>
      <c r="I2359" s="375" t="s">
        <v>862</v>
      </c>
      <c r="J2359" s="375">
        <v>121691.557</v>
      </c>
      <c r="K2359" s="375">
        <v>4213.9709999999995</v>
      </c>
      <c r="L2359" s="375">
        <v>4089.846</v>
      </c>
      <c r="M2359" s="375">
        <v>125155.736</v>
      </c>
      <c r="N2359" s="372">
        <v>0.72899999999999998</v>
      </c>
      <c r="O2359" s="704">
        <v>41.223303848800846</v>
      </c>
      <c r="P2359" s="563" t="s">
        <v>622</v>
      </c>
      <c r="Q2359" s="372" t="s">
        <v>622</v>
      </c>
      <c r="R2359" s="696">
        <v>20091223</v>
      </c>
      <c r="S2359" s="372" t="s">
        <v>15035</v>
      </c>
      <c r="T2359" s="697">
        <v>0.20900000000000002</v>
      </c>
      <c r="U2359" s="372" t="s">
        <v>15036</v>
      </c>
      <c r="V2359" s="723">
        <v>3.94</v>
      </c>
      <c r="W2359" s="723">
        <v>0.22</v>
      </c>
      <c r="X2359" s="723">
        <v>0.2</v>
      </c>
      <c r="Y2359" s="723">
        <v>24.06</v>
      </c>
      <c r="Z2359" s="382" t="s">
        <v>927</v>
      </c>
      <c r="AA2359" s="372">
        <v>991.95329000000004</v>
      </c>
      <c r="AB2359" s="372">
        <v>1184.4549300000001</v>
      </c>
      <c r="AC2359" s="372">
        <v>1241.2222099999999</v>
      </c>
      <c r="AD2359" s="372">
        <v>1109.2233000000001</v>
      </c>
      <c r="AE2359" s="372">
        <v>0</v>
      </c>
      <c r="AF2359" s="372">
        <v>0</v>
      </c>
      <c r="AG2359" s="372">
        <v>0</v>
      </c>
      <c r="AH2359" s="372">
        <v>0</v>
      </c>
    </row>
    <row r="2360" spans="1:34">
      <c r="A2360" s="372" t="s">
        <v>15037</v>
      </c>
      <c r="B2360" s="372" t="s">
        <v>15038</v>
      </c>
      <c r="C2360" s="372" t="s">
        <v>15039</v>
      </c>
      <c r="D2360" s="374">
        <v>1101110657275</v>
      </c>
      <c r="E2360" s="372" t="s">
        <v>15040</v>
      </c>
      <c r="F2360" s="372" t="s">
        <v>1756</v>
      </c>
      <c r="G2360" s="375" t="s">
        <v>6499</v>
      </c>
      <c r="H2360" s="375" t="s">
        <v>861</v>
      </c>
      <c r="I2360" s="375" t="s">
        <v>862</v>
      </c>
      <c r="J2360" s="375">
        <v>28330.428489999998</v>
      </c>
      <c r="K2360" s="375">
        <v>-5821.0803400000004</v>
      </c>
      <c r="L2360" s="375">
        <v>-8757.2081699999999</v>
      </c>
      <c r="M2360" s="375">
        <v>12608.144679999999</v>
      </c>
      <c r="N2360" s="372">
        <v>0.73299999999999998</v>
      </c>
      <c r="O2360" s="704">
        <v>65.927187619983712</v>
      </c>
      <c r="P2360" s="563" t="s">
        <v>622</v>
      </c>
      <c r="Q2360" s="372" t="s">
        <v>622</v>
      </c>
      <c r="R2360" s="696">
        <v>20011221</v>
      </c>
      <c r="S2360" s="372" t="s">
        <v>15041</v>
      </c>
      <c r="T2360" s="697" t="s">
        <v>771</v>
      </c>
      <c r="U2360" s="372" t="s">
        <v>15042</v>
      </c>
      <c r="V2360" s="723" t="s">
        <v>773</v>
      </c>
      <c r="W2360" s="723">
        <v>1.84</v>
      </c>
      <c r="X2360" s="723">
        <v>0.82</v>
      </c>
      <c r="Y2360" s="723" t="s">
        <v>773</v>
      </c>
      <c r="Z2360" s="382" t="s">
        <v>927</v>
      </c>
      <c r="AA2360" s="372">
        <v>36.565971099999999</v>
      </c>
      <c r="AB2360" s="372">
        <v>167.97820390000001</v>
      </c>
      <c r="AC2360" s="372">
        <v>89.888754399999996</v>
      </c>
      <c r="AD2360" s="372">
        <v>195.5289616</v>
      </c>
      <c r="AE2360" s="372">
        <v>0</v>
      </c>
      <c r="AF2360" s="372">
        <v>0</v>
      </c>
      <c r="AG2360" s="372">
        <v>0</v>
      </c>
      <c r="AH2360" s="372">
        <v>0</v>
      </c>
    </row>
    <row r="2361" spans="1:34">
      <c r="A2361" s="372" t="s">
        <v>15043</v>
      </c>
      <c r="B2361" s="372" t="s">
        <v>15044</v>
      </c>
      <c r="C2361" s="372" t="s">
        <v>15045</v>
      </c>
      <c r="D2361" s="374">
        <v>1101115779909</v>
      </c>
      <c r="E2361" s="372" t="s">
        <v>15046</v>
      </c>
      <c r="F2361" s="372" t="s">
        <v>1357</v>
      </c>
      <c r="G2361" s="375" t="s">
        <v>1357</v>
      </c>
      <c r="H2361" s="375" t="s">
        <v>861</v>
      </c>
      <c r="I2361" s="375" t="s">
        <v>862</v>
      </c>
      <c r="J2361" s="375">
        <v>14545.452439999999</v>
      </c>
      <c r="K2361" s="375">
        <v>-3213.5978399999999</v>
      </c>
      <c r="L2361" s="375">
        <v>-3507.48452</v>
      </c>
      <c r="M2361" s="375">
        <v>32779.650829999999</v>
      </c>
      <c r="N2361" s="372">
        <v>0.53400000000000003</v>
      </c>
      <c r="O2361" s="704">
        <v>73.785521784950618</v>
      </c>
      <c r="P2361" s="563" t="s">
        <v>622</v>
      </c>
      <c r="Q2361" s="372" t="s">
        <v>622</v>
      </c>
      <c r="R2361" s="696">
        <v>20151008</v>
      </c>
      <c r="S2361" s="372" t="s">
        <v>15047</v>
      </c>
      <c r="T2361" s="697" t="s">
        <v>771</v>
      </c>
      <c r="U2361" s="372" t="s">
        <v>15048</v>
      </c>
      <c r="V2361" s="723">
        <v>0</v>
      </c>
      <c r="W2361" s="723">
        <v>0</v>
      </c>
      <c r="X2361" s="723">
        <v>0</v>
      </c>
      <c r="Y2361" s="723">
        <v>0</v>
      </c>
      <c r="Z2361" s="382" t="s">
        <v>927</v>
      </c>
      <c r="AA2361" s="372">
        <v>229.28127359999999</v>
      </c>
      <c r="AB2361" s="372">
        <v>227.0512822</v>
      </c>
      <c r="AC2361" s="372">
        <v>156.314515</v>
      </c>
      <c r="AD2361" s="372">
        <v>177.69628470000001</v>
      </c>
      <c r="AE2361" s="372">
        <v>0</v>
      </c>
      <c r="AF2361" s="372">
        <v>0</v>
      </c>
      <c r="AG2361" s="372">
        <v>0</v>
      </c>
      <c r="AH2361" s="372">
        <v>0</v>
      </c>
    </row>
    <row r="2362" spans="1:34">
      <c r="A2362" s="372" t="s">
        <v>15049</v>
      </c>
      <c r="B2362" s="372" t="s">
        <v>15050</v>
      </c>
      <c r="C2362" s="372" t="s">
        <v>15051</v>
      </c>
      <c r="D2362" s="374">
        <v>0</v>
      </c>
      <c r="E2362" s="372" t="s">
        <v>15052</v>
      </c>
      <c r="F2362" s="372" t="s">
        <v>893</v>
      </c>
      <c r="G2362" s="375" t="s">
        <v>894</v>
      </c>
      <c r="H2362" s="375">
        <v>0</v>
      </c>
      <c r="I2362" s="375" t="s">
        <v>862</v>
      </c>
      <c r="J2362" s="375">
        <v>125070.71799999999</v>
      </c>
      <c r="K2362" s="375">
        <v>6421.4570000000003</v>
      </c>
      <c r="L2362" s="375">
        <v>7166.9369999999999</v>
      </c>
      <c r="M2362" s="375">
        <v>342190.84600000002</v>
      </c>
      <c r="N2362" s="372">
        <v>0.17499999999999999</v>
      </c>
      <c r="O2362" s="704">
        <v>92.55688498590267</v>
      </c>
      <c r="P2362" s="563" t="s">
        <v>622</v>
      </c>
      <c r="Q2362" s="372" t="s">
        <v>622</v>
      </c>
      <c r="R2362" s="696">
        <v>20160818</v>
      </c>
      <c r="S2362" s="372" t="s">
        <v>15053</v>
      </c>
      <c r="T2362" s="697">
        <v>0.20900000000000002</v>
      </c>
      <c r="U2362" s="372" t="s">
        <v>15054</v>
      </c>
      <c r="V2362" s="723">
        <v>5.08</v>
      </c>
      <c r="W2362" s="723">
        <v>0.17</v>
      </c>
      <c r="X2362" s="723">
        <v>0.39</v>
      </c>
      <c r="Y2362" s="723">
        <v>8.7799999999999994</v>
      </c>
      <c r="Z2362" s="382" t="s">
        <v>927</v>
      </c>
      <c r="AA2362" s="372">
        <v>1434.9206799999999</v>
      </c>
      <c r="AB2362" s="372">
        <v>1218.4498699999999</v>
      </c>
      <c r="AC2362" s="372">
        <v>1316.0206499999999</v>
      </c>
      <c r="AD2362" s="372">
        <v>1099.81935</v>
      </c>
      <c r="AE2362" s="372">
        <v>0</v>
      </c>
      <c r="AF2362" s="372">
        <v>0</v>
      </c>
      <c r="AG2362" s="372">
        <v>0</v>
      </c>
      <c r="AH2362" s="372">
        <v>0</v>
      </c>
    </row>
    <row r="2363" spans="1:34">
      <c r="A2363" s="372" t="s">
        <v>15055</v>
      </c>
      <c r="B2363" s="372" t="s">
        <v>15056</v>
      </c>
      <c r="C2363" s="372" t="s">
        <v>15057</v>
      </c>
      <c r="D2363" s="374">
        <v>1101110514011</v>
      </c>
      <c r="E2363" s="372" t="s">
        <v>15058</v>
      </c>
      <c r="F2363" s="372" t="s">
        <v>1743</v>
      </c>
      <c r="G2363" s="375" t="s">
        <v>1743</v>
      </c>
      <c r="H2363" s="375" t="s">
        <v>3099</v>
      </c>
      <c r="I2363" s="375" t="s">
        <v>862</v>
      </c>
      <c r="J2363" s="375">
        <v>22521.287090000002</v>
      </c>
      <c r="K2363" s="375">
        <v>-612.19381999999996</v>
      </c>
      <c r="L2363" s="375">
        <v>-1773.6979799999999</v>
      </c>
      <c r="M2363" s="375">
        <v>10599.91236</v>
      </c>
      <c r="N2363" s="372">
        <v>0.77400000000000002</v>
      </c>
      <c r="O2363" s="704">
        <v>2.1031229073395852</v>
      </c>
      <c r="P2363" s="563" t="s">
        <v>622</v>
      </c>
      <c r="Q2363" s="372" t="s">
        <v>622</v>
      </c>
      <c r="R2363" s="696">
        <v>19920528</v>
      </c>
      <c r="S2363" s="372" t="s">
        <v>15059</v>
      </c>
      <c r="T2363" s="697" t="s">
        <v>771</v>
      </c>
      <c r="U2363" s="372" t="s">
        <v>15060</v>
      </c>
      <c r="V2363" s="723">
        <v>0</v>
      </c>
      <c r="W2363" s="723">
        <v>0</v>
      </c>
      <c r="X2363" s="723">
        <v>0</v>
      </c>
      <c r="Y2363" s="723">
        <v>0</v>
      </c>
      <c r="Z2363" s="382" t="s">
        <v>927</v>
      </c>
      <c r="AA2363" s="372">
        <v>42.179139200000002</v>
      </c>
      <c r="AB2363" s="372">
        <v>51.786220200000002</v>
      </c>
      <c r="AC2363" s="372">
        <v>184.79329680000001</v>
      </c>
      <c r="AD2363" s="372">
        <v>203.11948430000001</v>
      </c>
      <c r="AE2363" s="372">
        <v>0</v>
      </c>
      <c r="AF2363" s="372">
        <v>0</v>
      </c>
      <c r="AG2363" s="372">
        <v>0</v>
      </c>
      <c r="AH2363" s="372">
        <v>0</v>
      </c>
    </row>
    <row r="2364" spans="1:34">
      <c r="A2364" s="372" t="s">
        <v>15061</v>
      </c>
      <c r="B2364" s="372" t="s">
        <v>15062</v>
      </c>
      <c r="C2364" s="372" t="s">
        <v>15063</v>
      </c>
      <c r="D2364" s="374">
        <v>2849110088798</v>
      </c>
      <c r="E2364" s="372" t="s">
        <v>15064</v>
      </c>
      <c r="F2364" s="372" t="s">
        <v>2124</v>
      </c>
      <c r="G2364" s="375" t="s">
        <v>4231</v>
      </c>
      <c r="H2364" s="375" t="s">
        <v>861</v>
      </c>
      <c r="I2364" s="375" t="s">
        <v>862</v>
      </c>
      <c r="J2364" s="375">
        <v>19309.37702</v>
      </c>
      <c r="K2364" s="375">
        <v>-3795.89057</v>
      </c>
      <c r="L2364" s="375">
        <v>-71141.520430000004</v>
      </c>
      <c r="M2364" s="375">
        <v>8617.7148699999998</v>
      </c>
      <c r="N2364" s="372">
        <v>0.80800000000000005</v>
      </c>
      <c r="O2364" s="704">
        <v>141.32346757399196</v>
      </c>
      <c r="P2364" s="563" t="s">
        <v>16115</v>
      </c>
      <c r="Q2364" s="372" t="s">
        <v>16116</v>
      </c>
      <c r="R2364" s="696">
        <v>20180529</v>
      </c>
      <c r="S2364" s="372" t="s">
        <v>15065</v>
      </c>
      <c r="T2364" s="697" t="s">
        <v>771</v>
      </c>
      <c r="U2364" s="372" t="s">
        <v>15066</v>
      </c>
      <c r="V2364" s="723" t="s">
        <v>773</v>
      </c>
      <c r="W2364" s="723">
        <v>2.64</v>
      </c>
      <c r="X2364" s="723">
        <v>1.19</v>
      </c>
      <c r="Y2364" s="723" t="s">
        <v>773</v>
      </c>
      <c r="Z2364" s="382" t="s">
        <v>927</v>
      </c>
      <c r="AA2364" s="372">
        <v>150.97617869999999</v>
      </c>
      <c r="AB2364" s="372">
        <v>180.20983100000001</v>
      </c>
      <c r="AC2364" s="372">
        <v>160.82925280000001</v>
      </c>
      <c r="AD2364" s="372">
        <v>179.9171882</v>
      </c>
      <c r="AE2364" s="372">
        <v>0</v>
      </c>
      <c r="AF2364" s="372">
        <v>0</v>
      </c>
      <c r="AG2364" s="372">
        <v>0</v>
      </c>
      <c r="AH2364" s="372">
        <v>0</v>
      </c>
    </row>
    <row r="2365" spans="1:34">
      <c r="A2365" s="372" t="s">
        <v>15067</v>
      </c>
      <c r="B2365" s="372" t="s">
        <v>15068</v>
      </c>
      <c r="C2365" s="372" t="s">
        <v>15069</v>
      </c>
      <c r="D2365" s="374">
        <v>1101110735766</v>
      </c>
      <c r="E2365" s="372" t="s">
        <v>15070</v>
      </c>
      <c r="F2365" s="372" t="s">
        <v>845</v>
      </c>
      <c r="G2365" s="375" t="s">
        <v>845</v>
      </c>
      <c r="H2365" s="375" t="s">
        <v>3099</v>
      </c>
      <c r="I2365" s="375" t="s">
        <v>862</v>
      </c>
      <c r="J2365" s="375">
        <v>135891.80841999999</v>
      </c>
      <c r="K2365" s="375">
        <v>413.58638999999999</v>
      </c>
      <c r="L2365" s="375">
        <v>2867.1263399999998</v>
      </c>
      <c r="M2365" s="375">
        <v>47086.874340000002</v>
      </c>
      <c r="N2365" s="372">
        <v>0.88500000000000001</v>
      </c>
      <c r="O2365" s="704">
        <v>90.781396793834915</v>
      </c>
      <c r="P2365" s="563" t="s">
        <v>622</v>
      </c>
      <c r="Q2365" s="372" t="s">
        <v>622</v>
      </c>
      <c r="R2365" s="696">
        <v>20000704</v>
      </c>
      <c r="S2365" s="372" t="s">
        <v>15071</v>
      </c>
      <c r="T2365" s="697">
        <v>0.20900000000000002</v>
      </c>
      <c r="U2365" s="372" t="s">
        <v>15072</v>
      </c>
      <c r="V2365" s="723">
        <v>16.95</v>
      </c>
      <c r="W2365" s="723">
        <v>0.46</v>
      </c>
      <c r="X2365" s="723">
        <v>0.16</v>
      </c>
      <c r="Y2365" s="723">
        <v>7.95</v>
      </c>
      <c r="Z2365" s="382" t="s">
        <v>927</v>
      </c>
      <c r="AA2365" s="372">
        <v>1805.2685706</v>
      </c>
      <c r="AB2365" s="372">
        <v>1718.473735</v>
      </c>
      <c r="AC2365" s="372">
        <v>1053.7523507999999</v>
      </c>
      <c r="AD2365" s="372">
        <v>1155.6522699</v>
      </c>
      <c r="AE2365" s="372">
        <v>0</v>
      </c>
      <c r="AF2365" s="372">
        <v>0</v>
      </c>
      <c r="AG2365" s="372">
        <v>0</v>
      </c>
      <c r="AH2365" s="372">
        <v>0</v>
      </c>
    </row>
    <row r="2366" spans="1:34">
      <c r="A2366" s="372" t="s">
        <v>15073</v>
      </c>
      <c r="B2366" s="372" t="s">
        <v>15074</v>
      </c>
      <c r="C2366" s="372" t="s">
        <v>15075</v>
      </c>
      <c r="D2366" s="374">
        <v>1311110050086</v>
      </c>
      <c r="E2366" s="372" t="s">
        <v>15076</v>
      </c>
      <c r="F2366" s="372" t="s">
        <v>1276</v>
      </c>
      <c r="G2366" s="375" t="s">
        <v>1276</v>
      </c>
      <c r="H2366" s="375" t="s">
        <v>861</v>
      </c>
      <c r="I2366" s="375" t="s">
        <v>862</v>
      </c>
      <c r="J2366" s="375">
        <v>9206.2717799999991</v>
      </c>
      <c r="K2366" s="375">
        <v>-3375.7008799999999</v>
      </c>
      <c r="L2366" s="375">
        <v>-3074.6887000000002</v>
      </c>
      <c r="M2366" s="375">
        <v>21310.759480000001</v>
      </c>
      <c r="N2366" s="372">
        <v>0.85699999999999998</v>
      </c>
      <c r="O2366" s="704">
        <v>3.6462008165954991</v>
      </c>
      <c r="P2366" s="563" t="s">
        <v>622</v>
      </c>
      <c r="Q2366" s="372" t="s">
        <v>622</v>
      </c>
      <c r="R2366" s="696">
        <v>20210521</v>
      </c>
      <c r="S2366" s="372" t="s">
        <v>15077</v>
      </c>
      <c r="T2366" s="697" t="s">
        <v>771</v>
      </c>
      <c r="U2366" s="372" t="s">
        <v>15078</v>
      </c>
      <c r="V2366" s="723">
        <v>0</v>
      </c>
      <c r="W2366" s="723">
        <v>0</v>
      </c>
      <c r="X2366" s="723">
        <v>0</v>
      </c>
      <c r="Y2366" s="723">
        <v>0</v>
      </c>
      <c r="Z2366" s="382" t="s">
        <v>927</v>
      </c>
      <c r="AA2366" s="372">
        <v>135.57858490000001</v>
      </c>
      <c r="AB2366" s="372">
        <v>125.2569013</v>
      </c>
      <c r="AC2366" s="372">
        <v>136.3766608</v>
      </c>
      <c r="AD2366" s="372">
        <v>116.47345780000001</v>
      </c>
      <c r="AE2366" s="372">
        <v>0</v>
      </c>
      <c r="AF2366" s="372">
        <v>0</v>
      </c>
      <c r="AG2366" s="372">
        <v>0</v>
      </c>
      <c r="AH2366" s="372">
        <v>0</v>
      </c>
    </row>
    <row r="2367" spans="1:34">
      <c r="A2367" s="372" t="s">
        <v>15079</v>
      </c>
      <c r="B2367" s="372" t="s">
        <v>15080</v>
      </c>
      <c r="C2367" s="372" t="s">
        <v>15081</v>
      </c>
      <c r="D2367" s="374">
        <v>1101118261911</v>
      </c>
      <c r="E2367" s="372" t="s">
        <v>15082</v>
      </c>
      <c r="F2367" s="372" t="s">
        <v>1143</v>
      </c>
      <c r="G2367" s="375" t="s">
        <v>1144</v>
      </c>
      <c r="H2367" s="375" t="s">
        <v>895</v>
      </c>
      <c r="I2367" s="375" t="s">
        <v>4413</v>
      </c>
      <c r="J2367" s="375">
        <v>0</v>
      </c>
      <c r="K2367" s="375">
        <v>0</v>
      </c>
      <c r="L2367" s="375">
        <v>0</v>
      </c>
      <c r="M2367" s="375">
        <v>0</v>
      </c>
      <c r="N2367" s="372" t="s">
        <v>1026</v>
      </c>
      <c r="O2367" s="704" t="s">
        <v>16301</v>
      </c>
      <c r="P2367" s="563" t="s">
        <v>622</v>
      </c>
      <c r="Q2367" s="372" t="s">
        <v>622</v>
      </c>
      <c r="R2367" s="696">
        <v>20220915</v>
      </c>
      <c r="S2367" s="372" t="e">
        <v>#N/A</v>
      </c>
      <c r="T2367" s="697" t="s">
        <v>771</v>
      </c>
      <c r="U2367" s="372">
        <v>0</v>
      </c>
      <c r="V2367" s="723">
        <v>0</v>
      </c>
      <c r="W2367" s="723">
        <v>0</v>
      </c>
      <c r="X2367" s="723">
        <v>0</v>
      </c>
      <c r="Y2367" s="723">
        <v>0</v>
      </c>
      <c r="Z2367" s="382" t="s">
        <v>773</v>
      </c>
      <c r="AA2367" s="372">
        <v>0</v>
      </c>
      <c r="AB2367" s="372">
        <v>0</v>
      </c>
      <c r="AC2367" s="372">
        <v>0</v>
      </c>
      <c r="AD2367" s="372">
        <v>0</v>
      </c>
      <c r="AE2367" s="372">
        <v>0</v>
      </c>
      <c r="AF2367" s="372">
        <v>0</v>
      </c>
      <c r="AG2367" s="372">
        <v>0</v>
      </c>
      <c r="AH2367" s="372">
        <v>0</v>
      </c>
    </row>
    <row r="2368" spans="1:34">
      <c r="A2368" s="372" t="s">
        <v>15083</v>
      </c>
      <c r="B2368" s="372" t="s">
        <v>15084</v>
      </c>
      <c r="C2368" s="372" t="s">
        <v>15085</v>
      </c>
      <c r="D2368" s="374">
        <v>1201110082793</v>
      </c>
      <c r="E2368" s="372" t="s">
        <v>15086</v>
      </c>
      <c r="F2368" s="372" t="s">
        <v>2116</v>
      </c>
      <c r="G2368" s="375" t="s">
        <v>8339</v>
      </c>
      <c r="H2368" s="375" t="s">
        <v>861</v>
      </c>
      <c r="I2368" s="375" t="s">
        <v>862</v>
      </c>
      <c r="J2368" s="375">
        <v>29923.860909999999</v>
      </c>
      <c r="K2368" s="375">
        <v>-2216.0596300000002</v>
      </c>
      <c r="L2368" s="375">
        <v>-1677.61905</v>
      </c>
      <c r="M2368" s="375">
        <v>44689.487780000003</v>
      </c>
      <c r="N2368" s="372">
        <v>0.64600000000000002</v>
      </c>
      <c r="O2368" s="704">
        <v>0.29256226667652752</v>
      </c>
      <c r="P2368" s="563" t="s">
        <v>622</v>
      </c>
      <c r="Q2368" s="372" t="s">
        <v>622</v>
      </c>
      <c r="R2368" s="696">
        <v>20141229</v>
      </c>
      <c r="S2368" s="372" t="s">
        <v>15087</v>
      </c>
      <c r="T2368" s="697" t="s">
        <v>771</v>
      </c>
      <c r="U2368" s="372" t="s">
        <v>15088</v>
      </c>
      <c r="V2368" s="723">
        <v>0</v>
      </c>
      <c r="W2368" s="723">
        <v>0</v>
      </c>
      <c r="X2368" s="723">
        <v>0</v>
      </c>
      <c r="Y2368" s="723">
        <v>0</v>
      </c>
      <c r="Z2368" s="382" t="s">
        <v>927</v>
      </c>
      <c r="AA2368" s="372">
        <v>251.89340419999999</v>
      </c>
      <c r="AB2368" s="372">
        <v>281.37778580000003</v>
      </c>
      <c r="AC2368" s="372">
        <v>268.83136539999998</v>
      </c>
      <c r="AD2368" s="372">
        <v>196.39701099999999</v>
      </c>
      <c r="AE2368" s="372">
        <v>0</v>
      </c>
      <c r="AF2368" s="372">
        <v>0</v>
      </c>
      <c r="AG2368" s="372">
        <v>0</v>
      </c>
      <c r="AH2368" s="372">
        <v>0</v>
      </c>
    </row>
    <row r="2369" spans="1:34">
      <c r="A2369" s="372" t="s">
        <v>15089</v>
      </c>
      <c r="B2369" s="372" t="s">
        <v>15090</v>
      </c>
      <c r="C2369" s="372" t="s">
        <v>15091</v>
      </c>
      <c r="D2369" s="374">
        <v>1101111430498</v>
      </c>
      <c r="E2369" s="372" t="s">
        <v>15092</v>
      </c>
      <c r="F2369" s="372" t="s">
        <v>1569</v>
      </c>
      <c r="G2369" s="375" t="s">
        <v>1569</v>
      </c>
      <c r="H2369" s="375" t="s">
        <v>3099</v>
      </c>
      <c r="I2369" s="375" t="s">
        <v>862</v>
      </c>
      <c r="J2369" s="375">
        <v>58854.171260000003</v>
      </c>
      <c r="K2369" s="375">
        <v>-493.14285000000001</v>
      </c>
      <c r="L2369" s="375">
        <v>3837.4028199999998</v>
      </c>
      <c r="M2369" s="375">
        <v>122751.00496999999</v>
      </c>
      <c r="N2369" s="372">
        <v>1.23</v>
      </c>
      <c r="O2369" s="704">
        <v>10.770946247436289</v>
      </c>
      <c r="P2369" s="563" t="s">
        <v>622</v>
      </c>
      <c r="Q2369" s="372" t="s">
        <v>622</v>
      </c>
      <c r="R2369" s="696">
        <v>20000607</v>
      </c>
      <c r="S2369" s="372" t="s">
        <v>15093</v>
      </c>
      <c r="T2369" s="697">
        <v>0.20900000000000002</v>
      </c>
      <c r="U2369" s="372" t="s">
        <v>15974</v>
      </c>
      <c r="V2369" s="723">
        <v>207.63</v>
      </c>
      <c r="W2369" s="723">
        <v>0.5</v>
      </c>
      <c r="X2369" s="723">
        <v>0.56999999999999995</v>
      </c>
      <c r="Y2369" s="723">
        <v>18.91</v>
      </c>
      <c r="Z2369" s="382" t="s">
        <v>927</v>
      </c>
      <c r="AA2369" s="372">
        <v>51.458013299999998</v>
      </c>
      <c r="AB2369" s="372">
        <v>87.220641000000001</v>
      </c>
      <c r="AC2369" s="372">
        <v>311.28632370000003</v>
      </c>
      <c r="AD2369" s="372">
        <v>273.2487418</v>
      </c>
      <c r="AE2369" s="372">
        <v>0</v>
      </c>
      <c r="AF2369" s="372">
        <v>0</v>
      </c>
      <c r="AG2369" s="372">
        <v>0</v>
      </c>
      <c r="AH2369" s="372">
        <v>0</v>
      </c>
    </row>
    <row r="2370" spans="1:34">
      <c r="A2370" s="372" t="s">
        <v>15094</v>
      </c>
      <c r="B2370" s="372" t="s">
        <v>15095</v>
      </c>
      <c r="C2370" s="372" t="s">
        <v>15096</v>
      </c>
      <c r="D2370" s="374">
        <v>1355110151022</v>
      </c>
      <c r="E2370" s="372" t="s">
        <v>15097</v>
      </c>
      <c r="F2370" s="372" t="s">
        <v>1962</v>
      </c>
      <c r="G2370" s="375" t="s">
        <v>1962</v>
      </c>
      <c r="H2370" s="375" t="s">
        <v>861</v>
      </c>
      <c r="I2370" s="375" t="s">
        <v>862</v>
      </c>
      <c r="J2370" s="375">
        <v>19162.69209</v>
      </c>
      <c r="K2370" s="375">
        <v>-1508.50595</v>
      </c>
      <c r="L2370" s="375">
        <v>14031.17369</v>
      </c>
      <c r="M2370" s="375">
        <v>58769.57604</v>
      </c>
      <c r="N2370" s="372">
        <v>1.3580000000000001</v>
      </c>
      <c r="O2370" s="704">
        <v>17.695150449906336</v>
      </c>
      <c r="P2370" s="563" t="s">
        <v>622</v>
      </c>
      <c r="Q2370" s="372" t="s">
        <v>622</v>
      </c>
      <c r="R2370" s="696">
        <v>20131108</v>
      </c>
      <c r="S2370" s="372" t="s">
        <v>15098</v>
      </c>
      <c r="T2370" s="697">
        <v>0.20900000000000002</v>
      </c>
      <c r="U2370" s="372" t="s">
        <v>15975</v>
      </c>
      <c r="V2370" s="723">
        <v>0</v>
      </c>
      <c r="W2370" s="723">
        <v>0</v>
      </c>
      <c r="X2370" s="723">
        <v>0</v>
      </c>
      <c r="Y2370" s="723">
        <v>0</v>
      </c>
      <c r="Z2370" s="382" t="s">
        <v>927</v>
      </c>
      <c r="AA2370" s="372">
        <v>5.8719634999999997</v>
      </c>
      <c r="AB2370" s="372">
        <v>85.9868405</v>
      </c>
      <c r="AC2370" s="372">
        <v>149.54069860000001</v>
      </c>
      <c r="AD2370" s="372">
        <v>102.81647270000001</v>
      </c>
      <c r="AE2370" s="372">
        <v>0</v>
      </c>
      <c r="AF2370" s="372">
        <v>0</v>
      </c>
      <c r="AG2370" s="372">
        <v>0</v>
      </c>
      <c r="AH2370" s="372">
        <v>0</v>
      </c>
    </row>
    <row r="2371" spans="1:34">
      <c r="A2371" s="372" t="s">
        <v>15099</v>
      </c>
      <c r="B2371" s="372" t="s">
        <v>15100</v>
      </c>
      <c r="C2371" s="372" t="s">
        <v>16062</v>
      </c>
      <c r="D2371" s="374">
        <v>1101111651101</v>
      </c>
      <c r="E2371" s="372" t="s">
        <v>16095</v>
      </c>
      <c r="F2371" s="372" t="s">
        <v>1750</v>
      </c>
      <c r="G2371" s="375" t="s">
        <v>1750</v>
      </c>
      <c r="H2371" s="375" t="s">
        <v>861</v>
      </c>
      <c r="I2371" s="375" t="s">
        <v>862</v>
      </c>
      <c r="J2371" s="375">
        <v>1352.89176</v>
      </c>
      <c r="K2371" s="375">
        <v>-8850.8312299999998</v>
      </c>
      <c r="L2371" s="375">
        <v>-11359.691059999999</v>
      </c>
      <c r="M2371" s="375">
        <v>24857.087660000001</v>
      </c>
      <c r="N2371" s="372" t="s">
        <v>1026</v>
      </c>
      <c r="O2371" s="704">
        <v>12.641684117971961</v>
      </c>
      <c r="P2371" s="563" t="s">
        <v>16115</v>
      </c>
      <c r="Q2371" s="372" t="s">
        <v>16116</v>
      </c>
      <c r="R2371" s="696">
        <v>20150617</v>
      </c>
      <c r="S2371" s="372" t="s">
        <v>15101</v>
      </c>
      <c r="T2371" s="697" t="s">
        <v>771</v>
      </c>
      <c r="U2371" s="372" t="s">
        <v>15102</v>
      </c>
      <c r="V2371" s="723" t="s">
        <v>773</v>
      </c>
      <c r="W2371" s="723">
        <v>2.5</v>
      </c>
      <c r="X2371" s="723">
        <v>25.35</v>
      </c>
      <c r="Y2371" s="723" t="s">
        <v>773</v>
      </c>
      <c r="Z2371" s="382" t="s">
        <v>927</v>
      </c>
      <c r="AA2371" s="372">
        <v>171.60454759999999</v>
      </c>
      <c r="AB2371" s="372">
        <v>132.69032179999999</v>
      </c>
      <c r="AC2371" s="372">
        <v>56.698316400000003</v>
      </c>
      <c r="AD2371" s="372">
        <v>26.9833082</v>
      </c>
      <c r="AE2371" s="372">
        <v>0</v>
      </c>
      <c r="AF2371" s="372">
        <v>0</v>
      </c>
      <c r="AG2371" s="372">
        <v>0</v>
      </c>
      <c r="AH2371" s="372">
        <v>0</v>
      </c>
    </row>
    <row r="2372" spans="1:34">
      <c r="A2372" s="372" t="s">
        <v>15103</v>
      </c>
      <c r="B2372" s="372" t="s">
        <v>15104</v>
      </c>
      <c r="C2372" s="372" t="s">
        <v>15105</v>
      </c>
      <c r="D2372" s="374">
        <v>1341110001672</v>
      </c>
      <c r="E2372" s="372" t="s">
        <v>15106</v>
      </c>
      <c r="F2372" s="372" t="s">
        <v>1357</v>
      </c>
      <c r="G2372" s="375" t="s">
        <v>1357</v>
      </c>
      <c r="H2372" s="375" t="s">
        <v>826</v>
      </c>
      <c r="I2372" s="375" t="s">
        <v>754</v>
      </c>
      <c r="J2372" s="375">
        <v>19924.027549999999</v>
      </c>
      <c r="K2372" s="375">
        <v>-5791.1721399999997</v>
      </c>
      <c r="L2372" s="375">
        <v>-6155.2811700000002</v>
      </c>
      <c r="M2372" s="375">
        <v>34019.349410000003</v>
      </c>
      <c r="N2372" s="372">
        <v>0.96299999999999997</v>
      </c>
      <c r="O2372" s="704">
        <v>10.590829166112805</v>
      </c>
      <c r="P2372" s="563" t="s">
        <v>622</v>
      </c>
      <c r="Q2372" s="372" t="s">
        <v>622</v>
      </c>
      <c r="R2372" s="696">
        <v>19950708</v>
      </c>
      <c r="S2372" s="372" t="s">
        <v>15107</v>
      </c>
      <c r="T2372" s="697" t="s">
        <v>771</v>
      </c>
      <c r="U2372" s="372" t="s">
        <v>15108</v>
      </c>
      <c r="V2372" s="723" t="s">
        <v>773</v>
      </c>
      <c r="W2372" s="723">
        <v>0.77</v>
      </c>
      <c r="X2372" s="723">
        <v>1.31</v>
      </c>
      <c r="Y2372" s="723" t="s">
        <v>773</v>
      </c>
      <c r="Z2372" s="382" t="s">
        <v>927</v>
      </c>
      <c r="AA2372" s="372">
        <v>305.19229489999998</v>
      </c>
      <c r="AB2372" s="372">
        <v>149.7779707</v>
      </c>
      <c r="AC2372" s="372">
        <v>62.462445000000002</v>
      </c>
      <c r="AD2372" s="372">
        <v>170.33838979999999</v>
      </c>
      <c r="AE2372" s="372">
        <v>0</v>
      </c>
      <c r="AF2372" s="372">
        <v>0</v>
      </c>
      <c r="AG2372" s="372">
        <v>0</v>
      </c>
      <c r="AH2372" s="372">
        <v>0</v>
      </c>
    </row>
    <row r="2373" spans="1:34">
      <c r="A2373" s="372" t="s">
        <v>15109</v>
      </c>
      <c r="B2373" s="372" t="s">
        <v>15110</v>
      </c>
      <c r="C2373" s="372" t="s">
        <v>15111</v>
      </c>
      <c r="D2373" s="374">
        <v>1101113313254</v>
      </c>
      <c r="E2373" s="372" t="s">
        <v>15112</v>
      </c>
      <c r="F2373" s="372" t="s">
        <v>5514</v>
      </c>
      <c r="G2373" s="375" t="s">
        <v>5514</v>
      </c>
      <c r="H2373" s="375" t="s">
        <v>861</v>
      </c>
      <c r="I2373" s="375" t="s">
        <v>862</v>
      </c>
      <c r="J2373" s="375">
        <v>20944.118539999999</v>
      </c>
      <c r="K2373" s="375">
        <v>-6202.3906100000004</v>
      </c>
      <c r="L2373" s="375">
        <v>-8461.1244200000001</v>
      </c>
      <c r="M2373" s="375">
        <v>11248.958549999999</v>
      </c>
      <c r="N2373" s="372" t="s">
        <v>1026</v>
      </c>
      <c r="O2373" s="704">
        <v>11.131472084168212</v>
      </c>
      <c r="P2373" s="563" t="s">
        <v>622</v>
      </c>
      <c r="Q2373" s="372" t="s">
        <v>622</v>
      </c>
      <c r="R2373" s="696">
        <v>20231103</v>
      </c>
      <c r="S2373" s="372" t="s">
        <v>15113</v>
      </c>
      <c r="T2373" s="697" t="s">
        <v>771</v>
      </c>
      <c r="U2373" s="372" t="s">
        <v>15976</v>
      </c>
      <c r="V2373" s="723">
        <v>0</v>
      </c>
      <c r="W2373" s="723">
        <v>0</v>
      </c>
      <c r="X2373" s="723">
        <v>0</v>
      </c>
      <c r="Y2373" s="723">
        <v>0</v>
      </c>
      <c r="Z2373" s="382" t="s">
        <v>927</v>
      </c>
      <c r="AA2373" s="372">
        <v>234.87287520000001</v>
      </c>
      <c r="AB2373" s="372">
        <v>252.21185489999999</v>
      </c>
      <c r="AC2373" s="372">
        <v>267.57764409999999</v>
      </c>
      <c r="AD2373" s="372">
        <v>222.6848009</v>
      </c>
      <c r="AE2373" s="372">
        <v>0</v>
      </c>
      <c r="AF2373" s="372">
        <v>0</v>
      </c>
      <c r="AG2373" s="372">
        <v>0</v>
      </c>
      <c r="AH2373" s="372">
        <v>0</v>
      </c>
    </row>
    <row r="2374" spans="1:34">
      <c r="A2374" s="372" t="s">
        <v>15114</v>
      </c>
      <c r="B2374" s="372" t="s">
        <v>15115</v>
      </c>
      <c r="C2374" s="372" t="s">
        <v>15116</v>
      </c>
      <c r="D2374" s="374">
        <v>1101110085541</v>
      </c>
      <c r="E2374" s="372" t="s">
        <v>15117</v>
      </c>
      <c r="F2374" s="372" t="s">
        <v>6610</v>
      </c>
      <c r="G2374" s="375" t="s">
        <v>6610</v>
      </c>
      <c r="H2374" s="375" t="s">
        <v>753</v>
      </c>
      <c r="I2374" s="375" t="s">
        <v>754</v>
      </c>
      <c r="J2374" s="375">
        <v>36619.833769999997</v>
      </c>
      <c r="K2374" s="375">
        <v>-22438.75188</v>
      </c>
      <c r="L2374" s="375">
        <v>-37723.330699999999</v>
      </c>
      <c r="M2374" s="375">
        <v>-136417.52692</v>
      </c>
      <c r="N2374" s="372">
        <v>0.66700000000000004</v>
      </c>
      <c r="O2374" s="704">
        <v>37.349393350282881</v>
      </c>
      <c r="P2374" s="563" t="s">
        <v>16115</v>
      </c>
      <c r="Q2374" s="372" t="s">
        <v>16116</v>
      </c>
      <c r="R2374" s="696">
        <v>19750609</v>
      </c>
      <c r="S2374" s="372" t="s">
        <v>15118</v>
      </c>
      <c r="T2374" s="697" t="s">
        <v>771</v>
      </c>
      <c r="U2374" s="372" t="s">
        <v>15119</v>
      </c>
      <c r="V2374" s="723" t="s">
        <v>773</v>
      </c>
      <c r="W2374" s="723" t="s">
        <v>773</v>
      </c>
      <c r="X2374" s="723">
        <v>0.17</v>
      </c>
      <c r="Y2374" s="723" t="s">
        <v>773</v>
      </c>
      <c r="Z2374" s="382" t="s">
        <v>927</v>
      </c>
      <c r="AA2374" s="372">
        <v>4529.2840274</v>
      </c>
      <c r="AB2374" s="372">
        <v>4645.2702284999996</v>
      </c>
      <c r="AC2374" s="372">
        <v>502.05455160000002</v>
      </c>
      <c r="AD2374" s="372">
        <v>352.79149899999999</v>
      </c>
      <c r="AE2374" s="372">
        <v>0</v>
      </c>
      <c r="AF2374" s="372">
        <v>0</v>
      </c>
      <c r="AG2374" s="372">
        <v>0</v>
      </c>
      <c r="AH2374" s="372">
        <v>0</v>
      </c>
    </row>
    <row r="2375" spans="1:34">
      <c r="A2375" s="372" t="s">
        <v>15120</v>
      </c>
      <c r="B2375" s="372" t="s">
        <v>15121</v>
      </c>
      <c r="C2375" s="372" t="s">
        <v>15122</v>
      </c>
      <c r="D2375" s="374">
        <v>1101110260218</v>
      </c>
      <c r="E2375" s="372" t="s">
        <v>15123</v>
      </c>
      <c r="F2375" s="372" t="s">
        <v>1743</v>
      </c>
      <c r="G2375" s="375" t="s">
        <v>1743</v>
      </c>
      <c r="H2375" s="375" t="s">
        <v>3099</v>
      </c>
      <c r="I2375" s="375" t="s">
        <v>862</v>
      </c>
      <c r="J2375" s="375">
        <v>11642.990320000001</v>
      </c>
      <c r="K2375" s="375">
        <v>-13882.04184</v>
      </c>
      <c r="L2375" s="375">
        <v>-22546.143199999999</v>
      </c>
      <c r="M2375" s="375">
        <v>57304.223319999997</v>
      </c>
      <c r="N2375" s="372">
        <v>2.0710000000000002</v>
      </c>
      <c r="O2375" s="704">
        <v>5.8164471084594895</v>
      </c>
      <c r="P2375" s="563" t="s">
        <v>622</v>
      </c>
      <c r="Q2375" s="372" t="s">
        <v>622</v>
      </c>
      <c r="R2375" s="696">
        <v>19970107</v>
      </c>
      <c r="S2375" s="372" t="s">
        <v>15124</v>
      </c>
      <c r="T2375" s="697" t="s">
        <v>771</v>
      </c>
      <c r="U2375" s="372" t="s">
        <v>15125</v>
      </c>
      <c r="V2375" s="723" t="s">
        <v>773</v>
      </c>
      <c r="W2375" s="723">
        <v>0.33</v>
      </c>
      <c r="X2375" s="723">
        <v>1.56</v>
      </c>
      <c r="Y2375" s="723" t="s">
        <v>773</v>
      </c>
      <c r="Z2375" s="382" t="s">
        <v>927</v>
      </c>
      <c r="AA2375" s="372">
        <v>155.7980446</v>
      </c>
      <c r="AB2375" s="372">
        <v>220.49905799999999</v>
      </c>
      <c r="AC2375" s="372">
        <v>83.486055699999994</v>
      </c>
      <c r="AD2375" s="372">
        <v>113.0894376</v>
      </c>
      <c r="AE2375" s="372">
        <v>0</v>
      </c>
      <c r="AF2375" s="372">
        <v>0</v>
      </c>
      <c r="AG2375" s="372">
        <v>0</v>
      </c>
      <c r="AH2375" s="372">
        <v>0</v>
      </c>
    </row>
    <row r="2376" spans="1:34">
      <c r="A2376" s="372" t="s">
        <v>15126</v>
      </c>
      <c r="B2376" s="372" t="s">
        <v>15127</v>
      </c>
      <c r="C2376" s="372" t="s">
        <v>15128</v>
      </c>
      <c r="D2376" s="374">
        <v>1101112090168</v>
      </c>
      <c r="E2376" s="372" t="s">
        <v>15129</v>
      </c>
      <c r="F2376" s="372" t="s">
        <v>2834</v>
      </c>
      <c r="G2376" s="375" t="s">
        <v>2834</v>
      </c>
      <c r="H2376" s="375" t="s">
        <v>861</v>
      </c>
      <c r="I2376" s="375" t="s">
        <v>862</v>
      </c>
      <c r="J2376" s="375">
        <v>32386.792369999999</v>
      </c>
      <c r="K2376" s="375">
        <v>-332.53598</v>
      </c>
      <c r="L2376" s="375">
        <v>-1564.0976900000001</v>
      </c>
      <c r="M2376" s="375">
        <v>58067.723449999998</v>
      </c>
      <c r="N2376" s="372">
        <v>1.1499999999999999</v>
      </c>
      <c r="O2376" s="704">
        <v>22.011509247926018</v>
      </c>
      <c r="P2376" s="563" t="s">
        <v>622</v>
      </c>
      <c r="Q2376" s="372" t="s">
        <v>622</v>
      </c>
      <c r="R2376" s="696">
        <v>20070518</v>
      </c>
      <c r="S2376" s="372" t="s">
        <v>15130</v>
      </c>
      <c r="T2376" s="697" t="s">
        <v>771</v>
      </c>
      <c r="U2376" s="372" t="s">
        <v>15131</v>
      </c>
      <c r="V2376" s="723">
        <v>96.02</v>
      </c>
      <c r="W2376" s="723">
        <v>0.26</v>
      </c>
      <c r="X2376" s="723">
        <v>0.46</v>
      </c>
      <c r="Y2376" s="723">
        <v>39.25</v>
      </c>
      <c r="Z2376" s="382" t="s">
        <v>927</v>
      </c>
      <c r="AA2376" s="372">
        <v>243.53676350000001</v>
      </c>
      <c r="AB2376" s="372">
        <v>216.21261150000001</v>
      </c>
      <c r="AC2376" s="372">
        <v>186.4848346</v>
      </c>
      <c r="AD2376" s="372">
        <v>248.05176739999999</v>
      </c>
      <c r="AE2376" s="372">
        <v>0</v>
      </c>
      <c r="AF2376" s="372">
        <v>0</v>
      </c>
      <c r="AG2376" s="372">
        <v>0</v>
      </c>
      <c r="AH2376" s="372">
        <v>0</v>
      </c>
    </row>
    <row r="2377" spans="1:34">
      <c r="A2377" s="372" t="s">
        <v>15132</v>
      </c>
      <c r="B2377" s="372" t="s">
        <v>15133</v>
      </c>
      <c r="C2377" s="372" t="s">
        <v>15134</v>
      </c>
      <c r="D2377" s="374">
        <v>1101112915605</v>
      </c>
      <c r="E2377" s="372" t="s">
        <v>15135</v>
      </c>
      <c r="F2377" s="372" t="s">
        <v>10203</v>
      </c>
      <c r="G2377" s="375" t="s">
        <v>10203</v>
      </c>
      <c r="H2377" s="375" t="s">
        <v>1337</v>
      </c>
      <c r="I2377" s="375" t="s">
        <v>862</v>
      </c>
      <c r="J2377" s="375">
        <v>45006.555789999999</v>
      </c>
      <c r="K2377" s="375">
        <v>-3447.6271000000002</v>
      </c>
      <c r="L2377" s="375">
        <v>-3239.2387100000001</v>
      </c>
      <c r="M2377" s="375">
        <v>14014.576590000001</v>
      </c>
      <c r="N2377" s="372">
        <v>0.88</v>
      </c>
      <c r="O2377" s="704">
        <v>4.3045652715702225</v>
      </c>
      <c r="P2377" s="563" t="s">
        <v>622</v>
      </c>
      <c r="Q2377" s="372" t="s">
        <v>622</v>
      </c>
      <c r="R2377" s="696">
        <v>20040106</v>
      </c>
      <c r="S2377" s="372" t="s">
        <v>15136</v>
      </c>
      <c r="T2377" s="697" t="s">
        <v>771</v>
      </c>
      <c r="U2377" s="372" t="s">
        <v>15137</v>
      </c>
      <c r="V2377" s="723" t="s">
        <v>773</v>
      </c>
      <c r="W2377" s="723">
        <v>1.1399999999999999</v>
      </c>
      <c r="X2377" s="723">
        <v>0.36</v>
      </c>
      <c r="Y2377" s="723" t="s">
        <v>773</v>
      </c>
      <c r="Z2377" s="382" t="s">
        <v>927</v>
      </c>
      <c r="AA2377" s="372">
        <v>525.88843069999996</v>
      </c>
      <c r="AB2377" s="372">
        <v>594.62033380000003</v>
      </c>
      <c r="AC2377" s="372">
        <v>591.4653624</v>
      </c>
      <c r="AD2377" s="372">
        <v>416.80901940000001</v>
      </c>
      <c r="AE2377" s="372">
        <v>0</v>
      </c>
      <c r="AF2377" s="372">
        <v>0</v>
      </c>
      <c r="AG2377" s="372">
        <v>0</v>
      </c>
      <c r="AH2377" s="372">
        <v>0</v>
      </c>
    </row>
    <row r="2378" spans="1:34">
      <c r="A2378" s="372" t="s">
        <v>15138</v>
      </c>
      <c r="B2378" s="372" t="s">
        <v>15139</v>
      </c>
      <c r="C2378" s="372" t="s">
        <v>15140</v>
      </c>
      <c r="D2378" s="374">
        <v>1348110056871</v>
      </c>
      <c r="E2378" s="372" t="s">
        <v>15141</v>
      </c>
      <c r="F2378" s="372" t="s">
        <v>1185</v>
      </c>
      <c r="G2378" s="375" t="s">
        <v>3115</v>
      </c>
      <c r="H2378" s="375" t="s">
        <v>861</v>
      </c>
      <c r="I2378" s="375" t="s">
        <v>862</v>
      </c>
      <c r="J2378" s="375">
        <v>30177.215469999999</v>
      </c>
      <c r="K2378" s="375">
        <v>-7533.10005</v>
      </c>
      <c r="L2378" s="375">
        <v>-14034.575999999999</v>
      </c>
      <c r="M2378" s="375">
        <v>25923.318630000002</v>
      </c>
      <c r="N2378" s="372">
        <v>0.90400000000000003</v>
      </c>
      <c r="O2378" s="704">
        <v>177.85223461714969</v>
      </c>
      <c r="P2378" s="563" t="s">
        <v>622</v>
      </c>
      <c r="Q2378" s="372" t="s">
        <v>622</v>
      </c>
      <c r="R2378" s="696">
        <v>20050202</v>
      </c>
      <c r="S2378" s="372" t="s">
        <v>15142</v>
      </c>
      <c r="T2378" s="697" t="s">
        <v>771</v>
      </c>
      <c r="U2378" s="372" t="s">
        <v>15143</v>
      </c>
      <c r="V2378" s="723" t="s">
        <v>773</v>
      </c>
      <c r="W2378" s="723">
        <v>0.67</v>
      </c>
      <c r="X2378" s="723">
        <v>0.66</v>
      </c>
      <c r="Y2378" s="723" t="s">
        <v>773</v>
      </c>
      <c r="Z2378" s="382" t="s">
        <v>927</v>
      </c>
      <c r="AA2378" s="372">
        <v>1410.1631494000001</v>
      </c>
      <c r="AB2378" s="372">
        <v>1343.1687053999999</v>
      </c>
      <c r="AC2378" s="372">
        <v>568.61987339999996</v>
      </c>
      <c r="AD2378" s="372">
        <v>226.97492919999999</v>
      </c>
      <c r="AE2378" s="372">
        <v>0</v>
      </c>
      <c r="AF2378" s="372">
        <v>0</v>
      </c>
      <c r="AG2378" s="372">
        <v>0</v>
      </c>
      <c r="AH2378" s="372">
        <v>0</v>
      </c>
    </row>
    <row r="2379" spans="1:34">
      <c r="A2379" s="372" t="s">
        <v>15144</v>
      </c>
      <c r="B2379" s="372" t="s">
        <v>15145</v>
      </c>
      <c r="C2379" s="372" t="s">
        <v>15146</v>
      </c>
      <c r="D2379" s="374">
        <v>2013110006783</v>
      </c>
      <c r="E2379" s="372" t="s">
        <v>15147</v>
      </c>
      <c r="F2379" s="372" t="s">
        <v>1414</v>
      </c>
      <c r="G2379" s="375" t="s">
        <v>1414</v>
      </c>
      <c r="H2379" s="375" t="s">
        <v>861</v>
      </c>
      <c r="I2379" s="375" t="s">
        <v>862</v>
      </c>
      <c r="J2379" s="375">
        <v>51456.319459999999</v>
      </c>
      <c r="K2379" s="375">
        <v>753.09808999999996</v>
      </c>
      <c r="L2379" s="375">
        <v>-270.59773000000001</v>
      </c>
      <c r="M2379" s="375">
        <v>28436.845270000002</v>
      </c>
      <c r="N2379" s="372">
        <v>0.58499999999999996</v>
      </c>
      <c r="O2379" s="704">
        <v>93.799218252894022</v>
      </c>
      <c r="P2379" s="563" t="s">
        <v>622</v>
      </c>
      <c r="Q2379" s="372" t="s">
        <v>622</v>
      </c>
      <c r="R2379" s="696">
        <v>20000714</v>
      </c>
      <c r="S2379" s="372" t="s">
        <v>15148</v>
      </c>
      <c r="T2379" s="697" t="s">
        <v>771</v>
      </c>
      <c r="U2379" s="372" t="s">
        <v>15149</v>
      </c>
      <c r="V2379" s="723">
        <v>40.340000000000003</v>
      </c>
      <c r="W2379" s="723">
        <v>0.81</v>
      </c>
      <c r="X2379" s="723">
        <v>0.45</v>
      </c>
      <c r="Y2379" s="723" t="s">
        <v>773</v>
      </c>
      <c r="Z2379" s="382" t="s">
        <v>927</v>
      </c>
      <c r="AA2379" s="372">
        <v>413.60187000000002</v>
      </c>
      <c r="AB2379" s="372">
        <v>489.15234409999999</v>
      </c>
      <c r="AC2379" s="372">
        <v>405.44635499999998</v>
      </c>
      <c r="AD2379" s="372">
        <v>422.04969569999997</v>
      </c>
      <c r="AE2379" s="372">
        <v>0</v>
      </c>
      <c r="AF2379" s="372">
        <v>0</v>
      </c>
      <c r="AG2379" s="372">
        <v>0</v>
      </c>
      <c r="AH2379" s="372">
        <v>0</v>
      </c>
    </row>
    <row r="2380" spans="1:34">
      <c r="A2380" s="372" t="s">
        <v>15150</v>
      </c>
      <c r="B2380" s="372" t="s">
        <v>15151</v>
      </c>
      <c r="C2380" s="372" t="s">
        <v>15152</v>
      </c>
      <c r="D2380" s="374">
        <v>0</v>
      </c>
      <c r="E2380" s="372" t="s">
        <v>15153</v>
      </c>
      <c r="F2380" s="372" t="s">
        <v>893</v>
      </c>
      <c r="G2380" s="375" t="s">
        <v>894</v>
      </c>
      <c r="H2380" s="375">
        <v>0</v>
      </c>
      <c r="I2380" s="375" t="s">
        <v>862</v>
      </c>
      <c r="J2380" s="375">
        <v>512044.34499999997</v>
      </c>
      <c r="K2380" s="375">
        <v>22379.973999999998</v>
      </c>
      <c r="L2380" s="375">
        <v>25252.19</v>
      </c>
      <c r="M2380" s="375">
        <v>236340.91699999999</v>
      </c>
      <c r="N2380" s="372">
        <v>0.70499999999999996</v>
      </c>
      <c r="O2380" s="704">
        <v>238.78831527635373</v>
      </c>
      <c r="P2380" s="563" t="s">
        <v>622</v>
      </c>
      <c r="Q2380" s="372" t="s">
        <v>622</v>
      </c>
      <c r="R2380" s="696">
        <v>20160630</v>
      </c>
      <c r="S2380" s="372" t="s">
        <v>15154</v>
      </c>
      <c r="T2380" s="697">
        <v>0.23100000000000001</v>
      </c>
      <c r="U2380" s="372" t="s">
        <v>15977</v>
      </c>
      <c r="V2380" s="723">
        <v>0.88</v>
      </c>
      <c r="W2380" s="723">
        <v>0.11</v>
      </c>
      <c r="X2380" s="723">
        <v>0.05</v>
      </c>
      <c r="Y2380" s="723">
        <v>1.1299999999999999</v>
      </c>
      <c r="Z2380" s="382" t="s">
        <v>927</v>
      </c>
      <c r="AA2380" s="372">
        <v>579.02886000000001</v>
      </c>
      <c r="AB2380" s="372">
        <v>294.67072000000002</v>
      </c>
      <c r="AC2380" s="372">
        <v>850.90992000000006</v>
      </c>
      <c r="AD2380" s="372">
        <v>3629.0944300000001</v>
      </c>
      <c r="AE2380" s="372">
        <v>0</v>
      </c>
      <c r="AF2380" s="372">
        <v>0</v>
      </c>
      <c r="AG2380" s="372">
        <v>0</v>
      </c>
      <c r="AH2380" s="372">
        <v>0</v>
      </c>
    </row>
    <row r="2381" spans="1:34">
      <c r="A2381" s="372" t="s">
        <v>15155</v>
      </c>
      <c r="B2381" s="372" t="s">
        <v>15156</v>
      </c>
      <c r="C2381" s="372" t="s">
        <v>15157</v>
      </c>
      <c r="D2381" s="374">
        <v>1345110052677</v>
      </c>
      <c r="E2381" s="372" t="s">
        <v>15158</v>
      </c>
      <c r="F2381" s="372" t="s">
        <v>1096</v>
      </c>
      <c r="G2381" s="375" t="s">
        <v>1097</v>
      </c>
      <c r="H2381" s="375" t="s">
        <v>861</v>
      </c>
      <c r="I2381" s="375" t="s">
        <v>862</v>
      </c>
      <c r="J2381" s="375">
        <v>36667.997309999999</v>
      </c>
      <c r="K2381" s="375">
        <v>317.81679000000003</v>
      </c>
      <c r="L2381" s="375">
        <v>-144.30431999999999</v>
      </c>
      <c r="M2381" s="375">
        <v>16607.845840000002</v>
      </c>
      <c r="N2381" s="372">
        <v>0.38100000000000001</v>
      </c>
      <c r="O2381" s="704">
        <v>3.1141465545541922</v>
      </c>
      <c r="P2381" s="563" t="s">
        <v>622</v>
      </c>
      <c r="Q2381" s="372" t="s">
        <v>622</v>
      </c>
      <c r="R2381" s="696">
        <v>20110803</v>
      </c>
      <c r="S2381" s="372" t="s">
        <v>15159</v>
      </c>
      <c r="T2381" s="697" t="s">
        <v>771</v>
      </c>
      <c r="U2381" s="372" t="s">
        <v>15160</v>
      </c>
      <c r="V2381" s="723">
        <v>77.16</v>
      </c>
      <c r="W2381" s="723">
        <v>6.97</v>
      </c>
      <c r="X2381" s="723">
        <v>3.4</v>
      </c>
      <c r="Y2381" s="723" t="s">
        <v>773</v>
      </c>
      <c r="Z2381" s="382">
        <v>0.5304547013261649</v>
      </c>
      <c r="AA2381" s="372">
        <v>421.31838169999997</v>
      </c>
      <c r="AB2381" s="372">
        <v>384.08413619999999</v>
      </c>
      <c r="AC2381" s="372">
        <v>314.48829330000001</v>
      </c>
      <c r="AD2381" s="372">
        <v>280.69766609999999</v>
      </c>
      <c r="AE2381" s="372">
        <v>499</v>
      </c>
      <c r="AF2381" s="372">
        <v>1267</v>
      </c>
      <c r="AG2381" s="372">
        <v>1540</v>
      </c>
      <c r="AH2381" s="372">
        <v>0</v>
      </c>
    </row>
    <row r="2382" spans="1:34">
      <c r="A2382" s="372" t="s">
        <v>15161</v>
      </c>
      <c r="B2382" s="372" t="s">
        <v>15162</v>
      </c>
      <c r="C2382" s="372" t="s">
        <v>15163</v>
      </c>
      <c r="D2382" s="374">
        <v>1101110357403</v>
      </c>
      <c r="E2382" s="372" t="s">
        <v>15164</v>
      </c>
      <c r="F2382" s="372" t="s">
        <v>5625</v>
      </c>
      <c r="G2382" s="375" t="s">
        <v>5625</v>
      </c>
      <c r="H2382" s="375" t="s">
        <v>861</v>
      </c>
      <c r="I2382" s="375" t="s">
        <v>862</v>
      </c>
      <c r="J2382" s="375">
        <v>54725.143230000001</v>
      </c>
      <c r="K2382" s="375">
        <v>2488.18147</v>
      </c>
      <c r="L2382" s="375">
        <v>-849.79044999999996</v>
      </c>
      <c r="M2382" s="375">
        <v>38796.472419999998</v>
      </c>
      <c r="N2382" s="372">
        <v>0.80900000000000005</v>
      </c>
      <c r="O2382" s="704">
        <v>106.40011851434667</v>
      </c>
      <c r="P2382" s="563" t="s">
        <v>622</v>
      </c>
      <c r="Q2382" s="372" t="s">
        <v>622</v>
      </c>
      <c r="R2382" s="696">
        <v>19951227</v>
      </c>
      <c r="S2382" s="372" t="s">
        <v>15165</v>
      </c>
      <c r="T2382" s="697" t="s">
        <v>771</v>
      </c>
      <c r="U2382" s="372" t="s">
        <v>15166</v>
      </c>
      <c r="V2382" s="723">
        <v>12.59</v>
      </c>
      <c r="W2382" s="723">
        <v>0.59</v>
      </c>
      <c r="X2382" s="723">
        <v>0.44</v>
      </c>
      <c r="Y2382" s="723" t="s">
        <v>773</v>
      </c>
      <c r="Z2382" s="382" t="s">
        <v>927</v>
      </c>
      <c r="AA2382" s="372">
        <v>633.5518591</v>
      </c>
      <c r="AB2382" s="372">
        <v>506.25242980000002</v>
      </c>
      <c r="AC2382" s="372">
        <v>586.84341329999995</v>
      </c>
      <c r="AD2382" s="372">
        <v>509.63849820000002</v>
      </c>
      <c r="AE2382" s="372">
        <v>0</v>
      </c>
      <c r="AF2382" s="372">
        <v>0</v>
      </c>
      <c r="AG2382" s="372">
        <v>0</v>
      </c>
      <c r="AH2382" s="372">
        <v>0</v>
      </c>
    </row>
    <row r="2383" spans="1:34">
      <c r="A2383" s="372" t="s">
        <v>15167</v>
      </c>
      <c r="B2383" s="372" t="s">
        <v>15168</v>
      </c>
      <c r="C2383" s="372" t="s">
        <v>15169</v>
      </c>
      <c r="D2383" s="374">
        <v>2001110418983</v>
      </c>
      <c r="E2383" s="372" t="s">
        <v>15170</v>
      </c>
      <c r="F2383" s="372" t="s">
        <v>1743</v>
      </c>
      <c r="G2383" s="375" t="s">
        <v>1743</v>
      </c>
      <c r="H2383" s="375" t="s">
        <v>3099</v>
      </c>
      <c r="I2383" s="375" t="s">
        <v>862</v>
      </c>
      <c r="J2383" s="375">
        <v>130404.46627999999</v>
      </c>
      <c r="K2383" s="375">
        <v>-38200.29434</v>
      </c>
      <c r="L2383" s="375">
        <v>-93116.968590000004</v>
      </c>
      <c r="M2383" s="375">
        <v>58742.68129</v>
      </c>
      <c r="N2383" s="372">
        <v>0.90500000000000003</v>
      </c>
      <c r="O2383" s="704">
        <v>421.18986077553046</v>
      </c>
      <c r="P2383" s="563" t="s">
        <v>16115</v>
      </c>
      <c r="Q2383" s="372" t="s">
        <v>16116</v>
      </c>
      <c r="R2383" s="696">
        <v>20220623</v>
      </c>
      <c r="S2383" s="372" t="s">
        <v>15171</v>
      </c>
      <c r="T2383" s="697" t="s">
        <v>771</v>
      </c>
      <c r="U2383" s="372" t="s">
        <v>15172</v>
      </c>
      <c r="V2383" s="723" t="s">
        <v>773</v>
      </c>
      <c r="W2383" s="723">
        <v>0.46</v>
      </c>
      <c r="X2383" s="723">
        <v>0.2</v>
      </c>
      <c r="Y2383" s="723" t="s">
        <v>773</v>
      </c>
      <c r="Z2383" s="382" t="s">
        <v>927</v>
      </c>
      <c r="AA2383" s="372">
        <v>4185.2707188000004</v>
      </c>
      <c r="AB2383" s="372">
        <v>4864.5466788000003</v>
      </c>
      <c r="AC2383" s="372">
        <v>4394.6173048999999</v>
      </c>
      <c r="AD2383" s="372">
        <v>2743.0938544000001</v>
      </c>
      <c r="AE2383" s="372">
        <v>5119</v>
      </c>
      <c r="AF2383" s="372">
        <v>5849</v>
      </c>
      <c r="AG2383" s="372">
        <v>0</v>
      </c>
      <c r="AH2383" s="372">
        <v>0</v>
      </c>
    </row>
    <row r="2384" spans="1:34">
      <c r="A2384" s="372" t="s">
        <v>15173</v>
      </c>
      <c r="B2384" s="372" t="s">
        <v>15174</v>
      </c>
      <c r="C2384" s="372" t="s">
        <v>15175</v>
      </c>
      <c r="D2384" s="374">
        <v>1115110015359</v>
      </c>
      <c r="E2384" s="372" t="s">
        <v>15176</v>
      </c>
      <c r="F2384" s="372" t="s">
        <v>4184</v>
      </c>
      <c r="G2384" s="375" t="s">
        <v>4184</v>
      </c>
      <c r="H2384" s="375" t="s">
        <v>861</v>
      </c>
      <c r="I2384" s="375" t="s">
        <v>862</v>
      </c>
      <c r="J2384" s="375">
        <v>23070.407090000001</v>
      </c>
      <c r="K2384" s="375">
        <v>-1874.2479499999999</v>
      </c>
      <c r="L2384" s="375">
        <v>-1384.8831700000001</v>
      </c>
      <c r="M2384" s="375">
        <v>42751.057059999999</v>
      </c>
      <c r="N2384" s="372">
        <v>0.70099999999999996</v>
      </c>
      <c r="O2384" s="704">
        <v>3.0462303480067878</v>
      </c>
      <c r="P2384" s="563" t="s">
        <v>622</v>
      </c>
      <c r="Q2384" s="372" t="s">
        <v>622</v>
      </c>
      <c r="R2384" s="696">
        <v>20010718</v>
      </c>
      <c r="S2384" s="372" t="s">
        <v>15177</v>
      </c>
      <c r="T2384" s="697" t="s">
        <v>771</v>
      </c>
      <c r="U2384" s="372" t="s">
        <v>15178</v>
      </c>
      <c r="V2384" s="723">
        <v>0</v>
      </c>
      <c r="W2384" s="723">
        <v>0</v>
      </c>
      <c r="X2384" s="723">
        <v>0</v>
      </c>
      <c r="Y2384" s="723">
        <v>0</v>
      </c>
      <c r="Z2384" s="382" t="s">
        <v>927</v>
      </c>
      <c r="AA2384" s="372">
        <v>154.6608875</v>
      </c>
      <c r="AB2384" s="372">
        <v>145.89088150000001</v>
      </c>
      <c r="AC2384" s="372">
        <v>160.7785149</v>
      </c>
      <c r="AD2384" s="372">
        <v>166.80293080000001</v>
      </c>
      <c r="AE2384" s="372">
        <v>0</v>
      </c>
      <c r="AF2384" s="372">
        <v>0</v>
      </c>
      <c r="AG2384" s="372">
        <v>0</v>
      </c>
      <c r="AH2384" s="372">
        <v>0</v>
      </c>
    </row>
    <row r="2385" spans="1:34">
      <c r="A2385" s="372" t="s">
        <v>15179</v>
      </c>
      <c r="B2385" s="372" t="s">
        <v>15180</v>
      </c>
      <c r="C2385" s="372" t="s">
        <v>15181</v>
      </c>
      <c r="D2385" s="374">
        <v>1101112722761</v>
      </c>
      <c r="E2385" s="372" t="s">
        <v>15182</v>
      </c>
      <c r="F2385" s="372" t="s">
        <v>2668</v>
      </c>
      <c r="G2385" s="375" t="s">
        <v>15183</v>
      </c>
      <c r="H2385" s="375" t="s">
        <v>861</v>
      </c>
      <c r="I2385" s="375" t="s">
        <v>862</v>
      </c>
      <c r="J2385" s="375">
        <v>70456.024179999993</v>
      </c>
      <c r="K2385" s="375">
        <v>1296.7427700000001</v>
      </c>
      <c r="L2385" s="375">
        <v>-75.660550000000001</v>
      </c>
      <c r="M2385" s="375">
        <v>27037.968369999999</v>
      </c>
      <c r="N2385" s="372">
        <v>0.73899999999999999</v>
      </c>
      <c r="O2385" s="704">
        <v>104.63372020496924</v>
      </c>
      <c r="P2385" s="563" t="s">
        <v>622</v>
      </c>
      <c r="Q2385" s="372" t="s">
        <v>622</v>
      </c>
      <c r="R2385" s="696">
        <v>20090417</v>
      </c>
      <c r="S2385" s="372" t="s">
        <v>15184</v>
      </c>
      <c r="T2385" s="697" t="s">
        <v>771</v>
      </c>
      <c r="U2385" s="372" t="s">
        <v>15185</v>
      </c>
      <c r="V2385" s="723">
        <v>10.39</v>
      </c>
      <c r="W2385" s="723">
        <v>1.3</v>
      </c>
      <c r="X2385" s="723">
        <v>0.53</v>
      </c>
      <c r="Y2385" s="723" t="s">
        <v>773</v>
      </c>
      <c r="Z2385" s="382" t="s">
        <v>927</v>
      </c>
      <c r="AA2385" s="372">
        <v>684.27471309999999</v>
      </c>
      <c r="AB2385" s="372">
        <v>644.87015789999998</v>
      </c>
      <c r="AC2385" s="372">
        <v>731.62090460000002</v>
      </c>
      <c r="AD2385" s="372">
        <v>740.45039699999995</v>
      </c>
      <c r="AE2385" s="372">
        <v>0</v>
      </c>
      <c r="AF2385" s="372">
        <v>0</v>
      </c>
      <c r="AG2385" s="372">
        <v>0</v>
      </c>
      <c r="AH2385" s="372">
        <v>0</v>
      </c>
    </row>
    <row r="2386" spans="1:34">
      <c r="A2386" s="372" t="s">
        <v>15186</v>
      </c>
      <c r="B2386" s="372" t="s">
        <v>15187</v>
      </c>
      <c r="C2386" s="372" t="s">
        <v>15188</v>
      </c>
      <c r="D2386" s="374">
        <v>1101110028632</v>
      </c>
      <c r="E2386" s="372" t="s">
        <v>15189</v>
      </c>
      <c r="F2386" s="372" t="s">
        <v>2089</v>
      </c>
      <c r="G2386" s="375" t="s">
        <v>2434</v>
      </c>
      <c r="H2386" s="375" t="s">
        <v>812</v>
      </c>
      <c r="I2386" s="375" t="s">
        <v>754</v>
      </c>
      <c r="J2386" s="375">
        <v>107345.08789</v>
      </c>
      <c r="K2386" s="375">
        <v>-4960.8454700000002</v>
      </c>
      <c r="L2386" s="375">
        <v>-818.94668000000001</v>
      </c>
      <c r="M2386" s="375">
        <v>50623.682509999999</v>
      </c>
      <c r="N2386" s="372">
        <v>0.91400000000000003</v>
      </c>
      <c r="O2386" s="704">
        <v>54.875194601158853</v>
      </c>
      <c r="P2386" s="563" t="s">
        <v>622</v>
      </c>
      <c r="Q2386" s="372" t="s">
        <v>622</v>
      </c>
      <c r="R2386" s="696">
        <v>19881123</v>
      </c>
      <c r="S2386" s="372" t="s">
        <v>15190</v>
      </c>
      <c r="T2386" s="697" t="s">
        <v>771</v>
      </c>
      <c r="U2386" s="372" t="s">
        <v>15191</v>
      </c>
      <c r="V2386" s="723">
        <v>0</v>
      </c>
      <c r="W2386" s="723">
        <v>0</v>
      </c>
      <c r="X2386" s="723">
        <v>0</v>
      </c>
      <c r="Y2386" s="723">
        <v>0</v>
      </c>
      <c r="Z2386" s="382" t="s">
        <v>927</v>
      </c>
      <c r="AA2386" s="372">
        <v>773.26954909999995</v>
      </c>
      <c r="AB2386" s="372">
        <v>1047.7070636000001</v>
      </c>
      <c r="AC2386" s="372">
        <v>1252.6399262</v>
      </c>
      <c r="AD2386" s="372">
        <v>1062.9382975999999</v>
      </c>
      <c r="AE2386" s="372">
        <v>0</v>
      </c>
      <c r="AF2386" s="372">
        <v>0</v>
      </c>
      <c r="AG2386" s="372">
        <v>0</v>
      </c>
      <c r="AH2386" s="372">
        <v>0</v>
      </c>
    </row>
    <row r="2387" spans="1:34">
      <c r="A2387" s="372" t="s">
        <v>15192</v>
      </c>
      <c r="B2387" s="372" t="s">
        <v>15193</v>
      </c>
      <c r="C2387" s="372" t="s">
        <v>15194</v>
      </c>
      <c r="D2387" s="374">
        <v>1101111194739</v>
      </c>
      <c r="E2387" s="372" t="s">
        <v>15195</v>
      </c>
      <c r="F2387" s="372" t="s">
        <v>9928</v>
      </c>
      <c r="G2387" s="375" t="s">
        <v>9928</v>
      </c>
      <c r="H2387" s="375" t="s">
        <v>3099</v>
      </c>
      <c r="I2387" s="375" t="s">
        <v>862</v>
      </c>
      <c r="J2387" s="375">
        <v>115559.03868</v>
      </c>
      <c r="K2387" s="375">
        <v>781.53326000000004</v>
      </c>
      <c r="L2387" s="375">
        <v>-7783.8622699999996</v>
      </c>
      <c r="M2387" s="375">
        <v>21064.08957</v>
      </c>
      <c r="N2387" s="372">
        <v>0.86799999999999999</v>
      </c>
      <c r="O2387" s="704">
        <v>120.51277300938752</v>
      </c>
      <c r="P2387" s="563" t="s">
        <v>16115</v>
      </c>
      <c r="Q2387" s="372" t="s">
        <v>16116</v>
      </c>
      <c r="R2387" s="696">
        <v>20070718</v>
      </c>
      <c r="S2387" s="372" t="s">
        <v>15196</v>
      </c>
      <c r="T2387" s="697" t="s">
        <v>771</v>
      </c>
      <c r="U2387" s="372" t="s">
        <v>16096</v>
      </c>
      <c r="V2387" s="723">
        <v>22.33</v>
      </c>
      <c r="W2387" s="723">
        <v>0.79</v>
      </c>
      <c r="X2387" s="723">
        <v>0.16</v>
      </c>
      <c r="Y2387" s="723" t="s">
        <v>773</v>
      </c>
      <c r="Z2387" s="382" t="s">
        <v>927</v>
      </c>
      <c r="AA2387" s="372">
        <v>467.47521</v>
      </c>
      <c r="AB2387" s="372">
        <v>1043.0580210999999</v>
      </c>
      <c r="AC2387" s="372">
        <v>1213.0218835999999</v>
      </c>
      <c r="AD2387" s="372">
        <v>1288.1948245000001</v>
      </c>
      <c r="AE2387" s="372">
        <v>0</v>
      </c>
      <c r="AF2387" s="372">
        <v>0</v>
      </c>
      <c r="AG2387" s="372">
        <v>0</v>
      </c>
      <c r="AH2387" s="372">
        <v>0</v>
      </c>
    </row>
    <row r="2388" spans="1:34">
      <c r="A2388" s="372" t="s">
        <v>15197</v>
      </c>
      <c r="B2388" s="372" t="s">
        <v>15198</v>
      </c>
      <c r="C2388" s="372" t="s">
        <v>15199</v>
      </c>
      <c r="D2388" s="374">
        <v>1341110173489</v>
      </c>
      <c r="E2388" s="372" t="s">
        <v>15200</v>
      </c>
      <c r="F2388" s="372" t="s">
        <v>10904</v>
      </c>
      <c r="G2388" s="375" t="s">
        <v>10904</v>
      </c>
      <c r="H2388" s="375" t="s">
        <v>861</v>
      </c>
      <c r="I2388" s="375" t="s">
        <v>862</v>
      </c>
      <c r="J2388" s="375">
        <v>60301.366009999998</v>
      </c>
      <c r="K2388" s="375">
        <v>-541.25615000000005</v>
      </c>
      <c r="L2388" s="375">
        <v>-6072.5990400000001</v>
      </c>
      <c r="M2388" s="375">
        <v>91047.230290000007</v>
      </c>
      <c r="N2388" s="372">
        <v>0.90100000000000002</v>
      </c>
      <c r="O2388" s="704">
        <v>285.67180002259585</v>
      </c>
      <c r="P2388" s="563" t="s">
        <v>622</v>
      </c>
      <c r="Q2388" s="372" t="s">
        <v>622</v>
      </c>
      <c r="R2388" s="696">
        <v>20090316</v>
      </c>
      <c r="S2388" s="372" t="s">
        <v>15201</v>
      </c>
      <c r="T2388" s="697" t="s">
        <v>771</v>
      </c>
      <c r="U2388" s="372" t="s">
        <v>15202</v>
      </c>
      <c r="V2388" s="723">
        <v>56.66</v>
      </c>
      <c r="W2388" s="723">
        <v>0.23</v>
      </c>
      <c r="X2388" s="723">
        <v>0.3</v>
      </c>
      <c r="Y2388" s="723" t="s">
        <v>773</v>
      </c>
      <c r="Z2388" s="382" t="s">
        <v>927</v>
      </c>
      <c r="AA2388" s="372">
        <v>1698.2261000999999</v>
      </c>
      <c r="AB2388" s="372">
        <v>503.58674680000001</v>
      </c>
      <c r="AC2388" s="372">
        <v>514.59059479999996</v>
      </c>
      <c r="AD2388" s="372">
        <v>595.76122520000001</v>
      </c>
      <c r="AE2388" s="372">
        <v>11399</v>
      </c>
      <c r="AF2388" s="372">
        <v>0</v>
      </c>
      <c r="AG2388" s="372">
        <v>0</v>
      </c>
      <c r="AH2388" s="372">
        <v>0</v>
      </c>
    </row>
    <row r="2389" spans="1:34">
      <c r="A2389" s="372" t="s">
        <v>15203</v>
      </c>
      <c r="B2389" s="372" t="s">
        <v>15204</v>
      </c>
      <c r="C2389" s="372" t="s">
        <v>16063</v>
      </c>
      <c r="D2389" s="374">
        <v>1101114865569</v>
      </c>
      <c r="E2389" s="372" t="s">
        <v>16064</v>
      </c>
      <c r="F2389" s="372" t="s">
        <v>16065</v>
      </c>
      <c r="G2389" s="375" t="s">
        <v>16065</v>
      </c>
      <c r="H2389" s="375" t="s">
        <v>1337</v>
      </c>
      <c r="I2389" s="375" t="s">
        <v>862</v>
      </c>
      <c r="J2389" s="375">
        <v>85038.564629999993</v>
      </c>
      <c r="K2389" s="375">
        <v>-33766.128109999998</v>
      </c>
      <c r="L2389" s="375">
        <v>-88084.73057</v>
      </c>
      <c r="M2389" s="375">
        <v>-43325.04393</v>
      </c>
      <c r="N2389" s="372">
        <v>0.84899999999999998</v>
      </c>
      <c r="O2389" s="704">
        <v>107.98576205383861</v>
      </c>
      <c r="P2389" s="563" t="s">
        <v>622</v>
      </c>
      <c r="Q2389" s="372" t="s">
        <v>622</v>
      </c>
      <c r="R2389" s="696">
        <v>20181115</v>
      </c>
      <c r="S2389" s="372" t="s">
        <v>15205</v>
      </c>
      <c r="T2389" s="697" t="s">
        <v>771</v>
      </c>
      <c r="U2389" s="372" t="s">
        <v>15206</v>
      </c>
      <c r="V2389" s="723" t="s">
        <v>773</v>
      </c>
      <c r="W2389" s="723" t="s">
        <v>773</v>
      </c>
      <c r="X2389" s="723">
        <v>0.21</v>
      </c>
      <c r="Y2389" s="723" t="s">
        <v>773</v>
      </c>
      <c r="Z2389" s="382" t="s">
        <v>927</v>
      </c>
      <c r="AA2389" s="372">
        <v>251.98828409999999</v>
      </c>
      <c r="AB2389" s="372">
        <v>132.34569859999999</v>
      </c>
      <c r="AC2389" s="372">
        <v>32.030520000000003</v>
      </c>
      <c r="AD2389" s="372">
        <v>1823.1978971999999</v>
      </c>
      <c r="AE2389" s="372">
        <v>0</v>
      </c>
      <c r="AF2389" s="372">
        <v>0</v>
      </c>
      <c r="AG2389" s="372">
        <v>0</v>
      </c>
      <c r="AH2389" s="372">
        <v>0</v>
      </c>
    </row>
    <row r="2390" spans="1:34">
      <c r="A2390" s="372" t="s">
        <v>15207</v>
      </c>
      <c r="B2390" s="372" t="s">
        <v>15208</v>
      </c>
      <c r="C2390" s="372" t="s">
        <v>15209</v>
      </c>
      <c r="D2390" s="374">
        <v>1101111860083</v>
      </c>
      <c r="E2390" s="372" t="s">
        <v>15210</v>
      </c>
      <c r="F2390" s="372" t="s">
        <v>6364</v>
      </c>
      <c r="G2390" s="375" t="s">
        <v>15211</v>
      </c>
      <c r="H2390" s="375" t="s">
        <v>861</v>
      </c>
      <c r="I2390" s="375" t="s">
        <v>862</v>
      </c>
      <c r="J2390" s="375">
        <v>10852.613009999999</v>
      </c>
      <c r="K2390" s="375">
        <v>913.43122000000005</v>
      </c>
      <c r="L2390" s="375">
        <v>1444.3141900000001</v>
      </c>
      <c r="M2390" s="375">
        <v>22043.75906</v>
      </c>
      <c r="N2390" s="372">
        <v>0.54800000000000004</v>
      </c>
      <c r="O2390" s="704">
        <v>5.0534383224049284</v>
      </c>
      <c r="P2390" s="563" t="s">
        <v>622</v>
      </c>
      <c r="Q2390" s="372" t="s">
        <v>622</v>
      </c>
      <c r="R2390" s="696">
        <v>20110427</v>
      </c>
      <c r="S2390" s="372" t="s">
        <v>15212</v>
      </c>
      <c r="T2390" s="697">
        <v>0.20900000000000002</v>
      </c>
      <c r="U2390" s="372" t="s">
        <v>15213</v>
      </c>
      <c r="V2390" s="723">
        <v>0</v>
      </c>
      <c r="W2390" s="723">
        <v>0</v>
      </c>
      <c r="X2390" s="723">
        <v>0</v>
      </c>
      <c r="Y2390" s="723">
        <v>0</v>
      </c>
      <c r="Z2390" s="382" t="s">
        <v>927</v>
      </c>
      <c r="AA2390" s="372">
        <v>107.38282820000001</v>
      </c>
      <c r="AB2390" s="372">
        <v>108.45632519999999</v>
      </c>
      <c r="AC2390" s="372">
        <v>111.0451118</v>
      </c>
      <c r="AD2390" s="372">
        <v>104.9938222</v>
      </c>
      <c r="AE2390" s="372">
        <v>0</v>
      </c>
      <c r="AF2390" s="372">
        <v>0</v>
      </c>
      <c r="AG2390" s="372">
        <v>0</v>
      </c>
      <c r="AH2390" s="372">
        <v>0</v>
      </c>
    </row>
    <row r="2391" spans="1:34">
      <c r="A2391" s="372" t="s">
        <v>15214</v>
      </c>
      <c r="B2391" s="372" t="s">
        <v>15215</v>
      </c>
      <c r="C2391" s="372" t="s">
        <v>15216</v>
      </c>
      <c r="D2391" s="374">
        <v>1101111015779</v>
      </c>
      <c r="E2391" s="372" t="s">
        <v>15217</v>
      </c>
      <c r="F2391" s="372" t="s">
        <v>1576</v>
      </c>
      <c r="G2391" s="375" t="s">
        <v>6316</v>
      </c>
      <c r="H2391" s="375" t="s">
        <v>861</v>
      </c>
      <c r="I2391" s="375" t="s">
        <v>862</v>
      </c>
      <c r="J2391" s="375">
        <v>109093.23407999999</v>
      </c>
      <c r="K2391" s="375">
        <v>-18484.111789999999</v>
      </c>
      <c r="L2391" s="375">
        <v>-20272.92122</v>
      </c>
      <c r="M2391" s="375">
        <v>42648.680630000003</v>
      </c>
      <c r="N2391" s="372">
        <v>0.753</v>
      </c>
      <c r="O2391" s="704">
        <v>318.42555948481987</v>
      </c>
      <c r="P2391" s="563" t="s">
        <v>622</v>
      </c>
      <c r="Q2391" s="372" t="s">
        <v>622</v>
      </c>
      <c r="R2391" s="696">
        <v>20101026</v>
      </c>
      <c r="S2391" s="372" t="s">
        <v>15218</v>
      </c>
      <c r="T2391" s="697" t="s">
        <v>771</v>
      </c>
      <c r="U2391" s="372" t="s">
        <v>15219</v>
      </c>
      <c r="V2391" s="723" t="s">
        <v>773</v>
      </c>
      <c r="W2391" s="723">
        <v>0.49</v>
      </c>
      <c r="X2391" s="723">
        <v>0.16</v>
      </c>
      <c r="Y2391" s="723" t="s">
        <v>773</v>
      </c>
      <c r="Z2391" s="382" t="s">
        <v>927</v>
      </c>
      <c r="AA2391" s="372">
        <v>1393.5219669999999</v>
      </c>
      <c r="AB2391" s="372">
        <v>1327.9649821999999</v>
      </c>
      <c r="AC2391" s="372">
        <v>1311.5294305</v>
      </c>
      <c r="AD2391" s="372">
        <v>1221.8143586000001</v>
      </c>
      <c r="AE2391" s="372">
        <v>0</v>
      </c>
      <c r="AF2391" s="372">
        <v>0</v>
      </c>
      <c r="AG2391" s="372">
        <v>0</v>
      </c>
      <c r="AH2391" s="372">
        <v>0</v>
      </c>
    </row>
    <row r="2392" spans="1:34">
      <c r="A2392" s="372" t="s">
        <v>15220</v>
      </c>
      <c r="B2392" s="372" t="s">
        <v>15221</v>
      </c>
      <c r="C2392" s="372" t="s">
        <v>16066</v>
      </c>
      <c r="D2392" s="374">
        <v>1101114519281</v>
      </c>
      <c r="E2392" s="372" t="s">
        <v>15978</v>
      </c>
      <c r="F2392" s="372" t="s">
        <v>1743</v>
      </c>
      <c r="G2392" s="375" t="s">
        <v>1743</v>
      </c>
      <c r="H2392" s="375" t="s">
        <v>3099</v>
      </c>
      <c r="I2392" s="375" t="s">
        <v>862</v>
      </c>
      <c r="J2392" s="375">
        <v>0</v>
      </c>
      <c r="K2392" s="375">
        <v>0</v>
      </c>
      <c r="L2392" s="375">
        <v>0</v>
      </c>
      <c r="M2392" s="375">
        <v>24391.345969999998</v>
      </c>
      <c r="N2392" s="372" t="s">
        <v>1026</v>
      </c>
      <c r="O2392" s="704">
        <v>14.635204366383499</v>
      </c>
      <c r="P2392" s="563" t="s">
        <v>622</v>
      </c>
      <c r="Q2392" s="372" t="s">
        <v>622</v>
      </c>
      <c r="R2392" s="696">
        <v>20151224</v>
      </c>
      <c r="S2392" s="372" t="s">
        <v>15222</v>
      </c>
      <c r="T2392" s="697" t="s">
        <v>771</v>
      </c>
      <c r="U2392" s="372" t="s">
        <v>15223</v>
      </c>
      <c r="V2392" s="723">
        <v>0</v>
      </c>
      <c r="W2392" s="723">
        <v>2.31</v>
      </c>
      <c r="X2392" s="723">
        <v>0</v>
      </c>
      <c r="Y2392" s="723">
        <v>0</v>
      </c>
      <c r="Z2392" s="382" t="s">
        <v>927</v>
      </c>
      <c r="AA2392" s="372">
        <v>63.817214399999997</v>
      </c>
      <c r="AB2392" s="372">
        <v>166.77098599999999</v>
      </c>
      <c r="AC2392" s="372">
        <v>207.26718539999999</v>
      </c>
      <c r="AD2392" s="372">
        <v>275.20272870000002</v>
      </c>
      <c r="AE2392" s="372">
        <v>0</v>
      </c>
      <c r="AF2392" s="372">
        <v>0</v>
      </c>
      <c r="AG2392" s="372">
        <v>0</v>
      </c>
      <c r="AH2392" s="372">
        <v>0</v>
      </c>
    </row>
    <row r="2393" spans="1:34">
      <c r="A2393" s="372" t="s">
        <v>15224</v>
      </c>
      <c r="B2393" s="372" t="s">
        <v>15225</v>
      </c>
      <c r="C2393" s="372" t="s">
        <v>15226</v>
      </c>
      <c r="D2393" s="374">
        <v>0</v>
      </c>
      <c r="E2393" s="372" t="s">
        <v>15227</v>
      </c>
      <c r="F2393" s="372" t="s">
        <v>893</v>
      </c>
      <c r="G2393" s="375" t="s">
        <v>894</v>
      </c>
      <c r="H2393" s="375">
        <v>0</v>
      </c>
      <c r="I2393" s="375" t="s">
        <v>862</v>
      </c>
      <c r="J2393" s="375">
        <v>0</v>
      </c>
      <c r="K2393" s="375">
        <v>0</v>
      </c>
      <c r="L2393" s="375">
        <v>0</v>
      </c>
      <c r="M2393" s="375">
        <v>0</v>
      </c>
      <c r="N2393" s="372">
        <v>0.88900000000000001</v>
      </c>
      <c r="O2393" s="704" t="s">
        <v>16301</v>
      </c>
      <c r="P2393" s="563" t="s">
        <v>16115</v>
      </c>
      <c r="Q2393" s="372" t="s">
        <v>16116</v>
      </c>
      <c r="R2393" s="696">
        <v>20161019</v>
      </c>
      <c r="S2393" s="372" t="s">
        <v>15228</v>
      </c>
      <c r="T2393" s="697" t="s">
        <v>771</v>
      </c>
      <c r="U2393" s="372" t="s">
        <v>15229</v>
      </c>
      <c r="V2393" s="723">
        <v>0</v>
      </c>
      <c r="W2393" s="723">
        <v>0</v>
      </c>
      <c r="X2393" s="723">
        <v>0</v>
      </c>
      <c r="Y2393" s="723">
        <v>0</v>
      </c>
      <c r="Z2393" s="382" t="s">
        <v>927</v>
      </c>
      <c r="AA2393" s="372">
        <v>1284.0695000000001</v>
      </c>
      <c r="AB2393" s="372">
        <v>1170.9202600000001</v>
      </c>
      <c r="AC2393" s="372">
        <v>694.52400999999998</v>
      </c>
      <c r="AD2393" s="372">
        <v>409.78836000000001</v>
      </c>
      <c r="AE2393" s="372">
        <v>0</v>
      </c>
      <c r="AF2393" s="372">
        <v>0</v>
      </c>
      <c r="AG2393" s="372">
        <v>0</v>
      </c>
      <c r="AH2393" s="372">
        <v>0</v>
      </c>
    </row>
    <row r="2394" spans="1:34">
      <c r="A2394" s="372" t="s">
        <v>15230</v>
      </c>
      <c r="B2394" s="372" t="s">
        <v>15231</v>
      </c>
      <c r="C2394" s="372" t="s">
        <v>15232</v>
      </c>
      <c r="D2394" s="374">
        <v>1311110165843</v>
      </c>
      <c r="E2394" s="372" t="s">
        <v>15233</v>
      </c>
      <c r="F2394" s="372" t="s">
        <v>1764</v>
      </c>
      <c r="G2394" s="375" t="s">
        <v>1764</v>
      </c>
      <c r="H2394" s="375" t="s">
        <v>861</v>
      </c>
      <c r="I2394" s="375" t="s">
        <v>862</v>
      </c>
      <c r="J2394" s="375">
        <v>14665.78738</v>
      </c>
      <c r="K2394" s="375">
        <v>-7276.7835999999998</v>
      </c>
      <c r="L2394" s="375">
        <v>-7037.0294400000002</v>
      </c>
      <c r="M2394" s="375">
        <v>14102.644029999999</v>
      </c>
      <c r="N2394" s="372">
        <v>0.871</v>
      </c>
      <c r="O2394" s="704">
        <v>25.012777275163494</v>
      </c>
      <c r="P2394" s="563" t="s">
        <v>622</v>
      </c>
      <c r="Q2394" s="372" t="s">
        <v>622</v>
      </c>
      <c r="R2394" s="696">
        <v>20121227</v>
      </c>
      <c r="S2394" s="372" t="s">
        <v>15234</v>
      </c>
      <c r="T2394" s="697" t="s">
        <v>771</v>
      </c>
      <c r="U2394" s="372" t="s">
        <v>15235</v>
      </c>
      <c r="V2394" s="723" t="s">
        <v>773</v>
      </c>
      <c r="W2394" s="723">
        <v>1.97</v>
      </c>
      <c r="X2394" s="723">
        <v>1.87</v>
      </c>
      <c r="Y2394" s="723" t="s">
        <v>773</v>
      </c>
      <c r="Z2394" s="382" t="s">
        <v>927</v>
      </c>
      <c r="AA2394" s="372">
        <v>252.82382480000001</v>
      </c>
      <c r="AB2394" s="372">
        <v>276.11573040000002</v>
      </c>
      <c r="AC2394" s="372">
        <v>132.61873900000001</v>
      </c>
      <c r="AD2394" s="372">
        <v>139.24448029999999</v>
      </c>
      <c r="AE2394" s="372">
        <v>0</v>
      </c>
      <c r="AF2394" s="372">
        <v>0</v>
      </c>
      <c r="AG2394" s="372">
        <v>0</v>
      </c>
      <c r="AH2394" s="372">
        <v>0</v>
      </c>
    </row>
    <row r="2395" spans="1:34">
      <c r="A2395" s="372" t="s">
        <v>15236</v>
      </c>
      <c r="B2395" s="372" t="s">
        <v>15237</v>
      </c>
      <c r="C2395" s="372" t="s">
        <v>15238</v>
      </c>
      <c r="D2395" s="374">
        <v>1101111574709</v>
      </c>
      <c r="E2395" s="372" t="s">
        <v>15239</v>
      </c>
      <c r="F2395" s="372" t="s">
        <v>1796</v>
      </c>
      <c r="G2395" s="375" t="s">
        <v>1797</v>
      </c>
      <c r="H2395" s="375" t="s">
        <v>1337</v>
      </c>
      <c r="I2395" s="375" t="s">
        <v>862</v>
      </c>
      <c r="J2395" s="375">
        <v>7746.7817699999996</v>
      </c>
      <c r="K2395" s="375">
        <v>-109.30961000000001</v>
      </c>
      <c r="L2395" s="375">
        <v>776.98870999999997</v>
      </c>
      <c r="M2395" s="375">
        <v>25832.64676</v>
      </c>
      <c r="N2395" s="372" t="s">
        <v>1026</v>
      </c>
      <c r="O2395" s="704">
        <v>9.8160750019038385</v>
      </c>
      <c r="P2395" s="563" t="s">
        <v>16115</v>
      </c>
      <c r="Q2395" s="372" t="s">
        <v>16116</v>
      </c>
      <c r="R2395" s="696">
        <v>20160728</v>
      </c>
      <c r="S2395" s="372" t="s">
        <v>15240</v>
      </c>
      <c r="T2395" s="697">
        <v>0.20900000000000002</v>
      </c>
      <c r="U2395" s="372" t="s">
        <v>15241</v>
      </c>
      <c r="V2395" s="723">
        <v>0</v>
      </c>
      <c r="W2395" s="723">
        <v>0</v>
      </c>
      <c r="X2395" s="723">
        <v>0</v>
      </c>
      <c r="Y2395" s="723">
        <v>0</v>
      </c>
      <c r="Z2395" s="382" t="s">
        <v>927</v>
      </c>
      <c r="AA2395" s="372">
        <v>333.28810850000002</v>
      </c>
      <c r="AB2395" s="372">
        <v>47.843672900000001</v>
      </c>
      <c r="AC2395" s="372">
        <v>34.939505799999999</v>
      </c>
      <c r="AD2395" s="372">
        <v>49.411750599999998</v>
      </c>
      <c r="AE2395" s="372">
        <v>0</v>
      </c>
      <c r="AF2395" s="372">
        <v>0</v>
      </c>
      <c r="AG2395" s="372">
        <v>0</v>
      </c>
      <c r="AH2395" s="372">
        <v>0</v>
      </c>
    </row>
    <row r="2396" spans="1:34">
      <c r="A2396" s="372" t="s">
        <v>15242</v>
      </c>
      <c r="B2396" s="372" t="s">
        <v>15243</v>
      </c>
      <c r="C2396" s="372" t="s">
        <v>15244</v>
      </c>
      <c r="D2396" s="374">
        <v>1101110175970</v>
      </c>
      <c r="E2396" s="372" t="s">
        <v>15245</v>
      </c>
      <c r="F2396" s="372" t="s">
        <v>8402</v>
      </c>
      <c r="G2396" s="375" t="s">
        <v>8403</v>
      </c>
      <c r="H2396" s="375" t="s">
        <v>846</v>
      </c>
      <c r="I2396" s="375" t="s">
        <v>754</v>
      </c>
      <c r="J2396" s="375">
        <v>313457.31943999999</v>
      </c>
      <c r="K2396" s="375">
        <v>1019.48561</v>
      </c>
      <c r="L2396" s="375">
        <v>-3207.8339500000002</v>
      </c>
      <c r="M2396" s="375">
        <v>46407.7912</v>
      </c>
      <c r="N2396" s="372">
        <v>0.81799999999999995</v>
      </c>
      <c r="O2396" s="704">
        <v>21.613796705953405</v>
      </c>
      <c r="P2396" s="563" t="s">
        <v>622</v>
      </c>
      <c r="Q2396" s="372" t="s">
        <v>622</v>
      </c>
      <c r="R2396" s="696">
        <v>19890531</v>
      </c>
      <c r="S2396" s="372" t="s">
        <v>15246</v>
      </c>
      <c r="T2396" s="697" t="s">
        <v>771</v>
      </c>
      <c r="U2396" s="372" t="s">
        <v>15247</v>
      </c>
      <c r="V2396" s="723">
        <v>4.7</v>
      </c>
      <c r="W2396" s="723">
        <v>0.49</v>
      </c>
      <c r="X2396" s="723">
        <v>7.0000000000000007E-2</v>
      </c>
      <c r="Y2396" s="723" t="s">
        <v>773</v>
      </c>
      <c r="Z2396" s="382" t="s">
        <v>927</v>
      </c>
      <c r="AA2396" s="372">
        <v>2448.2392324000002</v>
      </c>
      <c r="AB2396" s="372">
        <v>2629.4332700999998</v>
      </c>
      <c r="AC2396" s="372">
        <v>3142.4605756000001</v>
      </c>
      <c r="AD2396" s="372">
        <v>3116.8911283000002</v>
      </c>
      <c r="AE2396" s="372">
        <v>0</v>
      </c>
      <c r="AF2396" s="372">
        <v>0</v>
      </c>
      <c r="AG2396" s="372">
        <v>0</v>
      </c>
      <c r="AH2396" s="372">
        <v>0</v>
      </c>
    </row>
    <row r="2397" spans="1:34">
      <c r="A2397" s="372" t="s">
        <v>15248</v>
      </c>
      <c r="B2397" s="372" t="s">
        <v>15249</v>
      </c>
      <c r="C2397" s="372" t="s">
        <v>15250</v>
      </c>
      <c r="D2397" s="374">
        <v>1101111631476</v>
      </c>
      <c r="E2397" s="372" t="s">
        <v>15251</v>
      </c>
      <c r="F2397" s="372" t="s">
        <v>845</v>
      </c>
      <c r="G2397" s="375" t="s">
        <v>845</v>
      </c>
      <c r="H2397" s="375" t="s">
        <v>3099</v>
      </c>
      <c r="I2397" s="375" t="s">
        <v>862</v>
      </c>
      <c r="J2397" s="375">
        <v>34047.204919999996</v>
      </c>
      <c r="K2397" s="375">
        <v>455.48919999999998</v>
      </c>
      <c r="L2397" s="375">
        <v>-669.31775000000005</v>
      </c>
      <c r="M2397" s="375">
        <v>41144.597329999997</v>
      </c>
      <c r="N2397" s="372">
        <v>0.41499999999999998</v>
      </c>
      <c r="O2397" s="704">
        <v>27.217045391293006</v>
      </c>
      <c r="P2397" s="563" t="s">
        <v>622</v>
      </c>
      <c r="Q2397" s="372" t="s">
        <v>622</v>
      </c>
      <c r="R2397" s="696">
        <v>20021220</v>
      </c>
      <c r="S2397" s="372" t="s">
        <v>15252</v>
      </c>
      <c r="T2397" s="697" t="s">
        <v>771</v>
      </c>
      <c r="U2397" s="372" t="s">
        <v>15253</v>
      </c>
      <c r="V2397" s="723">
        <v>0</v>
      </c>
      <c r="W2397" s="723">
        <v>0</v>
      </c>
      <c r="X2397" s="723">
        <v>0</v>
      </c>
      <c r="Y2397" s="723">
        <v>0</v>
      </c>
      <c r="Z2397" s="382" t="s">
        <v>927</v>
      </c>
      <c r="AA2397" s="372">
        <v>318.02152269999999</v>
      </c>
      <c r="AB2397" s="372">
        <v>373.0146168</v>
      </c>
      <c r="AC2397" s="372">
        <v>374.11357600000002</v>
      </c>
      <c r="AD2397" s="372">
        <v>357.78569040000002</v>
      </c>
      <c r="AE2397" s="372">
        <v>0</v>
      </c>
      <c r="AF2397" s="372">
        <v>0</v>
      </c>
      <c r="AG2397" s="372">
        <v>0</v>
      </c>
      <c r="AH2397" s="372">
        <v>0</v>
      </c>
    </row>
    <row r="2398" spans="1:34">
      <c r="A2398" s="372" t="s">
        <v>15254</v>
      </c>
      <c r="B2398" s="372" t="s">
        <v>15255</v>
      </c>
      <c r="C2398" s="372" t="s">
        <v>15256</v>
      </c>
      <c r="D2398" s="374">
        <v>1801110095637</v>
      </c>
      <c r="E2398" s="372" t="s">
        <v>15257</v>
      </c>
      <c r="F2398" s="372" t="s">
        <v>1041</v>
      </c>
      <c r="G2398" s="375" t="s">
        <v>3167</v>
      </c>
      <c r="H2398" s="375" t="s">
        <v>861</v>
      </c>
      <c r="I2398" s="375" t="s">
        <v>862</v>
      </c>
      <c r="J2398" s="375">
        <v>43148.23646</v>
      </c>
      <c r="K2398" s="375">
        <v>1714.4514099999999</v>
      </c>
      <c r="L2398" s="375">
        <v>2065.2718500000001</v>
      </c>
      <c r="M2398" s="375">
        <v>46813.212160000003</v>
      </c>
      <c r="N2398" s="372" t="s">
        <v>1026</v>
      </c>
      <c r="O2398" s="704">
        <v>0</v>
      </c>
      <c r="P2398" s="563" t="s">
        <v>622</v>
      </c>
      <c r="Q2398" s="372" t="s">
        <v>622</v>
      </c>
      <c r="R2398" s="696">
        <v>20090805</v>
      </c>
      <c r="S2398" s="372" t="s">
        <v>15258</v>
      </c>
      <c r="T2398" s="697">
        <v>0.20900000000000002</v>
      </c>
      <c r="U2398" s="372" t="s">
        <v>15259</v>
      </c>
      <c r="V2398" s="723">
        <v>0</v>
      </c>
      <c r="W2398" s="723">
        <v>0</v>
      </c>
      <c r="X2398" s="723">
        <v>0</v>
      </c>
      <c r="Y2398" s="723">
        <v>0</v>
      </c>
      <c r="Z2398" s="382" t="s">
        <v>927</v>
      </c>
      <c r="AA2398" s="372">
        <v>334.95871529999999</v>
      </c>
      <c r="AB2398" s="372">
        <v>299.62986769999998</v>
      </c>
      <c r="AC2398" s="372">
        <v>360.15871820000001</v>
      </c>
      <c r="AD2398" s="372">
        <v>436.33590029999999</v>
      </c>
      <c r="AE2398" s="372">
        <v>0</v>
      </c>
      <c r="AF2398" s="372">
        <v>0</v>
      </c>
      <c r="AG2398" s="372">
        <v>0</v>
      </c>
      <c r="AH2398" s="372">
        <v>0</v>
      </c>
    </row>
    <row r="2399" spans="1:34">
      <c r="A2399" s="372" t="s">
        <v>15260</v>
      </c>
      <c r="B2399" s="372" t="s">
        <v>15261</v>
      </c>
      <c r="C2399" s="372" t="s">
        <v>15262</v>
      </c>
      <c r="D2399" s="374">
        <v>1648110019948</v>
      </c>
      <c r="E2399" s="372" t="s">
        <v>15263</v>
      </c>
      <c r="F2399" s="372" t="s">
        <v>1275</v>
      </c>
      <c r="G2399" s="375" t="s">
        <v>1275</v>
      </c>
      <c r="H2399" s="375" t="s">
        <v>1377</v>
      </c>
      <c r="I2399" s="375" t="s">
        <v>4413</v>
      </c>
      <c r="J2399" s="375">
        <v>0</v>
      </c>
      <c r="K2399" s="375">
        <v>0</v>
      </c>
      <c r="L2399" s="375">
        <v>0</v>
      </c>
      <c r="M2399" s="375">
        <v>0</v>
      </c>
      <c r="N2399" s="372" t="s">
        <v>1026</v>
      </c>
      <c r="O2399" s="704" t="s">
        <v>16301</v>
      </c>
      <c r="P2399" s="563" t="s">
        <v>622</v>
      </c>
      <c r="Q2399" s="372" t="s">
        <v>622</v>
      </c>
      <c r="R2399" s="696">
        <v>20100721</v>
      </c>
      <c r="S2399" s="372" t="e">
        <v>#N/A</v>
      </c>
      <c r="T2399" s="697" t="s">
        <v>771</v>
      </c>
      <c r="U2399" s="372" t="s">
        <v>15264</v>
      </c>
      <c r="V2399" s="723">
        <v>0</v>
      </c>
      <c r="W2399" s="723">
        <v>0</v>
      </c>
      <c r="X2399" s="723">
        <v>0</v>
      </c>
      <c r="Y2399" s="723">
        <v>0</v>
      </c>
      <c r="Z2399" s="382" t="s">
        <v>927</v>
      </c>
      <c r="AA2399" s="372">
        <v>476.37042179999997</v>
      </c>
      <c r="AB2399" s="372">
        <v>417.35529889999998</v>
      </c>
      <c r="AC2399" s="372">
        <v>289.89657879999999</v>
      </c>
      <c r="AD2399" s="372">
        <v>214.31370519999999</v>
      </c>
      <c r="AE2399" s="372">
        <v>0</v>
      </c>
      <c r="AF2399" s="372">
        <v>0</v>
      </c>
      <c r="AG2399" s="372">
        <v>0</v>
      </c>
      <c r="AH2399" s="372">
        <v>0</v>
      </c>
    </row>
    <row r="2400" spans="1:34">
      <c r="A2400" s="372" t="s">
        <v>15265</v>
      </c>
      <c r="B2400" s="372" t="s">
        <v>15266</v>
      </c>
      <c r="C2400" s="372" t="s">
        <v>15267</v>
      </c>
      <c r="D2400" s="374">
        <v>1601110023757</v>
      </c>
      <c r="E2400" s="372" t="s">
        <v>15268</v>
      </c>
      <c r="F2400" s="372" t="s">
        <v>11462</v>
      </c>
      <c r="G2400" s="375" t="s">
        <v>11462</v>
      </c>
      <c r="H2400" s="375" t="s">
        <v>1531</v>
      </c>
      <c r="I2400" s="375" t="s">
        <v>862</v>
      </c>
      <c r="J2400" s="375">
        <v>53897.384330000001</v>
      </c>
      <c r="K2400" s="375">
        <v>-3364.8486899999998</v>
      </c>
      <c r="L2400" s="375">
        <v>-14222.6499</v>
      </c>
      <c r="M2400" s="375">
        <v>39568.671649999997</v>
      </c>
      <c r="N2400" s="372">
        <v>0.876</v>
      </c>
      <c r="O2400" s="704">
        <v>34.714181333981635</v>
      </c>
      <c r="P2400" s="563" t="s">
        <v>16115</v>
      </c>
      <c r="Q2400" s="372" t="s">
        <v>622</v>
      </c>
      <c r="R2400" s="696">
        <v>19970626</v>
      </c>
      <c r="S2400" s="372" t="s">
        <v>16317</v>
      </c>
      <c r="T2400" s="697" t="s">
        <v>771</v>
      </c>
      <c r="U2400" s="372" t="s">
        <v>15269</v>
      </c>
      <c r="V2400" s="723" t="s">
        <v>773</v>
      </c>
      <c r="W2400" s="723">
        <v>0.73</v>
      </c>
      <c r="X2400" s="723">
        <v>0.59</v>
      </c>
      <c r="Y2400" s="723" t="s">
        <v>773</v>
      </c>
      <c r="Z2400" s="382" t="s">
        <v>927</v>
      </c>
      <c r="AA2400" s="372">
        <v>164.2576272</v>
      </c>
      <c r="AB2400" s="372">
        <v>234.552954</v>
      </c>
      <c r="AC2400" s="372">
        <v>152.59393019999999</v>
      </c>
      <c r="AD2400" s="372">
        <v>385.2750638</v>
      </c>
      <c r="AE2400" s="372">
        <v>0</v>
      </c>
      <c r="AF2400" s="372">
        <v>0</v>
      </c>
      <c r="AG2400" s="372">
        <v>0</v>
      </c>
      <c r="AH2400" s="372">
        <v>0</v>
      </c>
    </row>
    <row r="2401" spans="1:34">
      <c r="A2401" s="372" t="s">
        <v>15270</v>
      </c>
      <c r="B2401" s="372" t="s">
        <v>15271</v>
      </c>
      <c r="C2401" s="372" t="s">
        <v>15272</v>
      </c>
      <c r="D2401" s="374">
        <v>1101116122470</v>
      </c>
      <c r="E2401" s="372" t="s">
        <v>15273</v>
      </c>
      <c r="F2401" s="372" t="s">
        <v>3721</v>
      </c>
      <c r="G2401" s="375" t="s">
        <v>3722</v>
      </c>
      <c r="H2401" s="375" t="s">
        <v>861</v>
      </c>
      <c r="I2401" s="375" t="s">
        <v>862</v>
      </c>
      <c r="J2401" s="375">
        <v>46688.999459999999</v>
      </c>
      <c r="K2401" s="375">
        <v>-6744.9329200000002</v>
      </c>
      <c r="L2401" s="375">
        <v>-7971.0809900000004</v>
      </c>
      <c r="M2401" s="375">
        <v>19251.026399999999</v>
      </c>
      <c r="N2401" s="372">
        <v>0.79300000000000004</v>
      </c>
      <c r="O2401" s="704">
        <v>160.89681408607791</v>
      </c>
      <c r="P2401" s="563" t="s">
        <v>622</v>
      </c>
      <c r="Q2401" s="372" t="s">
        <v>622</v>
      </c>
      <c r="R2401" s="696">
        <v>20160929</v>
      </c>
      <c r="S2401" s="372" t="s">
        <v>9018</v>
      </c>
      <c r="T2401" s="697" t="s">
        <v>771</v>
      </c>
      <c r="U2401" s="372" t="s">
        <v>15274</v>
      </c>
      <c r="V2401" s="723" t="s">
        <v>773</v>
      </c>
      <c r="W2401" s="723">
        <v>1.01</v>
      </c>
      <c r="X2401" s="723">
        <v>0.43</v>
      </c>
      <c r="Y2401" s="723" t="s">
        <v>773</v>
      </c>
      <c r="Z2401" s="382" t="s">
        <v>927</v>
      </c>
      <c r="AA2401" s="372">
        <v>573.36533080000004</v>
      </c>
      <c r="AB2401" s="372">
        <v>659.23294480000004</v>
      </c>
      <c r="AC2401" s="372">
        <v>531.67628109999998</v>
      </c>
      <c r="AD2401" s="372">
        <v>441.15964459999998</v>
      </c>
      <c r="AE2401" s="372">
        <v>0</v>
      </c>
      <c r="AF2401" s="372">
        <v>0</v>
      </c>
      <c r="AG2401" s="372">
        <v>0</v>
      </c>
      <c r="AH2401" s="372">
        <v>0</v>
      </c>
    </row>
    <row r="2402" spans="1:34">
      <c r="A2402" s="372" t="s">
        <v>15275</v>
      </c>
      <c r="B2402" s="372" t="s">
        <v>15276</v>
      </c>
      <c r="C2402" s="372" t="s">
        <v>15277</v>
      </c>
      <c r="D2402" s="374">
        <v>1101113411024</v>
      </c>
      <c r="E2402" s="372" t="s">
        <v>15278</v>
      </c>
      <c r="F2402" s="372" t="s">
        <v>845</v>
      </c>
      <c r="G2402" s="375" t="s">
        <v>845</v>
      </c>
      <c r="H2402" s="375" t="s">
        <v>846</v>
      </c>
      <c r="I2402" s="375" t="s">
        <v>754</v>
      </c>
      <c r="J2402" s="375">
        <v>50499.34132</v>
      </c>
      <c r="K2402" s="375">
        <v>3767.5714200000002</v>
      </c>
      <c r="L2402" s="375">
        <v>4796.0145499999999</v>
      </c>
      <c r="M2402" s="375">
        <v>106030.49096</v>
      </c>
      <c r="N2402" s="372">
        <v>0.69399999999999995</v>
      </c>
      <c r="O2402" s="704">
        <v>96.756860582064562</v>
      </c>
      <c r="P2402" s="563" t="s">
        <v>622</v>
      </c>
      <c r="Q2402" s="372" t="s">
        <v>622</v>
      </c>
      <c r="R2402" s="696">
        <v>20060328</v>
      </c>
      <c r="S2402" s="372" t="s">
        <v>15279</v>
      </c>
      <c r="T2402" s="697">
        <v>0.20900000000000002</v>
      </c>
      <c r="U2402" s="372" t="s">
        <v>15280</v>
      </c>
      <c r="V2402" s="723">
        <v>0</v>
      </c>
      <c r="W2402" s="723">
        <v>0</v>
      </c>
      <c r="X2402" s="723">
        <v>0</v>
      </c>
      <c r="Y2402" s="723">
        <v>0</v>
      </c>
      <c r="Z2402" s="382" t="s">
        <v>927</v>
      </c>
      <c r="AA2402" s="372">
        <v>544.69358169999998</v>
      </c>
      <c r="AB2402" s="372">
        <v>589.61462989999995</v>
      </c>
      <c r="AC2402" s="372">
        <v>634.17016269999999</v>
      </c>
      <c r="AD2402" s="372">
        <v>563.70619269999997</v>
      </c>
      <c r="AE2402" s="372">
        <v>0</v>
      </c>
      <c r="AF2402" s="372">
        <v>0</v>
      </c>
      <c r="AG2402" s="372">
        <v>0</v>
      </c>
      <c r="AH2402" s="372">
        <v>0</v>
      </c>
    </row>
    <row r="2403" spans="1:34">
      <c r="A2403" s="372" t="s">
        <v>15281</v>
      </c>
      <c r="B2403" s="372" t="s">
        <v>15282</v>
      </c>
      <c r="C2403" s="372" t="s">
        <v>15283</v>
      </c>
      <c r="D2403" s="374">
        <v>1101115649938</v>
      </c>
      <c r="E2403" s="372" t="s">
        <v>15284</v>
      </c>
      <c r="F2403" s="372" t="s">
        <v>3672</v>
      </c>
      <c r="G2403" s="375" t="s">
        <v>3672</v>
      </c>
      <c r="H2403" s="375" t="s">
        <v>1337</v>
      </c>
      <c r="I2403" s="375" t="s">
        <v>862</v>
      </c>
      <c r="J2403" s="375">
        <v>49136.325510000002</v>
      </c>
      <c r="K2403" s="375">
        <v>1515.79207</v>
      </c>
      <c r="L2403" s="375">
        <v>2892.3968</v>
      </c>
      <c r="M2403" s="375">
        <v>26806.135859999999</v>
      </c>
      <c r="N2403" s="372">
        <v>1.0169999999999999</v>
      </c>
      <c r="O2403" s="704">
        <v>154.93229582962911</v>
      </c>
      <c r="P2403" s="563" t="s">
        <v>622</v>
      </c>
      <c r="Q2403" s="372" t="s">
        <v>622</v>
      </c>
      <c r="R2403" s="696">
        <v>20150518</v>
      </c>
      <c r="S2403" s="372" t="s">
        <v>15285</v>
      </c>
      <c r="T2403" s="697">
        <v>0.20900000000000002</v>
      </c>
      <c r="U2403" s="372" t="s">
        <v>15286</v>
      </c>
      <c r="V2403" s="723">
        <v>0</v>
      </c>
      <c r="W2403" s="723">
        <v>0</v>
      </c>
      <c r="X2403" s="723">
        <v>0</v>
      </c>
      <c r="Y2403" s="723">
        <v>0</v>
      </c>
      <c r="Z2403" s="382" t="s">
        <v>927</v>
      </c>
      <c r="AA2403" s="372">
        <v>373.43959599999999</v>
      </c>
      <c r="AB2403" s="372">
        <v>312.3778403</v>
      </c>
      <c r="AC2403" s="372">
        <v>469.17852690000001</v>
      </c>
      <c r="AD2403" s="372">
        <v>386.15630579999998</v>
      </c>
      <c r="AE2403" s="372">
        <v>0</v>
      </c>
      <c r="AF2403" s="372">
        <v>0</v>
      </c>
      <c r="AG2403" s="372">
        <v>0</v>
      </c>
      <c r="AH2403" s="372">
        <v>0</v>
      </c>
    </row>
    <row r="2404" spans="1:34">
      <c r="A2404" s="372" t="s">
        <v>15287</v>
      </c>
      <c r="B2404" s="372" t="s">
        <v>15288</v>
      </c>
      <c r="C2404" s="372" t="s">
        <v>15289</v>
      </c>
      <c r="D2404" s="374">
        <v>1101117222352</v>
      </c>
      <c r="E2404" s="372" t="s">
        <v>15290</v>
      </c>
      <c r="F2404" s="372" t="s">
        <v>3451</v>
      </c>
      <c r="G2404" s="375" t="s">
        <v>3451</v>
      </c>
      <c r="H2404" s="375" t="s">
        <v>3099</v>
      </c>
      <c r="I2404" s="375" t="s">
        <v>862</v>
      </c>
      <c r="J2404" s="375">
        <v>50241.819340000002</v>
      </c>
      <c r="K2404" s="375">
        <v>3346.9821700000002</v>
      </c>
      <c r="L2404" s="375">
        <v>3397.1997200000001</v>
      </c>
      <c r="M2404" s="375">
        <v>29041.72438</v>
      </c>
      <c r="N2404" s="372">
        <v>0.71199999999999997</v>
      </c>
      <c r="O2404" s="704">
        <v>23.851813668444663</v>
      </c>
      <c r="P2404" s="563" t="s">
        <v>622</v>
      </c>
      <c r="Q2404" s="372" t="s">
        <v>622</v>
      </c>
      <c r="R2404" s="696">
        <v>20191209</v>
      </c>
      <c r="S2404" s="372" t="s">
        <v>15291</v>
      </c>
      <c r="T2404" s="697">
        <v>0.20900000000000002</v>
      </c>
      <c r="U2404" s="372" t="s">
        <v>15292</v>
      </c>
      <c r="V2404" s="723">
        <v>0</v>
      </c>
      <c r="W2404" s="723">
        <v>0</v>
      </c>
      <c r="X2404" s="723">
        <v>0</v>
      </c>
      <c r="Y2404" s="723">
        <v>0</v>
      </c>
      <c r="Z2404" s="382" t="s">
        <v>927</v>
      </c>
      <c r="AA2404" s="372">
        <v>453.41737549999999</v>
      </c>
      <c r="AB2404" s="372">
        <v>496.7511887</v>
      </c>
      <c r="AC2404" s="372">
        <v>543.37267250000002</v>
      </c>
      <c r="AD2404" s="372">
        <v>515.885582</v>
      </c>
      <c r="AE2404" s="372">
        <v>0</v>
      </c>
      <c r="AF2404" s="372">
        <v>0</v>
      </c>
      <c r="AG2404" s="372">
        <v>0</v>
      </c>
      <c r="AH2404" s="372">
        <v>0</v>
      </c>
    </row>
    <row r="2405" spans="1:34">
      <c r="A2405" s="372" t="s">
        <v>15293</v>
      </c>
      <c r="B2405" s="372" t="s">
        <v>15294</v>
      </c>
      <c r="C2405" s="372" t="s">
        <v>15295</v>
      </c>
      <c r="D2405" s="374">
        <v>1101118699047</v>
      </c>
      <c r="E2405" s="372" t="s">
        <v>15296</v>
      </c>
      <c r="F2405" s="372" t="s">
        <v>1143</v>
      </c>
      <c r="G2405" s="375" t="s">
        <v>1144</v>
      </c>
      <c r="H2405" s="375" t="s">
        <v>895</v>
      </c>
      <c r="I2405" s="375" t="s">
        <v>862</v>
      </c>
      <c r="J2405" s="375">
        <v>0</v>
      </c>
      <c r="K2405" s="375">
        <v>-42.149099999999997</v>
      </c>
      <c r="L2405" s="375">
        <v>812.87215000000003</v>
      </c>
      <c r="M2405" s="375">
        <v>26304.427449999999</v>
      </c>
      <c r="N2405" s="372" t="s">
        <v>1026</v>
      </c>
      <c r="O2405" s="704">
        <v>15.152375471527368</v>
      </c>
      <c r="P2405" s="563" t="s">
        <v>622</v>
      </c>
      <c r="Q2405" s="372" t="s">
        <v>622</v>
      </c>
      <c r="R2405" s="696">
        <v>20231103</v>
      </c>
      <c r="S2405" s="372" t="s">
        <v>9018</v>
      </c>
      <c r="T2405" s="697">
        <v>0.20900000000000002</v>
      </c>
      <c r="U2405" s="372">
        <v>0</v>
      </c>
      <c r="V2405" s="723">
        <v>0</v>
      </c>
      <c r="W2405" s="723">
        <v>0</v>
      </c>
      <c r="X2405" s="723">
        <v>0</v>
      </c>
      <c r="Y2405" s="723">
        <v>0</v>
      </c>
      <c r="Z2405" s="382" t="s">
        <v>773</v>
      </c>
      <c r="AA2405" s="372">
        <v>0</v>
      </c>
      <c r="AB2405" s="372">
        <v>0</v>
      </c>
      <c r="AC2405" s="372">
        <v>0</v>
      </c>
      <c r="AD2405" s="372">
        <v>0</v>
      </c>
      <c r="AE2405" s="372">
        <v>0</v>
      </c>
      <c r="AF2405" s="372">
        <v>0</v>
      </c>
      <c r="AG2405" s="372">
        <v>0</v>
      </c>
      <c r="AH2405" s="372">
        <v>0</v>
      </c>
    </row>
    <row r="2406" spans="1:34">
      <c r="A2406" s="372" t="s">
        <v>15297</v>
      </c>
      <c r="B2406" s="372" t="s">
        <v>15298</v>
      </c>
      <c r="C2406" s="372" t="s">
        <v>15299</v>
      </c>
      <c r="D2406" s="374">
        <v>1801110002004</v>
      </c>
      <c r="E2406" s="372" t="s">
        <v>15300</v>
      </c>
      <c r="F2406" s="372" t="s">
        <v>2747</v>
      </c>
      <c r="G2406" s="375" t="s">
        <v>9398</v>
      </c>
      <c r="H2406" s="375" t="s">
        <v>861</v>
      </c>
      <c r="I2406" s="375" t="s">
        <v>862</v>
      </c>
      <c r="J2406" s="375">
        <v>17521.87529</v>
      </c>
      <c r="K2406" s="375">
        <v>-2340.07143</v>
      </c>
      <c r="L2406" s="375">
        <v>-6916.1020600000002</v>
      </c>
      <c r="M2406" s="375">
        <v>20090.306670000002</v>
      </c>
      <c r="N2406" s="372">
        <v>0.88800000000000001</v>
      </c>
      <c r="O2406" s="704">
        <v>146.98151551240096</v>
      </c>
      <c r="P2406" s="563" t="s">
        <v>622</v>
      </c>
      <c r="Q2406" s="372" t="s">
        <v>16116</v>
      </c>
      <c r="R2406" s="696">
        <v>19941031</v>
      </c>
      <c r="S2406" s="372" t="s">
        <v>15301</v>
      </c>
      <c r="T2406" s="697" t="s">
        <v>771</v>
      </c>
      <c r="U2406" s="372" t="s">
        <v>15302</v>
      </c>
      <c r="V2406" s="723">
        <v>0</v>
      </c>
      <c r="W2406" s="723">
        <v>0</v>
      </c>
      <c r="X2406" s="723">
        <v>0</v>
      </c>
      <c r="Y2406" s="723">
        <v>0</v>
      </c>
      <c r="Z2406" s="382" t="s">
        <v>927</v>
      </c>
      <c r="AA2406" s="372">
        <v>219.2038593</v>
      </c>
      <c r="AB2406" s="372">
        <v>343.59397510000002</v>
      </c>
      <c r="AC2406" s="372">
        <v>322.21196750000001</v>
      </c>
      <c r="AD2406" s="372">
        <v>214.7142729</v>
      </c>
      <c r="AE2406" s="372">
        <v>0</v>
      </c>
      <c r="AF2406" s="372">
        <v>0</v>
      </c>
      <c r="AG2406" s="372">
        <v>0</v>
      </c>
      <c r="AH2406" s="372">
        <v>0</v>
      </c>
    </row>
    <row r="2407" spans="1:34">
      <c r="A2407" s="372" t="s">
        <v>15303</v>
      </c>
      <c r="B2407" s="372" t="s">
        <v>15304</v>
      </c>
      <c r="C2407" s="372" t="s">
        <v>15305</v>
      </c>
      <c r="D2407" s="374">
        <v>1101111100926</v>
      </c>
      <c r="E2407" s="372" t="s">
        <v>15306</v>
      </c>
      <c r="F2407" s="372" t="s">
        <v>4037</v>
      </c>
      <c r="G2407" s="375" t="s">
        <v>4037</v>
      </c>
      <c r="H2407" s="375" t="s">
        <v>861</v>
      </c>
      <c r="I2407" s="375" t="s">
        <v>862</v>
      </c>
      <c r="J2407" s="375">
        <v>9755.5023299999993</v>
      </c>
      <c r="K2407" s="375">
        <v>-793.72970999999995</v>
      </c>
      <c r="L2407" s="375">
        <v>-2029.33168</v>
      </c>
      <c r="M2407" s="375">
        <v>12772.14249</v>
      </c>
      <c r="N2407" s="372">
        <v>0.85299999999999998</v>
      </c>
      <c r="O2407" s="704">
        <v>4.2114784914179664</v>
      </c>
      <c r="P2407" s="563" t="s">
        <v>622</v>
      </c>
      <c r="Q2407" s="372" t="s">
        <v>622</v>
      </c>
      <c r="R2407" s="696">
        <v>19991204</v>
      </c>
      <c r="S2407" s="372" t="s">
        <v>15307</v>
      </c>
      <c r="T2407" s="697" t="s">
        <v>771</v>
      </c>
      <c r="U2407" s="372" t="s">
        <v>15308</v>
      </c>
      <c r="V2407" s="723">
        <v>0</v>
      </c>
      <c r="W2407" s="723">
        <v>0</v>
      </c>
      <c r="X2407" s="723">
        <v>0</v>
      </c>
      <c r="Y2407" s="723">
        <v>0</v>
      </c>
      <c r="Z2407" s="382" t="s">
        <v>927</v>
      </c>
      <c r="AA2407" s="372">
        <v>41.387604199999998</v>
      </c>
      <c r="AB2407" s="372">
        <v>81.384812400000001</v>
      </c>
      <c r="AC2407" s="372">
        <v>94.888580399999995</v>
      </c>
      <c r="AD2407" s="372">
        <v>99.497917400000006</v>
      </c>
      <c r="AE2407" s="372">
        <v>0</v>
      </c>
      <c r="AF2407" s="372">
        <v>0</v>
      </c>
      <c r="AG2407" s="372">
        <v>0</v>
      </c>
      <c r="AH2407" s="372">
        <v>0</v>
      </c>
    </row>
    <row r="2408" spans="1:34">
      <c r="A2408" s="372" t="s">
        <v>15309</v>
      </c>
      <c r="B2408" s="372" t="s">
        <v>15310</v>
      </c>
      <c r="C2408" s="372" t="s">
        <v>15311</v>
      </c>
      <c r="D2408" s="374">
        <v>0</v>
      </c>
      <c r="E2408" s="372" t="s">
        <v>15312</v>
      </c>
      <c r="F2408" s="372" t="s">
        <v>893</v>
      </c>
      <c r="G2408" s="375" t="s">
        <v>894</v>
      </c>
      <c r="H2408" s="375">
        <v>0</v>
      </c>
      <c r="I2408" s="375" t="s">
        <v>862</v>
      </c>
      <c r="J2408" s="375">
        <v>156919.05600000001</v>
      </c>
      <c r="K2408" s="375">
        <v>-64343.845000000001</v>
      </c>
      <c r="L2408" s="375">
        <v>-70410.058000000005</v>
      </c>
      <c r="M2408" s="375">
        <v>243555.05499999999</v>
      </c>
      <c r="N2408" s="372">
        <v>0.54700000000000004</v>
      </c>
      <c r="O2408" s="704">
        <v>0.35393179450298778</v>
      </c>
      <c r="P2408" s="563" t="s">
        <v>622</v>
      </c>
      <c r="Q2408" s="372" t="s">
        <v>622</v>
      </c>
      <c r="R2408" s="696">
        <v>20161104</v>
      </c>
      <c r="S2408" s="372" t="s">
        <v>15313</v>
      </c>
      <c r="T2408" s="697" t="s">
        <v>771</v>
      </c>
      <c r="U2408" s="372" t="s">
        <v>15314</v>
      </c>
      <c r="V2408" s="723" t="s">
        <v>773</v>
      </c>
      <c r="W2408" s="723">
        <v>0.18</v>
      </c>
      <c r="X2408" s="723">
        <v>0.19</v>
      </c>
      <c r="Y2408" s="723" t="s">
        <v>773</v>
      </c>
      <c r="Z2408" s="382" t="s">
        <v>927</v>
      </c>
      <c r="AA2408" s="372">
        <v>3022.03235</v>
      </c>
      <c r="AB2408" s="372">
        <v>2704.99001</v>
      </c>
      <c r="AC2408" s="372">
        <v>2255.0351500000002</v>
      </c>
      <c r="AD2408" s="372">
        <v>1778.5337300000001</v>
      </c>
      <c r="AE2408" s="372">
        <v>0</v>
      </c>
      <c r="AF2408" s="372">
        <v>0</v>
      </c>
      <c r="AG2408" s="372">
        <v>0</v>
      </c>
      <c r="AH2408" s="372">
        <v>0</v>
      </c>
    </row>
    <row r="2409" spans="1:34">
      <c r="A2409" s="372" t="s">
        <v>15315</v>
      </c>
      <c r="B2409" s="372" t="s">
        <v>15316</v>
      </c>
      <c r="C2409" s="372" t="s">
        <v>15317</v>
      </c>
      <c r="D2409" s="374">
        <v>1201110136459</v>
      </c>
      <c r="E2409" s="372" t="s">
        <v>15318</v>
      </c>
      <c r="F2409" s="372" t="s">
        <v>2864</v>
      </c>
      <c r="G2409" s="375" t="s">
        <v>2865</v>
      </c>
      <c r="H2409" s="375" t="s">
        <v>861</v>
      </c>
      <c r="I2409" s="375" t="s">
        <v>862</v>
      </c>
      <c r="J2409" s="375">
        <v>80460.615850000002</v>
      </c>
      <c r="K2409" s="375">
        <v>-880.26270999999997</v>
      </c>
      <c r="L2409" s="375">
        <v>-7415.1741199999997</v>
      </c>
      <c r="M2409" s="375">
        <v>64320.116020000001</v>
      </c>
      <c r="N2409" s="372">
        <v>0.77500000000000002</v>
      </c>
      <c r="O2409" s="704">
        <v>78.341046959178826</v>
      </c>
      <c r="P2409" s="563" t="s">
        <v>622</v>
      </c>
      <c r="Q2409" s="372" t="s">
        <v>622</v>
      </c>
      <c r="R2409" s="696">
        <v>20100127</v>
      </c>
      <c r="S2409" s="372" t="s">
        <v>15319</v>
      </c>
      <c r="T2409" s="697" t="s">
        <v>771</v>
      </c>
      <c r="U2409" s="372" t="s">
        <v>15320</v>
      </c>
      <c r="V2409" s="723">
        <v>15.64</v>
      </c>
      <c r="W2409" s="723">
        <v>0.41</v>
      </c>
      <c r="X2409" s="723">
        <v>0.33</v>
      </c>
      <c r="Y2409" s="723" t="s">
        <v>773</v>
      </c>
      <c r="Z2409" s="382" t="s">
        <v>927</v>
      </c>
      <c r="AA2409" s="372">
        <v>681.07383489999995</v>
      </c>
      <c r="AB2409" s="372">
        <v>849.92037889999995</v>
      </c>
      <c r="AC2409" s="372">
        <v>1040.7250101</v>
      </c>
      <c r="AD2409" s="372">
        <v>707.00646370000004</v>
      </c>
      <c r="AE2409" s="372">
        <v>0</v>
      </c>
      <c r="AF2409" s="372">
        <v>0</v>
      </c>
      <c r="AG2409" s="372">
        <v>0</v>
      </c>
      <c r="AH2409" s="372">
        <v>0</v>
      </c>
    </row>
    <row r="2410" spans="1:34">
      <c r="A2410" s="372" t="s">
        <v>15321</v>
      </c>
      <c r="B2410" s="372" t="s">
        <v>15322</v>
      </c>
      <c r="C2410" s="372" t="s">
        <v>15323</v>
      </c>
      <c r="D2410" s="374">
        <v>1101111644809</v>
      </c>
      <c r="E2410" s="372" t="s">
        <v>15324</v>
      </c>
      <c r="F2410" s="372" t="s">
        <v>2834</v>
      </c>
      <c r="G2410" s="375" t="s">
        <v>2834</v>
      </c>
      <c r="H2410" s="375" t="s">
        <v>861</v>
      </c>
      <c r="I2410" s="375" t="s">
        <v>862</v>
      </c>
      <c r="J2410" s="375">
        <v>39525.41358</v>
      </c>
      <c r="K2410" s="375">
        <v>293.27632999999997</v>
      </c>
      <c r="L2410" s="375">
        <v>1856.04017</v>
      </c>
      <c r="M2410" s="375">
        <v>18851.03976</v>
      </c>
      <c r="N2410" s="372">
        <v>0.69799999999999995</v>
      </c>
      <c r="O2410" s="704">
        <v>3.8986483223535635</v>
      </c>
      <c r="P2410" s="563" t="s">
        <v>622</v>
      </c>
      <c r="Q2410" s="372" t="s">
        <v>622</v>
      </c>
      <c r="R2410" s="696">
        <v>20040602</v>
      </c>
      <c r="S2410" s="372" t="s">
        <v>15325</v>
      </c>
      <c r="T2410" s="697">
        <v>0.20900000000000002</v>
      </c>
      <c r="U2410" s="372" t="s">
        <v>15326</v>
      </c>
      <c r="V2410" s="723">
        <v>15.76</v>
      </c>
      <c r="W2410" s="723">
        <v>1.1000000000000001</v>
      </c>
      <c r="X2410" s="723">
        <v>0.53</v>
      </c>
      <c r="Y2410" s="723">
        <v>11.47</v>
      </c>
      <c r="Z2410" s="382" t="s">
        <v>927</v>
      </c>
      <c r="AA2410" s="372">
        <v>429.58085139999997</v>
      </c>
      <c r="AB2410" s="372">
        <v>410.9189705</v>
      </c>
      <c r="AC2410" s="372">
        <v>351.82635210000001</v>
      </c>
      <c r="AD2410" s="372">
        <v>336.61401999999998</v>
      </c>
      <c r="AE2410" s="372">
        <v>0</v>
      </c>
      <c r="AF2410" s="372">
        <v>0</v>
      </c>
      <c r="AG2410" s="372">
        <v>0</v>
      </c>
      <c r="AH2410" s="372">
        <v>0</v>
      </c>
    </row>
    <row r="2411" spans="1:34">
      <c r="A2411" s="372" t="s">
        <v>15327</v>
      </c>
      <c r="B2411" s="372" t="s">
        <v>15328</v>
      </c>
      <c r="C2411" s="372" t="s">
        <v>16318</v>
      </c>
      <c r="D2411" s="374">
        <v>2001110105176</v>
      </c>
      <c r="E2411" s="372" t="s">
        <v>16319</v>
      </c>
      <c r="F2411" s="372" t="s">
        <v>6610</v>
      </c>
      <c r="G2411" s="375" t="s">
        <v>6610</v>
      </c>
      <c r="H2411" s="375" t="s">
        <v>861</v>
      </c>
      <c r="I2411" s="375" t="s">
        <v>862</v>
      </c>
      <c r="J2411" s="375">
        <v>8424.8756900000008</v>
      </c>
      <c r="K2411" s="375">
        <v>-4434.7103500000003</v>
      </c>
      <c r="L2411" s="375">
        <v>-5223.0889800000004</v>
      </c>
      <c r="M2411" s="375">
        <v>3357.0787500000001</v>
      </c>
      <c r="N2411" s="372">
        <v>0.11600000000000001</v>
      </c>
      <c r="O2411" s="704">
        <v>69.710975580398866</v>
      </c>
      <c r="P2411" s="563" t="s">
        <v>622</v>
      </c>
      <c r="Q2411" s="372" t="s">
        <v>622</v>
      </c>
      <c r="R2411" s="696">
        <v>20191226</v>
      </c>
      <c r="S2411" s="372" t="s">
        <v>15329</v>
      </c>
      <c r="T2411" s="697" t="s">
        <v>771</v>
      </c>
      <c r="U2411" s="372" t="s">
        <v>15330</v>
      </c>
      <c r="V2411" s="723">
        <v>0</v>
      </c>
      <c r="W2411" s="723">
        <v>0</v>
      </c>
      <c r="X2411" s="723">
        <v>0</v>
      </c>
      <c r="Y2411" s="723">
        <v>0</v>
      </c>
      <c r="Z2411" s="382" t="s">
        <v>927</v>
      </c>
      <c r="AA2411" s="372">
        <v>218.53671349999999</v>
      </c>
      <c r="AB2411" s="372">
        <v>134.58885810000001</v>
      </c>
      <c r="AC2411" s="372">
        <v>213.00638509999999</v>
      </c>
      <c r="AD2411" s="372">
        <v>144.1303604</v>
      </c>
      <c r="AE2411" s="372">
        <v>0</v>
      </c>
      <c r="AF2411" s="372">
        <v>0</v>
      </c>
      <c r="AG2411" s="372">
        <v>0</v>
      </c>
      <c r="AH2411" s="372">
        <v>0</v>
      </c>
    </row>
    <row r="2412" spans="1:34">
      <c r="A2412" s="372" t="s">
        <v>15331</v>
      </c>
      <c r="B2412" s="372" t="s">
        <v>15332</v>
      </c>
      <c r="C2412" s="372" t="s">
        <v>15333</v>
      </c>
      <c r="D2412" s="374">
        <v>1101111279672</v>
      </c>
      <c r="E2412" s="372" t="s">
        <v>15334</v>
      </c>
      <c r="F2412" s="372" t="s">
        <v>1177</v>
      </c>
      <c r="G2412" s="375" t="s">
        <v>1178</v>
      </c>
      <c r="H2412" s="375" t="s">
        <v>861</v>
      </c>
      <c r="I2412" s="375" t="s">
        <v>862</v>
      </c>
      <c r="J2412" s="375">
        <v>13136.74143</v>
      </c>
      <c r="K2412" s="375">
        <v>583.68560000000002</v>
      </c>
      <c r="L2412" s="375">
        <v>1719.8223</v>
      </c>
      <c r="M2412" s="375">
        <v>45637.982709999997</v>
      </c>
      <c r="N2412" s="372">
        <v>0.79300000000000004</v>
      </c>
      <c r="O2412" s="704">
        <v>0.37893419617285307</v>
      </c>
      <c r="P2412" s="563" t="s">
        <v>622</v>
      </c>
      <c r="Q2412" s="372" t="s">
        <v>622</v>
      </c>
      <c r="R2412" s="696">
        <v>20040107</v>
      </c>
      <c r="S2412" s="372" t="s">
        <v>15335</v>
      </c>
      <c r="T2412" s="697">
        <v>0.20900000000000002</v>
      </c>
      <c r="U2412" s="372" t="s">
        <v>15336</v>
      </c>
      <c r="V2412" s="723">
        <v>9.41</v>
      </c>
      <c r="W2412" s="723">
        <v>0.46</v>
      </c>
      <c r="X2412" s="723">
        <v>1.6</v>
      </c>
      <c r="Y2412" s="723">
        <v>12.23</v>
      </c>
      <c r="Z2412" s="382" t="s">
        <v>927</v>
      </c>
      <c r="AA2412" s="372">
        <v>327.01217079999998</v>
      </c>
      <c r="AB2412" s="372">
        <v>270.0163766</v>
      </c>
      <c r="AC2412" s="372">
        <v>165.25057609999999</v>
      </c>
      <c r="AD2412" s="372">
        <v>102.9438881</v>
      </c>
      <c r="AE2412" s="372">
        <v>0</v>
      </c>
      <c r="AF2412" s="372">
        <v>0</v>
      </c>
      <c r="AG2412" s="372">
        <v>0</v>
      </c>
      <c r="AH2412" s="372">
        <v>0</v>
      </c>
    </row>
    <row r="2413" spans="1:34">
      <c r="A2413" s="372" t="s">
        <v>15337</v>
      </c>
      <c r="B2413" s="372" t="s">
        <v>15338</v>
      </c>
      <c r="C2413" s="372" t="s">
        <v>15339</v>
      </c>
      <c r="D2413" s="374">
        <v>1801110378835</v>
      </c>
      <c r="E2413" s="372" t="s">
        <v>15340</v>
      </c>
      <c r="F2413" s="372" t="s">
        <v>2281</v>
      </c>
      <c r="G2413" s="375" t="s">
        <v>15341</v>
      </c>
      <c r="H2413" s="375" t="s">
        <v>861</v>
      </c>
      <c r="I2413" s="375" t="s">
        <v>862</v>
      </c>
      <c r="J2413" s="375">
        <v>34650.344940000003</v>
      </c>
      <c r="K2413" s="375">
        <v>3728.64977</v>
      </c>
      <c r="L2413" s="375">
        <v>2774.75254</v>
      </c>
      <c r="M2413" s="375">
        <v>35160.454409999998</v>
      </c>
      <c r="N2413" s="372">
        <v>0.69799999999999995</v>
      </c>
      <c r="O2413" s="704">
        <v>150.34412986938236</v>
      </c>
      <c r="P2413" s="563" t="s">
        <v>622</v>
      </c>
      <c r="Q2413" s="372" t="s">
        <v>622</v>
      </c>
      <c r="R2413" s="696">
        <v>20150824</v>
      </c>
      <c r="S2413" s="372" t="s">
        <v>15342</v>
      </c>
      <c r="T2413" s="697">
        <v>0.20900000000000002</v>
      </c>
      <c r="U2413" s="372" t="s">
        <v>15343</v>
      </c>
      <c r="V2413" s="723">
        <v>5.81</v>
      </c>
      <c r="W2413" s="723">
        <v>0.56999999999999995</v>
      </c>
      <c r="X2413" s="723">
        <v>0.56999999999999995</v>
      </c>
      <c r="Y2413" s="723">
        <v>8.7799999999999994</v>
      </c>
      <c r="Z2413" s="382" t="s">
        <v>927</v>
      </c>
      <c r="AA2413" s="372">
        <v>325.64421279999999</v>
      </c>
      <c r="AB2413" s="372">
        <v>350.49221440000002</v>
      </c>
      <c r="AC2413" s="372">
        <v>340.28733039999997</v>
      </c>
      <c r="AD2413" s="372">
        <v>362.31078600000001</v>
      </c>
      <c r="AE2413" s="372">
        <v>0</v>
      </c>
      <c r="AF2413" s="372">
        <v>0</v>
      </c>
      <c r="AG2413" s="372">
        <v>0</v>
      </c>
      <c r="AH2413" s="372">
        <v>0</v>
      </c>
    </row>
    <row r="2414" spans="1:34">
      <c r="A2414" s="372" t="s">
        <v>15344</v>
      </c>
      <c r="B2414" s="372" t="s">
        <v>15345</v>
      </c>
      <c r="C2414" s="372" t="s">
        <v>15346</v>
      </c>
      <c r="D2414" s="374">
        <v>1101111261405</v>
      </c>
      <c r="E2414" s="372" t="s">
        <v>15347</v>
      </c>
      <c r="F2414" s="372" t="s">
        <v>5514</v>
      </c>
      <c r="G2414" s="375" t="s">
        <v>5514</v>
      </c>
      <c r="H2414" s="375" t="s">
        <v>861</v>
      </c>
      <c r="I2414" s="375" t="s">
        <v>862</v>
      </c>
      <c r="J2414" s="375">
        <v>8776.3916700000009</v>
      </c>
      <c r="K2414" s="375">
        <v>-14322.057849999999</v>
      </c>
      <c r="L2414" s="375">
        <v>-19597.866330000001</v>
      </c>
      <c r="M2414" s="375">
        <v>9405.0055799999991</v>
      </c>
      <c r="N2414" s="372">
        <v>0.45800000000000002</v>
      </c>
      <c r="O2414" s="704">
        <v>387.02107564675458</v>
      </c>
      <c r="P2414" s="563" t="s">
        <v>16115</v>
      </c>
      <c r="Q2414" s="372" t="s">
        <v>16116</v>
      </c>
      <c r="R2414" s="696">
        <v>20011109</v>
      </c>
      <c r="S2414" s="372" t="s">
        <v>15348</v>
      </c>
      <c r="T2414" s="697" t="s">
        <v>771</v>
      </c>
      <c r="U2414" s="372" t="s">
        <v>15349</v>
      </c>
      <c r="V2414" s="723" t="s">
        <v>773</v>
      </c>
      <c r="W2414" s="723">
        <v>1.34</v>
      </c>
      <c r="X2414" s="723">
        <v>1.43</v>
      </c>
      <c r="Y2414" s="723" t="s">
        <v>773</v>
      </c>
      <c r="Z2414" s="382" t="s">
        <v>927</v>
      </c>
      <c r="AA2414" s="372">
        <v>201.87928679999999</v>
      </c>
      <c r="AB2414" s="372">
        <v>251.38690750000001</v>
      </c>
      <c r="AC2414" s="372">
        <v>237.6651402</v>
      </c>
      <c r="AD2414" s="372">
        <v>161.5540403</v>
      </c>
      <c r="AE2414" s="372">
        <v>0</v>
      </c>
      <c r="AF2414" s="372">
        <v>0</v>
      </c>
      <c r="AG2414" s="372">
        <v>0</v>
      </c>
      <c r="AH2414" s="372">
        <v>0</v>
      </c>
    </row>
    <row r="2415" spans="1:34">
      <c r="A2415" s="372" t="s">
        <v>15350</v>
      </c>
      <c r="B2415" s="372" t="s">
        <v>15351</v>
      </c>
      <c r="C2415" s="372" t="s">
        <v>15352</v>
      </c>
      <c r="D2415" s="374">
        <v>1801110000602</v>
      </c>
      <c r="E2415" s="372" t="s">
        <v>15353</v>
      </c>
      <c r="F2415" s="372" t="s">
        <v>1836</v>
      </c>
      <c r="G2415" s="375" t="s">
        <v>1836</v>
      </c>
      <c r="H2415" s="375" t="s">
        <v>846</v>
      </c>
      <c r="I2415" s="375" t="s">
        <v>754</v>
      </c>
      <c r="J2415" s="375">
        <v>55077.276519999999</v>
      </c>
      <c r="K2415" s="375">
        <v>3608.5987500000001</v>
      </c>
      <c r="L2415" s="375">
        <v>-4118.3105500000001</v>
      </c>
      <c r="M2415" s="375">
        <v>-1716.34997</v>
      </c>
      <c r="N2415" s="372">
        <v>0.56000000000000005</v>
      </c>
      <c r="O2415" s="704">
        <v>85.263482059797255</v>
      </c>
      <c r="P2415" s="563" t="s">
        <v>16115</v>
      </c>
      <c r="Q2415" s="372" t="s">
        <v>16116</v>
      </c>
      <c r="R2415" s="696">
        <v>19760601</v>
      </c>
      <c r="S2415" s="372" t="s">
        <v>15354</v>
      </c>
      <c r="T2415" s="697" t="s">
        <v>771</v>
      </c>
      <c r="U2415" s="372" t="s">
        <v>15355</v>
      </c>
      <c r="V2415" s="723">
        <v>6.23</v>
      </c>
      <c r="W2415" s="723">
        <v>8.85</v>
      </c>
      <c r="X2415" s="723">
        <v>0.42</v>
      </c>
      <c r="Y2415" s="723" t="s">
        <v>773</v>
      </c>
      <c r="Z2415" s="382" t="s">
        <v>927</v>
      </c>
      <c r="AA2415" s="372">
        <v>252.55946309999999</v>
      </c>
      <c r="AB2415" s="372">
        <v>352.17986680000001</v>
      </c>
      <c r="AC2415" s="372">
        <v>893.39914190000002</v>
      </c>
      <c r="AD2415" s="372">
        <v>662.9175735</v>
      </c>
      <c r="AE2415" s="372">
        <v>0</v>
      </c>
      <c r="AF2415" s="372">
        <v>0</v>
      </c>
      <c r="AG2415" s="372">
        <v>0</v>
      </c>
      <c r="AH2415" s="372">
        <v>0</v>
      </c>
    </row>
    <row r="2416" spans="1:34">
      <c r="A2416" s="372" t="s">
        <v>15356</v>
      </c>
      <c r="B2416" s="372" t="s">
        <v>15357</v>
      </c>
      <c r="C2416" s="372" t="s">
        <v>16293</v>
      </c>
      <c r="D2416" s="374">
        <v>1347110014590</v>
      </c>
      <c r="E2416" s="372" t="s">
        <v>16294</v>
      </c>
      <c r="F2416" s="372" t="s">
        <v>2124</v>
      </c>
      <c r="G2416" s="375" t="s">
        <v>16278</v>
      </c>
      <c r="H2416" s="375" t="s">
        <v>861</v>
      </c>
      <c r="I2416" s="375" t="s">
        <v>862</v>
      </c>
      <c r="J2416" s="375">
        <v>27355.869600000002</v>
      </c>
      <c r="K2416" s="375">
        <v>-13409.49202</v>
      </c>
      <c r="L2416" s="375">
        <v>-20557.46355</v>
      </c>
      <c r="M2416" s="375">
        <v>21537.0206</v>
      </c>
      <c r="N2416" s="372">
        <v>0.871</v>
      </c>
      <c r="O2416" s="704">
        <v>113.75867572477436</v>
      </c>
      <c r="P2416" s="563" t="s">
        <v>622</v>
      </c>
      <c r="Q2416" s="372" t="s">
        <v>622</v>
      </c>
      <c r="R2416" s="696">
        <v>20000804</v>
      </c>
      <c r="S2416" s="372" t="s">
        <v>15358</v>
      </c>
      <c r="T2416" s="697" t="s">
        <v>771</v>
      </c>
      <c r="U2416" s="372" t="s">
        <v>15359</v>
      </c>
      <c r="V2416" s="723" t="s">
        <v>773</v>
      </c>
      <c r="W2416" s="723">
        <v>0.85</v>
      </c>
      <c r="X2416" s="723">
        <v>0.6</v>
      </c>
      <c r="Y2416" s="723" t="s">
        <v>773</v>
      </c>
      <c r="Z2416" s="382" t="s">
        <v>927</v>
      </c>
      <c r="AA2416" s="372">
        <v>228.5403365</v>
      </c>
      <c r="AB2416" s="372">
        <v>239.51090780000001</v>
      </c>
      <c r="AC2416" s="372">
        <v>233.9636788</v>
      </c>
      <c r="AD2416" s="372">
        <v>268.78178860000003</v>
      </c>
      <c r="AE2416" s="372">
        <v>0</v>
      </c>
      <c r="AF2416" s="372">
        <v>0</v>
      </c>
      <c r="AG2416" s="372">
        <v>0</v>
      </c>
      <c r="AH2416" s="372">
        <v>0</v>
      </c>
    </row>
    <row r="2417" spans="1:34">
      <c r="A2417" s="372" t="s">
        <v>15360</v>
      </c>
      <c r="B2417" s="372" t="s">
        <v>15361</v>
      </c>
      <c r="C2417" s="372" t="s">
        <v>15362</v>
      </c>
      <c r="D2417" s="374">
        <v>1311110060530</v>
      </c>
      <c r="E2417" s="372" t="s">
        <v>15363</v>
      </c>
      <c r="F2417" s="372" t="s">
        <v>1276</v>
      </c>
      <c r="G2417" s="375" t="s">
        <v>1452</v>
      </c>
      <c r="H2417" s="375" t="s">
        <v>861</v>
      </c>
      <c r="I2417" s="375" t="s">
        <v>862</v>
      </c>
      <c r="J2417" s="375">
        <v>17901.242849999999</v>
      </c>
      <c r="K2417" s="375">
        <v>-598.26738</v>
      </c>
      <c r="L2417" s="375">
        <v>1119.3530599999999</v>
      </c>
      <c r="M2417" s="375">
        <v>12508.58807</v>
      </c>
      <c r="N2417" s="372" t="s">
        <v>1026</v>
      </c>
      <c r="O2417" s="704">
        <v>0.21649342052051207</v>
      </c>
      <c r="P2417" s="563" t="s">
        <v>622</v>
      </c>
      <c r="Q2417" s="372" t="s">
        <v>622</v>
      </c>
      <c r="R2417" s="696">
        <v>20100716</v>
      </c>
      <c r="S2417" s="372" t="s">
        <v>15364</v>
      </c>
      <c r="T2417" s="697">
        <v>0.20900000000000002</v>
      </c>
      <c r="U2417" s="372" t="s">
        <v>15365</v>
      </c>
      <c r="V2417" s="723">
        <v>0</v>
      </c>
      <c r="W2417" s="723">
        <v>0</v>
      </c>
      <c r="X2417" s="723">
        <v>0</v>
      </c>
      <c r="Y2417" s="723">
        <v>0</v>
      </c>
      <c r="Z2417" s="382" t="s">
        <v>927</v>
      </c>
      <c r="AA2417" s="372">
        <v>225.92325930000001</v>
      </c>
      <c r="AB2417" s="372">
        <v>214.17406009999999</v>
      </c>
      <c r="AC2417" s="372">
        <v>224.96607370000001</v>
      </c>
      <c r="AD2417" s="372">
        <v>212.95259279999999</v>
      </c>
      <c r="AE2417" s="372">
        <v>0</v>
      </c>
      <c r="AF2417" s="372">
        <v>0</v>
      </c>
      <c r="AG2417" s="372">
        <v>0</v>
      </c>
      <c r="AH2417" s="372">
        <v>0</v>
      </c>
    </row>
    <row r="2418" spans="1:34">
      <c r="A2418" s="372" t="s">
        <v>15366</v>
      </c>
      <c r="B2418" s="372" t="s">
        <v>15367</v>
      </c>
      <c r="C2418" s="372" t="s">
        <v>15368</v>
      </c>
      <c r="D2418" s="374">
        <v>1801110025882</v>
      </c>
      <c r="E2418" s="372" t="s">
        <v>15369</v>
      </c>
      <c r="F2418" s="372" t="s">
        <v>2747</v>
      </c>
      <c r="G2418" s="375" t="s">
        <v>9398</v>
      </c>
      <c r="H2418" s="375" t="s">
        <v>861</v>
      </c>
      <c r="I2418" s="375" t="s">
        <v>862</v>
      </c>
      <c r="J2418" s="375">
        <v>54028.222909999997</v>
      </c>
      <c r="K2418" s="375">
        <v>-10912.46127</v>
      </c>
      <c r="L2418" s="375">
        <v>-13108.26779</v>
      </c>
      <c r="M2418" s="375">
        <v>15940.58606</v>
      </c>
      <c r="N2418" s="372">
        <v>0.77</v>
      </c>
      <c r="O2418" s="704">
        <v>452.42457245250824</v>
      </c>
      <c r="P2418" s="563" t="s">
        <v>622</v>
      </c>
      <c r="Q2418" s="372" t="s">
        <v>622</v>
      </c>
      <c r="R2418" s="696">
        <v>19951227</v>
      </c>
      <c r="S2418" s="372" t="s">
        <v>15370</v>
      </c>
      <c r="T2418" s="697" t="s">
        <v>771</v>
      </c>
      <c r="U2418" s="372" t="s">
        <v>15371</v>
      </c>
      <c r="V2418" s="723" t="s">
        <v>773</v>
      </c>
      <c r="W2418" s="723">
        <v>0.94</v>
      </c>
      <c r="X2418" s="723">
        <v>0.28000000000000003</v>
      </c>
      <c r="Y2418" s="723" t="s">
        <v>773</v>
      </c>
      <c r="Z2418" s="382" t="s">
        <v>927</v>
      </c>
      <c r="AA2418" s="372">
        <v>429.77717189999998</v>
      </c>
      <c r="AB2418" s="372">
        <v>545.85774330000004</v>
      </c>
      <c r="AC2418" s="372">
        <v>591.39993830000003</v>
      </c>
      <c r="AD2418" s="372">
        <v>536.79071669999996</v>
      </c>
      <c r="AE2418" s="372">
        <v>0</v>
      </c>
      <c r="AF2418" s="372">
        <v>0</v>
      </c>
      <c r="AG2418" s="372">
        <v>0</v>
      </c>
      <c r="AH2418" s="372">
        <v>0</v>
      </c>
    </row>
    <row r="2419" spans="1:34">
      <c r="A2419" s="372" t="s">
        <v>15372</v>
      </c>
      <c r="B2419" s="372" t="s">
        <v>15373</v>
      </c>
      <c r="C2419" s="372" t="s">
        <v>15374</v>
      </c>
      <c r="D2419" s="374">
        <v>1943110006189</v>
      </c>
      <c r="E2419" s="372" t="s">
        <v>15375</v>
      </c>
      <c r="F2419" s="372" t="s">
        <v>1871</v>
      </c>
      <c r="G2419" s="375" t="s">
        <v>7530</v>
      </c>
      <c r="H2419" s="375" t="s">
        <v>861</v>
      </c>
      <c r="I2419" s="375" t="s">
        <v>862</v>
      </c>
      <c r="J2419" s="375">
        <v>63846.615940000003</v>
      </c>
      <c r="K2419" s="375">
        <v>-1723.7692</v>
      </c>
      <c r="L2419" s="375">
        <v>-2354.1938700000001</v>
      </c>
      <c r="M2419" s="375">
        <v>40075.872940000001</v>
      </c>
      <c r="N2419" s="372" t="s">
        <v>1026</v>
      </c>
      <c r="O2419" s="704">
        <v>82.98288487117712</v>
      </c>
      <c r="P2419" s="563" t="s">
        <v>622</v>
      </c>
      <c r="Q2419" s="372" t="s">
        <v>622</v>
      </c>
      <c r="R2419" s="696">
        <v>20090519</v>
      </c>
      <c r="S2419" s="372" t="s">
        <v>15376</v>
      </c>
      <c r="T2419" s="697" t="s">
        <v>771</v>
      </c>
      <c r="U2419" s="372" t="s">
        <v>15377</v>
      </c>
      <c r="V2419" s="723">
        <v>0</v>
      </c>
      <c r="W2419" s="723">
        <v>0</v>
      </c>
      <c r="X2419" s="723">
        <v>0</v>
      </c>
      <c r="Y2419" s="723">
        <v>0</v>
      </c>
      <c r="Z2419" s="382" t="s">
        <v>927</v>
      </c>
      <c r="AA2419" s="372">
        <v>171.67829459999999</v>
      </c>
      <c r="AB2419" s="372">
        <v>147.82212480000001</v>
      </c>
      <c r="AC2419" s="372">
        <v>422.92335639999999</v>
      </c>
      <c r="AD2419" s="372">
        <v>437.27516179999998</v>
      </c>
      <c r="AE2419" s="372">
        <v>0</v>
      </c>
      <c r="AF2419" s="372">
        <v>0</v>
      </c>
      <c r="AG2419" s="372">
        <v>0</v>
      </c>
      <c r="AH2419" s="372">
        <v>0</v>
      </c>
    </row>
    <row r="2420" spans="1:34">
      <c r="A2420" s="372" t="s">
        <v>15378</v>
      </c>
      <c r="B2420" s="372" t="s">
        <v>15379</v>
      </c>
      <c r="C2420" s="372" t="s">
        <v>15380</v>
      </c>
      <c r="D2420" s="374">
        <v>1350110106150</v>
      </c>
      <c r="E2420" s="372" t="s">
        <v>15381</v>
      </c>
      <c r="F2420" s="372" t="s">
        <v>1796</v>
      </c>
      <c r="G2420" s="375" t="s">
        <v>1797</v>
      </c>
      <c r="H2420" s="375" t="s">
        <v>861</v>
      </c>
      <c r="I2420" s="375" t="s">
        <v>862</v>
      </c>
      <c r="J2420" s="375">
        <v>63423.854200000002</v>
      </c>
      <c r="K2420" s="375">
        <v>23.392250000000001</v>
      </c>
      <c r="L2420" s="375">
        <v>-4592.3504400000002</v>
      </c>
      <c r="M2420" s="375">
        <v>26034.631399999998</v>
      </c>
      <c r="N2420" s="372">
        <v>0.32900000000000001</v>
      </c>
      <c r="O2420" s="704">
        <v>13.05342050368526</v>
      </c>
      <c r="P2420" s="563" t="s">
        <v>622</v>
      </c>
      <c r="Q2420" s="372" t="s">
        <v>622</v>
      </c>
      <c r="R2420" s="696">
        <v>20100609</v>
      </c>
      <c r="S2420" s="372" t="s">
        <v>15382</v>
      </c>
      <c r="T2420" s="697" t="s">
        <v>771</v>
      </c>
      <c r="U2420" s="372" t="s">
        <v>15383</v>
      </c>
      <c r="V2420" s="723">
        <v>36.53</v>
      </c>
      <c r="W2420" s="723">
        <v>1.75</v>
      </c>
      <c r="X2420" s="723">
        <v>0.63</v>
      </c>
      <c r="Y2420" s="723" t="s">
        <v>773</v>
      </c>
      <c r="Z2420" s="382" t="s">
        <v>927</v>
      </c>
      <c r="AA2420" s="372">
        <v>101.1828034</v>
      </c>
      <c r="AB2420" s="372">
        <v>110.0659375</v>
      </c>
      <c r="AC2420" s="372">
        <v>102.7564156</v>
      </c>
      <c r="AD2420" s="372">
        <v>347.6287087</v>
      </c>
      <c r="AE2420" s="372">
        <v>0</v>
      </c>
      <c r="AF2420" s="372">
        <v>0</v>
      </c>
      <c r="AG2420" s="372">
        <v>0</v>
      </c>
      <c r="AH2420" s="372">
        <v>0</v>
      </c>
    </row>
    <row r="2421" spans="1:34">
      <c r="A2421" s="372" t="s">
        <v>15384</v>
      </c>
      <c r="B2421" s="372" t="s">
        <v>15385</v>
      </c>
      <c r="C2421" s="372" t="s">
        <v>15386</v>
      </c>
      <c r="D2421" s="374">
        <v>1101113637810</v>
      </c>
      <c r="E2421" s="372" t="s">
        <v>15387</v>
      </c>
      <c r="F2421" s="372" t="s">
        <v>1275</v>
      </c>
      <c r="G2421" s="375" t="s">
        <v>1275</v>
      </c>
      <c r="H2421" s="375" t="s">
        <v>861</v>
      </c>
      <c r="I2421" s="375" t="s">
        <v>862</v>
      </c>
      <c r="J2421" s="375">
        <v>32589.62356</v>
      </c>
      <c r="K2421" s="375">
        <v>-1206.1126899999999</v>
      </c>
      <c r="L2421" s="375">
        <v>230.32204999999999</v>
      </c>
      <c r="M2421" s="375">
        <v>23600.350859999999</v>
      </c>
      <c r="N2421" s="372">
        <v>0.45500000000000002</v>
      </c>
      <c r="O2421" s="704">
        <v>141.70198520055837</v>
      </c>
      <c r="P2421" s="563" t="s">
        <v>622</v>
      </c>
      <c r="Q2421" s="372" t="s">
        <v>622</v>
      </c>
      <c r="R2421" s="696">
        <v>20151224</v>
      </c>
      <c r="S2421" s="372" t="s">
        <v>15388</v>
      </c>
      <c r="T2421" s="697">
        <v>0.20900000000000002</v>
      </c>
      <c r="U2421" s="372" t="s">
        <v>15389</v>
      </c>
      <c r="V2421" s="723">
        <v>94.43</v>
      </c>
      <c r="W2421" s="723">
        <v>0.92</v>
      </c>
      <c r="X2421" s="723">
        <v>0.71</v>
      </c>
      <c r="Y2421" s="723">
        <v>85.44</v>
      </c>
      <c r="Z2421" s="382" t="s">
        <v>927</v>
      </c>
      <c r="AA2421" s="372">
        <v>764.49801360000004</v>
      </c>
      <c r="AB2421" s="372">
        <v>308.56482349999999</v>
      </c>
      <c r="AC2421" s="372">
        <v>331.51032020000002</v>
      </c>
      <c r="AD2421" s="372">
        <v>290.1981093</v>
      </c>
      <c r="AE2421" s="372">
        <v>0</v>
      </c>
      <c r="AF2421" s="372">
        <v>0</v>
      </c>
      <c r="AG2421" s="372">
        <v>0</v>
      </c>
      <c r="AH2421" s="372">
        <v>0</v>
      </c>
    </row>
    <row r="2422" spans="1:34">
      <c r="A2422" s="372" t="s">
        <v>15390</v>
      </c>
      <c r="B2422" s="372" t="s">
        <v>15391</v>
      </c>
      <c r="C2422" s="372" t="s">
        <v>15392</v>
      </c>
      <c r="D2422" s="374">
        <v>1311110191004</v>
      </c>
      <c r="E2422" s="372" t="s">
        <v>15393</v>
      </c>
      <c r="F2422" s="372" t="s">
        <v>769</v>
      </c>
      <c r="G2422" s="375" t="s">
        <v>769</v>
      </c>
      <c r="H2422" s="375" t="s">
        <v>861</v>
      </c>
      <c r="I2422" s="375" t="s">
        <v>862</v>
      </c>
      <c r="J2422" s="375">
        <v>68132.142420000004</v>
      </c>
      <c r="K2422" s="375">
        <v>-763.45511999999997</v>
      </c>
      <c r="L2422" s="375">
        <v>-28232.533909999998</v>
      </c>
      <c r="M2422" s="375">
        <v>29409.77205</v>
      </c>
      <c r="N2422" s="372">
        <v>0.246</v>
      </c>
      <c r="O2422" s="704">
        <v>120.80874023265385</v>
      </c>
      <c r="P2422" s="563" t="s">
        <v>16115</v>
      </c>
      <c r="Q2422" s="372" t="s">
        <v>16116</v>
      </c>
      <c r="R2422" s="696">
        <v>20150625</v>
      </c>
      <c r="S2422" s="372" t="s">
        <v>15394</v>
      </c>
      <c r="T2422" s="697" t="s">
        <v>771</v>
      </c>
      <c r="U2422" s="372" t="s">
        <v>15979</v>
      </c>
      <c r="V2422" s="723" t="s">
        <v>773</v>
      </c>
      <c r="W2422" s="723">
        <v>0.76</v>
      </c>
      <c r="X2422" s="723">
        <v>0.33</v>
      </c>
      <c r="Y2422" s="723" t="s">
        <v>773</v>
      </c>
      <c r="Z2422" s="382" t="s">
        <v>927</v>
      </c>
      <c r="AA2422" s="372">
        <v>286.33745199999998</v>
      </c>
      <c r="AB2422" s="372">
        <v>219.27544789999999</v>
      </c>
      <c r="AC2422" s="372">
        <v>160.7955747</v>
      </c>
      <c r="AD2422" s="372">
        <v>352.46976760000001</v>
      </c>
      <c r="AE2422" s="372">
        <v>0</v>
      </c>
      <c r="AF2422" s="372">
        <v>0</v>
      </c>
      <c r="AG2422" s="372">
        <v>0</v>
      </c>
      <c r="AH2422" s="372">
        <v>0</v>
      </c>
    </row>
    <row r="2423" spans="1:34">
      <c r="A2423" s="372" t="s">
        <v>15395</v>
      </c>
      <c r="B2423" s="372" t="s">
        <v>15396</v>
      </c>
      <c r="C2423" s="372" t="s">
        <v>15397</v>
      </c>
      <c r="D2423" s="374">
        <v>1201110330796</v>
      </c>
      <c r="E2423" s="372" t="s">
        <v>15398</v>
      </c>
      <c r="F2423" s="372" t="s">
        <v>1275</v>
      </c>
      <c r="G2423" s="375" t="s">
        <v>1275</v>
      </c>
      <c r="H2423" s="375" t="s">
        <v>861</v>
      </c>
      <c r="I2423" s="375" t="s">
        <v>862</v>
      </c>
      <c r="J2423" s="375">
        <v>33433.505440000001</v>
      </c>
      <c r="K2423" s="375">
        <v>237.40646000000001</v>
      </c>
      <c r="L2423" s="375">
        <v>-859.66547000000003</v>
      </c>
      <c r="M2423" s="375">
        <v>9883.9447500000006</v>
      </c>
      <c r="N2423" s="372">
        <v>1.0920000000000001</v>
      </c>
      <c r="O2423" s="704">
        <v>71.110930219311228</v>
      </c>
      <c r="P2423" s="563" t="s">
        <v>622</v>
      </c>
      <c r="Q2423" s="372" t="s">
        <v>622</v>
      </c>
      <c r="R2423" s="696">
        <v>20111102</v>
      </c>
      <c r="S2423" s="372" t="s">
        <v>15399</v>
      </c>
      <c r="T2423" s="697" t="s">
        <v>771</v>
      </c>
      <c r="U2423" s="372" t="s">
        <v>15400</v>
      </c>
      <c r="V2423" s="723">
        <v>29.66</v>
      </c>
      <c r="W2423" s="723">
        <v>3.95</v>
      </c>
      <c r="X2423" s="723">
        <v>1.17</v>
      </c>
      <c r="Y2423" s="723" t="s">
        <v>773</v>
      </c>
      <c r="Z2423" s="382" t="s">
        <v>927</v>
      </c>
      <c r="AA2423" s="372">
        <v>220.4571861</v>
      </c>
      <c r="AB2423" s="372">
        <v>316.21537030000002</v>
      </c>
      <c r="AC2423" s="372">
        <v>430.4265805</v>
      </c>
      <c r="AD2423" s="372">
        <v>362.61410430000001</v>
      </c>
      <c r="AE2423" s="372">
        <v>0</v>
      </c>
      <c r="AF2423" s="372">
        <v>0</v>
      </c>
      <c r="AG2423" s="372">
        <v>0</v>
      </c>
      <c r="AH2423" s="372">
        <v>0</v>
      </c>
    </row>
    <row r="2424" spans="1:34">
      <c r="A2424" s="372" t="s">
        <v>15401</v>
      </c>
      <c r="B2424" s="372" t="s">
        <v>15402</v>
      </c>
      <c r="C2424" s="372" t="s">
        <v>15403</v>
      </c>
      <c r="D2424" s="374">
        <v>1101110192271</v>
      </c>
      <c r="E2424" s="372" t="s">
        <v>15404</v>
      </c>
      <c r="F2424" s="372" t="s">
        <v>2668</v>
      </c>
      <c r="G2424" s="375" t="s">
        <v>15183</v>
      </c>
      <c r="H2424" s="375" t="s">
        <v>861</v>
      </c>
      <c r="I2424" s="375" t="s">
        <v>862</v>
      </c>
      <c r="J2424" s="375">
        <v>59008.80762</v>
      </c>
      <c r="K2424" s="375">
        <v>-1973.0101</v>
      </c>
      <c r="L2424" s="375">
        <v>1209.2155399999999</v>
      </c>
      <c r="M2424" s="375">
        <v>26593.98459</v>
      </c>
      <c r="N2424" s="372">
        <v>1.085</v>
      </c>
      <c r="O2424" s="704">
        <v>94.449804569267002</v>
      </c>
      <c r="P2424" s="563" t="s">
        <v>622</v>
      </c>
      <c r="Q2424" s="372" t="s">
        <v>622</v>
      </c>
      <c r="R2424" s="696">
        <v>20040630</v>
      </c>
      <c r="S2424" s="372" t="s">
        <v>15405</v>
      </c>
      <c r="T2424" s="697">
        <v>0.20900000000000002</v>
      </c>
      <c r="U2424" s="372" t="s">
        <v>15406</v>
      </c>
      <c r="V2424" s="723">
        <v>0</v>
      </c>
      <c r="W2424" s="723">
        <v>0</v>
      </c>
      <c r="X2424" s="723">
        <v>0</v>
      </c>
      <c r="Y2424" s="723">
        <v>0</v>
      </c>
      <c r="Z2424" s="382" t="s">
        <v>927</v>
      </c>
      <c r="AA2424" s="372">
        <v>671.48815930000001</v>
      </c>
      <c r="AB2424" s="372">
        <v>655.38381879999997</v>
      </c>
      <c r="AC2424" s="372">
        <v>704.95736690000001</v>
      </c>
      <c r="AD2424" s="372">
        <v>653.25502019999999</v>
      </c>
      <c r="AE2424" s="372">
        <v>0</v>
      </c>
      <c r="AF2424" s="372">
        <v>0</v>
      </c>
      <c r="AG2424" s="372">
        <v>0</v>
      </c>
      <c r="AH2424" s="372">
        <v>0</v>
      </c>
    </row>
    <row r="2425" spans="1:34">
      <c r="A2425" s="372" t="s">
        <v>15407</v>
      </c>
      <c r="B2425" s="372" t="s">
        <v>15408</v>
      </c>
      <c r="C2425" s="372" t="s">
        <v>15409</v>
      </c>
      <c r="D2425" s="374">
        <v>1648110015300</v>
      </c>
      <c r="E2425" s="372" t="s">
        <v>15410</v>
      </c>
      <c r="F2425" s="372" t="s">
        <v>1710</v>
      </c>
      <c r="G2425" s="375" t="s">
        <v>1711</v>
      </c>
      <c r="H2425" s="375" t="s">
        <v>861</v>
      </c>
      <c r="I2425" s="375" t="s">
        <v>862</v>
      </c>
      <c r="J2425" s="375">
        <v>72224.787240000005</v>
      </c>
      <c r="K2425" s="375">
        <v>-178901.60652999999</v>
      </c>
      <c r="L2425" s="375">
        <v>-176120.74155999999</v>
      </c>
      <c r="M2425" s="375">
        <v>-374204.11179</v>
      </c>
      <c r="N2425" s="372">
        <v>0.77400000000000002</v>
      </c>
      <c r="O2425" s="704">
        <v>956.28509670646361</v>
      </c>
      <c r="P2425" s="563" t="s">
        <v>16115</v>
      </c>
      <c r="Q2425" s="372" t="s">
        <v>16116</v>
      </c>
      <c r="R2425" s="696">
        <v>20160714</v>
      </c>
      <c r="S2425" s="372" t="s">
        <v>15411</v>
      </c>
      <c r="T2425" s="697" t="s">
        <v>771</v>
      </c>
      <c r="U2425" s="372" t="s">
        <v>15980</v>
      </c>
      <c r="V2425" s="723" t="s">
        <v>773</v>
      </c>
      <c r="W2425" s="723" t="s">
        <v>773</v>
      </c>
      <c r="X2425" s="723">
        <v>0.31</v>
      </c>
      <c r="Y2425" s="723" t="s">
        <v>773</v>
      </c>
      <c r="Z2425" s="382" t="s">
        <v>927</v>
      </c>
      <c r="AA2425" s="372">
        <v>8755.9420367999992</v>
      </c>
      <c r="AB2425" s="372">
        <v>10528.931842399999</v>
      </c>
      <c r="AC2425" s="372">
        <v>7820.8041653</v>
      </c>
      <c r="AD2425" s="372">
        <v>3531.8731713000002</v>
      </c>
      <c r="AE2425" s="372">
        <v>0</v>
      </c>
      <c r="AF2425" s="372">
        <v>0</v>
      </c>
      <c r="AG2425" s="372">
        <v>0</v>
      </c>
      <c r="AH2425" s="372">
        <v>0</v>
      </c>
    </row>
    <row r="2426" spans="1:34">
      <c r="A2426" s="372" t="s">
        <v>15412</v>
      </c>
      <c r="B2426" s="372" t="s">
        <v>15413</v>
      </c>
      <c r="C2426" s="372" t="s">
        <v>15414</v>
      </c>
      <c r="D2426" s="374">
        <v>1760110022266</v>
      </c>
      <c r="E2426" s="372" t="s">
        <v>15415</v>
      </c>
      <c r="F2426" s="372" t="s">
        <v>7030</v>
      </c>
      <c r="G2426" s="375" t="s">
        <v>7030</v>
      </c>
      <c r="H2426" s="375" t="s">
        <v>1337</v>
      </c>
      <c r="I2426" s="375" t="s">
        <v>862</v>
      </c>
      <c r="J2426" s="375">
        <v>8810.4176900000002</v>
      </c>
      <c r="K2426" s="375">
        <v>-1795.21199</v>
      </c>
      <c r="L2426" s="375">
        <v>-2577.01505</v>
      </c>
      <c r="M2426" s="375">
        <v>14850.03622</v>
      </c>
      <c r="N2426" s="372">
        <v>0.71699999999999997</v>
      </c>
      <c r="O2426" s="704">
        <v>2.5366420655801027</v>
      </c>
      <c r="P2426" s="563" t="s">
        <v>622</v>
      </c>
      <c r="Q2426" s="372" t="s">
        <v>622</v>
      </c>
      <c r="R2426" s="696">
        <v>20040625</v>
      </c>
      <c r="S2426" s="372" t="s">
        <v>16295</v>
      </c>
      <c r="T2426" s="697" t="s">
        <v>771</v>
      </c>
      <c r="U2426" s="372" t="s">
        <v>15416</v>
      </c>
      <c r="V2426" s="723">
        <v>0</v>
      </c>
      <c r="W2426" s="723">
        <v>0</v>
      </c>
      <c r="X2426" s="723">
        <v>0</v>
      </c>
      <c r="Y2426" s="723">
        <v>0</v>
      </c>
      <c r="Z2426" s="382" t="s">
        <v>927</v>
      </c>
      <c r="AA2426" s="372">
        <v>101.09533500000001</v>
      </c>
      <c r="AB2426" s="372">
        <v>94.212645300000005</v>
      </c>
      <c r="AC2426" s="372">
        <v>84.860179200000005</v>
      </c>
      <c r="AD2426" s="372">
        <v>113.3596184</v>
      </c>
      <c r="AE2426" s="372">
        <v>0</v>
      </c>
      <c r="AF2426" s="372">
        <v>0</v>
      </c>
      <c r="AG2426" s="372">
        <v>0</v>
      </c>
      <c r="AH2426" s="372">
        <v>0</v>
      </c>
    </row>
    <row r="2427" spans="1:34">
      <c r="A2427" s="372" t="s">
        <v>15417</v>
      </c>
      <c r="B2427" s="372" t="s">
        <v>15418</v>
      </c>
      <c r="C2427" s="372" t="s">
        <v>15419</v>
      </c>
      <c r="D2427" s="374">
        <v>1101118743802</v>
      </c>
      <c r="E2427" s="372" t="s">
        <v>15420</v>
      </c>
      <c r="F2427" s="372" t="s">
        <v>1143</v>
      </c>
      <c r="G2427" s="375" t="s">
        <v>1144</v>
      </c>
      <c r="H2427" s="375" t="s">
        <v>895</v>
      </c>
      <c r="I2427" s="375" t="s">
        <v>862</v>
      </c>
      <c r="J2427" s="375">
        <v>0</v>
      </c>
      <c r="K2427" s="375">
        <v>-107.26911</v>
      </c>
      <c r="L2427" s="375">
        <v>447.51303999999999</v>
      </c>
      <c r="M2427" s="375">
        <v>21725.731319999999</v>
      </c>
      <c r="N2427" s="372" t="s">
        <v>1026</v>
      </c>
      <c r="O2427" s="704">
        <v>15.097146185206755</v>
      </c>
      <c r="P2427" s="563" t="s">
        <v>16115</v>
      </c>
      <c r="Q2427" s="372" t="s">
        <v>622</v>
      </c>
      <c r="R2427" s="696">
        <v>20231204</v>
      </c>
      <c r="S2427" s="372" t="s">
        <v>9018</v>
      </c>
      <c r="T2427" s="697">
        <v>0.20900000000000002</v>
      </c>
      <c r="U2427" s="372">
        <v>0</v>
      </c>
      <c r="V2427" s="723">
        <v>0</v>
      </c>
      <c r="W2427" s="723">
        <v>0</v>
      </c>
      <c r="X2427" s="723">
        <v>0</v>
      </c>
      <c r="Y2427" s="723">
        <v>0</v>
      </c>
      <c r="Z2427" s="382" t="s">
        <v>773</v>
      </c>
      <c r="AA2427" s="372">
        <v>0</v>
      </c>
      <c r="AB2427" s="372">
        <v>0</v>
      </c>
      <c r="AC2427" s="372">
        <v>0</v>
      </c>
      <c r="AD2427" s="372">
        <v>0</v>
      </c>
      <c r="AE2427" s="372">
        <v>0</v>
      </c>
      <c r="AF2427" s="372">
        <v>0</v>
      </c>
      <c r="AG2427" s="372">
        <v>0</v>
      </c>
      <c r="AH2427" s="372">
        <v>0</v>
      </c>
    </row>
    <row r="2428" spans="1:34">
      <c r="A2428" s="372" t="s">
        <v>15421</v>
      </c>
      <c r="B2428" s="372" t="s">
        <v>15422</v>
      </c>
      <c r="C2428" s="372" t="s">
        <v>15423</v>
      </c>
      <c r="D2428" s="374">
        <v>1647110001608</v>
      </c>
      <c r="E2428" s="372" t="s">
        <v>15424</v>
      </c>
      <c r="F2428" s="372" t="s">
        <v>1177</v>
      </c>
      <c r="G2428" s="375" t="s">
        <v>1178</v>
      </c>
      <c r="H2428" s="375" t="s">
        <v>861</v>
      </c>
      <c r="I2428" s="375" t="s">
        <v>862</v>
      </c>
      <c r="J2428" s="375">
        <v>55969.162510000002</v>
      </c>
      <c r="K2428" s="375">
        <v>1047.17148</v>
      </c>
      <c r="L2428" s="375">
        <v>-1740.22217</v>
      </c>
      <c r="M2428" s="375">
        <v>19187.267469999999</v>
      </c>
      <c r="N2428" s="372">
        <v>0.436</v>
      </c>
      <c r="O2428" s="704">
        <v>106.95510089078385</v>
      </c>
      <c r="P2428" s="563" t="s">
        <v>622</v>
      </c>
      <c r="Q2428" s="372" t="s">
        <v>622</v>
      </c>
      <c r="R2428" s="696">
        <v>20030813</v>
      </c>
      <c r="S2428" s="372" t="s">
        <v>15425</v>
      </c>
      <c r="T2428" s="697" t="s">
        <v>771</v>
      </c>
      <c r="U2428" s="372" t="s">
        <v>15426</v>
      </c>
      <c r="V2428" s="723">
        <v>7.11</v>
      </c>
      <c r="W2428" s="723">
        <v>0.94</v>
      </c>
      <c r="X2428" s="723">
        <v>0.32</v>
      </c>
      <c r="Y2428" s="723" t="s">
        <v>773</v>
      </c>
      <c r="Z2428" s="382" t="s">
        <v>927</v>
      </c>
      <c r="AA2428" s="372">
        <v>466.10840839999997</v>
      </c>
      <c r="AB2428" s="372">
        <v>736.98612049999997</v>
      </c>
      <c r="AC2428" s="372">
        <v>624.84795889999998</v>
      </c>
      <c r="AD2428" s="372">
        <v>529.68921279999995</v>
      </c>
      <c r="AE2428" s="372">
        <v>0</v>
      </c>
      <c r="AF2428" s="372">
        <v>0</v>
      </c>
      <c r="AG2428" s="372">
        <v>0</v>
      </c>
      <c r="AH2428" s="372">
        <v>0</v>
      </c>
    </row>
    <row r="2429" spans="1:34">
      <c r="A2429" s="372" t="s">
        <v>15427</v>
      </c>
      <c r="B2429" s="372" t="s">
        <v>15428</v>
      </c>
      <c r="C2429" s="372" t="s">
        <v>16296</v>
      </c>
      <c r="D2429" s="374">
        <v>1101110674724</v>
      </c>
      <c r="E2429" s="372" t="s">
        <v>16297</v>
      </c>
      <c r="F2429" s="372" t="s">
        <v>1370</v>
      </c>
      <c r="G2429" s="375" t="s">
        <v>1370</v>
      </c>
      <c r="H2429" s="375" t="s">
        <v>861</v>
      </c>
      <c r="I2429" s="375" t="s">
        <v>862</v>
      </c>
      <c r="J2429" s="375">
        <v>20619.493419999999</v>
      </c>
      <c r="K2429" s="375">
        <v>-1189.3629100000001</v>
      </c>
      <c r="L2429" s="375">
        <v>-2080.3044100000002</v>
      </c>
      <c r="M2429" s="375">
        <v>57310.523699999998</v>
      </c>
      <c r="N2429" s="372" t="s">
        <v>1026</v>
      </c>
      <c r="O2429" s="704">
        <v>23.290445523239423</v>
      </c>
      <c r="P2429" s="563" t="s">
        <v>622</v>
      </c>
      <c r="Q2429" s="372" t="s">
        <v>622</v>
      </c>
      <c r="R2429" s="696">
        <v>20010622</v>
      </c>
      <c r="S2429" s="372" t="s">
        <v>15429</v>
      </c>
      <c r="T2429" s="697" t="s">
        <v>771</v>
      </c>
      <c r="U2429" s="372" t="s">
        <v>15430</v>
      </c>
      <c r="V2429" s="723">
        <v>0</v>
      </c>
      <c r="W2429" s="723">
        <v>0</v>
      </c>
      <c r="X2429" s="723">
        <v>0</v>
      </c>
      <c r="Y2429" s="723">
        <v>0</v>
      </c>
      <c r="Z2429" s="382" t="s">
        <v>927</v>
      </c>
      <c r="AA2429" s="372">
        <v>250.67702449999999</v>
      </c>
      <c r="AB2429" s="372">
        <v>112.54669389999999</v>
      </c>
      <c r="AC2429" s="372">
        <v>114.0606032</v>
      </c>
      <c r="AD2429" s="372">
        <v>69.670412600000006</v>
      </c>
      <c r="AE2429" s="372">
        <v>0</v>
      </c>
      <c r="AF2429" s="372">
        <v>0</v>
      </c>
      <c r="AG2429" s="372">
        <v>0</v>
      </c>
      <c r="AH2429" s="372">
        <v>0</v>
      </c>
    </row>
    <row r="2430" spans="1:34">
      <c r="A2430" s="372" t="s">
        <v>15431</v>
      </c>
      <c r="B2430" s="372" t="s">
        <v>15432</v>
      </c>
      <c r="C2430" s="372" t="s">
        <v>15433</v>
      </c>
      <c r="D2430" s="374">
        <v>1701110031873</v>
      </c>
      <c r="E2430" s="372" t="s">
        <v>15434</v>
      </c>
      <c r="F2430" s="372" t="s">
        <v>1357</v>
      </c>
      <c r="G2430" s="375" t="s">
        <v>1357</v>
      </c>
      <c r="H2430" s="375" t="s">
        <v>861</v>
      </c>
      <c r="I2430" s="375" t="s">
        <v>862</v>
      </c>
      <c r="J2430" s="375">
        <v>8578.3531199999998</v>
      </c>
      <c r="K2430" s="375">
        <v>-8974.9129200000007</v>
      </c>
      <c r="L2430" s="375">
        <v>-9710.8952100000006</v>
      </c>
      <c r="M2430" s="375">
        <v>7546.8782600000004</v>
      </c>
      <c r="N2430" s="372">
        <v>0.56699999999999995</v>
      </c>
      <c r="O2430" s="704">
        <v>12.905254921873604</v>
      </c>
      <c r="P2430" s="563" t="s">
        <v>622</v>
      </c>
      <c r="Q2430" s="372" t="s">
        <v>622</v>
      </c>
      <c r="R2430" s="696">
        <v>20020820</v>
      </c>
      <c r="S2430" s="372" t="s">
        <v>15435</v>
      </c>
      <c r="T2430" s="697" t="s">
        <v>771</v>
      </c>
      <c r="U2430" s="372" t="s">
        <v>15436</v>
      </c>
      <c r="V2430" s="723">
        <v>0</v>
      </c>
      <c r="W2430" s="723">
        <v>0</v>
      </c>
      <c r="X2430" s="723">
        <v>0</v>
      </c>
      <c r="Y2430" s="723">
        <v>0</v>
      </c>
      <c r="Z2430" s="382" t="s">
        <v>927</v>
      </c>
      <c r="AA2430" s="372">
        <v>134.2593267</v>
      </c>
      <c r="AB2430" s="372">
        <v>210.03250969999999</v>
      </c>
      <c r="AC2430" s="372">
        <v>47.172203500000002</v>
      </c>
      <c r="AD2430" s="372">
        <v>70.419123299999995</v>
      </c>
      <c r="AE2430" s="372">
        <v>0</v>
      </c>
      <c r="AF2430" s="372">
        <v>0</v>
      </c>
      <c r="AG2430" s="372">
        <v>0</v>
      </c>
      <c r="AH2430" s="372">
        <v>0</v>
      </c>
    </row>
    <row r="2431" spans="1:34">
      <c r="A2431" s="372" t="s">
        <v>15437</v>
      </c>
      <c r="B2431" s="372" t="s">
        <v>15438</v>
      </c>
      <c r="C2431" s="372" t="s">
        <v>15439</v>
      </c>
      <c r="D2431" s="374">
        <v>1101117685386</v>
      </c>
      <c r="E2431" s="372" t="s">
        <v>15440</v>
      </c>
      <c r="F2431" s="372" t="s">
        <v>1143</v>
      </c>
      <c r="G2431" s="375" t="s">
        <v>1144</v>
      </c>
      <c r="H2431" s="375" t="s">
        <v>895</v>
      </c>
      <c r="I2431" s="375" t="s">
        <v>4413</v>
      </c>
      <c r="J2431" s="375">
        <v>0</v>
      </c>
      <c r="K2431" s="375">
        <v>0</v>
      </c>
      <c r="L2431" s="375">
        <v>0</v>
      </c>
      <c r="M2431" s="375">
        <v>0</v>
      </c>
      <c r="N2431" s="372" t="s">
        <v>1026</v>
      </c>
      <c r="O2431" s="704" t="s">
        <v>16301</v>
      </c>
      <c r="P2431" s="563" t="s">
        <v>622</v>
      </c>
      <c r="Q2431" s="372" t="s">
        <v>622</v>
      </c>
      <c r="R2431" s="696">
        <v>20210305</v>
      </c>
      <c r="S2431" s="372" t="e">
        <v>#N/A</v>
      </c>
      <c r="T2431" s="697" t="s">
        <v>771</v>
      </c>
      <c r="U2431" s="372">
        <v>0</v>
      </c>
      <c r="V2431" s="723">
        <v>0</v>
      </c>
      <c r="W2431" s="723">
        <v>0</v>
      </c>
      <c r="X2431" s="723">
        <v>0</v>
      </c>
      <c r="Y2431" s="723">
        <v>0</v>
      </c>
      <c r="Z2431" s="382" t="s">
        <v>773</v>
      </c>
      <c r="AA2431" s="372">
        <v>0</v>
      </c>
      <c r="AB2431" s="372">
        <v>0</v>
      </c>
      <c r="AC2431" s="372">
        <v>0</v>
      </c>
      <c r="AD2431" s="372">
        <v>0</v>
      </c>
      <c r="AE2431" s="372">
        <v>0</v>
      </c>
      <c r="AF2431" s="372">
        <v>0</v>
      </c>
      <c r="AG2431" s="372">
        <v>0</v>
      </c>
      <c r="AH2431" s="372">
        <v>0</v>
      </c>
    </row>
    <row r="2432" spans="1:34">
      <c r="A2432" s="372" t="s">
        <v>15441</v>
      </c>
      <c r="B2432" s="372" t="s">
        <v>15442</v>
      </c>
      <c r="C2432" s="372" t="s">
        <v>15443</v>
      </c>
      <c r="D2432" s="374">
        <v>1101118336946</v>
      </c>
      <c r="E2432" s="372" t="s">
        <v>15444</v>
      </c>
      <c r="F2432" s="372" t="s">
        <v>1143</v>
      </c>
      <c r="G2432" s="375" t="s">
        <v>1144</v>
      </c>
      <c r="H2432" s="375" t="s">
        <v>895</v>
      </c>
      <c r="I2432" s="375" t="s">
        <v>4413</v>
      </c>
      <c r="J2432" s="375">
        <v>0</v>
      </c>
      <c r="K2432" s="375">
        <v>0</v>
      </c>
      <c r="L2432" s="375">
        <v>0</v>
      </c>
      <c r="M2432" s="375">
        <v>0</v>
      </c>
      <c r="N2432" s="372" t="s">
        <v>1026</v>
      </c>
      <c r="O2432" s="704" t="s">
        <v>16301</v>
      </c>
      <c r="P2432" s="563" t="s">
        <v>622</v>
      </c>
      <c r="Q2432" s="372" t="s">
        <v>622</v>
      </c>
      <c r="R2432" s="696">
        <v>20220922</v>
      </c>
      <c r="S2432" s="372" t="e">
        <v>#N/A</v>
      </c>
      <c r="T2432" s="697" t="s">
        <v>771</v>
      </c>
      <c r="U2432" s="372">
        <v>0</v>
      </c>
      <c r="V2432" s="723">
        <v>0</v>
      </c>
      <c r="W2432" s="723">
        <v>0</v>
      </c>
      <c r="X2432" s="723">
        <v>0</v>
      </c>
      <c r="Y2432" s="723">
        <v>0</v>
      </c>
      <c r="Z2432" s="382" t="s">
        <v>773</v>
      </c>
      <c r="AA2432" s="372">
        <v>0</v>
      </c>
      <c r="AB2432" s="372">
        <v>0</v>
      </c>
      <c r="AC2432" s="372">
        <v>0</v>
      </c>
      <c r="AD2432" s="372">
        <v>0</v>
      </c>
      <c r="AE2432" s="372">
        <v>0</v>
      </c>
      <c r="AF2432" s="372">
        <v>0</v>
      </c>
      <c r="AG2432" s="372">
        <v>0</v>
      </c>
      <c r="AH2432" s="372">
        <v>0</v>
      </c>
    </row>
    <row r="2433" spans="1:34">
      <c r="A2433" s="372" t="s">
        <v>15446</v>
      </c>
      <c r="B2433" s="372" t="s">
        <v>15447</v>
      </c>
      <c r="C2433" s="372" t="s">
        <v>15448</v>
      </c>
      <c r="D2433" s="374">
        <v>1501110031257</v>
      </c>
      <c r="E2433" s="372" t="s">
        <v>15449</v>
      </c>
      <c r="F2433" s="372" t="s">
        <v>1656</v>
      </c>
      <c r="G2433" s="375" t="s">
        <v>1656</v>
      </c>
      <c r="H2433" s="375" t="s">
        <v>861</v>
      </c>
      <c r="I2433" s="375" t="s">
        <v>862</v>
      </c>
      <c r="J2433" s="375">
        <v>11367.4517</v>
      </c>
      <c r="K2433" s="375">
        <v>223.41257999999999</v>
      </c>
      <c r="L2433" s="375">
        <v>311.15197999999998</v>
      </c>
      <c r="M2433" s="375">
        <v>14875.42792</v>
      </c>
      <c r="N2433" s="372">
        <v>1.0029999999999999</v>
      </c>
      <c r="O2433" s="704">
        <v>0.10841941787604031</v>
      </c>
      <c r="P2433" s="563" t="s">
        <v>622</v>
      </c>
      <c r="Q2433" s="372" t="s">
        <v>622</v>
      </c>
      <c r="R2433" s="696">
        <v>20080502</v>
      </c>
      <c r="S2433" s="372" t="s">
        <v>15450</v>
      </c>
      <c r="T2433" s="697">
        <v>0.20900000000000002</v>
      </c>
      <c r="U2433" s="372" t="s">
        <v>15451</v>
      </c>
      <c r="V2433" s="723">
        <v>0</v>
      </c>
      <c r="W2433" s="723">
        <v>0</v>
      </c>
      <c r="X2433" s="723">
        <v>0</v>
      </c>
      <c r="Y2433" s="723">
        <v>0</v>
      </c>
      <c r="Z2433" s="382" t="s">
        <v>927</v>
      </c>
      <c r="AA2433" s="372">
        <v>120.8653812</v>
      </c>
      <c r="AB2433" s="372">
        <v>123.8495909</v>
      </c>
      <c r="AC2433" s="372">
        <v>117.3031172</v>
      </c>
      <c r="AD2433" s="372">
        <v>89.267075000000006</v>
      </c>
      <c r="AE2433" s="372">
        <v>0</v>
      </c>
      <c r="AF2433" s="372">
        <v>0</v>
      </c>
      <c r="AG2433" s="372">
        <v>0</v>
      </c>
      <c r="AH2433" s="372">
        <v>0</v>
      </c>
    </row>
    <row r="2434" spans="1:34">
      <c r="A2434" s="372" t="s">
        <v>15452</v>
      </c>
      <c r="B2434" s="372" t="s">
        <v>15453</v>
      </c>
      <c r="C2434" s="372" t="s">
        <v>15454</v>
      </c>
      <c r="D2434" s="374">
        <v>1201110041327</v>
      </c>
      <c r="E2434" s="372" t="s">
        <v>15455</v>
      </c>
      <c r="F2434" s="372" t="s">
        <v>5880</v>
      </c>
      <c r="G2434" s="375" t="s">
        <v>5880</v>
      </c>
      <c r="H2434" s="375" t="s">
        <v>861</v>
      </c>
      <c r="I2434" s="375" t="s">
        <v>862</v>
      </c>
      <c r="J2434" s="375">
        <v>63457.395349999999</v>
      </c>
      <c r="K2434" s="375">
        <v>-3257.8660799999998</v>
      </c>
      <c r="L2434" s="375">
        <v>-10324.218639999999</v>
      </c>
      <c r="M2434" s="375">
        <v>48187.753859999997</v>
      </c>
      <c r="N2434" s="372">
        <v>0.77</v>
      </c>
      <c r="O2434" s="704">
        <v>402.39524882466344</v>
      </c>
      <c r="P2434" s="563" t="s">
        <v>622</v>
      </c>
      <c r="Q2434" s="372" t="s">
        <v>622</v>
      </c>
      <c r="R2434" s="696">
        <v>20020712</v>
      </c>
      <c r="S2434" s="372" t="s">
        <v>15456</v>
      </c>
      <c r="T2434" s="697" t="s">
        <v>771</v>
      </c>
      <c r="U2434" s="372" t="s">
        <v>15457</v>
      </c>
      <c r="V2434" s="723">
        <v>47.23</v>
      </c>
      <c r="W2434" s="723">
        <v>0.27</v>
      </c>
      <c r="X2434" s="723">
        <v>0.25</v>
      </c>
      <c r="Y2434" s="723" t="s">
        <v>773</v>
      </c>
      <c r="Z2434" s="382" t="s">
        <v>927</v>
      </c>
      <c r="AA2434" s="372">
        <v>783.06082049999998</v>
      </c>
      <c r="AB2434" s="372">
        <v>936.81678890000001</v>
      </c>
      <c r="AC2434" s="372">
        <v>731.21511669999995</v>
      </c>
      <c r="AD2434" s="372">
        <v>636.1632429</v>
      </c>
      <c r="AE2434" s="372">
        <v>0</v>
      </c>
      <c r="AF2434" s="372">
        <v>0</v>
      </c>
      <c r="AG2434" s="372">
        <v>0</v>
      </c>
      <c r="AH2434" s="372">
        <v>0</v>
      </c>
    </row>
    <row r="2435" spans="1:34">
      <c r="A2435" s="372" t="s">
        <v>15458</v>
      </c>
      <c r="B2435" s="372" t="s">
        <v>15459</v>
      </c>
      <c r="C2435" s="372" t="s">
        <v>15460</v>
      </c>
      <c r="D2435" s="374">
        <v>1101118468989</v>
      </c>
      <c r="E2435" s="372" t="s">
        <v>15461</v>
      </c>
      <c r="F2435" s="372" t="s">
        <v>1143</v>
      </c>
      <c r="G2435" s="375" t="s">
        <v>1144</v>
      </c>
      <c r="H2435" s="375" t="s">
        <v>895</v>
      </c>
      <c r="I2435" s="375" t="s">
        <v>862</v>
      </c>
      <c r="J2435" s="375">
        <v>0</v>
      </c>
      <c r="K2435" s="375">
        <v>-37.624519999999997</v>
      </c>
      <c r="L2435" s="375">
        <v>576.70718999999997</v>
      </c>
      <c r="M2435" s="375">
        <v>19057.218089999998</v>
      </c>
      <c r="N2435" s="372" t="s">
        <v>1026</v>
      </c>
      <c r="O2435" s="704">
        <v>7.4334099905365676</v>
      </c>
      <c r="P2435" s="563" t="s">
        <v>622</v>
      </c>
      <c r="Q2435" s="372" t="s">
        <v>622</v>
      </c>
      <c r="R2435" s="696">
        <v>20230228</v>
      </c>
      <c r="S2435" s="372" t="s">
        <v>11492</v>
      </c>
      <c r="T2435" s="697">
        <v>0.20900000000000002</v>
      </c>
      <c r="U2435" s="372">
        <v>0</v>
      </c>
      <c r="V2435" s="723">
        <v>0</v>
      </c>
      <c r="W2435" s="723">
        <v>0</v>
      </c>
      <c r="X2435" s="723">
        <v>0</v>
      </c>
      <c r="Y2435" s="723">
        <v>0</v>
      </c>
      <c r="Z2435" s="382" t="s">
        <v>773</v>
      </c>
      <c r="AA2435" s="372">
        <v>0</v>
      </c>
      <c r="AB2435" s="372">
        <v>0</v>
      </c>
      <c r="AC2435" s="372">
        <v>0</v>
      </c>
      <c r="AD2435" s="372">
        <v>0</v>
      </c>
      <c r="AE2435" s="372">
        <v>0</v>
      </c>
      <c r="AF2435" s="372">
        <v>0</v>
      </c>
      <c r="AG2435" s="372">
        <v>0</v>
      </c>
      <c r="AH2435" s="372">
        <v>0</v>
      </c>
    </row>
    <row r="2436" spans="1:34">
      <c r="A2436" s="372" t="s">
        <v>15462</v>
      </c>
      <c r="B2436" s="372" t="s">
        <v>15463</v>
      </c>
      <c r="C2436" s="372" t="s">
        <v>15464</v>
      </c>
      <c r="D2436" s="374">
        <v>1101110766703</v>
      </c>
      <c r="E2436" s="372" t="s">
        <v>15465</v>
      </c>
      <c r="F2436" s="372" t="s">
        <v>5769</v>
      </c>
      <c r="G2436" s="375" t="s">
        <v>5769</v>
      </c>
      <c r="H2436" s="375" t="s">
        <v>817</v>
      </c>
      <c r="I2436" s="375" t="s">
        <v>4413</v>
      </c>
      <c r="J2436" s="375">
        <v>0</v>
      </c>
      <c r="K2436" s="375">
        <v>0</v>
      </c>
      <c r="L2436" s="375">
        <v>0</v>
      </c>
      <c r="M2436" s="375">
        <v>0</v>
      </c>
      <c r="N2436" s="372" t="s">
        <v>1026</v>
      </c>
      <c r="O2436" s="704" t="s">
        <v>16301</v>
      </c>
      <c r="P2436" s="563" t="s">
        <v>622</v>
      </c>
      <c r="Q2436" s="372" t="s">
        <v>622</v>
      </c>
      <c r="R2436" s="696">
        <v>20001221</v>
      </c>
      <c r="S2436" s="372" t="e">
        <v>#N/A</v>
      </c>
      <c r="T2436" s="697" t="s">
        <v>771</v>
      </c>
      <c r="U2436" s="372" t="s">
        <v>15466</v>
      </c>
      <c r="V2436" s="723">
        <v>0</v>
      </c>
      <c r="W2436" s="723">
        <v>0</v>
      </c>
      <c r="X2436" s="723">
        <v>0</v>
      </c>
      <c r="Y2436" s="723">
        <v>0</v>
      </c>
      <c r="Z2436" s="382" t="s">
        <v>773</v>
      </c>
      <c r="AA2436" s="372">
        <v>98.5785178</v>
      </c>
      <c r="AB2436" s="372">
        <v>247.9788461</v>
      </c>
      <c r="AC2436" s="372">
        <v>319.12090430000001</v>
      </c>
      <c r="AD2436" s="372">
        <v>0</v>
      </c>
      <c r="AE2436" s="372">
        <v>0</v>
      </c>
      <c r="AF2436" s="372">
        <v>0</v>
      </c>
      <c r="AG2436" s="372">
        <v>0</v>
      </c>
      <c r="AH2436" s="372">
        <v>0</v>
      </c>
    </row>
    <row r="2437" spans="1:34">
      <c r="A2437" s="372" t="s">
        <v>15467</v>
      </c>
      <c r="B2437" s="372" t="s">
        <v>15468</v>
      </c>
      <c r="C2437" s="372" t="s">
        <v>15469</v>
      </c>
      <c r="D2437" s="374">
        <v>1101118611934</v>
      </c>
      <c r="E2437" s="372" t="s">
        <v>15470</v>
      </c>
      <c r="F2437" s="372" t="s">
        <v>1143</v>
      </c>
      <c r="G2437" s="375" t="s">
        <v>1144</v>
      </c>
      <c r="H2437" s="375" t="s">
        <v>895</v>
      </c>
      <c r="I2437" s="375" t="s">
        <v>862</v>
      </c>
      <c r="J2437" s="375">
        <v>0</v>
      </c>
      <c r="K2437" s="375">
        <v>-64.675640000000001</v>
      </c>
      <c r="L2437" s="375">
        <v>327.85336000000001</v>
      </c>
      <c r="M2437" s="375">
        <v>14279.51621</v>
      </c>
      <c r="N2437" s="372" t="s">
        <v>1026</v>
      </c>
      <c r="O2437" s="704">
        <v>6.6291546334296001</v>
      </c>
      <c r="P2437" s="563" t="s">
        <v>622</v>
      </c>
      <c r="Q2437" s="372" t="s">
        <v>622</v>
      </c>
      <c r="R2437" s="696">
        <v>20230904</v>
      </c>
      <c r="S2437" s="372" t="s">
        <v>15471</v>
      </c>
      <c r="T2437" s="697">
        <v>0.20900000000000002</v>
      </c>
      <c r="U2437" s="372">
        <v>0</v>
      </c>
      <c r="V2437" s="723">
        <v>0</v>
      </c>
      <c r="W2437" s="723">
        <v>0</v>
      </c>
      <c r="X2437" s="723">
        <v>0</v>
      </c>
      <c r="Y2437" s="723">
        <v>0</v>
      </c>
      <c r="Z2437" s="382" t="s">
        <v>773</v>
      </c>
      <c r="AA2437" s="372">
        <v>0</v>
      </c>
      <c r="AB2437" s="372">
        <v>0</v>
      </c>
      <c r="AC2437" s="372">
        <v>0</v>
      </c>
      <c r="AD2437" s="372">
        <v>0</v>
      </c>
      <c r="AE2437" s="372">
        <v>0</v>
      </c>
      <c r="AF2437" s="372">
        <v>0</v>
      </c>
      <c r="AG2437" s="372">
        <v>0</v>
      </c>
      <c r="AH2437" s="372">
        <v>0</v>
      </c>
    </row>
    <row r="2438" spans="1:34">
      <c r="A2438" s="372" t="s">
        <v>15472</v>
      </c>
      <c r="B2438" s="372" t="s">
        <v>15473</v>
      </c>
      <c r="C2438" s="372" t="s">
        <v>15474</v>
      </c>
      <c r="D2438" s="374">
        <v>1101115680643</v>
      </c>
      <c r="E2438" s="372" t="s">
        <v>15475</v>
      </c>
      <c r="F2438" s="372" t="s">
        <v>15476</v>
      </c>
      <c r="G2438" s="375" t="s">
        <v>15476</v>
      </c>
      <c r="H2438" s="375">
        <v>0</v>
      </c>
      <c r="I2438" s="375" t="s">
        <v>862</v>
      </c>
      <c r="J2438" s="375">
        <v>43488.132239999999</v>
      </c>
      <c r="K2438" s="375">
        <v>-5973.5002000000004</v>
      </c>
      <c r="L2438" s="375">
        <v>-16937.72176</v>
      </c>
      <c r="M2438" s="375">
        <v>-3499.2506800000001</v>
      </c>
      <c r="N2438" s="372">
        <v>0.54200000000000004</v>
      </c>
      <c r="O2438" s="704">
        <v>77.921289075547634</v>
      </c>
      <c r="P2438" s="563" t="s">
        <v>16115</v>
      </c>
      <c r="Q2438" s="372" t="s">
        <v>16116</v>
      </c>
      <c r="R2438" s="696">
        <v>20150610</v>
      </c>
      <c r="S2438" s="372" t="s">
        <v>15477</v>
      </c>
      <c r="T2438" s="697" t="s">
        <v>771</v>
      </c>
      <c r="U2438" s="372" t="s">
        <v>15478</v>
      </c>
      <c r="V2438" s="723">
        <v>0</v>
      </c>
      <c r="W2438" s="723">
        <v>0</v>
      </c>
      <c r="X2438" s="723">
        <v>0</v>
      </c>
      <c r="Y2438" s="723">
        <v>0</v>
      </c>
      <c r="Z2438" s="382" t="s">
        <v>927</v>
      </c>
      <c r="AA2438" s="372">
        <v>809.28722909999999</v>
      </c>
      <c r="AB2438" s="372">
        <v>666.25427149999996</v>
      </c>
      <c r="AC2438" s="372">
        <v>608.63892669999996</v>
      </c>
      <c r="AD2438" s="372">
        <v>523.34472740000001</v>
      </c>
      <c r="AE2438" s="372">
        <v>0</v>
      </c>
      <c r="AF2438" s="372">
        <v>0</v>
      </c>
      <c r="AG2438" s="372">
        <v>0</v>
      </c>
      <c r="AH2438" s="372">
        <v>0</v>
      </c>
    </row>
    <row r="2439" spans="1:34">
      <c r="A2439" s="372" t="s">
        <v>15479</v>
      </c>
      <c r="B2439" s="372" t="s">
        <v>15480</v>
      </c>
      <c r="C2439" s="372" t="s">
        <v>16298</v>
      </c>
      <c r="D2439" s="374">
        <v>1101118277942</v>
      </c>
      <c r="E2439" s="372" t="s">
        <v>15481</v>
      </c>
      <c r="F2439" s="372" t="s">
        <v>1143</v>
      </c>
      <c r="G2439" s="375" t="s">
        <v>1144</v>
      </c>
      <c r="H2439" s="375" t="s">
        <v>895</v>
      </c>
      <c r="I2439" s="375" t="s">
        <v>4413</v>
      </c>
      <c r="J2439" s="375">
        <v>0</v>
      </c>
      <c r="K2439" s="375">
        <v>0</v>
      </c>
      <c r="L2439" s="375">
        <v>0</v>
      </c>
      <c r="M2439" s="375">
        <v>0</v>
      </c>
      <c r="N2439" s="372">
        <v>0.48799999999999999</v>
      </c>
      <c r="O2439" s="704" t="s">
        <v>16301</v>
      </c>
      <c r="P2439" s="563" t="s">
        <v>622</v>
      </c>
      <c r="Q2439" s="372" t="s">
        <v>622</v>
      </c>
      <c r="R2439" s="696">
        <v>20220929</v>
      </c>
      <c r="S2439" s="372" t="e">
        <v>#N/A</v>
      </c>
      <c r="T2439" s="697" t="s">
        <v>771</v>
      </c>
      <c r="U2439" s="372">
        <v>0</v>
      </c>
      <c r="V2439" s="723">
        <v>0</v>
      </c>
      <c r="W2439" s="723">
        <v>0</v>
      </c>
      <c r="X2439" s="723">
        <v>0</v>
      </c>
      <c r="Y2439" s="723">
        <v>0</v>
      </c>
      <c r="Z2439" s="382" t="s">
        <v>773</v>
      </c>
      <c r="AA2439" s="372">
        <v>0</v>
      </c>
      <c r="AB2439" s="372">
        <v>0</v>
      </c>
      <c r="AC2439" s="372">
        <v>0</v>
      </c>
      <c r="AD2439" s="372">
        <v>0</v>
      </c>
      <c r="AE2439" s="372">
        <v>0</v>
      </c>
      <c r="AF2439" s="372">
        <v>0</v>
      </c>
      <c r="AG2439" s="372">
        <v>0</v>
      </c>
      <c r="AH2439" s="372">
        <v>0</v>
      </c>
    </row>
    <row r="2440" spans="1:34">
      <c r="A2440" s="372" t="s">
        <v>15482</v>
      </c>
      <c r="B2440" s="372" t="s">
        <v>15483</v>
      </c>
      <c r="C2440" s="372" t="s">
        <v>15484</v>
      </c>
      <c r="D2440" s="374">
        <v>1101118734116</v>
      </c>
      <c r="E2440" s="372" t="s">
        <v>15485</v>
      </c>
      <c r="F2440" s="372" t="s">
        <v>1143</v>
      </c>
      <c r="G2440" s="375" t="s">
        <v>1144</v>
      </c>
      <c r="H2440" s="375" t="s">
        <v>895</v>
      </c>
      <c r="I2440" s="375" t="s">
        <v>862</v>
      </c>
      <c r="J2440" s="375">
        <v>0</v>
      </c>
      <c r="K2440" s="375">
        <v>-50.296129999999998</v>
      </c>
      <c r="L2440" s="375">
        <v>511.88121999999998</v>
      </c>
      <c r="M2440" s="375">
        <v>17706.239450000001</v>
      </c>
      <c r="N2440" s="372" t="s">
        <v>1026</v>
      </c>
      <c r="O2440" s="704">
        <v>13.300177561308127</v>
      </c>
      <c r="P2440" s="563" t="s">
        <v>622</v>
      </c>
      <c r="Q2440" s="372" t="s">
        <v>622</v>
      </c>
      <c r="R2440" s="696">
        <v>20231201</v>
      </c>
      <c r="S2440" s="372" t="s">
        <v>15486</v>
      </c>
      <c r="T2440" s="697">
        <v>0.20900000000000002</v>
      </c>
      <c r="U2440" s="372">
        <v>0</v>
      </c>
      <c r="V2440" s="723">
        <v>0</v>
      </c>
      <c r="W2440" s="723">
        <v>0</v>
      </c>
      <c r="X2440" s="723">
        <v>0</v>
      </c>
      <c r="Y2440" s="723">
        <v>0</v>
      </c>
      <c r="Z2440" s="382" t="s">
        <v>773</v>
      </c>
      <c r="AA2440" s="372">
        <v>0</v>
      </c>
      <c r="AB2440" s="372">
        <v>0</v>
      </c>
      <c r="AC2440" s="372">
        <v>0</v>
      </c>
      <c r="AD2440" s="372">
        <v>0</v>
      </c>
      <c r="AE2440" s="372">
        <v>0</v>
      </c>
      <c r="AF2440" s="372">
        <v>0</v>
      </c>
      <c r="AG2440" s="372">
        <v>0</v>
      </c>
      <c r="AH2440" s="372">
        <v>0</v>
      </c>
    </row>
    <row r="2441" spans="1:34">
      <c r="A2441" s="372" t="s">
        <v>15487</v>
      </c>
      <c r="B2441" s="372" t="s">
        <v>15488</v>
      </c>
      <c r="C2441" s="372" t="s">
        <v>15489</v>
      </c>
      <c r="D2441" s="374">
        <v>1101118367313</v>
      </c>
      <c r="E2441" s="372" t="s">
        <v>15490</v>
      </c>
      <c r="F2441" s="372" t="s">
        <v>1143</v>
      </c>
      <c r="G2441" s="375" t="s">
        <v>1144</v>
      </c>
      <c r="H2441" s="375" t="s">
        <v>895</v>
      </c>
      <c r="I2441" s="375" t="s">
        <v>862</v>
      </c>
      <c r="J2441" s="375">
        <v>0</v>
      </c>
      <c r="K2441" s="375">
        <v>-52.10304</v>
      </c>
      <c r="L2441" s="375">
        <v>602.27113999999995</v>
      </c>
      <c r="M2441" s="375">
        <v>17298.148949999999</v>
      </c>
      <c r="N2441" s="372">
        <v>0.32900000000000001</v>
      </c>
      <c r="O2441" s="704">
        <v>8.0461994345367547</v>
      </c>
      <c r="P2441" s="563" t="s">
        <v>622</v>
      </c>
      <c r="Q2441" s="372" t="s">
        <v>622</v>
      </c>
      <c r="R2441" s="696">
        <v>20221201</v>
      </c>
      <c r="S2441" s="372" t="s">
        <v>1143</v>
      </c>
      <c r="T2441" s="697">
        <v>0.20900000000000002</v>
      </c>
      <c r="U2441" s="372">
        <v>0</v>
      </c>
      <c r="V2441" s="723">
        <v>0</v>
      </c>
      <c r="W2441" s="723">
        <v>0</v>
      </c>
      <c r="X2441" s="723">
        <v>0</v>
      </c>
      <c r="Y2441" s="723">
        <v>0</v>
      </c>
      <c r="Z2441" s="382" t="s">
        <v>773</v>
      </c>
      <c r="AA2441" s="372">
        <v>0</v>
      </c>
      <c r="AB2441" s="372">
        <v>0</v>
      </c>
      <c r="AC2441" s="372">
        <v>0</v>
      </c>
      <c r="AD2441" s="372">
        <v>0</v>
      </c>
      <c r="AE2441" s="372">
        <v>0</v>
      </c>
      <c r="AF2441" s="372">
        <v>0</v>
      </c>
      <c r="AG2441" s="372">
        <v>0</v>
      </c>
      <c r="AH2441" s="372">
        <v>0</v>
      </c>
    </row>
    <row r="2442" spans="1:34">
      <c r="A2442" s="372" t="s">
        <v>15491</v>
      </c>
      <c r="B2442" s="372" t="s">
        <v>15492</v>
      </c>
      <c r="C2442" s="372" t="s">
        <v>15493</v>
      </c>
      <c r="D2442" s="374">
        <v>1101118173760</v>
      </c>
      <c r="E2442" s="372" t="s">
        <v>15494</v>
      </c>
      <c r="F2442" s="372" t="s">
        <v>1143</v>
      </c>
      <c r="G2442" s="375" t="s">
        <v>1144</v>
      </c>
      <c r="H2442" s="375" t="s">
        <v>895</v>
      </c>
      <c r="I2442" s="375" t="s">
        <v>4413</v>
      </c>
      <c r="J2442" s="375">
        <v>0</v>
      </c>
      <c r="K2442" s="375">
        <v>0</v>
      </c>
      <c r="L2442" s="375">
        <v>0</v>
      </c>
      <c r="M2442" s="375">
        <v>0</v>
      </c>
      <c r="N2442" s="372" t="s">
        <v>1026</v>
      </c>
      <c r="O2442" s="704" t="s">
        <v>16301</v>
      </c>
      <c r="P2442" s="563" t="s">
        <v>622</v>
      </c>
      <c r="Q2442" s="372" t="s">
        <v>622</v>
      </c>
      <c r="R2442" s="696">
        <v>20220428</v>
      </c>
      <c r="S2442" s="372" t="e">
        <v>#N/A</v>
      </c>
      <c r="T2442" s="697" t="s">
        <v>771</v>
      </c>
      <c r="U2442" s="372" t="s">
        <v>15495</v>
      </c>
      <c r="V2442" s="723">
        <v>0</v>
      </c>
      <c r="W2442" s="723">
        <v>0</v>
      </c>
      <c r="X2442" s="723">
        <v>0</v>
      </c>
      <c r="Y2442" s="723">
        <v>0</v>
      </c>
      <c r="Z2442" s="382" t="s">
        <v>773</v>
      </c>
      <c r="AA2442" s="372">
        <v>0</v>
      </c>
      <c r="AB2442" s="372">
        <v>0</v>
      </c>
      <c r="AC2442" s="372">
        <v>0</v>
      </c>
      <c r="AD2442" s="372">
        <v>0</v>
      </c>
      <c r="AE2442" s="372">
        <v>0</v>
      </c>
      <c r="AF2442" s="372">
        <v>0</v>
      </c>
      <c r="AG2442" s="372">
        <v>0</v>
      </c>
      <c r="AH2442" s="372">
        <v>0</v>
      </c>
    </row>
    <row r="2443" spans="1:34">
      <c r="A2443" s="372" t="s">
        <v>15496</v>
      </c>
      <c r="B2443" s="372" t="s">
        <v>15497</v>
      </c>
      <c r="C2443" s="372" t="s">
        <v>15498</v>
      </c>
      <c r="D2443" s="374">
        <v>1201110012914</v>
      </c>
      <c r="E2443" s="372" t="s">
        <v>15499</v>
      </c>
      <c r="F2443" s="372" t="s">
        <v>2259</v>
      </c>
      <c r="G2443" s="375" t="s">
        <v>2259</v>
      </c>
      <c r="H2443" s="375" t="s">
        <v>4847</v>
      </c>
      <c r="I2443" s="375" t="s">
        <v>862</v>
      </c>
      <c r="J2443" s="375">
        <v>148689.11760999999</v>
      </c>
      <c r="K2443" s="375">
        <v>-1505.22272</v>
      </c>
      <c r="L2443" s="375">
        <v>-911.69019000000003</v>
      </c>
      <c r="M2443" s="375">
        <v>40555.76455</v>
      </c>
      <c r="N2443" s="372">
        <v>0.58299999999999996</v>
      </c>
      <c r="O2443" s="704">
        <v>1212.7184892071807</v>
      </c>
      <c r="P2443" s="563" t="s">
        <v>622</v>
      </c>
      <c r="Q2443" s="372" t="s">
        <v>622</v>
      </c>
      <c r="R2443" s="696">
        <v>20001114</v>
      </c>
      <c r="S2443" s="372" t="s">
        <v>15500</v>
      </c>
      <c r="T2443" s="697" t="s">
        <v>771</v>
      </c>
      <c r="U2443" s="372" t="s">
        <v>15501</v>
      </c>
      <c r="V2443" s="723" t="s">
        <v>773</v>
      </c>
      <c r="W2443" s="723">
        <v>0.31</v>
      </c>
      <c r="X2443" s="723">
        <v>0.08</v>
      </c>
      <c r="Y2443" s="723" t="s">
        <v>773</v>
      </c>
      <c r="Z2443" s="382" t="s">
        <v>927</v>
      </c>
      <c r="AA2443" s="372">
        <v>214.3092048</v>
      </c>
      <c r="AB2443" s="372">
        <v>199.27877849999999</v>
      </c>
      <c r="AC2443" s="372">
        <v>971.40112829999998</v>
      </c>
      <c r="AD2443" s="372">
        <v>1794.1122726999999</v>
      </c>
      <c r="AE2443" s="372">
        <v>0</v>
      </c>
      <c r="AF2443" s="372">
        <v>0</v>
      </c>
      <c r="AG2443" s="372">
        <v>0</v>
      </c>
      <c r="AH2443" s="372">
        <v>0</v>
      </c>
    </row>
    <row r="2444" spans="1:34">
      <c r="A2444" s="372" t="s">
        <v>15502</v>
      </c>
      <c r="B2444" s="372" t="s">
        <v>15503</v>
      </c>
      <c r="C2444" s="372" t="s">
        <v>15504</v>
      </c>
      <c r="D2444" s="374">
        <v>1101117980158</v>
      </c>
      <c r="E2444" s="372" t="s">
        <v>15505</v>
      </c>
      <c r="F2444" s="372" t="s">
        <v>1143</v>
      </c>
      <c r="G2444" s="375" t="s">
        <v>1144</v>
      </c>
      <c r="H2444" s="375" t="s">
        <v>895</v>
      </c>
      <c r="I2444" s="375" t="s">
        <v>4413</v>
      </c>
      <c r="J2444" s="375">
        <v>0</v>
      </c>
      <c r="K2444" s="375">
        <v>0</v>
      </c>
      <c r="L2444" s="375">
        <v>0</v>
      </c>
      <c r="M2444" s="375">
        <v>0</v>
      </c>
      <c r="N2444" s="372" t="s">
        <v>1026</v>
      </c>
      <c r="O2444" s="704" t="s">
        <v>16301</v>
      </c>
      <c r="P2444" s="563" t="s">
        <v>622</v>
      </c>
      <c r="Q2444" s="372" t="s">
        <v>622</v>
      </c>
      <c r="R2444" s="696">
        <v>20211220</v>
      </c>
      <c r="S2444" s="372" t="e">
        <v>#N/A</v>
      </c>
      <c r="T2444" s="697" t="s">
        <v>771</v>
      </c>
      <c r="U2444" s="372">
        <v>0</v>
      </c>
      <c r="V2444" s="723">
        <v>0</v>
      </c>
      <c r="W2444" s="723">
        <v>0</v>
      </c>
      <c r="X2444" s="723">
        <v>0</v>
      </c>
      <c r="Y2444" s="723">
        <v>0</v>
      </c>
      <c r="Z2444" s="382" t="s">
        <v>773</v>
      </c>
      <c r="AA2444" s="372">
        <v>0</v>
      </c>
      <c r="AB2444" s="372">
        <v>0</v>
      </c>
      <c r="AC2444" s="372">
        <v>0</v>
      </c>
      <c r="AD2444" s="372">
        <v>0</v>
      </c>
      <c r="AE2444" s="372">
        <v>0</v>
      </c>
      <c r="AF2444" s="372">
        <v>0</v>
      </c>
      <c r="AG2444" s="372">
        <v>0</v>
      </c>
      <c r="AH2444" s="372">
        <v>0</v>
      </c>
    </row>
    <row r="2445" spans="1:34">
      <c r="A2445" s="372" t="s">
        <v>15506</v>
      </c>
      <c r="B2445" s="372" t="s">
        <v>15507</v>
      </c>
      <c r="C2445" s="372" t="s">
        <v>15508</v>
      </c>
      <c r="D2445" s="374">
        <v>1101113562570</v>
      </c>
      <c r="E2445" s="372" t="s">
        <v>15509</v>
      </c>
      <c r="F2445" s="372" t="s">
        <v>16101</v>
      </c>
      <c r="G2445" s="375" t="s">
        <v>16101</v>
      </c>
      <c r="H2445" s="375" t="s">
        <v>861</v>
      </c>
      <c r="I2445" s="375" t="s">
        <v>862</v>
      </c>
      <c r="J2445" s="375">
        <v>2495.8280399999999</v>
      </c>
      <c r="K2445" s="375">
        <v>-11366.905580000001</v>
      </c>
      <c r="L2445" s="375">
        <v>-15369.999110000001</v>
      </c>
      <c r="M2445" s="375">
        <v>2010.62473</v>
      </c>
      <c r="N2445" s="372">
        <v>8.5000000000000006E-2</v>
      </c>
      <c r="O2445" s="704">
        <v>40.606608927702702</v>
      </c>
      <c r="P2445" s="563" t="s">
        <v>622</v>
      </c>
      <c r="Q2445" s="372" t="s">
        <v>16116</v>
      </c>
      <c r="R2445" s="696">
        <v>20190920</v>
      </c>
      <c r="S2445" s="372" t="s">
        <v>15510</v>
      </c>
      <c r="T2445" s="697" t="s">
        <v>771</v>
      </c>
      <c r="U2445" s="372" t="s">
        <v>15511</v>
      </c>
      <c r="V2445" s="723">
        <v>0</v>
      </c>
      <c r="W2445" s="723">
        <v>0</v>
      </c>
      <c r="X2445" s="723">
        <v>0</v>
      </c>
      <c r="Y2445" s="723">
        <v>0</v>
      </c>
      <c r="Z2445" s="382" t="s">
        <v>927</v>
      </c>
      <c r="AA2445" s="372">
        <v>28.607191799999999</v>
      </c>
      <c r="AB2445" s="372">
        <v>8.5177662000000005</v>
      </c>
      <c r="AC2445" s="372">
        <v>22.960283499999999</v>
      </c>
      <c r="AD2445" s="372">
        <v>52.896063599999998</v>
      </c>
      <c r="AE2445" s="372">
        <v>0</v>
      </c>
      <c r="AF2445" s="372">
        <v>0</v>
      </c>
      <c r="AG2445" s="372">
        <v>0</v>
      </c>
      <c r="AH2445" s="372">
        <v>0</v>
      </c>
    </row>
    <row r="2446" spans="1:34">
      <c r="A2446" s="372" t="s">
        <v>15512</v>
      </c>
      <c r="B2446" s="372" t="s">
        <v>15513</v>
      </c>
      <c r="C2446" s="372" t="s">
        <v>15514</v>
      </c>
      <c r="D2446" s="374">
        <v>1101118051990</v>
      </c>
      <c r="E2446" s="372" t="s">
        <v>15515</v>
      </c>
      <c r="F2446" s="372" t="s">
        <v>1143</v>
      </c>
      <c r="G2446" s="375" t="s">
        <v>1144</v>
      </c>
      <c r="H2446" s="375" t="s">
        <v>895</v>
      </c>
      <c r="I2446" s="375" t="s">
        <v>862</v>
      </c>
      <c r="J2446" s="375">
        <v>0</v>
      </c>
      <c r="K2446" s="375">
        <v>-99.218350000000001</v>
      </c>
      <c r="L2446" s="375">
        <v>292.21573999999998</v>
      </c>
      <c r="M2446" s="375">
        <v>13874.73626</v>
      </c>
      <c r="N2446" s="372">
        <v>0.32300000000000001</v>
      </c>
      <c r="O2446" s="704">
        <v>8.7897396968753245</v>
      </c>
      <c r="P2446" s="563" t="s">
        <v>622</v>
      </c>
      <c r="Q2446" s="372" t="s">
        <v>622</v>
      </c>
      <c r="R2446" s="696">
        <v>20220225</v>
      </c>
      <c r="S2446" s="372" t="s">
        <v>9018</v>
      </c>
      <c r="T2446" s="697">
        <v>0.20900000000000002</v>
      </c>
      <c r="U2446" s="372">
        <v>0</v>
      </c>
      <c r="V2446" s="723">
        <v>0</v>
      </c>
      <c r="W2446" s="723">
        <v>0</v>
      </c>
      <c r="X2446" s="723">
        <v>0</v>
      </c>
      <c r="Y2446" s="723">
        <v>0</v>
      </c>
      <c r="Z2446" s="382" t="s">
        <v>773</v>
      </c>
      <c r="AA2446" s="372">
        <v>0</v>
      </c>
      <c r="AB2446" s="372">
        <v>0</v>
      </c>
      <c r="AC2446" s="372">
        <v>0</v>
      </c>
      <c r="AD2446" s="372">
        <v>0</v>
      </c>
      <c r="AE2446" s="372">
        <v>0</v>
      </c>
      <c r="AF2446" s="372">
        <v>0</v>
      </c>
      <c r="AG2446" s="372">
        <v>0</v>
      </c>
      <c r="AH2446" s="372">
        <v>0</v>
      </c>
    </row>
    <row r="2447" spans="1:34">
      <c r="A2447" s="372" t="s">
        <v>15516</v>
      </c>
      <c r="B2447" s="372" t="s">
        <v>15517</v>
      </c>
      <c r="C2447" s="372" t="s">
        <v>15518</v>
      </c>
      <c r="D2447" s="374">
        <v>1101118382428</v>
      </c>
      <c r="E2447" s="372" t="s">
        <v>15519</v>
      </c>
      <c r="F2447" s="372" t="s">
        <v>1143</v>
      </c>
      <c r="G2447" s="375" t="s">
        <v>1144</v>
      </c>
      <c r="H2447" s="375" t="s">
        <v>895</v>
      </c>
      <c r="I2447" s="375" t="s">
        <v>862</v>
      </c>
      <c r="J2447" s="375">
        <v>0</v>
      </c>
      <c r="K2447" s="375">
        <v>-61.34187</v>
      </c>
      <c r="L2447" s="375">
        <v>514.44785999999999</v>
      </c>
      <c r="M2447" s="375">
        <v>15046.52888</v>
      </c>
      <c r="N2447" s="372">
        <v>0.32900000000000001</v>
      </c>
      <c r="O2447" s="704">
        <v>3.7011599511599513</v>
      </c>
      <c r="P2447" s="563" t="s">
        <v>622</v>
      </c>
      <c r="Q2447" s="372" t="s">
        <v>622</v>
      </c>
      <c r="R2447" s="696">
        <v>20221216</v>
      </c>
      <c r="S2447" s="372" t="s">
        <v>1143</v>
      </c>
      <c r="T2447" s="697">
        <v>0.20900000000000002</v>
      </c>
      <c r="U2447" s="372">
        <v>0</v>
      </c>
      <c r="V2447" s="723">
        <v>0</v>
      </c>
      <c r="W2447" s="723">
        <v>0</v>
      </c>
      <c r="X2447" s="723">
        <v>0</v>
      </c>
      <c r="Y2447" s="723">
        <v>0</v>
      </c>
      <c r="Z2447" s="382" t="s">
        <v>773</v>
      </c>
      <c r="AA2447" s="372">
        <v>0</v>
      </c>
      <c r="AB2447" s="372">
        <v>0</v>
      </c>
      <c r="AC2447" s="372">
        <v>0</v>
      </c>
      <c r="AD2447" s="372">
        <v>0</v>
      </c>
      <c r="AE2447" s="372">
        <v>0</v>
      </c>
      <c r="AF2447" s="372">
        <v>0</v>
      </c>
      <c r="AG2447" s="372">
        <v>0</v>
      </c>
      <c r="AH2447" s="372">
        <v>0</v>
      </c>
    </row>
    <row r="2448" spans="1:34">
      <c r="A2448" s="372" t="s">
        <v>15520</v>
      </c>
      <c r="B2448" s="372" t="s">
        <v>15521</v>
      </c>
      <c r="C2448" s="372" t="s">
        <v>15522</v>
      </c>
      <c r="D2448" s="374">
        <v>1101118228987</v>
      </c>
      <c r="E2448" s="372" t="s">
        <v>15523</v>
      </c>
      <c r="F2448" s="372" t="s">
        <v>1143</v>
      </c>
      <c r="G2448" s="375" t="s">
        <v>1144</v>
      </c>
      <c r="H2448" s="375" t="s">
        <v>895</v>
      </c>
      <c r="I2448" s="375" t="s">
        <v>862</v>
      </c>
      <c r="J2448" s="375">
        <v>0</v>
      </c>
      <c r="K2448" s="375">
        <v>-91.67604</v>
      </c>
      <c r="L2448" s="375">
        <v>327.61518000000001</v>
      </c>
      <c r="M2448" s="375">
        <v>16066.073850000001</v>
      </c>
      <c r="N2448" s="372">
        <v>0.374</v>
      </c>
      <c r="O2448" s="704">
        <v>11.644677288425996</v>
      </c>
      <c r="P2448" s="563" t="s">
        <v>16115</v>
      </c>
      <c r="Q2448" s="372" t="s">
        <v>622</v>
      </c>
      <c r="R2448" s="696">
        <v>20220623</v>
      </c>
      <c r="S2448" s="372" t="s">
        <v>12468</v>
      </c>
      <c r="T2448" s="697">
        <v>0.20900000000000002</v>
      </c>
      <c r="U2448" s="372">
        <v>0</v>
      </c>
      <c r="V2448" s="723">
        <v>0</v>
      </c>
      <c r="W2448" s="723">
        <v>0</v>
      </c>
      <c r="X2448" s="723">
        <v>0</v>
      </c>
      <c r="Y2448" s="723">
        <v>0</v>
      </c>
      <c r="Z2448" s="382" t="s">
        <v>773</v>
      </c>
      <c r="AA2448" s="372">
        <v>0</v>
      </c>
      <c r="AB2448" s="372">
        <v>0</v>
      </c>
      <c r="AC2448" s="372">
        <v>0</v>
      </c>
      <c r="AD2448" s="372">
        <v>0</v>
      </c>
      <c r="AE2448" s="372">
        <v>0</v>
      </c>
      <c r="AF2448" s="372">
        <v>0</v>
      </c>
      <c r="AG2448" s="372">
        <v>0</v>
      </c>
      <c r="AH2448" s="372">
        <v>0</v>
      </c>
    </row>
    <row r="2449" spans="1:34">
      <c r="A2449" s="372" t="s">
        <v>15524</v>
      </c>
      <c r="B2449" s="372" t="s">
        <v>15525</v>
      </c>
      <c r="C2449" s="372" t="s">
        <v>15526</v>
      </c>
      <c r="D2449" s="374">
        <v>1101111905706</v>
      </c>
      <c r="E2449" s="372" t="s">
        <v>15527</v>
      </c>
      <c r="F2449" s="372" t="s">
        <v>4871</v>
      </c>
      <c r="G2449" s="375" t="s">
        <v>4871</v>
      </c>
      <c r="H2449" s="375" t="s">
        <v>861</v>
      </c>
      <c r="I2449" s="375" t="s">
        <v>862</v>
      </c>
      <c r="J2449" s="375">
        <v>3589.2279199999998</v>
      </c>
      <c r="K2449" s="375">
        <v>-7535.1240900000003</v>
      </c>
      <c r="L2449" s="375">
        <v>-11134.525869999999</v>
      </c>
      <c r="M2449" s="375">
        <v>4817.4203399999997</v>
      </c>
      <c r="N2449" s="372">
        <v>0.13600000000000001</v>
      </c>
      <c r="O2449" s="704">
        <v>43.937076710750333</v>
      </c>
      <c r="P2449" s="563" t="s">
        <v>16115</v>
      </c>
      <c r="Q2449" s="372" t="s">
        <v>16116</v>
      </c>
      <c r="R2449" s="696">
        <v>20120713</v>
      </c>
      <c r="S2449" s="372" t="s">
        <v>15528</v>
      </c>
      <c r="T2449" s="697" t="s">
        <v>771</v>
      </c>
      <c r="U2449" s="372" t="s">
        <v>15981</v>
      </c>
      <c r="V2449" s="723" t="s">
        <v>773</v>
      </c>
      <c r="W2449" s="723">
        <v>0.81</v>
      </c>
      <c r="X2449" s="723">
        <v>4.41</v>
      </c>
      <c r="Y2449" s="723" t="s">
        <v>773</v>
      </c>
      <c r="Z2449" s="382" t="s">
        <v>927</v>
      </c>
      <c r="AA2449" s="372">
        <v>330.84084990000002</v>
      </c>
      <c r="AB2449" s="372">
        <v>205.73550750000001</v>
      </c>
      <c r="AC2449" s="372">
        <v>149.5005591</v>
      </c>
      <c r="AD2449" s="372">
        <v>53.080142100000003</v>
      </c>
      <c r="AE2449" s="372">
        <v>0</v>
      </c>
      <c r="AF2449" s="372">
        <v>0</v>
      </c>
      <c r="AG2449" s="372">
        <v>0</v>
      </c>
      <c r="AH2449" s="372">
        <v>0</v>
      </c>
    </row>
    <row r="2450" spans="1:34">
      <c r="A2450" s="372" t="s">
        <v>15529</v>
      </c>
      <c r="B2450" s="372" t="s">
        <v>15530</v>
      </c>
      <c r="C2450" s="372" t="s">
        <v>15531</v>
      </c>
      <c r="D2450" s="374">
        <v>1101118282032</v>
      </c>
      <c r="E2450" s="372" t="s">
        <v>15532</v>
      </c>
      <c r="F2450" s="372" t="s">
        <v>1143</v>
      </c>
      <c r="G2450" s="375" t="s">
        <v>1144</v>
      </c>
      <c r="H2450" s="375" t="s">
        <v>895</v>
      </c>
      <c r="I2450" s="375" t="s">
        <v>862</v>
      </c>
      <c r="J2450" s="375">
        <v>0</v>
      </c>
      <c r="K2450" s="375">
        <v>-32.408940000000001</v>
      </c>
      <c r="L2450" s="375">
        <v>367.37745000000001</v>
      </c>
      <c r="M2450" s="375">
        <v>13637.581620000001</v>
      </c>
      <c r="N2450" s="372">
        <v>0.36199999999999999</v>
      </c>
      <c r="O2450" s="704">
        <v>12.251199936993205</v>
      </c>
      <c r="P2450" s="563" t="s">
        <v>622</v>
      </c>
      <c r="Q2450" s="372" t="s">
        <v>622</v>
      </c>
      <c r="R2450" s="696">
        <v>20220826</v>
      </c>
      <c r="S2450" s="372" t="s">
        <v>13395</v>
      </c>
      <c r="T2450" s="697">
        <v>0.20900000000000002</v>
      </c>
      <c r="U2450" s="372">
        <v>0</v>
      </c>
      <c r="V2450" s="723">
        <v>0</v>
      </c>
      <c r="W2450" s="723">
        <v>0</v>
      </c>
      <c r="X2450" s="723">
        <v>0</v>
      </c>
      <c r="Y2450" s="723">
        <v>0</v>
      </c>
      <c r="Z2450" s="382" t="s">
        <v>773</v>
      </c>
      <c r="AA2450" s="372">
        <v>0</v>
      </c>
      <c r="AB2450" s="372">
        <v>0</v>
      </c>
      <c r="AC2450" s="372">
        <v>0</v>
      </c>
      <c r="AD2450" s="372">
        <v>0</v>
      </c>
      <c r="AE2450" s="372">
        <v>0</v>
      </c>
      <c r="AF2450" s="372">
        <v>0</v>
      </c>
      <c r="AG2450" s="372">
        <v>0</v>
      </c>
      <c r="AH2450" s="372">
        <v>0</v>
      </c>
    </row>
    <row r="2451" spans="1:34">
      <c r="A2451" s="372" t="s">
        <v>15533</v>
      </c>
      <c r="B2451" s="372" t="s">
        <v>15534</v>
      </c>
      <c r="C2451" s="372" t="s">
        <v>15535</v>
      </c>
      <c r="D2451" s="374">
        <v>1101110881642</v>
      </c>
      <c r="E2451" s="372" t="s">
        <v>15536</v>
      </c>
      <c r="F2451" s="372" t="s">
        <v>4950</v>
      </c>
      <c r="G2451" s="375" t="s">
        <v>4950</v>
      </c>
      <c r="H2451" s="375" t="s">
        <v>968</v>
      </c>
      <c r="I2451" s="375" t="s">
        <v>754</v>
      </c>
      <c r="J2451" s="375">
        <v>78090.1348</v>
      </c>
      <c r="K2451" s="375">
        <v>-4176.0879400000003</v>
      </c>
      <c r="L2451" s="375">
        <v>-6903.2821899999999</v>
      </c>
      <c r="M2451" s="375">
        <v>8028.53964</v>
      </c>
      <c r="N2451" s="372">
        <v>1.0549999999999999</v>
      </c>
      <c r="O2451" s="704">
        <v>133.80333629910047</v>
      </c>
      <c r="P2451" s="563" t="s">
        <v>622</v>
      </c>
      <c r="Q2451" s="372" t="s">
        <v>622</v>
      </c>
      <c r="R2451" s="696">
        <v>20050804</v>
      </c>
      <c r="S2451" s="372" t="s">
        <v>15537</v>
      </c>
      <c r="T2451" s="697" t="s">
        <v>771</v>
      </c>
      <c r="U2451" s="372" t="s">
        <v>15538</v>
      </c>
      <c r="V2451" s="723" t="s">
        <v>773</v>
      </c>
      <c r="W2451" s="723">
        <v>0.47</v>
      </c>
      <c r="X2451" s="723">
        <v>0.04</v>
      </c>
      <c r="Y2451" s="723" t="s">
        <v>773</v>
      </c>
      <c r="Z2451" s="382" t="s">
        <v>927</v>
      </c>
      <c r="AA2451" s="372">
        <v>982.22937100000001</v>
      </c>
      <c r="AB2451" s="372">
        <v>1107.6978577</v>
      </c>
      <c r="AC2451" s="372">
        <v>978.86470710000003</v>
      </c>
      <c r="AD2451" s="372">
        <v>737.4619189</v>
      </c>
      <c r="AE2451" s="372">
        <v>0</v>
      </c>
      <c r="AF2451" s="372">
        <v>0</v>
      </c>
      <c r="AG2451" s="372">
        <v>0</v>
      </c>
      <c r="AH2451" s="372">
        <v>0</v>
      </c>
    </row>
    <row r="2452" spans="1:34">
      <c r="A2452" s="372" t="s">
        <v>15539</v>
      </c>
      <c r="B2452" s="372" t="s">
        <v>15540</v>
      </c>
      <c r="C2452" s="372" t="s">
        <v>15541</v>
      </c>
      <c r="D2452" s="374">
        <v>1101110141369</v>
      </c>
      <c r="E2452" s="372" t="s">
        <v>15542</v>
      </c>
      <c r="F2452" s="372" t="s">
        <v>15543</v>
      </c>
      <c r="G2452" s="375" t="s">
        <v>15543</v>
      </c>
      <c r="H2452" s="375" t="s">
        <v>1539</v>
      </c>
      <c r="I2452" s="375" t="s">
        <v>754</v>
      </c>
      <c r="J2452" s="375">
        <v>42916.879589999997</v>
      </c>
      <c r="K2452" s="375">
        <v>4198.7899699999998</v>
      </c>
      <c r="L2452" s="375">
        <v>3647.52313</v>
      </c>
      <c r="M2452" s="375">
        <v>5716.8603800000001</v>
      </c>
      <c r="N2452" s="372">
        <v>0.39400000000000002</v>
      </c>
      <c r="O2452" s="704">
        <v>123.8998353308542</v>
      </c>
      <c r="P2452" s="563" t="s">
        <v>622</v>
      </c>
      <c r="Q2452" s="372" t="s">
        <v>622</v>
      </c>
      <c r="R2452" s="696">
        <v>19940812</v>
      </c>
      <c r="S2452" s="372" t="s">
        <v>15544</v>
      </c>
      <c r="T2452" s="697">
        <v>0.20900000000000002</v>
      </c>
      <c r="U2452" s="372" t="s">
        <v>15545</v>
      </c>
      <c r="V2452" s="723">
        <v>7.99</v>
      </c>
      <c r="W2452" s="723">
        <v>2.71</v>
      </c>
      <c r="X2452" s="723">
        <v>0.38</v>
      </c>
      <c r="Y2452" s="723">
        <v>4.49</v>
      </c>
      <c r="Z2452" s="382" t="s">
        <v>927</v>
      </c>
      <c r="AA2452" s="372">
        <v>309.04918939999999</v>
      </c>
      <c r="AB2452" s="372">
        <v>305.23125950000002</v>
      </c>
      <c r="AC2452" s="372">
        <v>316.54086480000001</v>
      </c>
      <c r="AD2452" s="372">
        <v>325.7951855</v>
      </c>
      <c r="AE2452" s="372">
        <v>0</v>
      </c>
      <c r="AF2452" s="372">
        <v>0</v>
      </c>
      <c r="AG2452" s="372">
        <v>0</v>
      </c>
      <c r="AH2452" s="372">
        <v>0</v>
      </c>
    </row>
    <row r="2453" spans="1:34">
      <c r="A2453" s="372" t="s">
        <v>15546</v>
      </c>
      <c r="B2453" s="372" t="s">
        <v>15547</v>
      </c>
      <c r="C2453" s="372" t="s">
        <v>16299</v>
      </c>
      <c r="D2453" s="374">
        <v>1101111952567</v>
      </c>
      <c r="E2453" s="372" t="s">
        <v>16300</v>
      </c>
      <c r="F2453" s="372" t="s">
        <v>5600</v>
      </c>
      <c r="G2453" s="375" t="s">
        <v>5600</v>
      </c>
      <c r="H2453" s="375" t="s">
        <v>1531</v>
      </c>
      <c r="I2453" s="375" t="s">
        <v>862</v>
      </c>
      <c r="J2453" s="375">
        <v>24603.038570000001</v>
      </c>
      <c r="K2453" s="375">
        <v>-8834.64912</v>
      </c>
      <c r="L2453" s="375">
        <v>-11622.906139999999</v>
      </c>
      <c r="M2453" s="375">
        <v>89902.346009999994</v>
      </c>
      <c r="N2453" s="372">
        <v>1.02</v>
      </c>
      <c r="O2453" s="704">
        <v>14.076376132384768</v>
      </c>
      <c r="P2453" s="563" t="s">
        <v>622</v>
      </c>
      <c r="Q2453" s="372" t="s">
        <v>622</v>
      </c>
      <c r="R2453" s="696">
        <v>20060627</v>
      </c>
      <c r="S2453" s="372" t="s">
        <v>15548</v>
      </c>
      <c r="T2453" s="697" t="s">
        <v>771</v>
      </c>
      <c r="U2453" s="372" t="s">
        <v>15549</v>
      </c>
      <c r="V2453" s="723" t="s">
        <v>773</v>
      </c>
      <c r="W2453" s="723">
        <v>1.07</v>
      </c>
      <c r="X2453" s="723">
        <v>3.42</v>
      </c>
      <c r="Y2453" s="723" t="s">
        <v>773</v>
      </c>
      <c r="Z2453" s="382" t="s">
        <v>927</v>
      </c>
      <c r="AA2453" s="372">
        <v>209.68142130000001</v>
      </c>
      <c r="AB2453" s="372">
        <v>213.91218520000001</v>
      </c>
      <c r="AC2453" s="372">
        <v>189.66224249999999</v>
      </c>
      <c r="AD2453" s="372">
        <v>224.0190504</v>
      </c>
      <c r="AE2453" s="372">
        <v>0</v>
      </c>
      <c r="AF2453" s="372">
        <v>0</v>
      </c>
      <c r="AG2453" s="372">
        <v>0</v>
      </c>
      <c r="AH2453" s="372">
        <v>0</v>
      </c>
    </row>
    <row r="2454" spans="1:34">
      <c r="A2454" s="372" t="s">
        <v>15550</v>
      </c>
      <c r="B2454" s="372" t="s">
        <v>15551</v>
      </c>
      <c r="C2454" s="372" t="s">
        <v>15552</v>
      </c>
      <c r="D2454" s="374">
        <v>1101118203195</v>
      </c>
      <c r="E2454" s="372" t="s">
        <v>15553</v>
      </c>
      <c r="F2454" s="372" t="s">
        <v>1143</v>
      </c>
      <c r="G2454" s="375" t="s">
        <v>1144</v>
      </c>
      <c r="H2454" s="375" t="s">
        <v>895</v>
      </c>
      <c r="I2454" s="375" t="s">
        <v>862</v>
      </c>
      <c r="J2454" s="375">
        <v>0</v>
      </c>
      <c r="K2454" s="375">
        <v>-58.025640000000003</v>
      </c>
      <c r="L2454" s="375">
        <v>496.48644000000002</v>
      </c>
      <c r="M2454" s="375">
        <v>14031.34561</v>
      </c>
      <c r="N2454" s="372" t="s">
        <v>1026</v>
      </c>
      <c r="O2454" s="704">
        <v>10.427520269642644</v>
      </c>
      <c r="P2454" s="563" t="s">
        <v>622</v>
      </c>
      <c r="Q2454" s="372" t="s">
        <v>622</v>
      </c>
      <c r="R2454" s="696">
        <v>20220628</v>
      </c>
      <c r="S2454" s="372" t="s">
        <v>11492</v>
      </c>
      <c r="T2454" s="697">
        <v>0.20900000000000002</v>
      </c>
      <c r="U2454" s="372">
        <v>0</v>
      </c>
      <c r="V2454" s="723">
        <v>0</v>
      </c>
      <c r="W2454" s="723">
        <v>0</v>
      </c>
      <c r="X2454" s="723">
        <v>0</v>
      </c>
      <c r="Y2454" s="723">
        <v>0</v>
      </c>
      <c r="Z2454" s="382" t="s">
        <v>773</v>
      </c>
      <c r="AA2454" s="372">
        <v>0</v>
      </c>
      <c r="AB2454" s="372">
        <v>0</v>
      </c>
      <c r="AC2454" s="372">
        <v>0</v>
      </c>
      <c r="AD2454" s="372">
        <v>0</v>
      </c>
      <c r="AE2454" s="372">
        <v>0</v>
      </c>
      <c r="AF2454" s="372">
        <v>0</v>
      </c>
      <c r="AG2454" s="372">
        <v>0</v>
      </c>
      <c r="AH2454" s="372">
        <v>0</v>
      </c>
    </row>
    <row r="2455" spans="1:34">
      <c r="A2455" s="372" t="s">
        <v>15554</v>
      </c>
      <c r="B2455" s="372" t="s">
        <v>15555</v>
      </c>
      <c r="C2455" s="372" t="s">
        <v>15556</v>
      </c>
      <c r="D2455" s="374">
        <v>1101118606422</v>
      </c>
      <c r="E2455" s="372" t="s">
        <v>15557</v>
      </c>
      <c r="F2455" s="372" t="s">
        <v>1143</v>
      </c>
      <c r="G2455" s="375" t="s">
        <v>1144</v>
      </c>
      <c r="H2455" s="375" t="s">
        <v>895</v>
      </c>
      <c r="I2455" s="375" t="s">
        <v>862</v>
      </c>
      <c r="J2455" s="375">
        <v>0</v>
      </c>
      <c r="K2455" s="375">
        <v>-34.828270000000003</v>
      </c>
      <c r="L2455" s="375">
        <v>470.19675000000001</v>
      </c>
      <c r="M2455" s="375">
        <v>14051.043379999999</v>
      </c>
      <c r="N2455" s="372" t="s">
        <v>1026</v>
      </c>
      <c r="O2455" s="704">
        <v>6.584513789244852</v>
      </c>
      <c r="P2455" s="563" t="s">
        <v>16115</v>
      </c>
      <c r="Q2455" s="372" t="s">
        <v>622</v>
      </c>
      <c r="R2455" s="696">
        <v>20230830</v>
      </c>
      <c r="S2455" s="372" t="s">
        <v>5471</v>
      </c>
      <c r="T2455" s="697">
        <v>0.20900000000000002</v>
      </c>
      <c r="U2455" s="372">
        <v>0</v>
      </c>
      <c r="V2455" s="723">
        <v>0</v>
      </c>
      <c r="W2455" s="723">
        <v>0</v>
      </c>
      <c r="X2455" s="723">
        <v>0</v>
      </c>
      <c r="Y2455" s="723">
        <v>0</v>
      </c>
      <c r="Z2455" s="382" t="s">
        <v>773</v>
      </c>
      <c r="AA2455" s="372">
        <v>0</v>
      </c>
      <c r="AB2455" s="372">
        <v>0</v>
      </c>
      <c r="AC2455" s="372">
        <v>0</v>
      </c>
      <c r="AD2455" s="372">
        <v>0</v>
      </c>
      <c r="AE2455" s="372">
        <v>0</v>
      </c>
      <c r="AF2455" s="372">
        <v>0</v>
      </c>
      <c r="AG2455" s="372">
        <v>0</v>
      </c>
      <c r="AH2455" s="372">
        <v>0</v>
      </c>
    </row>
    <row r="2456" spans="1:34">
      <c r="A2456" s="372" t="s">
        <v>15558</v>
      </c>
      <c r="B2456" s="372" t="s">
        <v>15559</v>
      </c>
      <c r="C2456" s="372" t="s">
        <v>15560</v>
      </c>
      <c r="D2456" s="374">
        <v>1101117923934</v>
      </c>
      <c r="E2456" s="372" t="s">
        <v>15561</v>
      </c>
      <c r="F2456" s="372" t="s">
        <v>1143</v>
      </c>
      <c r="G2456" s="375" t="s">
        <v>1144</v>
      </c>
      <c r="H2456" s="375" t="s">
        <v>895</v>
      </c>
      <c r="I2456" s="375" t="s">
        <v>4413</v>
      </c>
      <c r="J2456" s="375">
        <v>0</v>
      </c>
      <c r="K2456" s="375">
        <v>0</v>
      </c>
      <c r="L2456" s="375">
        <v>0</v>
      </c>
      <c r="M2456" s="375">
        <v>0</v>
      </c>
      <c r="N2456" s="372" t="s">
        <v>1026</v>
      </c>
      <c r="O2456" s="704" t="s">
        <v>16301</v>
      </c>
      <c r="P2456" s="563" t="s">
        <v>622</v>
      </c>
      <c r="Q2456" s="372" t="s">
        <v>622</v>
      </c>
      <c r="R2456" s="696">
        <v>20210927</v>
      </c>
      <c r="S2456" s="372" t="e">
        <v>#N/A</v>
      </c>
      <c r="T2456" s="697" t="s">
        <v>771</v>
      </c>
      <c r="U2456" s="372">
        <v>0</v>
      </c>
      <c r="V2456" s="723">
        <v>0</v>
      </c>
      <c r="W2456" s="723">
        <v>0</v>
      </c>
      <c r="X2456" s="723">
        <v>0</v>
      </c>
      <c r="Y2456" s="723">
        <v>0</v>
      </c>
      <c r="Z2456" s="382" t="s">
        <v>773</v>
      </c>
      <c r="AA2456" s="372">
        <v>0</v>
      </c>
      <c r="AB2456" s="372">
        <v>0</v>
      </c>
      <c r="AC2456" s="372">
        <v>0</v>
      </c>
      <c r="AD2456" s="372">
        <v>0</v>
      </c>
      <c r="AE2456" s="372">
        <v>0</v>
      </c>
      <c r="AF2456" s="372">
        <v>0</v>
      </c>
      <c r="AG2456" s="372">
        <v>0</v>
      </c>
      <c r="AH2456" s="372">
        <v>0</v>
      </c>
    </row>
    <row r="2457" spans="1:34">
      <c r="A2457" s="372" t="s">
        <v>15562</v>
      </c>
      <c r="B2457" s="372" t="s">
        <v>15563</v>
      </c>
      <c r="C2457" s="372" t="s">
        <v>15564</v>
      </c>
      <c r="D2457" s="374">
        <v>1101118400014</v>
      </c>
      <c r="E2457" s="372" t="s">
        <v>15565</v>
      </c>
      <c r="F2457" s="372" t="s">
        <v>1143</v>
      </c>
      <c r="G2457" s="375" t="s">
        <v>1144</v>
      </c>
      <c r="H2457" s="375" t="s">
        <v>895</v>
      </c>
      <c r="I2457" s="375" t="s">
        <v>862</v>
      </c>
      <c r="J2457" s="375">
        <v>0</v>
      </c>
      <c r="K2457" s="375">
        <v>-37.05724</v>
      </c>
      <c r="L2457" s="375">
        <v>366.55549000000002</v>
      </c>
      <c r="M2457" s="375">
        <v>12827.599990000001</v>
      </c>
      <c r="N2457" s="372">
        <v>0.33400000000000002</v>
      </c>
      <c r="O2457" s="704">
        <v>5.2183425185955716</v>
      </c>
      <c r="P2457" s="563" t="s">
        <v>622</v>
      </c>
      <c r="Q2457" s="372" t="s">
        <v>622</v>
      </c>
      <c r="R2457" s="696">
        <v>20221205</v>
      </c>
      <c r="S2457" s="372" t="s">
        <v>5471</v>
      </c>
      <c r="T2457" s="697">
        <v>0.20900000000000002</v>
      </c>
      <c r="U2457" s="372">
        <v>0</v>
      </c>
      <c r="V2457" s="723">
        <v>0</v>
      </c>
      <c r="W2457" s="723">
        <v>0</v>
      </c>
      <c r="X2457" s="723">
        <v>0</v>
      </c>
      <c r="Y2457" s="723">
        <v>0</v>
      </c>
      <c r="Z2457" s="382" t="s">
        <v>773</v>
      </c>
      <c r="AA2457" s="372">
        <v>0</v>
      </c>
      <c r="AB2457" s="372">
        <v>0</v>
      </c>
      <c r="AC2457" s="372">
        <v>0</v>
      </c>
      <c r="AD2457" s="372">
        <v>0</v>
      </c>
      <c r="AE2457" s="372">
        <v>0</v>
      </c>
      <c r="AF2457" s="372">
        <v>0</v>
      </c>
      <c r="AG2457" s="372">
        <v>0</v>
      </c>
      <c r="AH2457" s="372">
        <v>0</v>
      </c>
    </row>
    <row r="2458" spans="1:34">
      <c r="A2458" s="372" t="s">
        <v>15566</v>
      </c>
      <c r="B2458" s="372" t="s">
        <v>15567</v>
      </c>
      <c r="C2458" s="372" t="s">
        <v>15568</v>
      </c>
      <c r="D2458" s="374">
        <v>1101118573704</v>
      </c>
      <c r="E2458" s="372" t="s">
        <v>15569</v>
      </c>
      <c r="F2458" s="372" t="s">
        <v>1143</v>
      </c>
      <c r="G2458" s="375" t="s">
        <v>1144</v>
      </c>
      <c r="H2458" s="375" t="s">
        <v>895</v>
      </c>
      <c r="I2458" s="375" t="s">
        <v>862</v>
      </c>
      <c r="J2458" s="375">
        <v>0</v>
      </c>
      <c r="K2458" s="375">
        <v>-14.4895</v>
      </c>
      <c r="L2458" s="375">
        <v>391.21456999999998</v>
      </c>
      <c r="M2458" s="375">
        <v>14159.08368</v>
      </c>
      <c r="N2458" s="372" t="s">
        <v>1026</v>
      </c>
      <c r="O2458" s="704">
        <v>17.049931929477584</v>
      </c>
      <c r="P2458" s="563" t="s">
        <v>622</v>
      </c>
      <c r="Q2458" s="372" t="s">
        <v>622</v>
      </c>
      <c r="R2458" s="696">
        <v>20230810</v>
      </c>
      <c r="S2458" s="372" t="s">
        <v>9018</v>
      </c>
      <c r="T2458" s="697">
        <v>0.20900000000000002</v>
      </c>
      <c r="U2458" s="372">
        <v>0</v>
      </c>
      <c r="V2458" s="723">
        <v>0</v>
      </c>
      <c r="W2458" s="723">
        <v>0</v>
      </c>
      <c r="X2458" s="723">
        <v>0</v>
      </c>
      <c r="Y2458" s="723">
        <v>0</v>
      </c>
      <c r="Z2458" s="382" t="s">
        <v>773</v>
      </c>
      <c r="AA2458" s="372">
        <v>0</v>
      </c>
      <c r="AB2458" s="372">
        <v>0</v>
      </c>
      <c r="AC2458" s="372">
        <v>0</v>
      </c>
      <c r="AD2458" s="372">
        <v>0</v>
      </c>
      <c r="AE2458" s="372">
        <v>0</v>
      </c>
      <c r="AF2458" s="372">
        <v>0</v>
      </c>
      <c r="AG2458" s="372">
        <v>0</v>
      </c>
      <c r="AH2458" s="372">
        <v>0</v>
      </c>
    </row>
    <row r="2459" spans="1:34">
      <c r="A2459" s="372" t="s">
        <v>15570</v>
      </c>
      <c r="B2459" s="372" t="s">
        <v>15571</v>
      </c>
      <c r="C2459" s="372" t="s">
        <v>16067</v>
      </c>
      <c r="D2459" s="374">
        <v>1101118112669</v>
      </c>
      <c r="E2459" s="372" t="s">
        <v>16097</v>
      </c>
      <c r="F2459" s="372" t="s">
        <v>2511</v>
      </c>
      <c r="G2459" s="375" t="s">
        <v>2511</v>
      </c>
      <c r="H2459" s="375" t="s">
        <v>861</v>
      </c>
      <c r="I2459" s="375" t="s">
        <v>862</v>
      </c>
      <c r="J2459" s="375">
        <v>0</v>
      </c>
      <c r="K2459" s="375">
        <v>0</v>
      </c>
      <c r="L2459" s="375">
        <v>0</v>
      </c>
      <c r="M2459" s="375">
        <v>46625.970020000001</v>
      </c>
      <c r="N2459" s="372">
        <v>0.26700000000000002</v>
      </c>
      <c r="O2459" s="704">
        <v>1.8160878912010485</v>
      </c>
      <c r="P2459" s="563" t="s">
        <v>622</v>
      </c>
      <c r="Q2459" s="372" t="s">
        <v>622</v>
      </c>
      <c r="R2459" s="696">
        <v>20220331</v>
      </c>
      <c r="S2459" s="372" t="s">
        <v>16140</v>
      </c>
      <c r="T2459" s="697" t="s">
        <v>771</v>
      </c>
      <c r="U2459" s="372" t="s">
        <v>16098</v>
      </c>
      <c r="V2459" s="723">
        <v>0</v>
      </c>
      <c r="W2459" s="723">
        <v>2.2999999999999998</v>
      </c>
      <c r="X2459" s="723">
        <v>0</v>
      </c>
      <c r="Y2459" s="723">
        <v>0</v>
      </c>
      <c r="Z2459" s="382" t="s">
        <v>927</v>
      </c>
      <c r="AA2459" s="372">
        <v>0</v>
      </c>
      <c r="AB2459" s="372">
        <v>189.59155340000001</v>
      </c>
      <c r="AC2459" s="372">
        <v>205.33054870000001</v>
      </c>
      <c r="AD2459" s="372">
        <v>219.50488669999999</v>
      </c>
      <c r="AE2459" s="372">
        <v>0</v>
      </c>
      <c r="AF2459" s="372">
        <v>0</v>
      </c>
      <c r="AG2459" s="372">
        <v>0</v>
      </c>
      <c r="AH2459" s="372">
        <v>0</v>
      </c>
    </row>
    <row r="2460" spans="1:34">
      <c r="A2460" s="372" t="s">
        <v>15572</v>
      </c>
      <c r="B2460" s="372" t="s">
        <v>15573</v>
      </c>
      <c r="C2460" s="372" t="s">
        <v>15574</v>
      </c>
      <c r="D2460" s="374">
        <v>1101118761630</v>
      </c>
      <c r="E2460" s="372" t="s">
        <v>15575</v>
      </c>
      <c r="F2460" s="372" t="s">
        <v>1143</v>
      </c>
      <c r="G2460" s="375" t="s">
        <v>1144</v>
      </c>
      <c r="H2460" s="375" t="s">
        <v>895</v>
      </c>
      <c r="I2460" s="375" t="s">
        <v>862</v>
      </c>
      <c r="J2460" s="375">
        <v>0</v>
      </c>
      <c r="K2460" s="375">
        <v>-53.483440000000002</v>
      </c>
      <c r="L2460" s="375">
        <v>296.22345999999999</v>
      </c>
      <c r="M2460" s="375">
        <v>14824.236629999999</v>
      </c>
      <c r="N2460" s="372" t="s">
        <v>1026</v>
      </c>
      <c r="O2460" s="704">
        <v>17.230325881224804</v>
      </c>
      <c r="P2460" s="563" t="s">
        <v>622</v>
      </c>
      <c r="Q2460" s="372" t="s">
        <v>622</v>
      </c>
      <c r="R2460" s="696">
        <v>20231222</v>
      </c>
      <c r="S2460" s="372" t="s">
        <v>9018</v>
      </c>
      <c r="T2460" s="697">
        <v>0.20900000000000002</v>
      </c>
      <c r="U2460" s="372">
        <v>0</v>
      </c>
      <c r="V2460" s="723">
        <v>0</v>
      </c>
      <c r="W2460" s="723">
        <v>0</v>
      </c>
      <c r="X2460" s="723">
        <v>0</v>
      </c>
      <c r="Y2460" s="723">
        <v>0</v>
      </c>
      <c r="Z2460" s="382" t="s">
        <v>773</v>
      </c>
      <c r="AA2460" s="372">
        <v>0</v>
      </c>
      <c r="AB2460" s="372">
        <v>0</v>
      </c>
      <c r="AC2460" s="372">
        <v>0</v>
      </c>
      <c r="AD2460" s="372">
        <v>0</v>
      </c>
      <c r="AE2460" s="372">
        <v>0</v>
      </c>
      <c r="AF2460" s="372">
        <v>0</v>
      </c>
      <c r="AG2460" s="372">
        <v>0</v>
      </c>
      <c r="AH2460" s="372">
        <v>0</v>
      </c>
    </row>
    <row r="2461" spans="1:34">
      <c r="A2461" s="372" t="s">
        <v>15576</v>
      </c>
      <c r="B2461" s="372" t="s">
        <v>15577</v>
      </c>
      <c r="C2461" s="372" t="s">
        <v>15578</v>
      </c>
      <c r="D2461" s="374">
        <v>1201110147422</v>
      </c>
      <c r="E2461" s="372" t="s">
        <v>15579</v>
      </c>
      <c r="F2461" s="372" t="s">
        <v>2007</v>
      </c>
      <c r="G2461" s="375" t="s">
        <v>2007</v>
      </c>
      <c r="H2461" s="375" t="s">
        <v>861</v>
      </c>
      <c r="I2461" s="375" t="s">
        <v>862</v>
      </c>
      <c r="J2461" s="375">
        <v>257199.83587000001</v>
      </c>
      <c r="K2461" s="375">
        <v>-33321.465609999999</v>
      </c>
      <c r="L2461" s="375">
        <v>65157.631099999999</v>
      </c>
      <c r="M2461" s="375">
        <v>106819.68366</v>
      </c>
      <c r="N2461" s="372">
        <v>0.89800000000000002</v>
      </c>
      <c r="O2461" s="704">
        <v>50.020782219196533</v>
      </c>
      <c r="P2461" s="563" t="s">
        <v>16115</v>
      </c>
      <c r="Q2461" s="372" t="s">
        <v>16116</v>
      </c>
      <c r="R2461" s="696">
        <v>20001221</v>
      </c>
      <c r="S2461" s="372" t="s">
        <v>15580</v>
      </c>
      <c r="T2461" s="697">
        <v>0.23100000000000001</v>
      </c>
      <c r="U2461" s="372" t="s">
        <v>15581</v>
      </c>
      <c r="V2461" s="723" t="s">
        <v>773</v>
      </c>
      <c r="W2461" s="723">
        <v>1.38</v>
      </c>
      <c r="X2461" s="723">
        <v>0.23</v>
      </c>
      <c r="Y2461" s="723">
        <v>0.82</v>
      </c>
      <c r="Z2461" s="382" t="s">
        <v>927</v>
      </c>
      <c r="AA2461" s="372">
        <v>1966.1166724</v>
      </c>
      <c r="AB2461" s="372">
        <v>2515.1017360999999</v>
      </c>
      <c r="AC2461" s="372">
        <v>3097.3821032000001</v>
      </c>
      <c r="AD2461" s="372">
        <v>2961.0953014000002</v>
      </c>
      <c r="AE2461" s="372">
        <v>0</v>
      </c>
      <c r="AF2461" s="372">
        <v>0</v>
      </c>
      <c r="AG2461" s="372">
        <v>0</v>
      </c>
      <c r="AH2461" s="372">
        <v>0</v>
      </c>
    </row>
    <row r="2462" spans="1:34">
      <c r="A2462" s="372" t="s">
        <v>15582</v>
      </c>
      <c r="B2462" s="372" t="s">
        <v>15583</v>
      </c>
      <c r="C2462" s="372" t="s">
        <v>15584</v>
      </c>
      <c r="D2462" s="374">
        <v>1101118337697</v>
      </c>
      <c r="E2462" s="372" t="s">
        <v>15585</v>
      </c>
      <c r="F2462" s="372" t="s">
        <v>1143</v>
      </c>
      <c r="G2462" s="375" t="s">
        <v>1144</v>
      </c>
      <c r="H2462" s="375" t="s">
        <v>895</v>
      </c>
      <c r="I2462" s="375" t="s">
        <v>4413</v>
      </c>
      <c r="J2462" s="375">
        <v>0</v>
      </c>
      <c r="K2462" s="375">
        <v>0</v>
      </c>
      <c r="L2462" s="375">
        <v>0</v>
      </c>
      <c r="M2462" s="375">
        <v>0</v>
      </c>
      <c r="N2462" s="372">
        <v>0.379</v>
      </c>
      <c r="O2462" s="704" t="s">
        <v>16301</v>
      </c>
      <c r="P2462" s="563" t="s">
        <v>622</v>
      </c>
      <c r="Q2462" s="372" t="s">
        <v>622</v>
      </c>
      <c r="R2462" s="696">
        <v>20221020</v>
      </c>
      <c r="S2462" s="372" t="e">
        <v>#N/A</v>
      </c>
      <c r="T2462" s="697" t="s">
        <v>771</v>
      </c>
      <c r="U2462" s="372">
        <v>0</v>
      </c>
      <c r="V2462" s="723">
        <v>0</v>
      </c>
      <c r="W2462" s="723">
        <v>0</v>
      </c>
      <c r="X2462" s="723">
        <v>0</v>
      </c>
      <c r="Y2462" s="723">
        <v>0</v>
      </c>
      <c r="Z2462" s="382" t="s">
        <v>773</v>
      </c>
      <c r="AA2462" s="372">
        <v>0</v>
      </c>
      <c r="AB2462" s="372">
        <v>0</v>
      </c>
      <c r="AC2462" s="372">
        <v>0</v>
      </c>
      <c r="AD2462" s="372">
        <v>0</v>
      </c>
      <c r="AE2462" s="372">
        <v>0</v>
      </c>
      <c r="AF2462" s="372">
        <v>0</v>
      </c>
      <c r="AG2462" s="372">
        <v>0</v>
      </c>
      <c r="AH2462" s="372">
        <v>0</v>
      </c>
    </row>
    <row r="2463" spans="1:34">
      <c r="A2463" s="372" t="s">
        <v>15586</v>
      </c>
      <c r="B2463" s="372" t="s">
        <v>15587</v>
      </c>
      <c r="C2463" s="372" t="s">
        <v>16326</v>
      </c>
      <c r="D2463" s="374">
        <v>1101118199592</v>
      </c>
      <c r="E2463" s="372" t="s">
        <v>15588</v>
      </c>
      <c r="F2463" s="372" t="s">
        <v>1143</v>
      </c>
      <c r="G2463" s="375" t="s">
        <v>1144</v>
      </c>
      <c r="H2463" s="375" t="s">
        <v>895</v>
      </c>
      <c r="I2463" s="375" t="s">
        <v>862</v>
      </c>
      <c r="J2463" s="375">
        <v>0</v>
      </c>
      <c r="K2463" s="375">
        <v>0</v>
      </c>
      <c r="L2463" s="375">
        <v>0</v>
      </c>
      <c r="M2463" s="375">
        <v>0</v>
      </c>
      <c r="N2463" s="372">
        <v>0.28899999999999998</v>
      </c>
      <c r="O2463" s="704" t="s">
        <v>16301</v>
      </c>
      <c r="P2463" s="563" t="s">
        <v>622</v>
      </c>
      <c r="Q2463" s="372" t="s">
        <v>622</v>
      </c>
      <c r="R2463" s="696">
        <v>20220624</v>
      </c>
      <c r="S2463" s="372" t="e">
        <v>#N/A</v>
      </c>
      <c r="T2463" s="697" t="s">
        <v>771</v>
      </c>
      <c r="U2463" s="372">
        <v>0</v>
      </c>
      <c r="V2463" s="723">
        <v>0</v>
      </c>
      <c r="W2463" s="723">
        <v>0</v>
      </c>
      <c r="X2463" s="723">
        <v>0</v>
      </c>
      <c r="Y2463" s="723">
        <v>0</v>
      </c>
      <c r="Z2463" s="382" t="s">
        <v>773</v>
      </c>
      <c r="AA2463" s="372">
        <v>0</v>
      </c>
      <c r="AB2463" s="372">
        <v>0</v>
      </c>
      <c r="AC2463" s="372">
        <v>0</v>
      </c>
      <c r="AD2463" s="372">
        <v>0</v>
      </c>
      <c r="AE2463" s="372">
        <v>0</v>
      </c>
      <c r="AF2463" s="372">
        <v>0</v>
      </c>
      <c r="AG2463" s="372">
        <v>0</v>
      </c>
      <c r="AH2463" s="372">
        <v>0</v>
      </c>
    </row>
    <row r="2464" spans="1:34">
      <c r="A2464" s="372" t="s">
        <v>15589</v>
      </c>
      <c r="B2464" s="372" t="s">
        <v>15590</v>
      </c>
      <c r="C2464" s="372" t="s">
        <v>15591</v>
      </c>
      <c r="D2464" s="374">
        <v>1101118103501</v>
      </c>
      <c r="E2464" s="372" t="s">
        <v>15592</v>
      </c>
      <c r="F2464" s="372" t="s">
        <v>1143</v>
      </c>
      <c r="G2464" s="375" t="s">
        <v>1144</v>
      </c>
      <c r="H2464" s="375" t="s">
        <v>895</v>
      </c>
      <c r="I2464" s="375" t="s">
        <v>862</v>
      </c>
      <c r="J2464" s="375">
        <v>0</v>
      </c>
      <c r="K2464" s="375">
        <v>-123.01409</v>
      </c>
      <c r="L2464" s="375">
        <v>276.54271999999997</v>
      </c>
      <c r="M2464" s="375">
        <v>12538.81819</v>
      </c>
      <c r="N2464" s="372">
        <v>0.35499999999999998</v>
      </c>
      <c r="O2464" s="704">
        <v>14.938957788265874</v>
      </c>
      <c r="P2464" s="563" t="s">
        <v>622</v>
      </c>
      <c r="Q2464" s="372" t="s">
        <v>622</v>
      </c>
      <c r="R2464" s="696">
        <v>20220421</v>
      </c>
      <c r="S2464" s="372" t="s">
        <v>9018</v>
      </c>
      <c r="T2464" s="697">
        <v>0.20900000000000002</v>
      </c>
      <c r="U2464" s="372">
        <v>0</v>
      </c>
      <c r="V2464" s="723">
        <v>0</v>
      </c>
      <c r="W2464" s="723">
        <v>0</v>
      </c>
      <c r="X2464" s="723">
        <v>0</v>
      </c>
      <c r="Y2464" s="723">
        <v>0</v>
      </c>
      <c r="Z2464" s="382" t="s">
        <v>773</v>
      </c>
      <c r="AA2464" s="372">
        <v>0</v>
      </c>
      <c r="AB2464" s="372">
        <v>0</v>
      </c>
      <c r="AC2464" s="372">
        <v>0</v>
      </c>
      <c r="AD2464" s="372">
        <v>0</v>
      </c>
      <c r="AE2464" s="372">
        <v>0</v>
      </c>
      <c r="AF2464" s="372">
        <v>0</v>
      </c>
      <c r="AG2464" s="372">
        <v>0</v>
      </c>
      <c r="AH2464" s="372">
        <v>0</v>
      </c>
    </row>
    <row r="2465" spans="1:34">
      <c r="A2465" s="372" t="s">
        <v>15593</v>
      </c>
      <c r="B2465" s="372" t="s">
        <v>15594</v>
      </c>
      <c r="C2465" s="372" t="s">
        <v>15595</v>
      </c>
      <c r="D2465" s="374">
        <v>1101118164959</v>
      </c>
      <c r="E2465" s="372" t="s">
        <v>15596</v>
      </c>
      <c r="F2465" s="372" t="s">
        <v>1143</v>
      </c>
      <c r="G2465" s="375" t="s">
        <v>1144</v>
      </c>
      <c r="H2465" s="375" t="s">
        <v>895</v>
      </c>
      <c r="I2465" s="375" t="s">
        <v>862</v>
      </c>
      <c r="J2465" s="375">
        <v>0</v>
      </c>
      <c r="K2465" s="375">
        <v>37.432960000000001</v>
      </c>
      <c r="L2465" s="375">
        <v>379.34476000000001</v>
      </c>
      <c r="M2465" s="375">
        <v>11491.83077</v>
      </c>
      <c r="N2465" s="372">
        <v>0.29899999999999999</v>
      </c>
      <c r="O2465" s="704">
        <v>8.1581765433678921</v>
      </c>
      <c r="P2465" s="563" t="s">
        <v>622</v>
      </c>
      <c r="Q2465" s="372" t="s">
        <v>622</v>
      </c>
      <c r="R2465" s="696">
        <v>20220526</v>
      </c>
      <c r="S2465" s="372" t="s">
        <v>9018</v>
      </c>
      <c r="T2465" s="697">
        <v>0.20900000000000002</v>
      </c>
      <c r="U2465" s="372">
        <v>0</v>
      </c>
      <c r="V2465" s="723">
        <v>0</v>
      </c>
      <c r="W2465" s="723">
        <v>0</v>
      </c>
      <c r="X2465" s="723">
        <v>0</v>
      </c>
      <c r="Y2465" s="723">
        <v>0</v>
      </c>
      <c r="Z2465" s="382" t="s">
        <v>773</v>
      </c>
      <c r="AA2465" s="372">
        <v>0</v>
      </c>
      <c r="AB2465" s="372">
        <v>0</v>
      </c>
      <c r="AC2465" s="372">
        <v>0</v>
      </c>
      <c r="AD2465" s="372">
        <v>0</v>
      </c>
      <c r="AE2465" s="372">
        <v>0</v>
      </c>
      <c r="AF2465" s="372">
        <v>0</v>
      </c>
      <c r="AG2465" s="372">
        <v>0</v>
      </c>
      <c r="AH2465" s="372">
        <v>0</v>
      </c>
    </row>
    <row r="2466" spans="1:34">
      <c r="A2466" s="372" t="s">
        <v>15597</v>
      </c>
      <c r="B2466" s="372" t="s">
        <v>15598</v>
      </c>
      <c r="C2466" s="372" t="s">
        <v>15599</v>
      </c>
      <c r="D2466" s="374">
        <v>1101118766820</v>
      </c>
      <c r="E2466" s="372" t="s">
        <v>15600</v>
      </c>
      <c r="F2466" s="372" t="s">
        <v>1143</v>
      </c>
      <c r="G2466" s="375" t="s">
        <v>1144</v>
      </c>
      <c r="H2466" s="375" t="s">
        <v>895</v>
      </c>
      <c r="I2466" s="375" t="s">
        <v>862</v>
      </c>
      <c r="J2466" s="375">
        <v>0</v>
      </c>
      <c r="K2466" s="375">
        <v>-76.652450000000002</v>
      </c>
      <c r="L2466" s="375">
        <v>113.53064000000001</v>
      </c>
      <c r="M2466" s="375">
        <v>11852.961010000001</v>
      </c>
      <c r="N2466" s="372" t="s">
        <v>1026</v>
      </c>
      <c r="O2466" s="704">
        <v>7.8182959140984529</v>
      </c>
      <c r="P2466" s="563" t="s">
        <v>622</v>
      </c>
      <c r="Q2466" s="372" t="s">
        <v>622</v>
      </c>
      <c r="R2466" s="696">
        <v>20240124</v>
      </c>
      <c r="S2466" s="372" t="s">
        <v>5471</v>
      </c>
      <c r="T2466" s="697">
        <v>9.9000000000000005E-2</v>
      </c>
      <c r="U2466" s="372">
        <v>0</v>
      </c>
      <c r="V2466" s="723">
        <v>0</v>
      </c>
      <c r="W2466" s="723">
        <v>0</v>
      </c>
      <c r="X2466" s="723">
        <v>0</v>
      </c>
      <c r="Y2466" s="723">
        <v>0</v>
      </c>
      <c r="Z2466" s="382" t="s">
        <v>773</v>
      </c>
      <c r="AA2466" s="372">
        <v>0</v>
      </c>
      <c r="AB2466" s="372">
        <v>0</v>
      </c>
      <c r="AC2466" s="372">
        <v>0</v>
      </c>
      <c r="AD2466" s="372">
        <v>0</v>
      </c>
      <c r="AE2466" s="372">
        <v>0</v>
      </c>
      <c r="AF2466" s="372">
        <v>0</v>
      </c>
      <c r="AG2466" s="372">
        <v>0</v>
      </c>
      <c r="AH2466" s="372">
        <v>0</v>
      </c>
    </row>
    <row r="2467" spans="1:34">
      <c r="A2467" s="372" t="s">
        <v>15601</v>
      </c>
      <c r="B2467" s="372" t="s">
        <v>15602</v>
      </c>
      <c r="C2467" s="372" t="s">
        <v>15603</v>
      </c>
      <c r="D2467" s="374">
        <v>1101118442818</v>
      </c>
      <c r="E2467" s="372" t="s">
        <v>15604</v>
      </c>
      <c r="F2467" s="372" t="s">
        <v>1143</v>
      </c>
      <c r="G2467" s="375" t="s">
        <v>1144</v>
      </c>
      <c r="H2467" s="375" t="s">
        <v>895</v>
      </c>
      <c r="I2467" s="375" t="s">
        <v>862</v>
      </c>
      <c r="J2467" s="375">
        <v>0</v>
      </c>
      <c r="K2467" s="375">
        <v>-34.1571</v>
      </c>
      <c r="L2467" s="375">
        <v>300.02963</v>
      </c>
      <c r="M2467" s="375">
        <v>12019.243259999999</v>
      </c>
      <c r="N2467" s="372" t="s">
        <v>1026</v>
      </c>
      <c r="O2467" s="704">
        <v>12.951214195065363</v>
      </c>
      <c r="P2467" s="563" t="s">
        <v>622</v>
      </c>
      <c r="Q2467" s="372" t="s">
        <v>622</v>
      </c>
      <c r="R2467" s="696">
        <v>20230307</v>
      </c>
      <c r="S2467" s="372" t="s">
        <v>9018</v>
      </c>
      <c r="T2467" s="697">
        <v>0.20900000000000002</v>
      </c>
      <c r="U2467" s="372">
        <v>0</v>
      </c>
      <c r="V2467" s="723">
        <v>0</v>
      </c>
      <c r="W2467" s="723">
        <v>0</v>
      </c>
      <c r="X2467" s="723">
        <v>0</v>
      </c>
      <c r="Y2467" s="723">
        <v>0</v>
      </c>
      <c r="Z2467" s="382" t="s">
        <v>773</v>
      </c>
      <c r="AA2467" s="372">
        <v>0</v>
      </c>
      <c r="AB2467" s="372">
        <v>0</v>
      </c>
      <c r="AC2467" s="372">
        <v>0</v>
      </c>
      <c r="AD2467" s="372">
        <v>0</v>
      </c>
      <c r="AE2467" s="372">
        <v>0</v>
      </c>
      <c r="AF2467" s="372">
        <v>0</v>
      </c>
      <c r="AG2467" s="372">
        <v>0</v>
      </c>
      <c r="AH2467" s="372">
        <v>0</v>
      </c>
    </row>
    <row r="2468" spans="1:34">
      <c r="A2468" s="372" t="s">
        <v>15605</v>
      </c>
      <c r="B2468" s="372" t="s">
        <v>15606</v>
      </c>
      <c r="C2468" s="372" t="s">
        <v>16327</v>
      </c>
      <c r="D2468" s="374">
        <v>1101118357934</v>
      </c>
      <c r="E2468" s="372" t="s">
        <v>15607</v>
      </c>
      <c r="F2468" s="372" t="s">
        <v>1143</v>
      </c>
      <c r="G2468" s="375" t="s">
        <v>1144</v>
      </c>
      <c r="H2468" s="375" t="s">
        <v>895</v>
      </c>
      <c r="I2468" s="375" t="s">
        <v>862</v>
      </c>
      <c r="J2468" s="375">
        <v>0</v>
      </c>
      <c r="K2468" s="375">
        <v>-113.34842</v>
      </c>
      <c r="L2468" s="375">
        <v>247.6765</v>
      </c>
      <c r="M2468" s="375">
        <v>11154.13607</v>
      </c>
      <c r="N2468" s="372">
        <v>0.41199999999999998</v>
      </c>
      <c r="O2468" s="704">
        <v>6.5127482609820166</v>
      </c>
      <c r="P2468" s="563" t="s">
        <v>622</v>
      </c>
      <c r="Q2468" s="372" t="s">
        <v>622</v>
      </c>
      <c r="R2468" s="696">
        <v>20221128</v>
      </c>
      <c r="S2468" s="372" t="e">
        <v>#N/A</v>
      </c>
      <c r="T2468" s="697">
        <v>0.20900000000000002</v>
      </c>
      <c r="U2468" s="372">
        <v>0</v>
      </c>
      <c r="V2468" s="723">
        <v>0</v>
      </c>
      <c r="W2468" s="723">
        <v>0</v>
      </c>
      <c r="X2468" s="723">
        <v>0</v>
      </c>
      <c r="Y2468" s="723">
        <v>0</v>
      </c>
      <c r="Z2468" s="382" t="s">
        <v>773</v>
      </c>
      <c r="AA2468" s="372">
        <v>0</v>
      </c>
      <c r="AB2468" s="372">
        <v>0</v>
      </c>
      <c r="AC2468" s="372">
        <v>0</v>
      </c>
      <c r="AD2468" s="372">
        <v>0</v>
      </c>
      <c r="AE2468" s="372">
        <v>0</v>
      </c>
      <c r="AF2468" s="372">
        <v>0</v>
      </c>
      <c r="AG2468" s="372">
        <v>0</v>
      </c>
      <c r="AH2468" s="372">
        <v>0</v>
      </c>
    </row>
    <row r="2469" spans="1:34">
      <c r="A2469" s="372" t="s">
        <v>15608</v>
      </c>
      <c r="B2469" s="372" t="s">
        <v>15609</v>
      </c>
      <c r="C2469" s="372" t="s">
        <v>15610</v>
      </c>
      <c r="D2469" s="374">
        <v>1101118237201</v>
      </c>
      <c r="E2469" s="372" t="s">
        <v>15611</v>
      </c>
      <c r="F2469" s="372" t="s">
        <v>1143</v>
      </c>
      <c r="G2469" s="375" t="s">
        <v>1144</v>
      </c>
      <c r="H2469" s="375" t="s">
        <v>895</v>
      </c>
      <c r="I2469" s="375" t="s">
        <v>862</v>
      </c>
      <c r="J2469" s="375">
        <v>0</v>
      </c>
      <c r="K2469" s="375">
        <v>-62.710039999999999</v>
      </c>
      <c r="L2469" s="375">
        <v>290.28325000000001</v>
      </c>
      <c r="M2469" s="375">
        <v>10971.294320000001</v>
      </c>
      <c r="N2469" s="372">
        <v>0.49</v>
      </c>
      <c r="O2469" s="704">
        <v>11.619932663385288</v>
      </c>
      <c r="P2469" s="563" t="s">
        <v>622</v>
      </c>
      <c r="Q2469" s="372" t="s">
        <v>622</v>
      </c>
      <c r="R2469" s="696">
        <v>20220630</v>
      </c>
      <c r="S2469" s="372" t="s">
        <v>9018</v>
      </c>
      <c r="T2469" s="697">
        <v>0.20900000000000002</v>
      </c>
      <c r="U2469" s="372">
        <v>0</v>
      </c>
      <c r="V2469" s="723">
        <v>0</v>
      </c>
      <c r="W2469" s="723">
        <v>0</v>
      </c>
      <c r="X2469" s="723">
        <v>0</v>
      </c>
      <c r="Y2469" s="723">
        <v>0</v>
      </c>
      <c r="Z2469" s="382" t="s">
        <v>773</v>
      </c>
      <c r="AA2469" s="372">
        <v>0</v>
      </c>
      <c r="AB2469" s="372">
        <v>0</v>
      </c>
      <c r="AC2469" s="372">
        <v>0</v>
      </c>
      <c r="AD2469" s="372">
        <v>0</v>
      </c>
      <c r="AE2469" s="372">
        <v>0</v>
      </c>
      <c r="AF2469" s="372">
        <v>0</v>
      </c>
      <c r="AG2469" s="372">
        <v>0</v>
      </c>
      <c r="AH2469" s="372">
        <v>0</v>
      </c>
    </row>
    <row r="2470" spans="1:34">
      <c r="A2470" s="372" t="s">
        <v>15612</v>
      </c>
      <c r="B2470" s="372" t="s">
        <v>15613</v>
      </c>
      <c r="C2470" s="372" t="s">
        <v>15614</v>
      </c>
      <c r="D2470" s="374">
        <v>1101118282602</v>
      </c>
      <c r="E2470" s="372" t="s">
        <v>15615</v>
      </c>
      <c r="F2470" s="372" t="s">
        <v>1143</v>
      </c>
      <c r="G2470" s="375" t="s">
        <v>1144</v>
      </c>
      <c r="H2470" s="375" t="s">
        <v>895</v>
      </c>
      <c r="I2470" s="375" t="s">
        <v>862</v>
      </c>
      <c r="J2470" s="375">
        <v>0</v>
      </c>
      <c r="K2470" s="375">
        <v>-63.311210000000003</v>
      </c>
      <c r="L2470" s="375">
        <v>297.77328</v>
      </c>
      <c r="M2470" s="375">
        <v>11417.664500000001</v>
      </c>
      <c r="N2470" s="372">
        <v>0.36599999999999999</v>
      </c>
      <c r="O2470" s="704">
        <v>7.6853383103383104</v>
      </c>
      <c r="P2470" s="563" t="s">
        <v>622</v>
      </c>
      <c r="Q2470" s="372" t="s">
        <v>622</v>
      </c>
      <c r="R2470" s="696">
        <v>20220929</v>
      </c>
      <c r="S2470" s="372" t="s">
        <v>14108</v>
      </c>
      <c r="T2470" s="697">
        <v>0.20900000000000002</v>
      </c>
      <c r="U2470" s="372">
        <v>0</v>
      </c>
      <c r="V2470" s="723">
        <v>0</v>
      </c>
      <c r="W2470" s="723">
        <v>0</v>
      </c>
      <c r="X2470" s="723">
        <v>0</v>
      </c>
      <c r="Y2470" s="723">
        <v>0</v>
      </c>
      <c r="Z2470" s="382" t="s">
        <v>773</v>
      </c>
      <c r="AA2470" s="372">
        <v>0</v>
      </c>
      <c r="AB2470" s="372">
        <v>0</v>
      </c>
      <c r="AC2470" s="372">
        <v>0</v>
      </c>
      <c r="AD2470" s="372">
        <v>0</v>
      </c>
      <c r="AE2470" s="372">
        <v>0</v>
      </c>
      <c r="AF2470" s="372">
        <v>0</v>
      </c>
      <c r="AG2470" s="372">
        <v>0</v>
      </c>
      <c r="AH2470" s="372">
        <v>0</v>
      </c>
    </row>
    <row r="2471" spans="1:34">
      <c r="A2471" s="372" t="s">
        <v>15616</v>
      </c>
      <c r="B2471" s="372" t="s">
        <v>15617</v>
      </c>
      <c r="C2471" s="372" t="s">
        <v>15618</v>
      </c>
      <c r="D2471" s="374">
        <v>1101118599833</v>
      </c>
      <c r="E2471" s="372" t="s">
        <v>15619</v>
      </c>
      <c r="F2471" s="372" t="s">
        <v>1143</v>
      </c>
      <c r="G2471" s="375" t="s">
        <v>1144</v>
      </c>
      <c r="H2471" s="375" t="s">
        <v>895</v>
      </c>
      <c r="I2471" s="375" t="s">
        <v>862</v>
      </c>
      <c r="J2471" s="375">
        <v>0</v>
      </c>
      <c r="K2471" s="375">
        <v>-29.32076</v>
      </c>
      <c r="L2471" s="375">
        <v>411.84438</v>
      </c>
      <c r="M2471" s="375">
        <v>10667.936079999999</v>
      </c>
      <c r="N2471" s="372" t="s">
        <v>1026</v>
      </c>
      <c r="O2471" s="704">
        <v>11.904074100875606</v>
      </c>
      <c r="P2471" s="563" t="s">
        <v>16115</v>
      </c>
      <c r="Q2471" s="372" t="s">
        <v>622</v>
      </c>
      <c r="R2471" s="696">
        <v>20230712</v>
      </c>
      <c r="S2471" s="372" t="s">
        <v>15445</v>
      </c>
      <c r="T2471" s="697">
        <v>0.20900000000000002</v>
      </c>
      <c r="U2471" s="372">
        <v>0</v>
      </c>
      <c r="V2471" s="723">
        <v>0</v>
      </c>
      <c r="W2471" s="723">
        <v>0</v>
      </c>
      <c r="X2471" s="723">
        <v>0</v>
      </c>
      <c r="Y2471" s="723">
        <v>0</v>
      </c>
      <c r="Z2471" s="382" t="s">
        <v>773</v>
      </c>
      <c r="AA2471" s="372">
        <v>0</v>
      </c>
      <c r="AB2471" s="372">
        <v>0</v>
      </c>
      <c r="AC2471" s="372">
        <v>0</v>
      </c>
      <c r="AD2471" s="372">
        <v>0</v>
      </c>
      <c r="AE2471" s="372">
        <v>0</v>
      </c>
      <c r="AF2471" s="372">
        <v>0</v>
      </c>
      <c r="AG2471" s="372">
        <v>0</v>
      </c>
      <c r="AH2471" s="372">
        <v>0</v>
      </c>
    </row>
    <row r="2472" spans="1:34">
      <c r="A2472" s="372" t="s">
        <v>15620</v>
      </c>
      <c r="B2472" s="372" t="s">
        <v>15621</v>
      </c>
      <c r="C2472" s="372" t="s">
        <v>15622</v>
      </c>
      <c r="D2472" s="374">
        <v>1101117885499</v>
      </c>
      <c r="E2472" s="372" t="s">
        <v>15623</v>
      </c>
      <c r="F2472" s="372" t="s">
        <v>1143</v>
      </c>
      <c r="G2472" s="375" t="s">
        <v>1144</v>
      </c>
      <c r="H2472" s="375" t="s">
        <v>895</v>
      </c>
      <c r="I2472" s="375" t="s">
        <v>4413</v>
      </c>
      <c r="J2472" s="375">
        <v>0</v>
      </c>
      <c r="K2472" s="375">
        <v>0</v>
      </c>
      <c r="L2472" s="375">
        <v>0</v>
      </c>
      <c r="M2472" s="375">
        <v>0</v>
      </c>
      <c r="N2472" s="372" t="s">
        <v>1026</v>
      </c>
      <c r="O2472" s="704" t="s">
        <v>16301</v>
      </c>
      <c r="P2472" s="563" t="s">
        <v>622</v>
      </c>
      <c r="Q2472" s="372" t="s">
        <v>622</v>
      </c>
      <c r="R2472" s="696">
        <v>20210913</v>
      </c>
      <c r="S2472" s="372" t="e">
        <v>#N/A</v>
      </c>
      <c r="T2472" s="697" t="s">
        <v>771</v>
      </c>
      <c r="U2472" s="372">
        <v>0</v>
      </c>
      <c r="V2472" s="723">
        <v>0</v>
      </c>
      <c r="W2472" s="723">
        <v>0</v>
      </c>
      <c r="X2472" s="723">
        <v>0</v>
      </c>
      <c r="Y2472" s="723">
        <v>0</v>
      </c>
      <c r="Z2472" s="382" t="s">
        <v>773</v>
      </c>
      <c r="AA2472" s="372">
        <v>0</v>
      </c>
      <c r="AB2472" s="372">
        <v>0</v>
      </c>
      <c r="AC2472" s="372">
        <v>0</v>
      </c>
      <c r="AD2472" s="372">
        <v>0</v>
      </c>
      <c r="AE2472" s="372">
        <v>0</v>
      </c>
      <c r="AF2472" s="372">
        <v>0</v>
      </c>
      <c r="AG2472" s="372">
        <v>0</v>
      </c>
      <c r="AH2472" s="372">
        <v>0</v>
      </c>
    </row>
    <row r="2473" spans="1:34">
      <c r="A2473" s="372" t="s">
        <v>15624</v>
      </c>
      <c r="B2473" s="372" t="s">
        <v>15625</v>
      </c>
      <c r="C2473" s="372" t="s">
        <v>15626</v>
      </c>
      <c r="D2473" s="374">
        <v>1101118444707</v>
      </c>
      <c r="E2473" s="372" t="s">
        <v>15627</v>
      </c>
      <c r="F2473" s="372" t="s">
        <v>1143</v>
      </c>
      <c r="G2473" s="375" t="s">
        <v>1144</v>
      </c>
      <c r="H2473" s="375" t="s">
        <v>895</v>
      </c>
      <c r="I2473" s="375" t="s">
        <v>862</v>
      </c>
      <c r="J2473" s="375">
        <v>0</v>
      </c>
      <c r="K2473" s="375">
        <v>-17.638110000000001</v>
      </c>
      <c r="L2473" s="375">
        <v>274.09379999999999</v>
      </c>
      <c r="M2473" s="375">
        <v>11214.733099999999</v>
      </c>
      <c r="N2473" s="372" t="s">
        <v>1026</v>
      </c>
      <c r="O2473" s="704">
        <v>6.8682937843231509</v>
      </c>
      <c r="P2473" s="563" t="s">
        <v>622</v>
      </c>
      <c r="Q2473" s="372" t="s">
        <v>622</v>
      </c>
      <c r="R2473" s="696">
        <v>20230517</v>
      </c>
      <c r="S2473" s="372" t="s">
        <v>13413</v>
      </c>
      <c r="T2473" s="697">
        <v>0.20900000000000002</v>
      </c>
      <c r="U2473" s="372">
        <v>0</v>
      </c>
      <c r="V2473" s="723">
        <v>0</v>
      </c>
      <c r="W2473" s="723">
        <v>0</v>
      </c>
      <c r="X2473" s="723">
        <v>0</v>
      </c>
      <c r="Y2473" s="723">
        <v>0</v>
      </c>
      <c r="Z2473" s="382" t="s">
        <v>773</v>
      </c>
      <c r="AA2473" s="372">
        <v>0</v>
      </c>
      <c r="AB2473" s="372">
        <v>0</v>
      </c>
      <c r="AC2473" s="372">
        <v>0</v>
      </c>
      <c r="AD2473" s="372">
        <v>0</v>
      </c>
      <c r="AE2473" s="372">
        <v>0</v>
      </c>
      <c r="AF2473" s="372">
        <v>0</v>
      </c>
      <c r="AG2473" s="372">
        <v>0</v>
      </c>
      <c r="AH2473" s="372">
        <v>0</v>
      </c>
    </row>
    <row r="2474" spans="1:34">
      <c r="A2474" s="372" t="s">
        <v>15628</v>
      </c>
      <c r="B2474" s="372" t="s">
        <v>15629</v>
      </c>
      <c r="C2474" s="372" t="s">
        <v>15630</v>
      </c>
      <c r="D2474" s="374">
        <v>1101118325329</v>
      </c>
      <c r="E2474" s="372" t="s">
        <v>15631</v>
      </c>
      <c r="F2474" s="372" t="s">
        <v>1143</v>
      </c>
      <c r="G2474" s="375" t="s">
        <v>1144</v>
      </c>
      <c r="H2474" s="375" t="s">
        <v>895</v>
      </c>
      <c r="I2474" s="375" t="s">
        <v>862</v>
      </c>
      <c r="J2474" s="375">
        <v>0</v>
      </c>
      <c r="K2474" s="375">
        <v>-45.20355</v>
      </c>
      <c r="L2474" s="375">
        <v>385.29718000000003</v>
      </c>
      <c r="M2474" s="375">
        <v>11914.22848</v>
      </c>
      <c r="N2474" s="372">
        <v>0.35</v>
      </c>
      <c r="O2474" s="704">
        <v>12.972911813088169</v>
      </c>
      <c r="P2474" s="563" t="s">
        <v>622</v>
      </c>
      <c r="Q2474" s="372" t="s">
        <v>622</v>
      </c>
      <c r="R2474" s="696">
        <v>20221006</v>
      </c>
      <c r="S2474" s="372" t="s">
        <v>12468</v>
      </c>
      <c r="T2474" s="697">
        <v>0.20900000000000002</v>
      </c>
      <c r="U2474" s="372">
        <v>0</v>
      </c>
      <c r="V2474" s="723">
        <v>0</v>
      </c>
      <c r="W2474" s="723">
        <v>0</v>
      </c>
      <c r="X2474" s="723">
        <v>0</v>
      </c>
      <c r="Y2474" s="723">
        <v>0</v>
      </c>
      <c r="Z2474" s="382" t="s">
        <v>773</v>
      </c>
      <c r="AA2474" s="372">
        <v>0</v>
      </c>
      <c r="AB2474" s="372">
        <v>0</v>
      </c>
      <c r="AC2474" s="372">
        <v>0</v>
      </c>
      <c r="AD2474" s="372">
        <v>0</v>
      </c>
      <c r="AE2474" s="372">
        <v>0</v>
      </c>
      <c r="AF2474" s="372">
        <v>0</v>
      </c>
      <c r="AG2474" s="372">
        <v>0</v>
      </c>
      <c r="AH2474" s="372">
        <v>0</v>
      </c>
    </row>
    <row r="2475" spans="1:34">
      <c r="A2475" s="372" t="s">
        <v>15632</v>
      </c>
      <c r="B2475" s="372" t="s">
        <v>15633</v>
      </c>
      <c r="C2475" s="372" t="s">
        <v>15634</v>
      </c>
      <c r="D2475" s="374">
        <v>1101118431035</v>
      </c>
      <c r="E2475" s="372" t="s">
        <v>15635</v>
      </c>
      <c r="F2475" s="372" t="s">
        <v>1143</v>
      </c>
      <c r="G2475" s="375" t="s">
        <v>1144</v>
      </c>
      <c r="H2475" s="375" t="s">
        <v>895</v>
      </c>
      <c r="I2475" s="375" t="s">
        <v>862</v>
      </c>
      <c r="J2475" s="375">
        <v>0</v>
      </c>
      <c r="K2475" s="375">
        <v>-30.290790000000001</v>
      </c>
      <c r="L2475" s="375">
        <v>286.98547000000002</v>
      </c>
      <c r="M2475" s="375">
        <v>11175.76102</v>
      </c>
      <c r="N2475" s="372">
        <v>0.3</v>
      </c>
      <c r="O2475" s="704">
        <v>14.381186447897502</v>
      </c>
      <c r="P2475" s="563" t="s">
        <v>622</v>
      </c>
      <c r="Q2475" s="372" t="s">
        <v>622</v>
      </c>
      <c r="R2475" s="696">
        <v>20221227</v>
      </c>
      <c r="S2475" s="372" t="s">
        <v>13395</v>
      </c>
      <c r="T2475" s="697">
        <v>0.20900000000000002</v>
      </c>
      <c r="U2475" s="372">
        <v>0</v>
      </c>
      <c r="V2475" s="723">
        <v>0</v>
      </c>
      <c r="W2475" s="723">
        <v>0</v>
      </c>
      <c r="X2475" s="723">
        <v>0</v>
      </c>
      <c r="Y2475" s="723">
        <v>0</v>
      </c>
      <c r="Z2475" s="382" t="s">
        <v>773</v>
      </c>
      <c r="AA2475" s="372">
        <v>0</v>
      </c>
      <c r="AB2475" s="372">
        <v>0</v>
      </c>
      <c r="AC2475" s="372">
        <v>0</v>
      </c>
      <c r="AD2475" s="372">
        <v>0</v>
      </c>
      <c r="AE2475" s="372">
        <v>0</v>
      </c>
      <c r="AF2475" s="372">
        <v>0</v>
      </c>
      <c r="AG2475" s="372">
        <v>0</v>
      </c>
      <c r="AH2475" s="372">
        <v>0</v>
      </c>
    </row>
    <row r="2476" spans="1:34">
      <c r="A2476" s="372" t="s">
        <v>15636</v>
      </c>
      <c r="B2476" s="372" t="s">
        <v>15637</v>
      </c>
      <c r="C2476" s="372" t="s">
        <v>15638</v>
      </c>
      <c r="D2476" s="374">
        <v>1760110020559</v>
      </c>
      <c r="E2476" s="372" t="s">
        <v>15639</v>
      </c>
      <c r="F2476" s="372" t="s">
        <v>2834</v>
      </c>
      <c r="G2476" s="375" t="s">
        <v>8395</v>
      </c>
      <c r="H2476" s="375" t="s">
        <v>861</v>
      </c>
      <c r="I2476" s="375" t="s">
        <v>862</v>
      </c>
      <c r="J2476" s="375">
        <v>70561.3799</v>
      </c>
      <c r="K2476" s="375">
        <v>2854.5907299999999</v>
      </c>
      <c r="L2476" s="375">
        <v>-233.40765999999999</v>
      </c>
      <c r="M2476" s="375">
        <v>67813.453519999995</v>
      </c>
      <c r="N2476" s="372">
        <v>0.70799999999999996</v>
      </c>
      <c r="O2476" s="704">
        <v>2.2026998098876236</v>
      </c>
      <c r="P2476" s="563" t="s">
        <v>16115</v>
      </c>
      <c r="Q2476" s="372" t="s">
        <v>16116</v>
      </c>
      <c r="R2476" s="696">
        <v>20160715</v>
      </c>
      <c r="S2476" s="372" t="s">
        <v>15640</v>
      </c>
      <c r="T2476" s="697" t="s">
        <v>771</v>
      </c>
      <c r="U2476" s="372" t="s">
        <v>15641</v>
      </c>
      <c r="V2476" s="723">
        <v>1.33</v>
      </c>
      <c r="W2476" s="723">
        <v>0.17</v>
      </c>
      <c r="X2476" s="723">
        <v>0.16</v>
      </c>
      <c r="Y2476" s="723" t="s">
        <v>773</v>
      </c>
      <c r="Z2476" s="382" t="s">
        <v>927</v>
      </c>
      <c r="AA2476" s="372">
        <v>477.77055990000002</v>
      </c>
      <c r="AB2476" s="372">
        <v>746.83280119999995</v>
      </c>
      <c r="AC2476" s="372">
        <v>666.12962560000005</v>
      </c>
      <c r="AD2476" s="372">
        <v>570.33148670000003</v>
      </c>
      <c r="AE2476" s="372">
        <v>0</v>
      </c>
      <c r="AF2476" s="372">
        <v>0</v>
      </c>
      <c r="AG2476" s="372">
        <v>0</v>
      </c>
      <c r="AH2476" s="372">
        <v>0</v>
      </c>
    </row>
    <row r="2477" spans="1:34">
      <c r="A2477" s="372" t="s">
        <v>15642</v>
      </c>
      <c r="B2477" s="372" t="s">
        <v>15643</v>
      </c>
      <c r="C2477" s="372" t="s">
        <v>15644</v>
      </c>
      <c r="D2477" s="374">
        <v>1101118457304</v>
      </c>
      <c r="E2477" s="372" t="s">
        <v>15645</v>
      </c>
      <c r="F2477" s="372" t="s">
        <v>1143</v>
      </c>
      <c r="G2477" s="375" t="s">
        <v>1144</v>
      </c>
      <c r="H2477" s="375" t="s">
        <v>895</v>
      </c>
      <c r="I2477" s="375" t="s">
        <v>862</v>
      </c>
      <c r="J2477" s="375">
        <v>0</v>
      </c>
      <c r="K2477" s="375">
        <v>-34.149889999999999</v>
      </c>
      <c r="L2477" s="375">
        <v>253.23988</v>
      </c>
      <c r="M2477" s="375">
        <v>10992.34562</v>
      </c>
      <c r="N2477" s="372" t="s">
        <v>1026</v>
      </c>
      <c r="O2477" s="704">
        <v>12.420296392829098</v>
      </c>
      <c r="P2477" s="563" t="s">
        <v>622</v>
      </c>
      <c r="Q2477" s="372" t="s">
        <v>622</v>
      </c>
      <c r="R2477" s="696">
        <v>20230406</v>
      </c>
      <c r="S2477" s="372" t="s">
        <v>9018</v>
      </c>
      <c r="T2477" s="697">
        <v>0.20900000000000002</v>
      </c>
      <c r="U2477" s="372">
        <v>0</v>
      </c>
      <c r="V2477" s="723">
        <v>0</v>
      </c>
      <c r="W2477" s="723">
        <v>0</v>
      </c>
      <c r="X2477" s="723">
        <v>0</v>
      </c>
      <c r="Y2477" s="723">
        <v>0</v>
      </c>
      <c r="Z2477" s="382" t="s">
        <v>773</v>
      </c>
      <c r="AA2477" s="372">
        <v>0</v>
      </c>
      <c r="AB2477" s="372">
        <v>0</v>
      </c>
      <c r="AC2477" s="372">
        <v>0</v>
      </c>
      <c r="AD2477" s="372">
        <v>0</v>
      </c>
      <c r="AE2477" s="372">
        <v>0</v>
      </c>
      <c r="AF2477" s="372">
        <v>0</v>
      </c>
      <c r="AG2477" s="372">
        <v>0</v>
      </c>
      <c r="AH2477" s="372">
        <v>0</v>
      </c>
    </row>
    <row r="2478" spans="1:34">
      <c r="A2478" s="372" t="s">
        <v>15646</v>
      </c>
      <c r="B2478" s="372" t="s">
        <v>15647</v>
      </c>
      <c r="C2478" s="372" t="s">
        <v>15648</v>
      </c>
      <c r="D2478" s="374">
        <v>1101118289856</v>
      </c>
      <c r="E2478" s="372" t="s">
        <v>15649</v>
      </c>
      <c r="F2478" s="372" t="s">
        <v>1143</v>
      </c>
      <c r="G2478" s="375" t="s">
        <v>1144</v>
      </c>
      <c r="H2478" s="375" t="s">
        <v>895</v>
      </c>
      <c r="I2478" s="375" t="s">
        <v>862</v>
      </c>
      <c r="J2478" s="375">
        <v>0</v>
      </c>
      <c r="K2478" s="375">
        <v>-36.089869999999998</v>
      </c>
      <c r="L2478" s="375">
        <v>340.06452999999999</v>
      </c>
      <c r="M2478" s="375">
        <v>10864.37464</v>
      </c>
      <c r="N2478" s="372">
        <v>0.35499999999999998</v>
      </c>
      <c r="O2478" s="704">
        <v>14.269617597047862</v>
      </c>
      <c r="P2478" s="563" t="s">
        <v>622</v>
      </c>
      <c r="Q2478" s="372" t="s">
        <v>622</v>
      </c>
      <c r="R2478" s="696">
        <v>20220804</v>
      </c>
      <c r="S2478" s="372" t="s">
        <v>12468</v>
      </c>
      <c r="T2478" s="697">
        <v>0.20900000000000002</v>
      </c>
      <c r="U2478" s="372">
        <v>0</v>
      </c>
      <c r="V2478" s="723">
        <v>0</v>
      </c>
      <c r="W2478" s="723">
        <v>0</v>
      </c>
      <c r="X2478" s="723">
        <v>0</v>
      </c>
      <c r="Y2478" s="723">
        <v>0</v>
      </c>
      <c r="Z2478" s="382" t="s">
        <v>773</v>
      </c>
      <c r="AA2478" s="372">
        <v>0</v>
      </c>
      <c r="AB2478" s="372">
        <v>0</v>
      </c>
      <c r="AC2478" s="372">
        <v>0</v>
      </c>
      <c r="AD2478" s="372">
        <v>0</v>
      </c>
      <c r="AE2478" s="372">
        <v>0</v>
      </c>
      <c r="AF2478" s="372">
        <v>0</v>
      </c>
      <c r="AG2478" s="372">
        <v>0</v>
      </c>
      <c r="AH2478" s="372">
        <v>0</v>
      </c>
    </row>
    <row r="2479" spans="1:34">
      <c r="A2479" s="372" t="s">
        <v>15650</v>
      </c>
      <c r="B2479" s="372" t="s">
        <v>15651</v>
      </c>
      <c r="C2479" s="372" t="s">
        <v>15652</v>
      </c>
      <c r="D2479" s="374">
        <v>1101118620787</v>
      </c>
      <c r="E2479" s="372" t="s">
        <v>15653</v>
      </c>
      <c r="F2479" s="372" t="s">
        <v>1143</v>
      </c>
      <c r="G2479" s="375" t="s">
        <v>1144</v>
      </c>
      <c r="H2479" s="375" t="s">
        <v>895</v>
      </c>
      <c r="I2479" s="375" t="s">
        <v>862</v>
      </c>
      <c r="J2479" s="375">
        <v>0</v>
      </c>
      <c r="K2479" s="375">
        <v>-61.243369999999999</v>
      </c>
      <c r="L2479" s="375">
        <v>279.83330999999998</v>
      </c>
      <c r="M2479" s="375">
        <v>10782.331050000001</v>
      </c>
      <c r="N2479" s="372" t="s">
        <v>1026</v>
      </c>
      <c r="O2479" s="704">
        <v>10.310794382728988</v>
      </c>
      <c r="P2479" s="563" t="s">
        <v>622</v>
      </c>
      <c r="Q2479" s="372" t="s">
        <v>622</v>
      </c>
      <c r="R2479" s="696">
        <v>20230810</v>
      </c>
      <c r="S2479" s="372" t="s">
        <v>15445</v>
      </c>
      <c r="T2479" s="697">
        <v>0.20900000000000002</v>
      </c>
      <c r="U2479" s="372">
        <v>0</v>
      </c>
      <c r="V2479" s="723">
        <v>0</v>
      </c>
      <c r="W2479" s="723">
        <v>0</v>
      </c>
      <c r="X2479" s="723">
        <v>0</v>
      </c>
      <c r="Y2479" s="723">
        <v>0</v>
      </c>
      <c r="Z2479" s="382" t="s">
        <v>773</v>
      </c>
      <c r="AA2479" s="372">
        <v>0</v>
      </c>
      <c r="AB2479" s="372">
        <v>0</v>
      </c>
      <c r="AC2479" s="372">
        <v>0</v>
      </c>
      <c r="AD2479" s="372">
        <v>0</v>
      </c>
      <c r="AE2479" s="372">
        <v>0</v>
      </c>
      <c r="AF2479" s="372">
        <v>0</v>
      </c>
      <c r="AG2479" s="372">
        <v>0</v>
      </c>
      <c r="AH2479" s="372">
        <v>0</v>
      </c>
    </row>
    <row r="2480" spans="1:34">
      <c r="A2480" s="372" t="s">
        <v>15654</v>
      </c>
      <c r="B2480" s="372" t="s">
        <v>15655</v>
      </c>
      <c r="C2480" s="372" t="s">
        <v>15656</v>
      </c>
      <c r="D2480" s="374">
        <v>1101118573366</v>
      </c>
      <c r="E2480" s="372" t="s">
        <v>15657</v>
      </c>
      <c r="F2480" s="372" t="s">
        <v>1143</v>
      </c>
      <c r="G2480" s="375" t="s">
        <v>1144</v>
      </c>
      <c r="H2480" s="375" t="s">
        <v>895</v>
      </c>
      <c r="I2480" s="375" t="s">
        <v>862</v>
      </c>
      <c r="J2480" s="375">
        <v>0</v>
      </c>
      <c r="K2480" s="375">
        <v>-35.526850000000003</v>
      </c>
      <c r="L2480" s="375">
        <v>252.55316999999999</v>
      </c>
      <c r="M2480" s="375">
        <v>10137.688260000001</v>
      </c>
      <c r="N2480" s="372" t="s">
        <v>1026</v>
      </c>
      <c r="O2480" s="704">
        <v>10.171380027663723</v>
      </c>
      <c r="P2480" s="563" t="s">
        <v>622</v>
      </c>
      <c r="Q2480" s="372" t="s">
        <v>622</v>
      </c>
      <c r="R2480" s="696">
        <v>20230628</v>
      </c>
      <c r="S2480" s="372" t="s">
        <v>9018</v>
      </c>
      <c r="T2480" s="697">
        <v>0.20900000000000002</v>
      </c>
      <c r="U2480" s="372">
        <v>0</v>
      </c>
      <c r="V2480" s="723">
        <v>0</v>
      </c>
      <c r="W2480" s="723">
        <v>0</v>
      </c>
      <c r="X2480" s="723">
        <v>0</v>
      </c>
      <c r="Y2480" s="723">
        <v>0</v>
      </c>
      <c r="Z2480" s="382" t="s">
        <v>773</v>
      </c>
      <c r="AA2480" s="372">
        <v>0</v>
      </c>
      <c r="AB2480" s="372">
        <v>0</v>
      </c>
      <c r="AC2480" s="372">
        <v>0</v>
      </c>
      <c r="AD2480" s="372">
        <v>0</v>
      </c>
      <c r="AE2480" s="372">
        <v>0</v>
      </c>
      <c r="AF2480" s="372">
        <v>0</v>
      </c>
      <c r="AG2480" s="372">
        <v>0</v>
      </c>
      <c r="AH2480" s="372">
        <v>0</v>
      </c>
    </row>
    <row r="2481" spans="1:34">
      <c r="A2481" s="372" t="s">
        <v>15658</v>
      </c>
      <c r="B2481" s="372" t="s">
        <v>15659</v>
      </c>
      <c r="C2481" s="372" t="s">
        <v>16328</v>
      </c>
      <c r="D2481" s="374">
        <v>1101118127733</v>
      </c>
      <c r="E2481" s="372" t="s">
        <v>15660</v>
      </c>
      <c r="F2481" s="372" t="s">
        <v>1143</v>
      </c>
      <c r="G2481" s="375" t="s">
        <v>1144</v>
      </c>
      <c r="H2481" s="375" t="s">
        <v>895</v>
      </c>
      <c r="I2481" s="375" t="s">
        <v>862</v>
      </c>
      <c r="J2481" s="375">
        <v>0</v>
      </c>
      <c r="K2481" s="375">
        <v>-35.315930000000002</v>
      </c>
      <c r="L2481" s="375">
        <v>285.92568</v>
      </c>
      <c r="M2481" s="375">
        <v>10162.708790000001</v>
      </c>
      <c r="N2481" s="372">
        <v>0.373</v>
      </c>
      <c r="O2481" s="704">
        <v>6.6925387857591252</v>
      </c>
      <c r="P2481" s="563" t="s">
        <v>622</v>
      </c>
      <c r="Q2481" s="372" t="s">
        <v>16116</v>
      </c>
      <c r="R2481" s="696">
        <v>20220429</v>
      </c>
      <c r="S2481" s="372" t="e">
        <v>#N/A</v>
      </c>
      <c r="T2481" s="697">
        <v>0.20900000000000002</v>
      </c>
      <c r="U2481" s="372">
        <v>0</v>
      </c>
      <c r="V2481" s="723">
        <v>0</v>
      </c>
      <c r="W2481" s="723">
        <v>0</v>
      </c>
      <c r="X2481" s="723">
        <v>0</v>
      </c>
      <c r="Y2481" s="723">
        <v>0</v>
      </c>
      <c r="Z2481" s="382" t="s">
        <v>773</v>
      </c>
      <c r="AA2481" s="372">
        <v>0</v>
      </c>
      <c r="AB2481" s="372">
        <v>0</v>
      </c>
      <c r="AC2481" s="372">
        <v>0</v>
      </c>
      <c r="AD2481" s="372">
        <v>0</v>
      </c>
      <c r="AE2481" s="372">
        <v>0</v>
      </c>
      <c r="AF2481" s="372">
        <v>0</v>
      </c>
      <c r="AG2481" s="372">
        <v>0</v>
      </c>
      <c r="AH2481" s="372">
        <v>0</v>
      </c>
    </row>
    <row r="2482" spans="1:34">
      <c r="A2482" s="372" t="s">
        <v>15661</v>
      </c>
      <c r="B2482" s="372" t="s">
        <v>15662</v>
      </c>
      <c r="C2482" s="372" t="s">
        <v>15663</v>
      </c>
      <c r="D2482" s="374">
        <v>1101118590568</v>
      </c>
      <c r="E2482" s="372" t="s">
        <v>15664</v>
      </c>
      <c r="F2482" s="372" t="s">
        <v>1143</v>
      </c>
      <c r="G2482" s="375" t="s">
        <v>1144</v>
      </c>
      <c r="H2482" s="375" t="s">
        <v>895</v>
      </c>
      <c r="I2482" s="375" t="s">
        <v>862</v>
      </c>
      <c r="J2482" s="375">
        <v>0</v>
      </c>
      <c r="K2482" s="375">
        <v>-34.164769999999997</v>
      </c>
      <c r="L2482" s="375">
        <v>212.74878000000001</v>
      </c>
      <c r="M2482" s="375">
        <v>9185.6443899999995</v>
      </c>
      <c r="N2482" s="372" t="s">
        <v>1026</v>
      </c>
      <c r="O2482" s="704">
        <v>8.0393414521582702</v>
      </c>
      <c r="P2482" s="563" t="s">
        <v>622</v>
      </c>
      <c r="Q2482" s="372" t="s">
        <v>622</v>
      </c>
      <c r="R2482" s="696">
        <v>20230721</v>
      </c>
      <c r="S2482" s="372" t="s">
        <v>12468</v>
      </c>
      <c r="T2482" s="697">
        <v>0.20900000000000002</v>
      </c>
      <c r="U2482" s="372">
        <v>0</v>
      </c>
      <c r="V2482" s="723">
        <v>0</v>
      </c>
      <c r="W2482" s="723">
        <v>0</v>
      </c>
      <c r="X2482" s="723">
        <v>0</v>
      </c>
      <c r="Y2482" s="723">
        <v>0</v>
      </c>
      <c r="Z2482" s="382" t="s">
        <v>773</v>
      </c>
      <c r="AA2482" s="372">
        <v>0</v>
      </c>
      <c r="AB2482" s="372">
        <v>0</v>
      </c>
      <c r="AC2482" s="372">
        <v>0</v>
      </c>
      <c r="AD2482" s="372">
        <v>0</v>
      </c>
      <c r="AE2482" s="372">
        <v>0</v>
      </c>
      <c r="AF2482" s="372">
        <v>0</v>
      </c>
      <c r="AG2482" s="372">
        <v>0</v>
      </c>
      <c r="AH2482" s="372">
        <v>0</v>
      </c>
    </row>
    <row r="2483" spans="1:34">
      <c r="A2483" s="372" t="s">
        <v>15665</v>
      </c>
      <c r="B2483" s="372" t="s">
        <v>15666</v>
      </c>
      <c r="C2483" s="372" t="s">
        <v>16141</v>
      </c>
      <c r="D2483" s="374">
        <v>1101118009072</v>
      </c>
      <c r="E2483" s="372" t="s">
        <v>15667</v>
      </c>
      <c r="F2483" s="372" t="s">
        <v>1143</v>
      </c>
      <c r="G2483" s="375" t="s">
        <v>1144</v>
      </c>
      <c r="H2483" s="375" t="s">
        <v>895</v>
      </c>
      <c r="I2483" s="375" t="s">
        <v>4413</v>
      </c>
      <c r="J2483" s="375">
        <v>0</v>
      </c>
      <c r="K2483" s="375">
        <v>0</v>
      </c>
      <c r="L2483" s="375">
        <v>0</v>
      </c>
      <c r="M2483" s="375">
        <v>0</v>
      </c>
      <c r="N2483" s="372">
        <v>0.32100000000000001</v>
      </c>
      <c r="O2483" s="704" t="s">
        <v>16301</v>
      </c>
      <c r="P2483" s="563" t="s">
        <v>622</v>
      </c>
      <c r="Q2483" s="372" t="s">
        <v>622</v>
      </c>
      <c r="R2483" s="696">
        <v>20211220</v>
      </c>
      <c r="S2483" s="372" t="e">
        <v>#N/A</v>
      </c>
      <c r="T2483" s="697" t="s">
        <v>771</v>
      </c>
      <c r="U2483" s="372">
        <v>0</v>
      </c>
      <c r="V2483" s="723">
        <v>0</v>
      </c>
      <c r="W2483" s="723">
        <v>0</v>
      </c>
      <c r="X2483" s="723">
        <v>0</v>
      </c>
      <c r="Y2483" s="723">
        <v>0</v>
      </c>
      <c r="Z2483" s="382" t="s">
        <v>773</v>
      </c>
      <c r="AA2483" s="372">
        <v>0</v>
      </c>
      <c r="AB2483" s="372">
        <v>0</v>
      </c>
      <c r="AC2483" s="372">
        <v>0</v>
      </c>
      <c r="AD2483" s="372">
        <v>0</v>
      </c>
      <c r="AE2483" s="372">
        <v>0</v>
      </c>
      <c r="AF2483" s="372">
        <v>0</v>
      </c>
      <c r="AG2483" s="372">
        <v>0</v>
      </c>
      <c r="AH2483" s="372">
        <v>0</v>
      </c>
    </row>
    <row r="2484" spans="1:34">
      <c r="A2484" s="372" t="s">
        <v>15668</v>
      </c>
      <c r="B2484" s="372" t="s">
        <v>15669</v>
      </c>
      <c r="C2484" s="372" t="s">
        <v>15670</v>
      </c>
      <c r="D2484" s="374">
        <v>1101118421317</v>
      </c>
      <c r="E2484" s="372" t="s">
        <v>15671</v>
      </c>
      <c r="F2484" s="372" t="s">
        <v>1143</v>
      </c>
      <c r="G2484" s="375" t="s">
        <v>1144</v>
      </c>
      <c r="H2484" s="375" t="s">
        <v>895</v>
      </c>
      <c r="I2484" s="375" t="s">
        <v>862</v>
      </c>
      <c r="J2484" s="375">
        <v>0</v>
      </c>
      <c r="K2484" s="375">
        <v>-37.273159999999997</v>
      </c>
      <c r="L2484" s="375">
        <v>305.69468000000001</v>
      </c>
      <c r="M2484" s="375">
        <v>10608.648590000001</v>
      </c>
      <c r="N2484" s="372" t="s">
        <v>1026</v>
      </c>
      <c r="O2484" s="704">
        <v>13.996238925725748</v>
      </c>
      <c r="P2484" s="563" t="s">
        <v>622</v>
      </c>
      <c r="Q2484" s="372" t="s">
        <v>622</v>
      </c>
      <c r="R2484" s="696">
        <v>20230901</v>
      </c>
      <c r="S2484" s="372" t="s">
        <v>5471</v>
      </c>
      <c r="T2484" s="697">
        <v>0.20900000000000002</v>
      </c>
      <c r="U2484" s="372">
        <v>0</v>
      </c>
      <c r="V2484" s="723">
        <v>0</v>
      </c>
      <c r="W2484" s="723">
        <v>0</v>
      </c>
      <c r="X2484" s="723">
        <v>0</v>
      </c>
      <c r="Y2484" s="723">
        <v>0</v>
      </c>
      <c r="Z2484" s="382" t="s">
        <v>773</v>
      </c>
      <c r="AA2484" s="372">
        <v>0</v>
      </c>
      <c r="AB2484" s="372">
        <v>0</v>
      </c>
      <c r="AC2484" s="372">
        <v>0</v>
      </c>
      <c r="AD2484" s="372">
        <v>0</v>
      </c>
      <c r="AE2484" s="372">
        <v>0</v>
      </c>
      <c r="AF2484" s="372">
        <v>0</v>
      </c>
      <c r="AG2484" s="372">
        <v>0</v>
      </c>
      <c r="AH2484" s="372">
        <v>0</v>
      </c>
    </row>
    <row r="2485" spans="1:34">
      <c r="A2485" s="372" t="s">
        <v>15672</v>
      </c>
      <c r="B2485" s="372" t="s">
        <v>15673</v>
      </c>
      <c r="C2485" s="372" t="s">
        <v>15674</v>
      </c>
      <c r="D2485" s="374">
        <v>1101118048781</v>
      </c>
      <c r="E2485" s="372" t="s">
        <v>15675</v>
      </c>
      <c r="F2485" s="372" t="s">
        <v>1143</v>
      </c>
      <c r="G2485" s="375" t="s">
        <v>1144</v>
      </c>
      <c r="H2485" s="375" t="s">
        <v>895</v>
      </c>
      <c r="I2485" s="375" t="s">
        <v>4413</v>
      </c>
      <c r="J2485" s="375">
        <v>0</v>
      </c>
      <c r="K2485" s="375">
        <v>0</v>
      </c>
      <c r="L2485" s="375">
        <v>0</v>
      </c>
      <c r="M2485" s="375">
        <v>0</v>
      </c>
      <c r="N2485" s="372" t="s">
        <v>1026</v>
      </c>
      <c r="O2485" s="704" t="s">
        <v>16301</v>
      </c>
      <c r="P2485" s="563" t="s">
        <v>622</v>
      </c>
      <c r="Q2485" s="372" t="s">
        <v>622</v>
      </c>
      <c r="R2485" s="696">
        <v>20220427</v>
      </c>
      <c r="S2485" s="372" t="e">
        <v>#N/A</v>
      </c>
      <c r="T2485" s="697" t="s">
        <v>771</v>
      </c>
      <c r="U2485" s="372">
        <v>0</v>
      </c>
      <c r="V2485" s="723">
        <v>0</v>
      </c>
      <c r="W2485" s="723">
        <v>0</v>
      </c>
      <c r="X2485" s="723">
        <v>0</v>
      </c>
      <c r="Y2485" s="723">
        <v>0</v>
      </c>
      <c r="Z2485" s="382" t="s">
        <v>773</v>
      </c>
      <c r="AA2485" s="372">
        <v>0</v>
      </c>
      <c r="AB2485" s="372">
        <v>0</v>
      </c>
      <c r="AC2485" s="372">
        <v>0</v>
      </c>
      <c r="AD2485" s="372">
        <v>0</v>
      </c>
      <c r="AE2485" s="372">
        <v>0</v>
      </c>
      <c r="AF2485" s="372">
        <v>0</v>
      </c>
      <c r="AG2485" s="372">
        <v>0</v>
      </c>
      <c r="AH2485" s="372">
        <v>0</v>
      </c>
    </row>
    <row r="2486" spans="1:34">
      <c r="A2486" s="372" t="s">
        <v>15676</v>
      </c>
      <c r="B2486" s="372" t="s">
        <v>15677</v>
      </c>
      <c r="C2486" s="372" t="s">
        <v>15678</v>
      </c>
      <c r="D2486" s="374">
        <v>1101118370168</v>
      </c>
      <c r="E2486" s="372" t="s">
        <v>15679</v>
      </c>
      <c r="F2486" s="372" t="s">
        <v>1143</v>
      </c>
      <c r="G2486" s="375" t="s">
        <v>1144</v>
      </c>
      <c r="H2486" s="375" t="s">
        <v>895</v>
      </c>
      <c r="I2486" s="375" t="s">
        <v>862</v>
      </c>
      <c r="J2486" s="375">
        <v>0</v>
      </c>
      <c r="K2486" s="375">
        <v>-66.578249999999997</v>
      </c>
      <c r="L2486" s="375">
        <v>205.11533</v>
      </c>
      <c r="M2486" s="375">
        <v>8697.8894999999993</v>
      </c>
      <c r="N2486" s="372">
        <v>0.38500000000000001</v>
      </c>
      <c r="O2486" s="704">
        <v>16.003200256020484</v>
      </c>
      <c r="P2486" s="563" t="s">
        <v>622</v>
      </c>
      <c r="Q2486" s="372" t="s">
        <v>622</v>
      </c>
      <c r="R2486" s="696">
        <v>20221028</v>
      </c>
      <c r="S2486" s="372" t="s">
        <v>9030</v>
      </c>
      <c r="T2486" s="697">
        <v>0.20900000000000002</v>
      </c>
      <c r="U2486" s="372" t="s">
        <v>15680</v>
      </c>
      <c r="V2486" s="723">
        <v>0</v>
      </c>
      <c r="W2486" s="723">
        <v>0</v>
      </c>
      <c r="X2486" s="723">
        <v>0</v>
      </c>
      <c r="Y2486" s="723">
        <v>0</v>
      </c>
      <c r="Z2486" s="382" t="s">
        <v>773</v>
      </c>
      <c r="AA2486" s="372">
        <v>0</v>
      </c>
      <c r="AB2486" s="372">
        <v>0</v>
      </c>
      <c r="AC2486" s="372">
        <v>0</v>
      </c>
      <c r="AD2486" s="372">
        <v>0</v>
      </c>
      <c r="AE2486" s="372">
        <v>0</v>
      </c>
      <c r="AF2486" s="372">
        <v>0</v>
      </c>
      <c r="AG2486" s="372">
        <v>0</v>
      </c>
      <c r="AH2486" s="372">
        <v>0</v>
      </c>
    </row>
    <row r="2487" spans="1:34">
      <c r="A2487" s="372" t="s">
        <v>15681</v>
      </c>
      <c r="B2487" s="372" t="s">
        <v>15682</v>
      </c>
      <c r="C2487" s="372" t="s">
        <v>15683</v>
      </c>
      <c r="D2487" s="374">
        <v>1101118349676</v>
      </c>
      <c r="E2487" s="372" t="s">
        <v>15684</v>
      </c>
      <c r="F2487" s="372" t="s">
        <v>1143</v>
      </c>
      <c r="G2487" s="375" t="s">
        <v>1144</v>
      </c>
      <c r="H2487" s="375" t="s">
        <v>895</v>
      </c>
      <c r="I2487" s="375" t="s">
        <v>862</v>
      </c>
      <c r="J2487" s="375">
        <v>0</v>
      </c>
      <c r="K2487" s="375">
        <v>-50.238860000000003</v>
      </c>
      <c r="L2487" s="375">
        <v>307.96454999999997</v>
      </c>
      <c r="M2487" s="375">
        <v>9750.7248</v>
      </c>
      <c r="N2487" s="372">
        <v>0.374</v>
      </c>
      <c r="O2487" s="704">
        <v>5.5979594133313322</v>
      </c>
      <c r="P2487" s="563" t="s">
        <v>622</v>
      </c>
      <c r="Q2487" s="372" t="s">
        <v>622</v>
      </c>
      <c r="R2487" s="696">
        <v>20221020</v>
      </c>
      <c r="S2487" s="372" t="s">
        <v>9018</v>
      </c>
      <c r="T2487" s="697">
        <v>0.20900000000000002</v>
      </c>
      <c r="U2487" s="372">
        <v>0</v>
      </c>
      <c r="V2487" s="723">
        <v>0</v>
      </c>
      <c r="W2487" s="723">
        <v>0</v>
      </c>
      <c r="X2487" s="723">
        <v>0</v>
      </c>
      <c r="Y2487" s="723">
        <v>0</v>
      </c>
      <c r="Z2487" s="382" t="s">
        <v>773</v>
      </c>
      <c r="AA2487" s="372">
        <v>0</v>
      </c>
      <c r="AB2487" s="372">
        <v>0</v>
      </c>
      <c r="AC2487" s="372">
        <v>0</v>
      </c>
      <c r="AD2487" s="372">
        <v>0</v>
      </c>
      <c r="AE2487" s="372">
        <v>0</v>
      </c>
      <c r="AF2487" s="372">
        <v>0</v>
      </c>
      <c r="AG2487" s="372">
        <v>0</v>
      </c>
      <c r="AH2487" s="372">
        <v>0</v>
      </c>
    </row>
    <row r="2488" spans="1:34">
      <c r="A2488" s="372" t="s">
        <v>15685</v>
      </c>
      <c r="B2488" s="372" t="s">
        <v>15686</v>
      </c>
      <c r="C2488" s="372" t="s">
        <v>15687</v>
      </c>
      <c r="D2488" s="374">
        <v>1101118465331</v>
      </c>
      <c r="E2488" s="372" t="s">
        <v>15688</v>
      </c>
      <c r="F2488" s="372" t="s">
        <v>1143</v>
      </c>
      <c r="G2488" s="375" t="s">
        <v>1144</v>
      </c>
      <c r="H2488" s="375" t="s">
        <v>895</v>
      </c>
      <c r="I2488" s="375" t="s">
        <v>862</v>
      </c>
      <c r="J2488" s="375">
        <v>0</v>
      </c>
      <c r="K2488" s="375">
        <v>98.350359999999995</v>
      </c>
      <c r="L2488" s="375">
        <v>327.84375</v>
      </c>
      <c r="M2488" s="375">
        <v>9961.7971699999998</v>
      </c>
      <c r="N2488" s="372" t="s">
        <v>1026</v>
      </c>
      <c r="O2488" s="704">
        <v>20.354594441293251</v>
      </c>
      <c r="P2488" s="563" t="s">
        <v>622</v>
      </c>
      <c r="Q2488" s="372" t="s">
        <v>622</v>
      </c>
      <c r="R2488" s="696">
        <v>20230407</v>
      </c>
      <c r="S2488" s="372" t="s">
        <v>15689</v>
      </c>
      <c r="T2488" s="697">
        <v>0.20900000000000002</v>
      </c>
      <c r="U2488" s="372">
        <v>0</v>
      </c>
      <c r="V2488" s="723">
        <v>0</v>
      </c>
      <c r="W2488" s="723">
        <v>0</v>
      </c>
      <c r="X2488" s="723">
        <v>0</v>
      </c>
      <c r="Y2488" s="723">
        <v>0</v>
      </c>
      <c r="Z2488" s="382" t="s">
        <v>773</v>
      </c>
      <c r="AA2488" s="372">
        <v>0</v>
      </c>
      <c r="AB2488" s="372">
        <v>0</v>
      </c>
      <c r="AC2488" s="372">
        <v>0</v>
      </c>
      <c r="AD2488" s="372">
        <v>0</v>
      </c>
      <c r="AE2488" s="372">
        <v>0</v>
      </c>
      <c r="AF2488" s="372">
        <v>0</v>
      </c>
      <c r="AG2488" s="372">
        <v>0</v>
      </c>
      <c r="AH2488" s="372">
        <v>0</v>
      </c>
    </row>
    <row r="2489" spans="1:34">
      <c r="A2489" s="372" t="s">
        <v>15690</v>
      </c>
      <c r="B2489" s="372" t="s">
        <v>15691</v>
      </c>
      <c r="C2489" s="372" t="s">
        <v>16068</v>
      </c>
      <c r="D2489" s="374">
        <v>1341110069357</v>
      </c>
      <c r="E2489" s="372" t="s">
        <v>15692</v>
      </c>
      <c r="F2489" s="372" t="s">
        <v>621</v>
      </c>
      <c r="G2489" s="375" t="s">
        <v>621</v>
      </c>
      <c r="H2489" s="375" t="s">
        <v>1377</v>
      </c>
      <c r="I2489" s="375" t="s">
        <v>4413</v>
      </c>
      <c r="J2489" s="375">
        <v>0</v>
      </c>
      <c r="K2489" s="375">
        <v>0</v>
      </c>
      <c r="L2489" s="375">
        <v>0</v>
      </c>
      <c r="M2489" s="375">
        <v>0</v>
      </c>
      <c r="N2489" s="372" t="s">
        <v>1026</v>
      </c>
      <c r="O2489" s="704" t="s">
        <v>16301</v>
      </c>
      <c r="P2489" s="563" t="s">
        <v>622</v>
      </c>
      <c r="Q2489" s="372" t="s">
        <v>622</v>
      </c>
      <c r="R2489" s="696">
        <v>20050805</v>
      </c>
      <c r="S2489" s="372" t="e">
        <v>#N/A</v>
      </c>
      <c r="T2489" s="697" t="s">
        <v>771</v>
      </c>
      <c r="U2489" s="372" t="s">
        <v>15693</v>
      </c>
      <c r="V2489" s="723">
        <v>0</v>
      </c>
      <c r="W2489" s="723">
        <v>0</v>
      </c>
      <c r="X2489" s="723">
        <v>0</v>
      </c>
      <c r="Y2489" s="723">
        <v>0</v>
      </c>
      <c r="Z2489" s="382" t="s">
        <v>773</v>
      </c>
      <c r="AA2489" s="372">
        <v>81.951013700000004</v>
      </c>
      <c r="AB2489" s="372">
        <v>0</v>
      </c>
      <c r="AC2489" s="372">
        <v>0</v>
      </c>
      <c r="AD2489" s="372">
        <v>0</v>
      </c>
      <c r="AE2489" s="372">
        <v>0</v>
      </c>
      <c r="AF2489" s="372">
        <v>0</v>
      </c>
      <c r="AG2489" s="372">
        <v>0</v>
      </c>
      <c r="AH2489" s="372">
        <v>0</v>
      </c>
    </row>
    <row r="2490" spans="1:34">
      <c r="A2490" s="372" t="s">
        <v>15694</v>
      </c>
      <c r="B2490" s="372" t="s">
        <v>15695</v>
      </c>
      <c r="C2490" s="372" t="s">
        <v>15696</v>
      </c>
      <c r="D2490" s="374">
        <v>1101118431803</v>
      </c>
      <c r="E2490" s="372" t="s">
        <v>15697</v>
      </c>
      <c r="F2490" s="372" t="s">
        <v>1143</v>
      </c>
      <c r="G2490" s="375" t="s">
        <v>1144</v>
      </c>
      <c r="H2490" s="375" t="s">
        <v>895</v>
      </c>
      <c r="I2490" s="375" t="s">
        <v>862</v>
      </c>
      <c r="J2490" s="375">
        <v>0</v>
      </c>
      <c r="K2490" s="375">
        <v>0</v>
      </c>
      <c r="L2490" s="375">
        <v>0</v>
      </c>
      <c r="M2490" s="375">
        <v>0</v>
      </c>
      <c r="N2490" s="372" t="s">
        <v>1026</v>
      </c>
      <c r="O2490" s="704" t="s">
        <v>16301</v>
      </c>
      <c r="P2490" s="563" t="s">
        <v>622</v>
      </c>
      <c r="Q2490" s="372" t="s">
        <v>622</v>
      </c>
      <c r="R2490" s="696">
        <v>20230224</v>
      </c>
      <c r="S2490" s="372" t="s">
        <v>9018</v>
      </c>
      <c r="T2490" s="697" t="s">
        <v>771</v>
      </c>
      <c r="U2490" s="372">
        <v>0</v>
      </c>
      <c r="V2490" s="723">
        <v>0</v>
      </c>
      <c r="W2490" s="723">
        <v>0</v>
      </c>
      <c r="X2490" s="723">
        <v>0</v>
      </c>
      <c r="Y2490" s="723">
        <v>0</v>
      </c>
      <c r="Z2490" s="382" t="s">
        <v>773</v>
      </c>
      <c r="AA2490" s="372">
        <v>0</v>
      </c>
      <c r="AB2490" s="372">
        <v>0</v>
      </c>
      <c r="AC2490" s="372">
        <v>0</v>
      </c>
      <c r="AD2490" s="372">
        <v>0</v>
      </c>
      <c r="AE2490" s="372">
        <v>0</v>
      </c>
      <c r="AF2490" s="372">
        <v>0</v>
      </c>
      <c r="AG2490" s="372">
        <v>0</v>
      </c>
      <c r="AH2490" s="372">
        <v>0</v>
      </c>
    </row>
    <row r="2491" spans="1:34">
      <c r="A2491" s="372" t="s">
        <v>15698</v>
      </c>
      <c r="B2491" s="372" t="s">
        <v>15699</v>
      </c>
      <c r="C2491" s="372" t="s">
        <v>15700</v>
      </c>
      <c r="D2491" s="374">
        <v>1101118481410</v>
      </c>
      <c r="E2491" s="372" t="s">
        <v>15701</v>
      </c>
      <c r="F2491" s="372" t="s">
        <v>1143</v>
      </c>
      <c r="G2491" s="375" t="s">
        <v>1144</v>
      </c>
      <c r="H2491" s="375" t="s">
        <v>895</v>
      </c>
      <c r="I2491" s="375" t="s">
        <v>862</v>
      </c>
      <c r="J2491" s="375">
        <v>0</v>
      </c>
      <c r="K2491" s="375">
        <v>-24.22907</v>
      </c>
      <c r="L2491" s="375">
        <v>215.47448</v>
      </c>
      <c r="M2491" s="375">
        <v>9591.2212</v>
      </c>
      <c r="N2491" s="372" t="s">
        <v>1026</v>
      </c>
      <c r="O2491" s="704">
        <v>9.2020079626103506</v>
      </c>
      <c r="P2491" s="563" t="s">
        <v>622</v>
      </c>
      <c r="Q2491" s="372" t="s">
        <v>622</v>
      </c>
      <c r="R2491" s="696">
        <v>20230622</v>
      </c>
      <c r="S2491" s="372" t="s">
        <v>9018</v>
      </c>
      <c r="T2491" s="697">
        <v>0.20900000000000002</v>
      </c>
      <c r="U2491" s="372">
        <v>0</v>
      </c>
      <c r="V2491" s="723">
        <v>0</v>
      </c>
      <c r="W2491" s="723">
        <v>0</v>
      </c>
      <c r="X2491" s="723">
        <v>0</v>
      </c>
      <c r="Y2491" s="723">
        <v>0</v>
      </c>
      <c r="Z2491" s="382" t="s">
        <v>773</v>
      </c>
      <c r="AA2491" s="372">
        <v>0</v>
      </c>
      <c r="AB2491" s="372">
        <v>0</v>
      </c>
      <c r="AC2491" s="372">
        <v>0</v>
      </c>
      <c r="AD2491" s="372">
        <v>0</v>
      </c>
      <c r="AE2491" s="372">
        <v>0</v>
      </c>
      <c r="AF2491" s="372">
        <v>0</v>
      </c>
      <c r="AG2491" s="372">
        <v>0</v>
      </c>
      <c r="AH2491" s="372">
        <v>0</v>
      </c>
    </row>
    <row r="2492" spans="1:34">
      <c r="A2492" s="372" t="s">
        <v>15702</v>
      </c>
      <c r="B2492" s="372" t="s">
        <v>15703</v>
      </c>
      <c r="C2492" s="372" t="s">
        <v>15704</v>
      </c>
      <c r="D2492" s="374">
        <v>1101118582664</v>
      </c>
      <c r="E2492" s="372" t="s">
        <v>15705</v>
      </c>
      <c r="F2492" s="372" t="s">
        <v>1143</v>
      </c>
      <c r="G2492" s="375" t="s">
        <v>1144</v>
      </c>
      <c r="H2492" s="375" t="s">
        <v>895</v>
      </c>
      <c r="I2492" s="375" t="s">
        <v>862</v>
      </c>
      <c r="J2492" s="375">
        <v>0</v>
      </c>
      <c r="K2492" s="375">
        <v>-36.264470000000003</v>
      </c>
      <c r="L2492" s="375">
        <v>165.17112</v>
      </c>
      <c r="M2492" s="375">
        <v>10137.569530000001</v>
      </c>
      <c r="N2492" s="372" t="s">
        <v>1026</v>
      </c>
      <c r="O2492" s="704">
        <v>17.892233531747902</v>
      </c>
      <c r="P2492" s="563" t="s">
        <v>622</v>
      </c>
      <c r="Q2492" s="372" t="s">
        <v>622</v>
      </c>
      <c r="R2492" s="696">
        <v>20230907</v>
      </c>
      <c r="S2492" s="372" t="s">
        <v>771</v>
      </c>
      <c r="T2492" s="697">
        <v>9.9000000000000005E-2</v>
      </c>
      <c r="U2492" s="372" t="s">
        <v>15706</v>
      </c>
      <c r="V2492" s="723">
        <v>0</v>
      </c>
      <c r="W2492" s="723">
        <v>0</v>
      </c>
      <c r="X2492" s="723">
        <v>0</v>
      </c>
      <c r="Y2492" s="723">
        <v>0</v>
      </c>
      <c r="Z2492" s="382" t="s">
        <v>773</v>
      </c>
      <c r="AA2492" s="372">
        <v>0</v>
      </c>
      <c r="AB2492" s="372">
        <v>0</v>
      </c>
      <c r="AC2492" s="372">
        <v>0</v>
      </c>
      <c r="AD2492" s="372">
        <v>0</v>
      </c>
      <c r="AE2492" s="372">
        <v>0</v>
      </c>
      <c r="AF2492" s="372">
        <v>0</v>
      </c>
      <c r="AG2492" s="372">
        <v>0</v>
      </c>
      <c r="AH2492" s="372">
        <v>0</v>
      </c>
    </row>
    <row r="2493" spans="1:34">
      <c r="A2493" s="372" t="s">
        <v>15707</v>
      </c>
      <c r="B2493" s="372" t="s">
        <v>15708</v>
      </c>
      <c r="C2493" s="372" t="s">
        <v>15709</v>
      </c>
      <c r="D2493" s="374">
        <v>1101118462379</v>
      </c>
      <c r="E2493" s="372" t="s">
        <v>15710</v>
      </c>
      <c r="F2493" s="372" t="s">
        <v>1143</v>
      </c>
      <c r="G2493" s="375" t="s">
        <v>1144</v>
      </c>
      <c r="H2493" s="375" t="s">
        <v>895</v>
      </c>
      <c r="I2493" s="375" t="s">
        <v>862</v>
      </c>
      <c r="J2493" s="375">
        <v>0</v>
      </c>
      <c r="K2493" s="375">
        <v>-40.212960000000002</v>
      </c>
      <c r="L2493" s="375">
        <v>162.56063</v>
      </c>
      <c r="M2493" s="375">
        <v>8733.5356499999998</v>
      </c>
      <c r="N2493" s="372" t="s">
        <v>1026</v>
      </c>
      <c r="O2493" s="704">
        <v>13.476410835214448</v>
      </c>
      <c r="P2493" s="563" t="s">
        <v>622</v>
      </c>
      <c r="Q2493" s="372" t="s">
        <v>622</v>
      </c>
      <c r="R2493" s="696">
        <v>20230406</v>
      </c>
      <c r="S2493" s="372" t="s">
        <v>9030</v>
      </c>
      <c r="T2493" s="697">
        <v>9.9000000000000005E-2</v>
      </c>
      <c r="U2493" s="372">
        <v>0</v>
      </c>
      <c r="V2493" s="723">
        <v>0</v>
      </c>
      <c r="W2493" s="723">
        <v>0</v>
      </c>
      <c r="X2493" s="723">
        <v>0</v>
      </c>
      <c r="Y2493" s="723">
        <v>0</v>
      </c>
      <c r="Z2493" s="382" t="s">
        <v>773</v>
      </c>
      <c r="AA2493" s="372">
        <v>0</v>
      </c>
      <c r="AB2493" s="372">
        <v>0</v>
      </c>
      <c r="AC2493" s="372">
        <v>0</v>
      </c>
      <c r="AD2493" s="372">
        <v>0</v>
      </c>
      <c r="AE2493" s="372">
        <v>0</v>
      </c>
      <c r="AF2493" s="372">
        <v>0</v>
      </c>
      <c r="AG2493" s="372">
        <v>0</v>
      </c>
      <c r="AH2493" s="372">
        <v>0</v>
      </c>
    </row>
    <row r="2494" spans="1:34">
      <c r="A2494" s="372" t="s">
        <v>15711</v>
      </c>
      <c r="B2494" s="372" t="s">
        <v>15712</v>
      </c>
      <c r="C2494" s="372" t="s">
        <v>15713</v>
      </c>
      <c r="D2494" s="374">
        <v>1101118542791</v>
      </c>
      <c r="E2494" s="372" t="s">
        <v>15714</v>
      </c>
      <c r="F2494" s="372" t="s">
        <v>1143</v>
      </c>
      <c r="G2494" s="375" t="s">
        <v>1144</v>
      </c>
      <c r="H2494" s="375" t="s">
        <v>895</v>
      </c>
      <c r="I2494" s="375" t="s">
        <v>862</v>
      </c>
      <c r="J2494" s="375">
        <v>0</v>
      </c>
      <c r="K2494" s="375">
        <v>-24.372160000000001</v>
      </c>
      <c r="L2494" s="375">
        <v>307.45235000000002</v>
      </c>
      <c r="M2494" s="375">
        <v>10069.49014</v>
      </c>
      <c r="N2494" s="372" t="s">
        <v>1026</v>
      </c>
      <c r="O2494" s="704">
        <v>11.360915727874039</v>
      </c>
      <c r="P2494" s="563" t="s">
        <v>622</v>
      </c>
      <c r="Q2494" s="372" t="s">
        <v>622</v>
      </c>
      <c r="R2494" s="696">
        <v>20230914</v>
      </c>
      <c r="S2494" s="372" t="s">
        <v>10634</v>
      </c>
      <c r="T2494" s="697">
        <v>0.20900000000000002</v>
      </c>
      <c r="U2494" s="372">
        <v>0</v>
      </c>
      <c r="V2494" s="723">
        <v>0</v>
      </c>
      <c r="W2494" s="723">
        <v>0</v>
      </c>
      <c r="X2494" s="723">
        <v>0</v>
      </c>
      <c r="Y2494" s="723">
        <v>0</v>
      </c>
      <c r="Z2494" s="382" t="s">
        <v>773</v>
      </c>
      <c r="AA2494" s="372">
        <v>0</v>
      </c>
      <c r="AB2494" s="372">
        <v>0</v>
      </c>
      <c r="AC2494" s="372">
        <v>0</v>
      </c>
      <c r="AD2494" s="372">
        <v>0</v>
      </c>
      <c r="AE2494" s="372">
        <v>0</v>
      </c>
      <c r="AF2494" s="372">
        <v>0</v>
      </c>
      <c r="AG2494" s="372">
        <v>0</v>
      </c>
      <c r="AH2494" s="372">
        <v>0</v>
      </c>
    </row>
    <row r="2495" spans="1:34">
      <c r="A2495" s="372" t="s">
        <v>15715</v>
      </c>
      <c r="B2495" s="372" t="s">
        <v>15716</v>
      </c>
      <c r="C2495" s="372" t="s">
        <v>15717</v>
      </c>
      <c r="D2495" s="374">
        <v>1101118406509</v>
      </c>
      <c r="E2495" s="372" t="s">
        <v>15718</v>
      </c>
      <c r="F2495" s="372" t="s">
        <v>1143</v>
      </c>
      <c r="G2495" s="375" t="s">
        <v>1144</v>
      </c>
      <c r="H2495" s="375" t="s">
        <v>895</v>
      </c>
      <c r="I2495" s="375" t="s">
        <v>862</v>
      </c>
      <c r="J2495" s="375">
        <v>0</v>
      </c>
      <c r="K2495" s="375">
        <v>-39.670450000000002</v>
      </c>
      <c r="L2495" s="375">
        <v>222.79168000000001</v>
      </c>
      <c r="M2495" s="375">
        <v>8671.5106300000007</v>
      </c>
      <c r="N2495" s="372">
        <v>0.40300000000000002</v>
      </c>
      <c r="O2495" s="704">
        <v>16.960541871386891</v>
      </c>
      <c r="P2495" s="563" t="s">
        <v>622</v>
      </c>
      <c r="Q2495" s="372" t="s">
        <v>622</v>
      </c>
      <c r="R2495" s="696">
        <v>20221216</v>
      </c>
      <c r="S2495" s="372" t="s">
        <v>9030</v>
      </c>
      <c r="T2495" s="697">
        <v>0.20900000000000002</v>
      </c>
      <c r="U2495" s="372" t="s">
        <v>15680</v>
      </c>
      <c r="V2495" s="723">
        <v>0</v>
      </c>
      <c r="W2495" s="723">
        <v>0</v>
      </c>
      <c r="X2495" s="723">
        <v>0</v>
      </c>
      <c r="Y2495" s="723">
        <v>0</v>
      </c>
      <c r="Z2495" s="382" t="s">
        <v>773</v>
      </c>
      <c r="AA2495" s="372">
        <v>0</v>
      </c>
      <c r="AB2495" s="372">
        <v>0</v>
      </c>
      <c r="AC2495" s="372">
        <v>0</v>
      </c>
      <c r="AD2495" s="372">
        <v>0</v>
      </c>
      <c r="AE2495" s="372">
        <v>0</v>
      </c>
      <c r="AF2495" s="372">
        <v>0</v>
      </c>
      <c r="AG2495" s="372">
        <v>0</v>
      </c>
      <c r="AH2495" s="372">
        <v>0</v>
      </c>
    </row>
    <row r="2496" spans="1:34">
      <c r="A2496" s="372" t="s">
        <v>15719</v>
      </c>
      <c r="B2496" s="372" t="s">
        <v>15720</v>
      </c>
      <c r="C2496" s="372" t="s">
        <v>15721</v>
      </c>
      <c r="D2496" s="374">
        <v>1101118431689</v>
      </c>
      <c r="E2496" s="372" t="s">
        <v>15722</v>
      </c>
      <c r="F2496" s="372" t="s">
        <v>1143</v>
      </c>
      <c r="G2496" s="375" t="s">
        <v>1144</v>
      </c>
      <c r="H2496" s="375" t="s">
        <v>895</v>
      </c>
      <c r="I2496" s="375" t="s">
        <v>862</v>
      </c>
      <c r="J2496" s="375">
        <v>0</v>
      </c>
      <c r="K2496" s="375">
        <v>-46.990969999999997</v>
      </c>
      <c r="L2496" s="375">
        <v>277.26042999999999</v>
      </c>
      <c r="M2496" s="375">
        <v>9666.2453600000008</v>
      </c>
      <c r="N2496" s="372" t="s">
        <v>1026</v>
      </c>
      <c r="O2496" s="704">
        <v>10.272403742905354</v>
      </c>
      <c r="P2496" s="563" t="s">
        <v>622</v>
      </c>
      <c r="Q2496" s="372" t="s">
        <v>622</v>
      </c>
      <c r="R2496" s="696">
        <v>20230317</v>
      </c>
      <c r="S2496" s="372" t="s">
        <v>9018</v>
      </c>
      <c r="T2496" s="697">
        <v>0.20900000000000002</v>
      </c>
      <c r="U2496" s="372">
        <v>0</v>
      </c>
      <c r="V2496" s="723">
        <v>0</v>
      </c>
      <c r="W2496" s="723">
        <v>0</v>
      </c>
      <c r="X2496" s="723">
        <v>0</v>
      </c>
      <c r="Y2496" s="723">
        <v>0</v>
      </c>
      <c r="Z2496" s="382" t="s">
        <v>773</v>
      </c>
      <c r="AA2496" s="372">
        <v>0</v>
      </c>
      <c r="AB2496" s="372">
        <v>0</v>
      </c>
      <c r="AC2496" s="372">
        <v>0</v>
      </c>
      <c r="AD2496" s="372">
        <v>0</v>
      </c>
      <c r="AE2496" s="372">
        <v>0</v>
      </c>
      <c r="AF2496" s="372">
        <v>0</v>
      </c>
      <c r="AG2496" s="372">
        <v>0</v>
      </c>
      <c r="AH2496" s="372">
        <v>0</v>
      </c>
    </row>
    <row r="2497" spans="1:34">
      <c r="A2497" s="372" t="s">
        <v>15723</v>
      </c>
      <c r="B2497" s="372" t="s">
        <v>15724</v>
      </c>
      <c r="C2497" s="372" t="s">
        <v>15725</v>
      </c>
      <c r="D2497" s="374">
        <v>1101118498069</v>
      </c>
      <c r="E2497" s="372" t="s">
        <v>15726</v>
      </c>
      <c r="F2497" s="372" t="s">
        <v>1143</v>
      </c>
      <c r="G2497" s="375" t="s">
        <v>1144</v>
      </c>
      <c r="H2497" s="375" t="s">
        <v>895</v>
      </c>
      <c r="I2497" s="375" t="s">
        <v>862</v>
      </c>
      <c r="J2497" s="375">
        <v>0</v>
      </c>
      <c r="K2497" s="375">
        <v>-36.50206</v>
      </c>
      <c r="L2497" s="375">
        <v>227.92012</v>
      </c>
      <c r="M2497" s="375">
        <v>9084.7445000000007</v>
      </c>
      <c r="N2497" s="372" t="s">
        <v>1026</v>
      </c>
      <c r="O2497" s="704">
        <v>21.207017288670933</v>
      </c>
      <c r="P2497" s="563" t="s">
        <v>622</v>
      </c>
      <c r="Q2497" s="372" t="s">
        <v>622</v>
      </c>
      <c r="R2497" s="696">
        <v>20230727</v>
      </c>
      <c r="S2497" s="372" t="s">
        <v>11492</v>
      </c>
      <c r="T2497" s="697">
        <v>0.20900000000000002</v>
      </c>
      <c r="U2497" s="372">
        <v>0</v>
      </c>
      <c r="V2497" s="723">
        <v>0</v>
      </c>
      <c r="W2497" s="723">
        <v>0</v>
      </c>
      <c r="X2497" s="723">
        <v>0</v>
      </c>
      <c r="Y2497" s="723">
        <v>0</v>
      </c>
      <c r="Z2497" s="382" t="s">
        <v>773</v>
      </c>
      <c r="AA2497" s="372">
        <v>0</v>
      </c>
      <c r="AB2497" s="372">
        <v>0</v>
      </c>
      <c r="AC2497" s="372">
        <v>0</v>
      </c>
      <c r="AD2497" s="372">
        <v>0</v>
      </c>
      <c r="AE2497" s="372">
        <v>0</v>
      </c>
      <c r="AF2497" s="372">
        <v>0</v>
      </c>
      <c r="AG2497" s="372">
        <v>0</v>
      </c>
      <c r="AH2497" s="372">
        <v>0</v>
      </c>
    </row>
    <row r="2498" spans="1:34">
      <c r="A2498" s="372" t="s">
        <v>15727</v>
      </c>
      <c r="B2498" s="372" t="s">
        <v>15728</v>
      </c>
      <c r="C2498" s="372" t="s">
        <v>15729</v>
      </c>
      <c r="D2498" s="374">
        <v>1101118739827</v>
      </c>
      <c r="E2498" s="372" t="s">
        <v>15730</v>
      </c>
      <c r="F2498" s="372" t="s">
        <v>1143</v>
      </c>
      <c r="G2498" s="375" t="s">
        <v>1144</v>
      </c>
      <c r="H2498" s="375" t="s">
        <v>895</v>
      </c>
      <c r="I2498" s="375" t="s">
        <v>862</v>
      </c>
      <c r="J2498" s="375">
        <v>0</v>
      </c>
      <c r="K2498" s="375">
        <v>-69.847269999999995</v>
      </c>
      <c r="L2498" s="375">
        <v>96.262129999999999</v>
      </c>
      <c r="M2498" s="375">
        <v>8483.8182899999993</v>
      </c>
      <c r="N2498" s="372" t="s">
        <v>1026</v>
      </c>
      <c r="O2498" s="704">
        <v>15.895558375084045</v>
      </c>
      <c r="P2498" s="563" t="s">
        <v>622</v>
      </c>
      <c r="Q2498" s="372" t="s">
        <v>622</v>
      </c>
      <c r="R2498" s="696">
        <v>20231222</v>
      </c>
      <c r="S2498" s="372" t="s">
        <v>9030</v>
      </c>
      <c r="T2498" s="697">
        <v>9.9000000000000005E-2</v>
      </c>
      <c r="U2498" s="372" t="s">
        <v>15680</v>
      </c>
      <c r="V2498" s="723">
        <v>0</v>
      </c>
      <c r="W2498" s="723">
        <v>0</v>
      </c>
      <c r="X2498" s="723">
        <v>0</v>
      </c>
      <c r="Y2498" s="723">
        <v>0</v>
      </c>
      <c r="Z2498" s="382" t="s">
        <v>773</v>
      </c>
      <c r="AA2498" s="372">
        <v>0</v>
      </c>
      <c r="AB2498" s="372">
        <v>0</v>
      </c>
      <c r="AC2498" s="372">
        <v>0</v>
      </c>
      <c r="AD2498" s="372">
        <v>0</v>
      </c>
      <c r="AE2498" s="372">
        <v>0</v>
      </c>
      <c r="AF2498" s="372">
        <v>0</v>
      </c>
      <c r="AG2498" s="372">
        <v>0</v>
      </c>
      <c r="AH2498" s="372">
        <v>0</v>
      </c>
    </row>
    <row r="2499" spans="1:34">
      <c r="A2499" s="372" t="s">
        <v>15731</v>
      </c>
      <c r="B2499" s="372" t="s">
        <v>15732</v>
      </c>
      <c r="C2499" s="372" t="s">
        <v>15733</v>
      </c>
      <c r="D2499" s="374">
        <v>1101118692504</v>
      </c>
      <c r="E2499" s="372" t="s">
        <v>15734</v>
      </c>
      <c r="F2499" s="372" t="s">
        <v>1143</v>
      </c>
      <c r="G2499" s="375" t="s">
        <v>1144</v>
      </c>
      <c r="H2499" s="375" t="s">
        <v>895</v>
      </c>
      <c r="I2499" s="375" t="s">
        <v>862</v>
      </c>
      <c r="J2499" s="375">
        <v>0</v>
      </c>
      <c r="K2499" s="375">
        <v>-69.901790000000005</v>
      </c>
      <c r="L2499" s="375">
        <v>141.07731999999999</v>
      </c>
      <c r="M2499" s="375">
        <v>8535.9917399999995</v>
      </c>
      <c r="N2499" s="372" t="s">
        <v>1026</v>
      </c>
      <c r="O2499" s="704">
        <v>15.224140517832646</v>
      </c>
      <c r="P2499" s="563" t="s">
        <v>622</v>
      </c>
      <c r="Q2499" s="372" t="s">
        <v>622</v>
      </c>
      <c r="R2499" s="696">
        <v>20231113</v>
      </c>
      <c r="S2499" s="372" t="s">
        <v>9018</v>
      </c>
      <c r="T2499" s="697">
        <v>9.9000000000000005E-2</v>
      </c>
      <c r="U2499" s="372">
        <v>0</v>
      </c>
      <c r="V2499" s="723">
        <v>0</v>
      </c>
      <c r="W2499" s="723">
        <v>0</v>
      </c>
      <c r="X2499" s="723">
        <v>0</v>
      </c>
      <c r="Y2499" s="723">
        <v>0</v>
      </c>
      <c r="Z2499" s="382" t="s">
        <v>773</v>
      </c>
      <c r="AA2499" s="372">
        <v>0</v>
      </c>
      <c r="AB2499" s="372">
        <v>0</v>
      </c>
      <c r="AC2499" s="372">
        <v>0</v>
      </c>
      <c r="AD2499" s="372">
        <v>0</v>
      </c>
      <c r="AE2499" s="372">
        <v>0</v>
      </c>
      <c r="AF2499" s="372">
        <v>0</v>
      </c>
      <c r="AG2499" s="372">
        <v>0</v>
      </c>
      <c r="AH2499" s="372">
        <v>0</v>
      </c>
    </row>
    <row r="2500" spans="1:34">
      <c r="A2500" s="372" t="s">
        <v>15735</v>
      </c>
      <c r="B2500" s="372" t="s">
        <v>15736</v>
      </c>
      <c r="C2500" s="372" t="s">
        <v>15737</v>
      </c>
      <c r="D2500" s="374">
        <v>1101118597639</v>
      </c>
      <c r="E2500" s="372" t="s">
        <v>15738</v>
      </c>
      <c r="F2500" s="372" t="s">
        <v>1143</v>
      </c>
      <c r="G2500" s="375" t="s">
        <v>1144</v>
      </c>
      <c r="H2500" s="375" t="s">
        <v>895</v>
      </c>
      <c r="I2500" s="375" t="s">
        <v>862</v>
      </c>
      <c r="J2500" s="375">
        <v>0</v>
      </c>
      <c r="K2500" s="375">
        <v>-46.207949999999997</v>
      </c>
      <c r="L2500" s="375">
        <v>108.53343</v>
      </c>
      <c r="M2500" s="375">
        <v>8352.6459599999998</v>
      </c>
      <c r="N2500" s="372" t="s">
        <v>1026</v>
      </c>
      <c r="O2500" s="704">
        <v>18.521112221112222</v>
      </c>
      <c r="P2500" s="563" t="s">
        <v>622</v>
      </c>
      <c r="Q2500" s="372" t="s">
        <v>622</v>
      </c>
      <c r="R2500" s="696">
        <v>20230706</v>
      </c>
      <c r="S2500" s="372" t="s">
        <v>2850</v>
      </c>
      <c r="T2500" s="697">
        <v>9.9000000000000005E-2</v>
      </c>
      <c r="U2500" s="372">
        <v>0</v>
      </c>
      <c r="V2500" s="723">
        <v>0</v>
      </c>
      <c r="W2500" s="723">
        <v>0</v>
      </c>
      <c r="X2500" s="723">
        <v>0</v>
      </c>
      <c r="Y2500" s="723">
        <v>0</v>
      </c>
      <c r="Z2500" s="382" t="s">
        <v>773</v>
      </c>
      <c r="AA2500" s="372">
        <v>0</v>
      </c>
      <c r="AB2500" s="372">
        <v>0</v>
      </c>
      <c r="AC2500" s="372">
        <v>0</v>
      </c>
      <c r="AD2500" s="372">
        <v>0</v>
      </c>
      <c r="AE2500" s="372">
        <v>0</v>
      </c>
      <c r="AF2500" s="372">
        <v>0</v>
      </c>
      <c r="AG2500" s="372">
        <v>0</v>
      </c>
      <c r="AH2500" s="372">
        <v>0</v>
      </c>
    </row>
    <row r="2501" spans="1:34">
      <c r="A2501" s="372" t="s">
        <v>15739</v>
      </c>
      <c r="B2501" s="372" t="s">
        <v>15740</v>
      </c>
      <c r="C2501" s="372" t="s">
        <v>15741</v>
      </c>
      <c r="D2501" s="374">
        <v>1101118581369</v>
      </c>
      <c r="E2501" s="372" t="s">
        <v>15742</v>
      </c>
      <c r="F2501" s="372" t="s">
        <v>1143</v>
      </c>
      <c r="G2501" s="375" t="s">
        <v>1144</v>
      </c>
      <c r="H2501" s="375" t="s">
        <v>895</v>
      </c>
      <c r="I2501" s="375" t="s">
        <v>862</v>
      </c>
      <c r="J2501" s="375">
        <v>0</v>
      </c>
      <c r="K2501" s="375">
        <v>-91.622299999999996</v>
      </c>
      <c r="L2501" s="375">
        <v>180.26295999999999</v>
      </c>
      <c r="M2501" s="375">
        <v>8542.4987299999993</v>
      </c>
      <c r="N2501" s="372" t="s">
        <v>1026</v>
      </c>
      <c r="O2501" s="704">
        <v>11.438382078625979</v>
      </c>
      <c r="P2501" s="563" t="s">
        <v>16115</v>
      </c>
      <c r="Q2501" s="372" t="s">
        <v>622</v>
      </c>
      <c r="R2501" s="696">
        <v>20230623</v>
      </c>
      <c r="S2501" s="372" t="s">
        <v>9018</v>
      </c>
      <c r="T2501" s="697">
        <v>9.9000000000000005E-2</v>
      </c>
      <c r="U2501" s="372">
        <v>0</v>
      </c>
      <c r="V2501" s="723">
        <v>0</v>
      </c>
      <c r="W2501" s="723">
        <v>0</v>
      </c>
      <c r="X2501" s="723">
        <v>0</v>
      </c>
      <c r="Y2501" s="723">
        <v>0</v>
      </c>
      <c r="Z2501" s="382" t="s">
        <v>773</v>
      </c>
      <c r="AA2501" s="372">
        <v>0</v>
      </c>
      <c r="AB2501" s="372">
        <v>0</v>
      </c>
      <c r="AC2501" s="372">
        <v>0</v>
      </c>
      <c r="AD2501" s="372">
        <v>0</v>
      </c>
      <c r="AE2501" s="372">
        <v>0</v>
      </c>
      <c r="AF2501" s="372">
        <v>0</v>
      </c>
      <c r="AG2501" s="372">
        <v>0</v>
      </c>
      <c r="AH2501" s="372">
        <v>0</v>
      </c>
    </row>
    <row r="2502" spans="1:34">
      <c r="A2502" s="372" t="s">
        <v>15743</v>
      </c>
      <c r="B2502" s="372" t="s">
        <v>15744</v>
      </c>
      <c r="C2502" s="372" t="s">
        <v>15745</v>
      </c>
      <c r="D2502" s="374">
        <v>1101118424600</v>
      </c>
      <c r="E2502" s="372" t="s">
        <v>15746</v>
      </c>
      <c r="F2502" s="372" t="s">
        <v>1143</v>
      </c>
      <c r="G2502" s="375" t="s">
        <v>1144</v>
      </c>
      <c r="H2502" s="375" t="s">
        <v>895</v>
      </c>
      <c r="I2502" s="375" t="s">
        <v>862</v>
      </c>
      <c r="J2502" s="375">
        <v>0</v>
      </c>
      <c r="K2502" s="375">
        <v>-36.40372</v>
      </c>
      <c r="L2502" s="375">
        <v>294.47062</v>
      </c>
      <c r="M2502" s="375">
        <v>8875.6589399999993</v>
      </c>
      <c r="N2502" s="372">
        <v>0.35299999999999998</v>
      </c>
      <c r="O2502" s="704">
        <v>13.094630427577062</v>
      </c>
      <c r="P2502" s="563" t="s">
        <v>622</v>
      </c>
      <c r="Q2502" s="372" t="s">
        <v>622</v>
      </c>
      <c r="R2502" s="696">
        <v>20221222</v>
      </c>
      <c r="S2502" s="372" t="s">
        <v>9018</v>
      </c>
      <c r="T2502" s="697">
        <v>0.20900000000000002</v>
      </c>
      <c r="U2502" s="372" t="s">
        <v>15747</v>
      </c>
      <c r="V2502" s="723">
        <v>0</v>
      </c>
      <c r="W2502" s="723">
        <v>0</v>
      </c>
      <c r="X2502" s="723">
        <v>0</v>
      </c>
      <c r="Y2502" s="723">
        <v>0</v>
      </c>
      <c r="Z2502" s="382" t="s">
        <v>773</v>
      </c>
      <c r="AA2502" s="372">
        <v>0</v>
      </c>
      <c r="AB2502" s="372">
        <v>0</v>
      </c>
      <c r="AC2502" s="372">
        <v>0</v>
      </c>
      <c r="AD2502" s="372">
        <v>0</v>
      </c>
      <c r="AE2502" s="372">
        <v>0</v>
      </c>
      <c r="AF2502" s="372">
        <v>0</v>
      </c>
      <c r="AG2502" s="372">
        <v>0</v>
      </c>
      <c r="AH2502" s="372">
        <v>0</v>
      </c>
    </row>
    <row r="2503" spans="1:34">
      <c r="A2503" s="372" t="s">
        <v>15748</v>
      </c>
      <c r="B2503" s="372" t="s">
        <v>15749</v>
      </c>
      <c r="C2503" s="372" t="s">
        <v>15750</v>
      </c>
      <c r="D2503" s="374">
        <v>1101118627642</v>
      </c>
      <c r="E2503" s="372" t="s">
        <v>15751</v>
      </c>
      <c r="F2503" s="372" t="s">
        <v>1143</v>
      </c>
      <c r="G2503" s="375" t="s">
        <v>1144</v>
      </c>
      <c r="H2503" s="375" t="s">
        <v>895</v>
      </c>
      <c r="I2503" s="375" t="s">
        <v>862</v>
      </c>
      <c r="J2503" s="375">
        <v>0</v>
      </c>
      <c r="K2503" s="375">
        <v>-63.116379999999999</v>
      </c>
      <c r="L2503" s="375">
        <v>128.85012</v>
      </c>
      <c r="M2503" s="375">
        <v>8540.1980800000001</v>
      </c>
      <c r="N2503" s="372" t="s">
        <v>1026</v>
      </c>
      <c r="O2503" s="704">
        <v>21.283617293008341</v>
      </c>
      <c r="P2503" s="563" t="s">
        <v>622</v>
      </c>
      <c r="Q2503" s="372" t="s">
        <v>622</v>
      </c>
      <c r="R2503" s="696">
        <v>20230830</v>
      </c>
      <c r="S2503" s="372" t="s">
        <v>9018</v>
      </c>
      <c r="T2503" s="697">
        <v>9.9000000000000005E-2</v>
      </c>
      <c r="U2503" s="372">
        <v>0</v>
      </c>
      <c r="V2503" s="723">
        <v>0</v>
      </c>
      <c r="W2503" s="723">
        <v>0</v>
      </c>
      <c r="X2503" s="723">
        <v>0</v>
      </c>
      <c r="Y2503" s="723">
        <v>0</v>
      </c>
      <c r="Z2503" s="382" t="s">
        <v>773</v>
      </c>
      <c r="AA2503" s="372">
        <v>0</v>
      </c>
      <c r="AB2503" s="372">
        <v>0</v>
      </c>
      <c r="AC2503" s="372">
        <v>0</v>
      </c>
      <c r="AD2503" s="372">
        <v>0</v>
      </c>
      <c r="AE2503" s="372">
        <v>0</v>
      </c>
      <c r="AF2503" s="372">
        <v>0</v>
      </c>
      <c r="AG2503" s="372">
        <v>0</v>
      </c>
      <c r="AH2503" s="372">
        <v>0</v>
      </c>
    </row>
    <row r="2504" spans="1:34">
      <c r="A2504" s="372" t="s">
        <v>15752</v>
      </c>
      <c r="B2504" s="372" t="s">
        <v>15753</v>
      </c>
      <c r="C2504" s="372" t="s">
        <v>15754</v>
      </c>
      <c r="D2504" s="374">
        <v>1101118381529</v>
      </c>
      <c r="E2504" s="372" t="s">
        <v>15755</v>
      </c>
      <c r="F2504" s="372" t="s">
        <v>1143</v>
      </c>
      <c r="G2504" s="375" t="s">
        <v>1144</v>
      </c>
      <c r="H2504" s="375" t="s">
        <v>895</v>
      </c>
      <c r="I2504" s="375" t="s">
        <v>862</v>
      </c>
      <c r="J2504" s="375">
        <v>0</v>
      </c>
      <c r="K2504" s="375">
        <v>-52.446089999999998</v>
      </c>
      <c r="L2504" s="375">
        <v>186.05466000000001</v>
      </c>
      <c r="M2504" s="375">
        <v>8319.0525099999995</v>
      </c>
      <c r="N2504" s="372">
        <v>0.34100000000000003</v>
      </c>
      <c r="O2504" s="704">
        <v>21.404268961444362</v>
      </c>
      <c r="P2504" s="563" t="s">
        <v>622</v>
      </c>
      <c r="Q2504" s="372" t="s">
        <v>622</v>
      </c>
      <c r="R2504" s="696">
        <v>20221102</v>
      </c>
      <c r="S2504" s="372" t="s">
        <v>2850</v>
      </c>
      <c r="T2504" s="697">
        <v>9.9000000000000005E-2</v>
      </c>
      <c r="U2504" s="372">
        <v>0</v>
      </c>
      <c r="V2504" s="723">
        <v>0</v>
      </c>
      <c r="W2504" s="723">
        <v>0</v>
      </c>
      <c r="X2504" s="723">
        <v>0</v>
      </c>
      <c r="Y2504" s="723">
        <v>0</v>
      </c>
      <c r="Z2504" s="382" t="s">
        <v>773</v>
      </c>
      <c r="AA2504" s="372">
        <v>0</v>
      </c>
      <c r="AB2504" s="372">
        <v>0</v>
      </c>
      <c r="AC2504" s="372">
        <v>0</v>
      </c>
      <c r="AD2504" s="372">
        <v>0</v>
      </c>
      <c r="AE2504" s="372">
        <v>0</v>
      </c>
      <c r="AF2504" s="372">
        <v>0</v>
      </c>
      <c r="AG2504" s="372">
        <v>0</v>
      </c>
      <c r="AH2504" s="372">
        <v>0</v>
      </c>
    </row>
    <row r="2505" spans="1:34">
      <c r="A2505" s="372" t="s">
        <v>15756</v>
      </c>
      <c r="B2505" s="372" t="s">
        <v>15757</v>
      </c>
      <c r="C2505" s="372" t="s">
        <v>15758</v>
      </c>
      <c r="D2505" s="374">
        <v>1101118657029</v>
      </c>
      <c r="E2505" s="372" t="s">
        <v>15759</v>
      </c>
      <c r="F2505" s="372" t="s">
        <v>1143</v>
      </c>
      <c r="G2505" s="375" t="s">
        <v>1144</v>
      </c>
      <c r="H2505" s="375" t="s">
        <v>895</v>
      </c>
      <c r="I2505" s="375" t="s">
        <v>862</v>
      </c>
      <c r="J2505" s="375">
        <v>0</v>
      </c>
      <c r="K2505" s="375">
        <v>-29.935790000000001</v>
      </c>
      <c r="L2505" s="375">
        <v>249.55916999999999</v>
      </c>
      <c r="M2505" s="375">
        <v>8516.4136400000007</v>
      </c>
      <c r="N2505" s="372" t="s">
        <v>1026</v>
      </c>
      <c r="O2505" s="704">
        <v>10.120117782440941</v>
      </c>
      <c r="P2505" s="563" t="s">
        <v>622</v>
      </c>
      <c r="Q2505" s="372" t="s">
        <v>622</v>
      </c>
      <c r="R2505" s="696">
        <v>20231013</v>
      </c>
      <c r="S2505" s="372" t="s">
        <v>10634</v>
      </c>
      <c r="T2505" s="697">
        <v>0.20900000000000002</v>
      </c>
      <c r="U2505" s="372">
        <v>0</v>
      </c>
      <c r="V2505" s="723">
        <v>0</v>
      </c>
      <c r="W2505" s="723">
        <v>0</v>
      </c>
      <c r="X2505" s="723">
        <v>0</v>
      </c>
      <c r="Y2505" s="723">
        <v>0</v>
      </c>
      <c r="Z2505" s="382" t="s">
        <v>773</v>
      </c>
      <c r="AA2505" s="372">
        <v>0</v>
      </c>
      <c r="AB2505" s="372">
        <v>0</v>
      </c>
      <c r="AC2505" s="372">
        <v>0</v>
      </c>
      <c r="AD2505" s="372">
        <v>0</v>
      </c>
      <c r="AE2505" s="372">
        <v>0</v>
      </c>
      <c r="AF2505" s="372">
        <v>0</v>
      </c>
      <c r="AG2505" s="372">
        <v>0</v>
      </c>
      <c r="AH2505" s="372">
        <v>0</v>
      </c>
    </row>
    <row r="2506" spans="1:34">
      <c r="A2506" s="372" t="s">
        <v>15760</v>
      </c>
      <c r="B2506" s="372" t="s">
        <v>15761</v>
      </c>
      <c r="C2506" s="372" t="s">
        <v>15762</v>
      </c>
      <c r="D2506" s="374">
        <v>1101118155015</v>
      </c>
      <c r="E2506" s="372" t="s">
        <v>15763</v>
      </c>
      <c r="F2506" s="372" t="s">
        <v>1143</v>
      </c>
      <c r="G2506" s="375" t="s">
        <v>1144</v>
      </c>
      <c r="H2506" s="375" t="s">
        <v>895</v>
      </c>
      <c r="I2506" s="375" t="s">
        <v>862</v>
      </c>
      <c r="J2506" s="375">
        <v>0</v>
      </c>
      <c r="K2506" s="375">
        <v>-62.07808</v>
      </c>
      <c r="L2506" s="375">
        <v>175.92785000000001</v>
      </c>
      <c r="M2506" s="375">
        <v>7149.8955999999998</v>
      </c>
      <c r="N2506" s="372">
        <v>0.46600000000000003</v>
      </c>
      <c r="O2506" s="704">
        <v>12.447052953132035</v>
      </c>
      <c r="P2506" s="563" t="s">
        <v>16115</v>
      </c>
      <c r="Q2506" s="372" t="s">
        <v>622</v>
      </c>
      <c r="R2506" s="696">
        <v>20220729</v>
      </c>
      <c r="S2506" s="372" t="s">
        <v>14470</v>
      </c>
      <c r="T2506" s="697">
        <v>9.9000000000000005E-2</v>
      </c>
      <c r="U2506" s="372">
        <v>0</v>
      </c>
      <c r="V2506" s="723">
        <v>0</v>
      </c>
      <c r="W2506" s="723">
        <v>0</v>
      </c>
      <c r="X2506" s="723">
        <v>0</v>
      </c>
      <c r="Y2506" s="723">
        <v>0</v>
      </c>
      <c r="Z2506" s="382" t="s">
        <v>773</v>
      </c>
      <c r="AA2506" s="372">
        <v>0</v>
      </c>
      <c r="AB2506" s="372">
        <v>0</v>
      </c>
      <c r="AC2506" s="372">
        <v>0</v>
      </c>
      <c r="AD2506" s="372">
        <v>0</v>
      </c>
      <c r="AE2506" s="372">
        <v>0</v>
      </c>
      <c r="AF2506" s="372">
        <v>0</v>
      </c>
      <c r="AG2506" s="372">
        <v>0</v>
      </c>
      <c r="AH2506" s="372">
        <v>0</v>
      </c>
    </row>
    <row r="2507" spans="1:34">
      <c r="A2507" s="372" t="s">
        <v>15764</v>
      </c>
      <c r="B2507" s="372" t="s">
        <v>15765</v>
      </c>
      <c r="C2507" s="372" t="s">
        <v>15766</v>
      </c>
      <c r="D2507" s="374">
        <v>1101118306949</v>
      </c>
      <c r="E2507" s="372" t="s">
        <v>15767</v>
      </c>
      <c r="F2507" s="372" t="s">
        <v>1143</v>
      </c>
      <c r="G2507" s="375" t="s">
        <v>1144</v>
      </c>
      <c r="H2507" s="375" t="s">
        <v>895</v>
      </c>
      <c r="I2507" s="375" t="s">
        <v>862</v>
      </c>
      <c r="J2507" s="375">
        <v>0</v>
      </c>
      <c r="K2507" s="375">
        <v>-27.862950000000001</v>
      </c>
      <c r="L2507" s="375">
        <v>224.76082</v>
      </c>
      <c r="M2507" s="375">
        <v>8482.7718700000005</v>
      </c>
      <c r="N2507" s="372">
        <v>0.38700000000000001</v>
      </c>
      <c r="O2507" s="704">
        <v>12.452637688090487</v>
      </c>
      <c r="P2507" s="563" t="s">
        <v>622</v>
      </c>
      <c r="Q2507" s="372" t="s">
        <v>622</v>
      </c>
      <c r="R2507" s="696">
        <v>20220907</v>
      </c>
      <c r="S2507" s="372" t="s">
        <v>13413</v>
      </c>
      <c r="T2507" s="697">
        <v>0.20900000000000002</v>
      </c>
      <c r="U2507" s="372">
        <v>0</v>
      </c>
      <c r="V2507" s="723">
        <v>0</v>
      </c>
      <c r="W2507" s="723">
        <v>0</v>
      </c>
      <c r="X2507" s="723">
        <v>0</v>
      </c>
      <c r="Y2507" s="723">
        <v>0</v>
      </c>
      <c r="Z2507" s="382" t="s">
        <v>773</v>
      </c>
      <c r="AA2507" s="372">
        <v>0</v>
      </c>
      <c r="AB2507" s="372">
        <v>0</v>
      </c>
      <c r="AC2507" s="372">
        <v>0</v>
      </c>
      <c r="AD2507" s="372">
        <v>0</v>
      </c>
      <c r="AE2507" s="372">
        <v>0</v>
      </c>
      <c r="AF2507" s="372">
        <v>0</v>
      </c>
      <c r="AG2507" s="372">
        <v>0</v>
      </c>
      <c r="AH2507" s="372">
        <v>0</v>
      </c>
    </row>
    <row r="2508" spans="1:34">
      <c r="A2508" s="372" t="s">
        <v>15768</v>
      </c>
      <c r="B2508" s="372" t="s">
        <v>15769</v>
      </c>
      <c r="C2508" s="372" t="s">
        <v>15770</v>
      </c>
      <c r="D2508" s="374">
        <v>1101117866803</v>
      </c>
      <c r="E2508" s="372" t="s">
        <v>15771</v>
      </c>
      <c r="F2508" s="372" t="s">
        <v>1143</v>
      </c>
      <c r="G2508" s="375" t="s">
        <v>1144</v>
      </c>
      <c r="H2508" s="375" t="s">
        <v>895</v>
      </c>
      <c r="I2508" s="375" t="s">
        <v>4413</v>
      </c>
      <c r="J2508" s="375">
        <v>0</v>
      </c>
      <c r="K2508" s="375">
        <v>0</v>
      </c>
      <c r="L2508" s="375">
        <v>0</v>
      </c>
      <c r="M2508" s="375">
        <v>0</v>
      </c>
      <c r="N2508" s="372" t="s">
        <v>1026</v>
      </c>
      <c r="O2508" s="704" t="s">
        <v>16301</v>
      </c>
      <c r="P2508" s="563" t="s">
        <v>622</v>
      </c>
      <c r="Q2508" s="372" t="s">
        <v>622</v>
      </c>
      <c r="R2508" s="696">
        <v>20210805</v>
      </c>
      <c r="S2508" s="372" t="e">
        <v>#N/A</v>
      </c>
      <c r="T2508" s="697" t="s">
        <v>771</v>
      </c>
      <c r="U2508" s="372" t="s">
        <v>15772</v>
      </c>
      <c r="V2508" s="723">
        <v>0</v>
      </c>
      <c r="W2508" s="723">
        <v>0</v>
      </c>
      <c r="X2508" s="723">
        <v>0</v>
      </c>
      <c r="Y2508" s="723">
        <v>0</v>
      </c>
      <c r="Z2508" s="382" t="s">
        <v>773</v>
      </c>
      <c r="AA2508" s="372">
        <v>0</v>
      </c>
      <c r="AB2508" s="372">
        <v>0</v>
      </c>
      <c r="AC2508" s="372">
        <v>0</v>
      </c>
      <c r="AD2508" s="372">
        <v>0</v>
      </c>
      <c r="AE2508" s="372">
        <v>0</v>
      </c>
      <c r="AF2508" s="372">
        <v>0</v>
      </c>
      <c r="AG2508" s="372">
        <v>0</v>
      </c>
      <c r="AH2508" s="372">
        <v>0</v>
      </c>
    </row>
    <row r="2509" spans="1:34">
      <c r="A2509" s="372" t="s">
        <v>15773</v>
      </c>
      <c r="B2509" s="372" t="s">
        <v>15774</v>
      </c>
      <c r="C2509" s="372" t="s">
        <v>15775</v>
      </c>
      <c r="D2509" s="374">
        <v>1101118327721</v>
      </c>
      <c r="E2509" s="372" t="s">
        <v>15776</v>
      </c>
      <c r="F2509" s="372" t="s">
        <v>1143</v>
      </c>
      <c r="G2509" s="375" t="s">
        <v>1144</v>
      </c>
      <c r="H2509" s="375" t="s">
        <v>895</v>
      </c>
      <c r="I2509" s="375" t="s">
        <v>862</v>
      </c>
      <c r="J2509" s="375">
        <v>0</v>
      </c>
      <c r="K2509" s="375">
        <v>-37.973790000000001</v>
      </c>
      <c r="L2509" s="375">
        <v>206.62427</v>
      </c>
      <c r="M2509" s="375">
        <v>7514.3264300000001</v>
      </c>
      <c r="N2509" s="372">
        <v>0.40400000000000003</v>
      </c>
      <c r="O2509" s="704">
        <v>9.0698797329664167</v>
      </c>
      <c r="P2509" s="563" t="s">
        <v>622</v>
      </c>
      <c r="Q2509" s="372" t="s">
        <v>622</v>
      </c>
      <c r="R2509" s="696">
        <v>20221006</v>
      </c>
      <c r="S2509" s="372" t="s">
        <v>12468</v>
      </c>
      <c r="T2509" s="697">
        <v>0.20900000000000002</v>
      </c>
      <c r="U2509" s="372">
        <v>0</v>
      </c>
      <c r="V2509" s="723">
        <v>0</v>
      </c>
      <c r="W2509" s="723">
        <v>0</v>
      </c>
      <c r="X2509" s="723">
        <v>0</v>
      </c>
      <c r="Y2509" s="723">
        <v>0</v>
      </c>
      <c r="Z2509" s="382" t="s">
        <v>773</v>
      </c>
      <c r="AA2509" s="372">
        <v>0</v>
      </c>
      <c r="AB2509" s="372">
        <v>0</v>
      </c>
      <c r="AC2509" s="372">
        <v>0</v>
      </c>
      <c r="AD2509" s="372">
        <v>0</v>
      </c>
      <c r="AE2509" s="372">
        <v>0</v>
      </c>
      <c r="AF2509" s="372">
        <v>0</v>
      </c>
      <c r="AG2509" s="372">
        <v>0</v>
      </c>
      <c r="AH2509" s="372">
        <v>0</v>
      </c>
    </row>
    <row r="2510" spans="1:34">
      <c r="A2510" s="372" t="s">
        <v>15777</v>
      </c>
      <c r="B2510" s="372" t="s">
        <v>15778</v>
      </c>
      <c r="C2510" s="372" t="s">
        <v>15779</v>
      </c>
      <c r="D2510" s="374">
        <v>1101118711974</v>
      </c>
      <c r="E2510" s="372" t="s">
        <v>15780</v>
      </c>
      <c r="F2510" s="372" t="s">
        <v>1143</v>
      </c>
      <c r="G2510" s="375" t="s">
        <v>1144</v>
      </c>
      <c r="H2510" s="375" t="s">
        <v>895</v>
      </c>
      <c r="I2510" s="375" t="s">
        <v>862</v>
      </c>
      <c r="J2510" s="375">
        <v>0</v>
      </c>
      <c r="K2510" s="375">
        <v>-56.63232</v>
      </c>
      <c r="L2510" s="375">
        <v>109.66101999999999</v>
      </c>
      <c r="M2510" s="375">
        <v>7550.5661399999999</v>
      </c>
      <c r="N2510" s="372" t="s">
        <v>1026</v>
      </c>
      <c r="O2510" s="704">
        <v>16.936933106985482</v>
      </c>
      <c r="P2510" s="563" t="s">
        <v>622</v>
      </c>
      <c r="Q2510" s="372" t="s">
        <v>622</v>
      </c>
      <c r="R2510" s="696">
        <v>20231205</v>
      </c>
      <c r="S2510" s="372" t="s">
        <v>9018</v>
      </c>
      <c r="T2510" s="697">
        <v>9.9000000000000005E-2</v>
      </c>
      <c r="U2510" s="372">
        <v>0</v>
      </c>
      <c r="V2510" s="723">
        <v>0</v>
      </c>
      <c r="W2510" s="723">
        <v>0</v>
      </c>
      <c r="X2510" s="723">
        <v>0</v>
      </c>
      <c r="Y2510" s="723">
        <v>0</v>
      </c>
      <c r="Z2510" s="382" t="s">
        <v>773</v>
      </c>
      <c r="AA2510" s="372">
        <v>0</v>
      </c>
      <c r="AB2510" s="372">
        <v>0</v>
      </c>
      <c r="AC2510" s="372">
        <v>0</v>
      </c>
      <c r="AD2510" s="372">
        <v>0</v>
      </c>
      <c r="AE2510" s="372">
        <v>0</v>
      </c>
      <c r="AF2510" s="372">
        <v>0</v>
      </c>
      <c r="AG2510" s="372">
        <v>0</v>
      </c>
      <c r="AH2510" s="372">
        <v>0</v>
      </c>
    </row>
    <row r="2511" spans="1:34">
      <c r="A2511" s="372" t="s">
        <v>15781</v>
      </c>
      <c r="B2511" s="372" t="s">
        <v>15782</v>
      </c>
      <c r="C2511" s="372" t="s">
        <v>15783</v>
      </c>
      <c r="D2511" s="374">
        <v>1101118399366</v>
      </c>
      <c r="E2511" s="372" t="s">
        <v>15784</v>
      </c>
      <c r="F2511" s="372" t="s">
        <v>1143</v>
      </c>
      <c r="G2511" s="375" t="s">
        <v>1144</v>
      </c>
      <c r="H2511" s="375" t="s">
        <v>895</v>
      </c>
      <c r="I2511" s="375" t="s">
        <v>862</v>
      </c>
      <c r="J2511" s="375">
        <v>0</v>
      </c>
      <c r="K2511" s="375">
        <v>-40.186959999999999</v>
      </c>
      <c r="L2511" s="375">
        <v>215.33152999999999</v>
      </c>
      <c r="M2511" s="375">
        <v>7153.39966</v>
      </c>
      <c r="N2511" s="372">
        <v>0.38200000000000001</v>
      </c>
      <c r="O2511" s="704">
        <v>14.124141066441515</v>
      </c>
      <c r="P2511" s="563" t="s">
        <v>622</v>
      </c>
      <c r="Q2511" s="372" t="s">
        <v>622</v>
      </c>
      <c r="R2511" s="696">
        <v>20221201</v>
      </c>
      <c r="S2511" s="372" t="s">
        <v>9018</v>
      </c>
      <c r="T2511" s="697">
        <v>0.20900000000000002</v>
      </c>
      <c r="U2511" s="372">
        <v>0</v>
      </c>
      <c r="V2511" s="723">
        <v>0</v>
      </c>
      <c r="W2511" s="723">
        <v>0</v>
      </c>
      <c r="X2511" s="723">
        <v>0</v>
      </c>
      <c r="Y2511" s="723">
        <v>0</v>
      </c>
      <c r="Z2511" s="382" t="s">
        <v>773</v>
      </c>
      <c r="AA2511" s="372">
        <v>0</v>
      </c>
      <c r="AB2511" s="372">
        <v>0</v>
      </c>
      <c r="AC2511" s="372">
        <v>0</v>
      </c>
      <c r="AD2511" s="372">
        <v>0</v>
      </c>
      <c r="AE2511" s="372">
        <v>0</v>
      </c>
      <c r="AF2511" s="372">
        <v>0</v>
      </c>
      <c r="AG2511" s="372">
        <v>0</v>
      </c>
      <c r="AH2511" s="372">
        <v>0</v>
      </c>
    </row>
    <row r="2512" spans="1:34">
      <c r="A2512" s="372" t="s">
        <v>15785</v>
      </c>
      <c r="B2512" s="372" t="s">
        <v>15786</v>
      </c>
      <c r="C2512" s="372" t="s">
        <v>16099</v>
      </c>
      <c r="D2512" s="374">
        <v>1101114122604</v>
      </c>
      <c r="E2512" s="372" t="s">
        <v>15787</v>
      </c>
      <c r="F2512" s="372" t="s">
        <v>3591</v>
      </c>
      <c r="G2512" s="375" t="s">
        <v>3592</v>
      </c>
      <c r="H2512" s="375" t="s">
        <v>1377</v>
      </c>
      <c r="I2512" s="375" t="s">
        <v>4413</v>
      </c>
      <c r="J2512" s="375">
        <v>4131.0406999999996</v>
      </c>
      <c r="K2512" s="375">
        <v>-1736.77811</v>
      </c>
      <c r="L2512" s="375">
        <v>-7375.8125799999998</v>
      </c>
      <c r="M2512" s="375">
        <v>18958.712</v>
      </c>
      <c r="N2512" s="372" t="s">
        <v>1026</v>
      </c>
      <c r="O2512" s="704" t="e">
        <v>#DIV/0!</v>
      </c>
      <c r="P2512" s="563" t="s">
        <v>622</v>
      </c>
      <c r="Q2512" s="372" t="s">
        <v>622</v>
      </c>
      <c r="R2512" s="696">
        <v>20131113</v>
      </c>
      <c r="S2512" s="372" t="e">
        <v>#N/A</v>
      </c>
      <c r="T2512" s="697" t="s">
        <v>771</v>
      </c>
      <c r="U2512" s="372" t="s">
        <v>15788</v>
      </c>
      <c r="V2512" s="723">
        <v>0</v>
      </c>
      <c r="W2512" s="723">
        <v>0</v>
      </c>
      <c r="X2512" s="723">
        <v>0</v>
      </c>
      <c r="Y2512" s="723">
        <v>0</v>
      </c>
      <c r="Z2512" s="382" t="s">
        <v>927</v>
      </c>
      <c r="AA2512" s="372">
        <v>269.94123560000003</v>
      </c>
      <c r="AB2512" s="372">
        <v>105.23948129999999</v>
      </c>
      <c r="AC2512" s="372">
        <v>75.403865300000007</v>
      </c>
      <c r="AD2512" s="372">
        <v>109.8465575</v>
      </c>
      <c r="AE2512" s="372">
        <v>0</v>
      </c>
      <c r="AF2512" s="372">
        <v>0</v>
      </c>
      <c r="AG2512" s="372">
        <v>0</v>
      </c>
      <c r="AH2512" s="372">
        <v>0</v>
      </c>
    </row>
    <row r="2513" spans="1:34">
      <c r="A2513" s="372" t="s">
        <v>15789</v>
      </c>
      <c r="B2513" s="372" t="s">
        <v>15790</v>
      </c>
      <c r="C2513" s="372" t="s">
        <v>15791</v>
      </c>
      <c r="D2513" s="374">
        <v>1101118113691</v>
      </c>
      <c r="E2513" s="372" t="s">
        <v>15792</v>
      </c>
      <c r="F2513" s="372" t="s">
        <v>1143</v>
      </c>
      <c r="G2513" s="375" t="s">
        <v>1144</v>
      </c>
      <c r="H2513" s="375" t="s">
        <v>895</v>
      </c>
      <c r="I2513" s="375" t="s">
        <v>862</v>
      </c>
      <c r="J2513" s="375">
        <v>0</v>
      </c>
      <c r="K2513" s="375">
        <v>-35.78284</v>
      </c>
      <c r="L2513" s="375">
        <v>94.440579999999997</v>
      </c>
      <c r="M2513" s="375">
        <v>6700.6257900000001</v>
      </c>
      <c r="N2513" s="372">
        <v>0.16300000000000001</v>
      </c>
      <c r="O2513" s="704">
        <v>12.312410981021284</v>
      </c>
      <c r="P2513" s="563" t="s">
        <v>622</v>
      </c>
      <c r="Q2513" s="372" t="s">
        <v>622</v>
      </c>
      <c r="R2513" s="696">
        <v>20220407</v>
      </c>
      <c r="S2513" s="372" t="s">
        <v>13413</v>
      </c>
      <c r="T2513" s="697">
        <v>9.9000000000000005E-2</v>
      </c>
      <c r="U2513" s="372">
        <v>0</v>
      </c>
      <c r="V2513" s="723">
        <v>0</v>
      </c>
      <c r="W2513" s="723">
        <v>0</v>
      </c>
      <c r="X2513" s="723">
        <v>0</v>
      </c>
      <c r="Y2513" s="723">
        <v>0</v>
      </c>
      <c r="Z2513" s="382" t="s">
        <v>773</v>
      </c>
      <c r="AA2513" s="372">
        <v>0</v>
      </c>
      <c r="AB2513" s="372">
        <v>0</v>
      </c>
      <c r="AC2513" s="372">
        <v>0</v>
      </c>
      <c r="AD2513" s="372">
        <v>0</v>
      </c>
      <c r="AE2513" s="372">
        <v>0</v>
      </c>
      <c r="AF2513" s="372">
        <v>0</v>
      </c>
      <c r="AG2513" s="372">
        <v>0</v>
      </c>
      <c r="AH2513" s="372">
        <v>0</v>
      </c>
    </row>
    <row r="2514" spans="1:34">
      <c r="A2514" s="372" t="s">
        <v>15793</v>
      </c>
      <c r="B2514" s="372" t="s">
        <v>15794</v>
      </c>
      <c r="C2514" s="372" t="s">
        <v>15795</v>
      </c>
      <c r="D2514" s="374">
        <v>1101118617502</v>
      </c>
      <c r="E2514" s="372" t="s">
        <v>15796</v>
      </c>
      <c r="F2514" s="372" t="s">
        <v>1143</v>
      </c>
      <c r="G2514" s="375" t="s">
        <v>1144</v>
      </c>
      <c r="H2514" s="375" t="s">
        <v>895</v>
      </c>
      <c r="I2514" s="375" t="s">
        <v>862</v>
      </c>
      <c r="J2514" s="375">
        <v>0</v>
      </c>
      <c r="K2514" s="375">
        <v>-39.951700000000002</v>
      </c>
      <c r="L2514" s="375">
        <v>102.47801</v>
      </c>
      <c r="M2514" s="375">
        <v>6518.1944700000004</v>
      </c>
      <c r="N2514" s="372" t="s">
        <v>1026</v>
      </c>
      <c r="O2514" s="704">
        <v>20.82871650851737</v>
      </c>
      <c r="P2514" s="563" t="s">
        <v>622</v>
      </c>
      <c r="Q2514" s="372" t="s">
        <v>622</v>
      </c>
      <c r="R2514" s="696">
        <v>20230811</v>
      </c>
      <c r="S2514" s="372" t="s">
        <v>9018</v>
      </c>
      <c r="T2514" s="697">
        <v>9.9000000000000005E-2</v>
      </c>
      <c r="U2514" s="372">
        <v>0</v>
      </c>
      <c r="V2514" s="723">
        <v>0</v>
      </c>
      <c r="W2514" s="723">
        <v>0</v>
      </c>
      <c r="X2514" s="723">
        <v>0</v>
      </c>
      <c r="Y2514" s="723">
        <v>0</v>
      </c>
      <c r="Z2514" s="382" t="s">
        <v>773</v>
      </c>
      <c r="AA2514" s="372">
        <v>0</v>
      </c>
      <c r="AB2514" s="372">
        <v>0</v>
      </c>
      <c r="AC2514" s="372">
        <v>0</v>
      </c>
      <c r="AD2514" s="372">
        <v>0</v>
      </c>
      <c r="AE2514" s="372">
        <v>0</v>
      </c>
      <c r="AF2514" s="372">
        <v>0</v>
      </c>
      <c r="AG2514" s="372">
        <v>0</v>
      </c>
      <c r="AH2514" s="372">
        <v>0</v>
      </c>
    </row>
    <row r="2515" spans="1:34">
      <c r="A2515" s="372" t="s">
        <v>15797</v>
      </c>
      <c r="B2515" s="372" t="s">
        <v>15798</v>
      </c>
      <c r="C2515" s="372" t="s">
        <v>15799</v>
      </c>
      <c r="D2515" s="374">
        <v>1101118358453</v>
      </c>
      <c r="E2515" s="372" t="s">
        <v>15800</v>
      </c>
      <c r="F2515" s="372" t="s">
        <v>1143</v>
      </c>
      <c r="G2515" s="375" t="s">
        <v>1144</v>
      </c>
      <c r="H2515" s="375" t="s">
        <v>895</v>
      </c>
      <c r="I2515" s="375" t="s">
        <v>862</v>
      </c>
      <c r="J2515" s="375">
        <v>0</v>
      </c>
      <c r="K2515" s="375">
        <v>-39.523130000000002</v>
      </c>
      <c r="L2515" s="375">
        <v>162.32409999999999</v>
      </c>
      <c r="M2515" s="375">
        <v>5795.6482999999998</v>
      </c>
      <c r="N2515" s="372">
        <v>0.32400000000000001</v>
      </c>
      <c r="O2515" s="704">
        <v>6.2899458157736303</v>
      </c>
      <c r="P2515" s="563" t="s">
        <v>622</v>
      </c>
      <c r="Q2515" s="372" t="s">
        <v>622</v>
      </c>
      <c r="R2515" s="696">
        <v>20221103</v>
      </c>
      <c r="S2515" s="372" t="s">
        <v>9018</v>
      </c>
      <c r="T2515" s="697">
        <v>9.9000000000000005E-2</v>
      </c>
      <c r="U2515" s="372">
        <v>0</v>
      </c>
      <c r="V2515" s="723">
        <v>0</v>
      </c>
      <c r="W2515" s="723">
        <v>0</v>
      </c>
      <c r="X2515" s="723">
        <v>0</v>
      </c>
      <c r="Y2515" s="723">
        <v>0</v>
      </c>
      <c r="Z2515" s="382" t="s">
        <v>773</v>
      </c>
      <c r="AA2515" s="372">
        <v>0</v>
      </c>
      <c r="AB2515" s="372">
        <v>0</v>
      </c>
      <c r="AC2515" s="372">
        <v>0</v>
      </c>
      <c r="AD2515" s="372">
        <v>0</v>
      </c>
      <c r="AE2515" s="372">
        <v>0</v>
      </c>
      <c r="AF2515" s="372">
        <v>0</v>
      </c>
      <c r="AG2515" s="372">
        <v>0</v>
      </c>
      <c r="AH2515" s="372">
        <v>0</v>
      </c>
    </row>
    <row r="2516" spans="1:34">
      <c r="A2516" s="372"/>
      <c r="B2516" s="372"/>
      <c r="C2516" s="372"/>
      <c r="D2516" s="374"/>
      <c r="E2516" s="372"/>
      <c r="F2516" s="372"/>
      <c r="G2516" s="375"/>
      <c r="H2516" s="375"/>
      <c r="I2516" s="375"/>
      <c r="J2516" s="375"/>
      <c r="K2516" s="375"/>
      <c r="L2516" s="375"/>
      <c r="M2516" s="375"/>
      <c r="N2516" s="372"/>
      <c r="O2516" s="704"/>
      <c r="P2516" s="563"/>
      <c r="Q2516" s="372"/>
      <c r="R2516" s="696"/>
      <c r="S2516" s="372"/>
      <c r="T2516" s="697"/>
      <c r="U2516" s="372"/>
      <c r="V2516" s="723"/>
      <c r="W2516" s="723"/>
      <c r="X2516" s="723"/>
      <c r="Y2516" s="723"/>
      <c r="Z2516" s="382"/>
      <c r="AA2516" s="372"/>
      <c r="AB2516" s="372"/>
      <c r="AC2516" s="372"/>
      <c r="AD2516" s="372"/>
      <c r="AE2516" s="372"/>
      <c r="AF2516" s="372"/>
      <c r="AG2516" s="372"/>
      <c r="AH2516" s="372"/>
    </row>
    <row r="2517" spans="1:34">
      <c r="A2517" s="372"/>
      <c r="B2517" s="372"/>
      <c r="C2517" s="372"/>
      <c r="D2517" s="374"/>
      <c r="E2517" s="372"/>
      <c r="F2517" s="372"/>
      <c r="G2517" s="375"/>
      <c r="H2517" s="375"/>
      <c r="I2517" s="375"/>
      <c r="J2517" s="375"/>
      <c r="K2517" s="375"/>
      <c r="L2517" s="375"/>
      <c r="M2517" s="375"/>
      <c r="N2517" s="372"/>
      <c r="O2517" s="704"/>
      <c r="P2517" s="563"/>
      <c r="Q2517" s="372"/>
      <c r="R2517" s="696"/>
      <c r="S2517" s="372"/>
      <c r="T2517" s="697"/>
      <c r="U2517" s="372"/>
      <c r="V2517" s="723"/>
      <c r="W2517" s="723"/>
      <c r="X2517" s="723"/>
      <c r="Y2517" s="723"/>
      <c r="Z2517" s="382"/>
      <c r="AA2517" s="372"/>
      <c r="AB2517" s="372"/>
      <c r="AC2517" s="372"/>
      <c r="AD2517" s="372"/>
      <c r="AE2517" s="372"/>
      <c r="AF2517" s="372"/>
      <c r="AG2517" s="372"/>
      <c r="AH2517" s="372"/>
    </row>
    <row r="2518" spans="1:34">
      <c r="A2518" s="372"/>
      <c r="B2518" s="372"/>
      <c r="C2518" s="372"/>
      <c r="D2518" s="374"/>
      <c r="E2518" s="372"/>
      <c r="F2518" s="372"/>
      <c r="G2518" s="375"/>
      <c r="H2518" s="375"/>
      <c r="I2518" s="375"/>
      <c r="J2518" s="375"/>
      <c r="K2518" s="375"/>
      <c r="L2518" s="375"/>
      <c r="M2518" s="375"/>
      <c r="N2518" s="372"/>
      <c r="O2518" s="704"/>
      <c r="P2518" s="563"/>
      <c r="Q2518" s="372"/>
      <c r="R2518" s="696"/>
      <c r="S2518" s="372"/>
      <c r="T2518" s="697"/>
      <c r="U2518" s="372"/>
      <c r="V2518" s="723"/>
      <c r="W2518" s="723"/>
      <c r="X2518" s="723"/>
      <c r="Y2518" s="723"/>
      <c r="Z2518" s="382"/>
      <c r="AA2518" s="372"/>
      <c r="AB2518" s="372"/>
      <c r="AC2518" s="372"/>
      <c r="AD2518" s="372"/>
      <c r="AE2518" s="372"/>
      <c r="AF2518" s="372"/>
      <c r="AG2518" s="372"/>
      <c r="AH2518" s="372"/>
    </row>
    <row r="2519" spans="1:34">
      <c r="A2519" s="372"/>
      <c r="B2519" s="372"/>
      <c r="C2519" s="372"/>
      <c r="D2519" s="374"/>
      <c r="E2519" s="372"/>
      <c r="F2519" s="372"/>
      <c r="G2519" s="375"/>
      <c r="H2519" s="375"/>
      <c r="I2519" s="375"/>
      <c r="J2519" s="375"/>
      <c r="K2519" s="375"/>
      <c r="L2519" s="375"/>
      <c r="M2519" s="375"/>
      <c r="N2519" s="372"/>
      <c r="O2519" s="704"/>
      <c r="P2519" s="563"/>
      <c r="Q2519" s="372"/>
      <c r="R2519" s="696"/>
      <c r="S2519" s="372"/>
      <c r="T2519" s="697"/>
      <c r="U2519" s="372"/>
      <c r="V2519" s="723"/>
      <c r="W2519" s="723"/>
      <c r="X2519" s="723"/>
      <c r="Y2519" s="723"/>
      <c r="Z2519" s="382"/>
      <c r="AA2519" s="372"/>
      <c r="AB2519" s="372"/>
      <c r="AC2519" s="372"/>
      <c r="AD2519" s="372"/>
      <c r="AE2519" s="372"/>
      <c r="AF2519" s="372"/>
      <c r="AG2519" s="372"/>
      <c r="AH2519" s="372"/>
    </row>
    <row r="2520" spans="1:34">
      <c r="A2520" s="372"/>
      <c r="B2520" s="372"/>
      <c r="C2520" s="372"/>
      <c r="D2520" s="374"/>
      <c r="E2520" s="372"/>
      <c r="F2520" s="372"/>
      <c r="G2520" s="375"/>
      <c r="H2520" s="375"/>
      <c r="I2520" s="375"/>
      <c r="J2520" s="375"/>
      <c r="K2520" s="375"/>
      <c r="L2520" s="375"/>
      <c r="M2520" s="375"/>
      <c r="N2520" s="372"/>
      <c r="O2520" s="704"/>
      <c r="P2520" s="563"/>
      <c r="Q2520" s="372"/>
      <c r="R2520" s="696"/>
      <c r="S2520" s="372"/>
      <c r="T2520" s="697"/>
      <c r="U2520" s="372"/>
      <c r="V2520" s="723"/>
      <c r="W2520" s="723"/>
      <c r="X2520" s="723"/>
      <c r="Y2520" s="723"/>
      <c r="Z2520" s="382"/>
      <c r="AA2520" s="372"/>
      <c r="AB2520" s="372"/>
      <c r="AC2520" s="372"/>
      <c r="AD2520" s="372"/>
      <c r="AE2520" s="372"/>
      <c r="AF2520" s="372"/>
      <c r="AG2520" s="372"/>
      <c r="AH2520" s="372"/>
    </row>
    <row r="2521" spans="1:34">
      <c r="A2521" s="372"/>
      <c r="B2521" s="372"/>
      <c r="C2521" s="372"/>
      <c r="D2521" s="374"/>
      <c r="E2521" s="372"/>
      <c r="F2521" s="372"/>
      <c r="G2521" s="375"/>
      <c r="H2521" s="375"/>
      <c r="I2521" s="375"/>
      <c r="J2521" s="375"/>
      <c r="K2521" s="375"/>
      <c r="L2521" s="375"/>
      <c r="M2521" s="375"/>
      <c r="N2521" s="372"/>
      <c r="O2521" s="704"/>
      <c r="P2521" s="563"/>
      <c r="Q2521" s="372"/>
      <c r="R2521" s="696"/>
      <c r="S2521" s="372"/>
      <c r="T2521" s="697"/>
      <c r="U2521" s="372"/>
      <c r="V2521" s="723"/>
      <c r="W2521" s="723"/>
      <c r="X2521" s="723"/>
      <c r="Y2521" s="723"/>
      <c r="Z2521" s="382"/>
      <c r="AA2521" s="372"/>
      <c r="AB2521" s="372"/>
      <c r="AC2521" s="372"/>
      <c r="AD2521" s="372"/>
      <c r="AE2521" s="372"/>
      <c r="AF2521" s="372"/>
      <c r="AG2521" s="372"/>
      <c r="AH2521" s="372"/>
    </row>
    <row r="2522" spans="1:34">
      <c r="A2522" s="372"/>
      <c r="B2522" s="372"/>
      <c r="C2522" s="372"/>
      <c r="D2522" s="374"/>
      <c r="E2522" s="372"/>
      <c r="F2522" s="372"/>
      <c r="G2522" s="375"/>
      <c r="H2522" s="375"/>
      <c r="I2522" s="375"/>
      <c r="J2522" s="375"/>
      <c r="K2522" s="375"/>
      <c r="L2522" s="375"/>
      <c r="M2522" s="375"/>
      <c r="N2522" s="372"/>
      <c r="O2522" s="704"/>
      <c r="P2522" s="563"/>
      <c r="Q2522" s="372"/>
      <c r="R2522" s="696"/>
      <c r="S2522" s="372"/>
      <c r="T2522" s="697"/>
      <c r="U2522" s="372"/>
      <c r="V2522" s="723"/>
      <c r="W2522" s="723"/>
      <c r="X2522" s="723"/>
      <c r="Y2522" s="723"/>
      <c r="Z2522" s="382"/>
      <c r="AA2522" s="372"/>
      <c r="AB2522" s="372"/>
      <c r="AC2522" s="372"/>
      <c r="AD2522" s="372"/>
      <c r="AE2522" s="372"/>
      <c r="AF2522" s="372"/>
      <c r="AG2522" s="372"/>
      <c r="AH2522" s="372"/>
    </row>
    <row r="2523" spans="1:34">
      <c r="A2523" s="372"/>
      <c r="B2523" s="372"/>
      <c r="C2523" s="372"/>
      <c r="D2523" s="374"/>
      <c r="E2523" s="372"/>
      <c r="F2523" s="372"/>
      <c r="G2523" s="375"/>
      <c r="H2523" s="375"/>
      <c r="I2523" s="375"/>
      <c r="J2523" s="375"/>
      <c r="K2523" s="375"/>
      <c r="L2523" s="375"/>
      <c r="M2523" s="375"/>
      <c r="N2523" s="372"/>
      <c r="O2523" s="704"/>
      <c r="P2523" s="563"/>
      <c r="Q2523" s="372"/>
      <c r="R2523" s="696"/>
      <c r="S2523" s="372"/>
      <c r="T2523" s="697"/>
      <c r="U2523" s="372"/>
      <c r="V2523" s="723"/>
      <c r="W2523" s="723"/>
      <c r="X2523" s="723"/>
      <c r="Y2523" s="723"/>
      <c r="Z2523" s="382"/>
      <c r="AA2523" s="372"/>
      <c r="AB2523" s="372"/>
      <c r="AC2523" s="372"/>
      <c r="AD2523" s="372"/>
      <c r="AE2523" s="372"/>
      <c r="AF2523" s="372"/>
      <c r="AG2523" s="372"/>
      <c r="AH2523" s="372"/>
    </row>
    <row r="2524" spans="1:34">
      <c r="A2524" s="372"/>
      <c r="B2524" s="372"/>
      <c r="C2524" s="372"/>
      <c r="D2524" s="374"/>
      <c r="E2524" s="372"/>
      <c r="F2524" s="372"/>
      <c r="G2524" s="375"/>
      <c r="H2524" s="375"/>
      <c r="I2524" s="375"/>
      <c r="J2524" s="375"/>
      <c r="K2524" s="375"/>
      <c r="L2524" s="375"/>
      <c r="M2524" s="375"/>
      <c r="N2524" s="372"/>
      <c r="O2524" s="704"/>
      <c r="P2524" s="563"/>
      <c r="Q2524" s="372"/>
      <c r="R2524" s="696"/>
      <c r="S2524" s="372"/>
      <c r="T2524" s="697"/>
      <c r="U2524" s="372"/>
      <c r="V2524" s="723"/>
      <c r="W2524" s="723"/>
      <c r="X2524" s="723"/>
      <c r="Y2524" s="723"/>
      <c r="Z2524" s="382"/>
      <c r="AA2524" s="372"/>
      <c r="AB2524" s="372"/>
      <c r="AC2524" s="372"/>
      <c r="AD2524" s="372"/>
      <c r="AE2524" s="372"/>
      <c r="AF2524" s="372"/>
      <c r="AG2524" s="372"/>
      <c r="AH2524" s="372"/>
    </row>
    <row r="2525" spans="1:34">
      <c r="A2525" s="372"/>
      <c r="B2525" s="372"/>
      <c r="C2525" s="372"/>
      <c r="D2525" s="374"/>
      <c r="E2525" s="372"/>
      <c r="F2525" s="372"/>
      <c r="G2525" s="375"/>
      <c r="H2525" s="375"/>
      <c r="I2525" s="375"/>
      <c r="J2525" s="375"/>
      <c r="K2525" s="375"/>
      <c r="L2525" s="375"/>
      <c r="M2525" s="375"/>
      <c r="N2525" s="372"/>
      <c r="O2525" s="704"/>
      <c r="P2525" s="563"/>
      <c r="Q2525" s="372"/>
      <c r="R2525" s="696"/>
      <c r="S2525" s="372"/>
      <c r="T2525" s="697"/>
      <c r="U2525" s="372"/>
      <c r="V2525" s="723"/>
      <c r="W2525" s="723"/>
      <c r="X2525" s="723"/>
      <c r="Y2525" s="723"/>
      <c r="Z2525" s="382"/>
      <c r="AA2525" s="372"/>
      <c r="AB2525" s="372"/>
      <c r="AC2525" s="372"/>
      <c r="AD2525" s="372"/>
      <c r="AE2525" s="372"/>
      <c r="AF2525" s="372"/>
      <c r="AG2525" s="372"/>
      <c r="AH2525" s="372"/>
    </row>
    <row r="2526" spans="1:34">
      <c r="A2526" s="372"/>
      <c r="B2526" s="372"/>
      <c r="C2526" s="372"/>
      <c r="D2526" s="374"/>
      <c r="E2526" s="372"/>
      <c r="F2526" s="372"/>
      <c r="G2526" s="375"/>
      <c r="H2526" s="375"/>
      <c r="I2526" s="375"/>
      <c r="J2526" s="375"/>
      <c r="K2526" s="375"/>
      <c r="L2526" s="375"/>
      <c r="M2526" s="375"/>
      <c r="N2526" s="372"/>
      <c r="O2526" s="704"/>
      <c r="P2526" s="563"/>
      <c r="Q2526" s="372"/>
      <c r="R2526" s="696"/>
      <c r="S2526" s="372"/>
      <c r="T2526" s="697"/>
      <c r="U2526" s="372"/>
      <c r="V2526" s="723"/>
      <c r="W2526" s="723"/>
      <c r="X2526" s="723"/>
      <c r="Y2526" s="723"/>
      <c r="Z2526" s="382"/>
      <c r="AA2526" s="372"/>
      <c r="AB2526" s="372"/>
      <c r="AC2526" s="372"/>
      <c r="AD2526" s="372"/>
      <c r="AE2526" s="372"/>
      <c r="AF2526" s="372"/>
      <c r="AG2526" s="372"/>
      <c r="AH2526" s="372"/>
    </row>
    <row r="2527" spans="1:34">
      <c r="A2527" s="372"/>
      <c r="B2527" s="372"/>
      <c r="C2527" s="372"/>
      <c r="D2527" s="374"/>
      <c r="E2527" s="372"/>
      <c r="F2527" s="372"/>
      <c r="G2527" s="375"/>
      <c r="H2527" s="375"/>
      <c r="I2527" s="375"/>
      <c r="J2527" s="375"/>
      <c r="K2527" s="375"/>
      <c r="L2527" s="375"/>
      <c r="M2527" s="375"/>
      <c r="N2527" s="372"/>
      <c r="O2527" s="704"/>
      <c r="P2527" s="563"/>
      <c r="Q2527" s="372"/>
      <c r="R2527" s="696"/>
      <c r="S2527" s="372"/>
      <c r="T2527" s="697"/>
      <c r="U2527" s="372"/>
      <c r="V2527" s="723"/>
      <c r="W2527" s="723"/>
      <c r="X2527" s="723"/>
      <c r="Y2527" s="723"/>
      <c r="Z2527" s="382"/>
      <c r="AA2527" s="372"/>
      <c r="AB2527" s="372"/>
      <c r="AC2527" s="372"/>
      <c r="AD2527" s="372"/>
      <c r="AE2527" s="372"/>
      <c r="AF2527" s="372"/>
      <c r="AG2527" s="372"/>
      <c r="AH2527" s="372"/>
    </row>
    <row r="2528" spans="1:34">
      <c r="A2528" s="372"/>
      <c r="B2528" s="372"/>
      <c r="C2528" s="372"/>
      <c r="D2528" s="374"/>
      <c r="E2528" s="372"/>
      <c r="F2528" s="372"/>
      <c r="G2528" s="375"/>
      <c r="H2528" s="375"/>
      <c r="I2528" s="375"/>
      <c r="J2528" s="375"/>
      <c r="K2528" s="375"/>
      <c r="L2528" s="375"/>
      <c r="M2528" s="375"/>
      <c r="N2528" s="372"/>
      <c r="O2528" s="704"/>
      <c r="P2528" s="563"/>
      <c r="Q2528" s="372"/>
      <c r="R2528" s="696"/>
      <c r="S2528" s="372"/>
      <c r="T2528" s="697"/>
      <c r="U2528" s="372"/>
      <c r="V2528" s="723"/>
      <c r="W2528" s="723"/>
      <c r="X2528" s="723"/>
      <c r="Y2528" s="723"/>
      <c r="Z2528" s="382"/>
      <c r="AA2528" s="372"/>
      <c r="AB2528" s="372"/>
      <c r="AC2528" s="372"/>
      <c r="AD2528" s="372"/>
      <c r="AE2528" s="372"/>
      <c r="AF2528" s="372"/>
      <c r="AG2528" s="372"/>
      <c r="AH2528" s="372"/>
    </row>
    <row r="2529" spans="1:34">
      <c r="A2529" s="372"/>
      <c r="B2529" s="372"/>
      <c r="C2529" s="372"/>
      <c r="D2529" s="374"/>
      <c r="E2529" s="372"/>
      <c r="F2529" s="372"/>
      <c r="G2529" s="375"/>
      <c r="H2529" s="375"/>
      <c r="I2529" s="375"/>
      <c r="J2529" s="375"/>
      <c r="K2529" s="375"/>
      <c r="L2529" s="375"/>
      <c r="M2529" s="375"/>
      <c r="N2529" s="372"/>
      <c r="O2529" s="704"/>
      <c r="P2529" s="563"/>
      <c r="Q2529" s="372"/>
      <c r="R2529" s="696"/>
      <c r="S2529" s="372"/>
      <c r="T2529" s="697"/>
      <c r="U2529" s="372"/>
      <c r="V2529" s="723"/>
      <c r="W2529" s="723"/>
      <c r="X2529" s="723"/>
      <c r="Y2529" s="723"/>
      <c r="Z2529" s="382"/>
      <c r="AA2529" s="372"/>
      <c r="AB2529" s="372"/>
      <c r="AC2529" s="372"/>
      <c r="AD2529" s="372"/>
      <c r="AE2529" s="372"/>
      <c r="AF2529" s="372"/>
      <c r="AG2529" s="372"/>
      <c r="AH2529" s="372"/>
    </row>
    <row r="2530" spans="1:34">
      <c r="A2530" s="372"/>
      <c r="B2530" s="372"/>
      <c r="C2530" s="372"/>
      <c r="D2530" s="374"/>
      <c r="E2530" s="372"/>
      <c r="F2530" s="372"/>
      <c r="G2530" s="375"/>
      <c r="H2530" s="375"/>
      <c r="I2530" s="375"/>
      <c r="J2530" s="375"/>
      <c r="K2530" s="375"/>
      <c r="L2530" s="375"/>
      <c r="M2530" s="375"/>
      <c r="N2530" s="372"/>
      <c r="O2530" s="704"/>
      <c r="P2530" s="563"/>
      <c r="Q2530" s="372"/>
      <c r="R2530" s="696"/>
      <c r="S2530" s="372"/>
      <c r="T2530" s="697"/>
      <c r="U2530" s="372"/>
      <c r="V2530" s="723"/>
      <c r="W2530" s="723"/>
      <c r="X2530" s="723"/>
      <c r="Y2530" s="723"/>
      <c r="Z2530" s="382"/>
      <c r="AA2530" s="372"/>
      <c r="AB2530" s="372"/>
      <c r="AC2530" s="372"/>
      <c r="AD2530" s="372"/>
      <c r="AE2530" s="372"/>
      <c r="AF2530" s="372"/>
      <c r="AG2530" s="372"/>
      <c r="AH2530" s="372"/>
    </row>
    <row r="2531" spans="1:34">
      <c r="A2531" s="372"/>
      <c r="B2531" s="372"/>
      <c r="C2531" s="372"/>
      <c r="D2531" s="374"/>
      <c r="E2531" s="372"/>
      <c r="F2531" s="372"/>
      <c r="G2531" s="375"/>
      <c r="H2531" s="375"/>
      <c r="I2531" s="375"/>
      <c r="J2531" s="375"/>
      <c r="K2531" s="375"/>
      <c r="L2531" s="375"/>
      <c r="M2531" s="375"/>
      <c r="N2531" s="372"/>
      <c r="O2531" s="704"/>
      <c r="P2531" s="563"/>
      <c r="Q2531" s="372"/>
      <c r="R2531" s="696"/>
      <c r="S2531" s="372"/>
      <c r="T2531" s="697"/>
      <c r="U2531" s="372"/>
      <c r="V2531" s="723"/>
      <c r="W2531" s="723"/>
      <c r="X2531" s="723"/>
      <c r="Y2531" s="723"/>
      <c r="Z2531" s="382"/>
      <c r="AA2531" s="372"/>
      <c r="AB2531" s="372"/>
      <c r="AC2531" s="372"/>
      <c r="AD2531" s="372"/>
      <c r="AE2531" s="372"/>
      <c r="AF2531" s="372"/>
      <c r="AG2531" s="372"/>
      <c r="AH2531" s="372"/>
    </row>
    <row r="2532" spans="1:34">
      <c r="A2532" s="372"/>
      <c r="B2532" s="372"/>
      <c r="C2532" s="372"/>
      <c r="D2532" s="374"/>
      <c r="E2532" s="372"/>
      <c r="F2532" s="372"/>
      <c r="G2532" s="375"/>
      <c r="H2532" s="375"/>
      <c r="I2532" s="375"/>
      <c r="J2532" s="375"/>
      <c r="K2532" s="375"/>
      <c r="L2532" s="375"/>
      <c r="M2532" s="375"/>
      <c r="N2532" s="372"/>
      <c r="O2532" s="704"/>
      <c r="P2532" s="563"/>
      <c r="Q2532" s="372"/>
      <c r="R2532" s="696"/>
      <c r="S2532" s="372"/>
      <c r="T2532" s="697"/>
      <c r="U2532" s="372"/>
      <c r="V2532" s="723"/>
      <c r="W2532" s="723"/>
      <c r="X2532" s="723"/>
      <c r="Y2532" s="723"/>
      <c r="Z2532" s="382"/>
      <c r="AA2532" s="372"/>
      <c r="AB2532" s="372"/>
      <c r="AC2532" s="372"/>
      <c r="AD2532" s="372"/>
      <c r="AE2532" s="372"/>
      <c r="AF2532" s="372"/>
      <c r="AG2532" s="372"/>
      <c r="AH2532" s="372"/>
    </row>
    <row r="2533" spans="1:34">
      <c r="A2533" s="372"/>
      <c r="B2533" s="372"/>
      <c r="C2533" s="372"/>
      <c r="D2533" s="374"/>
      <c r="E2533" s="372"/>
      <c r="F2533" s="372"/>
      <c r="G2533" s="375"/>
      <c r="H2533" s="375"/>
      <c r="I2533" s="375"/>
      <c r="J2533" s="375"/>
      <c r="K2533" s="375"/>
      <c r="L2533" s="375"/>
      <c r="M2533" s="375"/>
      <c r="N2533" s="372"/>
      <c r="O2533" s="704"/>
      <c r="P2533" s="563"/>
      <c r="Q2533" s="372"/>
      <c r="R2533" s="696"/>
      <c r="S2533" s="372"/>
      <c r="T2533" s="697"/>
      <c r="U2533" s="372"/>
      <c r="V2533" s="723"/>
      <c r="W2533" s="723"/>
      <c r="X2533" s="723"/>
      <c r="Y2533" s="723"/>
      <c r="Z2533" s="382"/>
      <c r="AA2533" s="372"/>
      <c r="AB2533" s="372"/>
      <c r="AC2533" s="372"/>
      <c r="AD2533" s="372"/>
      <c r="AE2533" s="372"/>
      <c r="AF2533" s="372"/>
      <c r="AG2533" s="372"/>
      <c r="AH2533" s="372"/>
    </row>
    <row r="2534" spans="1:34">
      <c r="A2534" s="372"/>
      <c r="B2534" s="372"/>
      <c r="C2534" s="372"/>
      <c r="D2534" s="374"/>
      <c r="E2534" s="372"/>
      <c r="F2534" s="372"/>
      <c r="G2534" s="375"/>
      <c r="H2534" s="375"/>
      <c r="I2534" s="375"/>
      <c r="J2534" s="375"/>
      <c r="K2534" s="375"/>
      <c r="L2534" s="375"/>
      <c r="M2534" s="375"/>
      <c r="N2534" s="372"/>
      <c r="O2534" s="704"/>
      <c r="P2534" s="563"/>
      <c r="Q2534" s="372"/>
      <c r="R2534" s="696"/>
      <c r="S2534" s="372"/>
      <c r="T2534" s="697"/>
      <c r="U2534" s="372"/>
      <c r="V2534" s="723"/>
      <c r="W2534" s="723"/>
      <c r="X2534" s="723"/>
      <c r="Y2534" s="723"/>
      <c r="Z2534" s="382"/>
      <c r="AA2534" s="372"/>
      <c r="AB2534" s="372"/>
      <c r="AC2534" s="372"/>
      <c r="AD2534" s="372"/>
      <c r="AE2534" s="372"/>
      <c r="AF2534" s="372"/>
      <c r="AG2534" s="372"/>
      <c r="AH2534" s="372"/>
    </row>
    <row r="2535" spans="1:34">
      <c r="A2535" s="372"/>
      <c r="B2535" s="372"/>
      <c r="C2535" s="372"/>
      <c r="D2535" s="374"/>
      <c r="E2535" s="372"/>
      <c r="F2535" s="372"/>
      <c r="G2535" s="375"/>
      <c r="H2535" s="375"/>
      <c r="I2535" s="375"/>
      <c r="J2535" s="375"/>
      <c r="K2535" s="375"/>
      <c r="L2535" s="375"/>
      <c r="M2535" s="375"/>
      <c r="N2535" s="372"/>
      <c r="O2535" s="704"/>
      <c r="P2535" s="563"/>
      <c r="Q2535" s="372"/>
      <c r="R2535" s="696"/>
      <c r="S2535" s="372"/>
      <c r="T2535" s="697"/>
      <c r="U2535" s="372"/>
      <c r="V2535" s="723"/>
      <c r="W2535" s="723"/>
      <c r="X2535" s="723"/>
      <c r="Y2535" s="723"/>
      <c r="Z2535" s="382"/>
      <c r="AA2535" s="372"/>
      <c r="AB2535" s="372"/>
      <c r="AC2535" s="372"/>
      <c r="AD2535" s="372"/>
      <c r="AE2535" s="372"/>
      <c r="AF2535" s="372"/>
      <c r="AG2535" s="372"/>
      <c r="AH2535" s="372"/>
    </row>
    <row r="2536" spans="1:34">
      <c r="A2536" s="372"/>
      <c r="B2536" s="372"/>
      <c r="C2536" s="372"/>
      <c r="D2536" s="374"/>
      <c r="E2536" s="372"/>
      <c r="F2536" s="372"/>
      <c r="G2536" s="375"/>
      <c r="H2536" s="375"/>
      <c r="I2536" s="375"/>
      <c r="J2536" s="375"/>
      <c r="K2536" s="375"/>
      <c r="L2536" s="375"/>
      <c r="M2536" s="375"/>
      <c r="N2536" s="372"/>
      <c r="O2536" s="704"/>
      <c r="P2536" s="563"/>
      <c r="Q2536" s="372"/>
      <c r="R2536" s="696"/>
      <c r="S2536" s="372"/>
      <c r="T2536" s="697"/>
      <c r="U2536" s="372"/>
      <c r="V2536" s="723"/>
      <c r="W2536" s="723"/>
      <c r="X2536" s="723"/>
      <c r="Y2536" s="723"/>
      <c r="Z2536" s="382"/>
      <c r="AA2536" s="372"/>
      <c r="AB2536" s="372"/>
      <c r="AC2536" s="372"/>
      <c r="AD2536" s="372"/>
      <c r="AE2536" s="372"/>
      <c r="AF2536" s="372"/>
      <c r="AG2536" s="372"/>
      <c r="AH2536" s="372"/>
    </row>
    <row r="2537" spans="1:34">
      <c r="A2537" s="372"/>
      <c r="B2537" s="372"/>
      <c r="C2537" s="372"/>
      <c r="D2537" s="374"/>
      <c r="E2537" s="372"/>
      <c r="F2537" s="372"/>
      <c r="G2537" s="375"/>
      <c r="H2537" s="375"/>
      <c r="I2537" s="375"/>
      <c r="J2537" s="375"/>
      <c r="K2537" s="375"/>
      <c r="L2537" s="375"/>
      <c r="M2537" s="375"/>
      <c r="N2537" s="372"/>
      <c r="O2537" s="704"/>
      <c r="P2537" s="563"/>
      <c r="Q2537" s="372"/>
      <c r="R2537" s="696"/>
      <c r="S2537" s="372"/>
      <c r="T2537" s="697"/>
      <c r="U2537" s="372"/>
      <c r="V2537" s="723"/>
      <c r="W2537" s="723"/>
      <c r="X2537" s="723"/>
      <c r="Y2537" s="723"/>
      <c r="Z2537" s="382"/>
      <c r="AA2537" s="372"/>
      <c r="AB2537" s="372"/>
      <c r="AC2537" s="372"/>
      <c r="AD2537" s="372"/>
      <c r="AE2537" s="372"/>
      <c r="AF2537" s="372"/>
      <c r="AG2537" s="372"/>
      <c r="AH2537" s="372"/>
    </row>
    <row r="2538" spans="1:34">
      <c r="A2538" s="372"/>
      <c r="B2538" s="372"/>
      <c r="C2538" s="372"/>
      <c r="D2538" s="374"/>
      <c r="E2538" s="372"/>
      <c r="F2538" s="372"/>
      <c r="G2538" s="375"/>
      <c r="H2538" s="375"/>
      <c r="I2538" s="375"/>
      <c r="J2538" s="375"/>
      <c r="K2538" s="375"/>
      <c r="L2538" s="375"/>
      <c r="M2538" s="375"/>
      <c r="N2538" s="372"/>
      <c r="O2538" s="704"/>
      <c r="P2538" s="563"/>
      <c r="Q2538" s="372"/>
      <c r="R2538" s="696"/>
      <c r="S2538" s="372"/>
      <c r="T2538" s="697"/>
      <c r="U2538" s="372"/>
      <c r="V2538" s="723"/>
      <c r="W2538" s="723"/>
      <c r="X2538" s="723"/>
      <c r="Y2538" s="723"/>
      <c r="Z2538" s="382"/>
      <c r="AA2538" s="372"/>
      <c r="AB2538" s="372"/>
      <c r="AC2538" s="372"/>
      <c r="AD2538" s="372"/>
      <c r="AE2538" s="372"/>
      <c r="AF2538" s="372"/>
      <c r="AG2538" s="372"/>
      <c r="AH2538" s="372"/>
    </row>
    <row r="2539" spans="1:34">
      <c r="A2539" s="372"/>
      <c r="B2539" s="372"/>
      <c r="C2539" s="372"/>
      <c r="D2539" s="374"/>
      <c r="E2539" s="372"/>
      <c r="F2539" s="372"/>
      <c r="G2539" s="375"/>
      <c r="H2539" s="375"/>
      <c r="I2539" s="375"/>
      <c r="J2539" s="375"/>
      <c r="K2539" s="375"/>
      <c r="L2539" s="375"/>
      <c r="M2539" s="375"/>
      <c r="N2539" s="372"/>
      <c r="O2539" s="704"/>
      <c r="P2539" s="563"/>
      <c r="Q2539" s="372"/>
      <c r="R2539" s="696"/>
      <c r="S2539" s="372"/>
      <c r="T2539" s="697"/>
      <c r="U2539" s="372"/>
      <c r="V2539" s="723"/>
      <c r="W2539" s="723"/>
      <c r="X2539" s="723"/>
      <c r="Y2539" s="723"/>
      <c r="Z2539" s="382"/>
      <c r="AA2539" s="372"/>
      <c r="AB2539" s="372"/>
      <c r="AC2539" s="372"/>
      <c r="AD2539" s="372"/>
      <c r="AE2539" s="372"/>
      <c r="AF2539" s="372"/>
      <c r="AG2539" s="372"/>
      <c r="AH2539" s="372"/>
    </row>
    <row r="2540" spans="1:34">
      <c r="A2540" s="372"/>
      <c r="B2540" s="372"/>
      <c r="C2540" s="372"/>
      <c r="D2540" s="374"/>
      <c r="E2540" s="372"/>
      <c r="F2540" s="372"/>
      <c r="G2540" s="375"/>
      <c r="H2540" s="375"/>
      <c r="I2540" s="375"/>
      <c r="J2540" s="375"/>
      <c r="K2540" s="375"/>
      <c r="L2540" s="375"/>
      <c r="M2540" s="375"/>
      <c r="N2540" s="372"/>
      <c r="O2540" s="704"/>
      <c r="P2540" s="563"/>
      <c r="Q2540" s="372"/>
      <c r="R2540" s="696"/>
      <c r="S2540" s="372"/>
      <c r="T2540" s="697"/>
      <c r="U2540" s="372"/>
      <c r="V2540" s="723"/>
      <c r="W2540" s="723"/>
      <c r="X2540" s="723"/>
      <c r="Y2540" s="723"/>
      <c r="Z2540" s="382"/>
      <c r="AA2540" s="372"/>
      <c r="AB2540" s="372"/>
      <c r="AC2540" s="372"/>
      <c r="AD2540" s="372"/>
      <c r="AE2540" s="372"/>
      <c r="AF2540" s="372"/>
      <c r="AG2540" s="372"/>
      <c r="AH2540" s="372"/>
    </row>
    <row r="2541" spans="1:34">
      <c r="A2541" s="372"/>
      <c r="B2541" s="372"/>
      <c r="C2541" s="372"/>
      <c r="D2541" s="374"/>
      <c r="E2541" s="372"/>
      <c r="F2541" s="372"/>
      <c r="G2541" s="375"/>
      <c r="H2541" s="375"/>
      <c r="I2541" s="375"/>
      <c r="J2541" s="375"/>
      <c r="K2541" s="375"/>
      <c r="L2541" s="375"/>
      <c r="M2541" s="375"/>
      <c r="N2541" s="372"/>
      <c r="O2541" s="704"/>
      <c r="P2541" s="563"/>
      <c r="Q2541" s="372"/>
      <c r="R2541" s="696"/>
      <c r="S2541" s="372"/>
      <c r="T2541" s="697"/>
      <c r="U2541" s="372"/>
      <c r="V2541" s="723"/>
      <c r="W2541" s="723"/>
      <c r="X2541" s="723"/>
      <c r="Y2541" s="723"/>
      <c r="Z2541" s="382"/>
      <c r="AA2541" s="372"/>
      <c r="AB2541" s="372"/>
      <c r="AC2541" s="372"/>
      <c r="AD2541" s="372"/>
      <c r="AE2541" s="372"/>
      <c r="AF2541" s="372"/>
      <c r="AG2541" s="372"/>
      <c r="AH2541" s="372"/>
    </row>
    <row r="2542" spans="1:34">
      <c r="A2542" s="372"/>
      <c r="B2542" s="372"/>
      <c r="C2542" s="372"/>
      <c r="D2542" s="374"/>
      <c r="E2542" s="372"/>
      <c r="F2542" s="372"/>
      <c r="G2542" s="375"/>
      <c r="H2542" s="375"/>
      <c r="I2542" s="375"/>
      <c r="J2542" s="375"/>
      <c r="K2542" s="375"/>
      <c r="L2542" s="375"/>
      <c r="M2542" s="375"/>
      <c r="N2542" s="372"/>
      <c r="O2542" s="704"/>
      <c r="P2542" s="563"/>
      <c r="Q2542" s="372"/>
      <c r="R2542" s="696"/>
      <c r="S2542" s="372"/>
      <c r="T2542" s="697"/>
      <c r="U2542" s="372"/>
      <c r="V2542" s="723"/>
      <c r="W2542" s="723"/>
      <c r="X2542" s="723"/>
      <c r="Y2542" s="723"/>
      <c r="Z2542" s="382"/>
      <c r="AA2542" s="372"/>
      <c r="AB2542" s="372"/>
      <c r="AC2542" s="372"/>
      <c r="AD2542" s="372"/>
      <c r="AE2542" s="372"/>
      <c r="AF2542" s="372"/>
      <c r="AG2542" s="372"/>
      <c r="AH2542" s="372"/>
    </row>
    <row r="2543" spans="1:34">
      <c r="A2543" s="372"/>
      <c r="B2543" s="372"/>
      <c r="C2543" s="372"/>
      <c r="D2543" s="374"/>
      <c r="E2543" s="372"/>
      <c r="F2543" s="372"/>
      <c r="G2543" s="375"/>
      <c r="H2543" s="375"/>
      <c r="I2543" s="375"/>
      <c r="J2543" s="375"/>
      <c r="K2543" s="375"/>
      <c r="L2543" s="375"/>
      <c r="M2543" s="375"/>
      <c r="N2543" s="372"/>
      <c r="O2543" s="704"/>
      <c r="P2543" s="563"/>
      <c r="Q2543" s="372"/>
      <c r="R2543" s="696"/>
      <c r="S2543" s="372"/>
      <c r="T2543" s="697"/>
      <c r="U2543" s="372"/>
      <c r="V2543" s="723"/>
      <c r="W2543" s="723"/>
      <c r="X2543" s="723"/>
      <c r="Y2543" s="723"/>
      <c r="Z2543" s="382"/>
      <c r="AA2543" s="372"/>
      <c r="AB2543" s="372"/>
      <c r="AC2543" s="372"/>
      <c r="AD2543" s="372"/>
      <c r="AE2543" s="372"/>
      <c r="AF2543" s="372"/>
      <c r="AG2543" s="372"/>
      <c r="AH2543" s="372"/>
    </row>
    <row r="2544" spans="1:34">
      <c r="A2544" s="372"/>
      <c r="B2544" s="372"/>
      <c r="C2544" s="372"/>
      <c r="D2544" s="374"/>
      <c r="E2544" s="372"/>
      <c r="F2544" s="372"/>
      <c r="G2544" s="375"/>
      <c r="H2544" s="375"/>
      <c r="I2544" s="375"/>
      <c r="J2544" s="375"/>
      <c r="K2544" s="375"/>
      <c r="L2544" s="375"/>
      <c r="M2544" s="375"/>
      <c r="N2544" s="372"/>
      <c r="O2544" s="704"/>
      <c r="P2544" s="563"/>
      <c r="Q2544" s="372"/>
      <c r="R2544" s="696"/>
      <c r="S2544" s="372"/>
      <c r="T2544" s="697"/>
      <c r="U2544" s="372"/>
      <c r="V2544" s="723"/>
      <c r="W2544" s="723"/>
      <c r="X2544" s="723"/>
      <c r="Y2544" s="723"/>
      <c r="Z2544" s="382"/>
      <c r="AA2544" s="372"/>
      <c r="AB2544" s="372"/>
      <c r="AC2544" s="372"/>
      <c r="AD2544" s="372"/>
      <c r="AE2544" s="372"/>
      <c r="AF2544" s="372"/>
      <c r="AG2544" s="372"/>
      <c r="AH2544" s="372"/>
    </row>
    <row r="2545" spans="1:34">
      <c r="A2545" s="372"/>
      <c r="B2545" s="372"/>
      <c r="C2545" s="372"/>
      <c r="D2545" s="374"/>
      <c r="E2545" s="372"/>
      <c r="F2545" s="372"/>
      <c r="G2545" s="375"/>
      <c r="H2545" s="375"/>
      <c r="I2545" s="375"/>
      <c r="J2545" s="375"/>
      <c r="K2545" s="375"/>
      <c r="L2545" s="375"/>
      <c r="M2545" s="375"/>
      <c r="N2545" s="372"/>
      <c r="O2545" s="704"/>
      <c r="P2545" s="563"/>
      <c r="Q2545" s="372"/>
      <c r="R2545" s="696"/>
      <c r="S2545" s="372"/>
      <c r="T2545" s="697"/>
      <c r="U2545" s="372"/>
      <c r="V2545" s="723"/>
      <c r="W2545" s="723"/>
      <c r="X2545" s="723"/>
      <c r="Y2545" s="723"/>
      <c r="Z2545" s="382"/>
      <c r="AA2545" s="372"/>
      <c r="AB2545" s="372"/>
      <c r="AC2545" s="372"/>
      <c r="AD2545" s="372"/>
      <c r="AE2545" s="372"/>
      <c r="AF2545" s="372"/>
      <c r="AG2545" s="372"/>
      <c r="AH2545" s="372"/>
    </row>
    <row r="2546" spans="1:34">
      <c r="A2546" s="372"/>
      <c r="B2546" s="372"/>
      <c r="C2546" s="372"/>
      <c r="D2546" s="374"/>
      <c r="E2546" s="372"/>
      <c r="F2546" s="372"/>
      <c r="G2546" s="375"/>
      <c r="H2546" s="375"/>
      <c r="I2546" s="375"/>
      <c r="J2546" s="375"/>
      <c r="K2546" s="375"/>
      <c r="L2546" s="375"/>
      <c r="M2546" s="375"/>
      <c r="N2546" s="372"/>
      <c r="O2546" s="704"/>
      <c r="P2546" s="563"/>
      <c r="Q2546" s="372"/>
      <c r="R2546" s="696"/>
      <c r="S2546" s="372"/>
      <c r="T2546" s="697"/>
      <c r="U2546" s="372"/>
      <c r="V2546" s="723"/>
      <c r="W2546" s="723"/>
      <c r="X2546" s="723"/>
      <c r="Y2546" s="723"/>
      <c r="Z2546" s="382"/>
      <c r="AA2546" s="372"/>
      <c r="AB2546" s="372"/>
      <c r="AC2546" s="372"/>
      <c r="AD2546" s="372"/>
      <c r="AE2546" s="372"/>
      <c r="AF2546" s="372"/>
      <c r="AG2546" s="372"/>
      <c r="AH2546" s="372"/>
    </row>
    <row r="2547" spans="1:34">
      <c r="A2547" s="372"/>
      <c r="B2547" s="372"/>
      <c r="C2547" s="372"/>
      <c r="D2547" s="374"/>
      <c r="E2547" s="372"/>
      <c r="F2547" s="372"/>
      <c r="G2547" s="375"/>
      <c r="H2547" s="375"/>
      <c r="I2547" s="375"/>
      <c r="J2547" s="375"/>
      <c r="K2547" s="375"/>
      <c r="L2547" s="375"/>
      <c r="M2547" s="375"/>
      <c r="N2547" s="372"/>
      <c r="O2547" s="704"/>
      <c r="P2547" s="563"/>
      <c r="Q2547" s="372"/>
      <c r="R2547" s="696"/>
      <c r="S2547" s="372"/>
      <c r="T2547" s="697"/>
      <c r="U2547" s="372"/>
      <c r="V2547" s="723"/>
      <c r="W2547" s="723"/>
      <c r="X2547" s="723"/>
      <c r="Y2547" s="723"/>
      <c r="Z2547" s="382"/>
      <c r="AA2547" s="372"/>
      <c r="AB2547" s="372"/>
      <c r="AC2547" s="372"/>
      <c r="AD2547" s="372"/>
      <c r="AE2547" s="372"/>
      <c r="AF2547" s="372"/>
      <c r="AG2547" s="372"/>
      <c r="AH2547" s="372"/>
    </row>
    <row r="2548" spans="1:34">
      <c r="A2548" s="372"/>
      <c r="B2548" s="372"/>
      <c r="C2548" s="372"/>
      <c r="D2548" s="374"/>
      <c r="E2548" s="372"/>
      <c r="F2548" s="372"/>
      <c r="G2548" s="375"/>
      <c r="H2548" s="375"/>
      <c r="I2548" s="375"/>
      <c r="J2548" s="375"/>
      <c r="K2548" s="375"/>
      <c r="L2548" s="375"/>
      <c r="M2548" s="375"/>
      <c r="N2548" s="372"/>
      <c r="O2548" s="704"/>
      <c r="P2548" s="563"/>
      <c r="Q2548" s="372"/>
      <c r="R2548" s="696"/>
      <c r="S2548" s="372"/>
      <c r="T2548" s="697"/>
      <c r="U2548" s="372"/>
      <c r="V2548" s="723"/>
      <c r="W2548" s="723"/>
      <c r="X2548" s="723"/>
      <c r="Y2548" s="723"/>
      <c r="Z2548" s="382"/>
      <c r="AA2548" s="372"/>
      <c r="AB2548" s="372"/>
      <c r="AC2548" s="372"/>
      <c r="AD2548" s="372"/>
      <c r="AE2548" s="372"/>
      <c r="AF2548" s="372"/>
      <c r="AG2548" s="372"/>
      <c r="AH2548" s="372"/>
    </row>
    <row r="2549" spans="1:34">
      <c r="A2549" s="372"/>
      <c r="B2549" s="372"/>
      <c r="C2549" s="372"/>
      <c r="D2549" s="374"/>
      <c r="E2549" s="372"/>
      <c r="F2549" s="372"/>
      <c r="G2549" s="375"/>
      <c r="H2549" s="375"/>
      <c r="I2549" s="375"/>
      <c r="J2549" s="375"/>
      <c r="K2549" s="375"/>
      <c r="L2549" s="375"/>
      <c r="M2549" s="375"/>
      <c r="N2549" s="372"/>
      <c r="O2549" s="704"/>
      <c r="P2549" s="563"/>
      <c r="Q2549" s="372"/>
      <c r="R2549" s="696"/>
      <c r="S2549" s="372"/>
      <c r="T2549" s="697"/>
      <c r="U2549" s="372"/>
      <c r="V2549" s="723"/>
      <c r="W2549" s="723"/>
      <c r="X2549" s="723"/>
      <c r="Y2549" s="723"/>
      <c r="Z2549" s="382"/>
      <c r="AA2549" s="372"/>
      <c r="AB2549" s="372"/>
      <c r="AC2549" s="372"/>
      <c r="AD2549" s="372"/>
      <c r="AE2549" s="372"/>
      <c r="AF2549" s="372"/>
      <c r="AG2549" s="372"/>
      <c r="AH2549" s="372"/>
    </row>
    <row r="2550" spans="1:34">
      <c r="A2550" s="372"/>
      <c r="B2550" s="372"/>
      <c r="C2550" s="372"/>
      <c r="D2550" s="374"/>
      <c r="E2550" s="372"/>
      <c r="F2550" s="372"/>
      <c r="G2550" s="375"/>
      <c r="H2550" s="375"/>
      <c r="I2550" s="375"/>
      <c r="J2550" s="375"/>
      <c r="K2550" s="375"/>
      <c r="L2550" s="375"/>
      <c r="M2550" s="375"/>
      <c r="N2550" s="372"/>
      <c r="O2550" s="704"/>
      <c r="P2550" s="563"/>
      <c r="Q2550" s="372"/>
      <c r="R2550" s="696"/>
      <c r="S2550" s="372"/>
      <c r="T2550" s="697"/>
      <c r="U2550" s="372"/>
      <c r="V2550" s="723"/>
      <c r="W2550" s="723"/>
      <c r="X2550" s="723"/>
      <c r="Y2550" s="723"/>
      <c r="Z2550" s="382"/>
      <c r="AA2550" s="372"/>
      <c r="AB2550" s="372"/>
      <c r="AC2550" s="372"/>
      <c r="AD2550" s="372"/>
      <c r="AE2550" s="372"/>
      <c r="AF2550" s="372"/>
      <c r="AG2550" s="372"/>
      <c r="AH2550" s="372"/>
    </row>
    <row r="2551" spans="1:34">
      <c r="A2551" s="372"/>
      <c r="B2551" s="372"/>
      <c r="C2551" s="372"/>
      <c r="D2551" s="374"/>
      <c r="E2551" s="372"/>
      <c r="F2551" s="372"/>
      <c r="G2551" s="375"/>
      <c r="H2551" s="375"/>
      <c r="I2551" s="375"/>
      <c r="J2551" s="375"/>
      <c r="K2551" s="375"/>
      <c r="L2551" s="375"/>
      <c r="M2551" s="375"/>
      <c r="N2551" s="372"/>
      <c r="O2551" s="704"/>
      <c r="P2551" s="563"/>
      <c r="Q2551" s="372"/>
      <c r="R2551" s="696"/>
      <c r="S2551" s="372"/>
      <c r="T2551" s="697"/>
      <c r="U2551" s="372"/>
      <c r="V2551" s="723"/>
      <c r="W2551" s="723"/>
      <c r="X2551" s="723"/>
      <c r="Y2551" s="723"/>
      <c r="Z2551" s="382"/>
      <c r="AA2551" s="372"/>
      <c r="AB2551" s="372"/>
      <c r="AC2551" s="372"/>
      <c r="AD2551" s="372"/>
      <c r="AE2551" s="372"/>
      <c r="AF2551" s="372"/>
      <c r="AG2551" s="372"/>
      <c r="AH2551" s="372"/>
    </row>
    <row r="2552" spans="1:34">
      <c r="A2552" s="372"/>
      <c r="B2552" s="372"/>
      <c r="C2552" s="372"/>
      <c r="D2552" s="374"/>
      <c r="E2552" s="372"/>
      <c r="F2552" s="372"/>
      <c r="G2552" s="375"/>
      <c r="H2552" s="375"/>
      <c r="I2552" s="375"/>
      <c r="J2552" s="375"/>
      <c r="K2552" s="375"/>
      <c r="L2552" s="375"/>
      <c r="M2552" s="375"/>
      <c r="N2552" s="372"/>
      <c r="O2552" s="704"/>
      <c r="P2552" s="563"/>
      <c r="Q2552" s="372"/>
      <c r="R2552" s="696"/>
      <c r="S2552" s="372"/>
      <c r="T2552" s="697"/>
      <c r="U2552" s="372"/>
      <c r="V2552" s="723"/>
      <c r="W2552" s="723"/>
      <c r="X2552" s="723"/>
      <c r="Y2552" s="723"/>
      <c r="Z2552" s="382"/>
      <c r="AA2552" s="372"/>
      <c r="AB2552" s="372"/>
      <c r="AC2552" s="372"/>
      <c r="AD2552" s="372"/>
      <c r="AE2552" s="372"/>
      <c r="AF2552" s="372"/>
      <c r="AG2552" s="372"/>
      <c r="AH2552" s="372"/>
    </row>
    <row r="2553" spans="1:34">
      <c r="A2553" s="372"/>
      <c r="B2553" s="372"/>
      <c r="C2553" s="372"/>
      <c r="D2553" s="374"/>
      <c r="E2553" s="372"/>
      <c r="F2553" s="372"/>
      <c r="G2553" s="375"/>
      <c r="H2553" s="375"/>
      <c r="I2553" s="375"/>
      <c r="J2553" s="375"/>
      <c r="K2553" s="375"/>
      <c r="L2553" s="375"/>
      <c r="M2553" s="375"/>
      <c r="N2553" s="372"/>
      <c r="O2553" s="704"/>
      <c r="P2553" s="563"/>
      <c r="Q2553" s="372"/>
      <c r="R2553" s="696"/>
      <c r="S2553" s="372"/>
      <c r="T2553" s="697"/>
      <c r="U2553" s="372"/>
      <c r="V2553" s="723"/>
      <c r="W2553" s="723"/>
      <c r="X2553" s="723"/>
      <c r="Y2553" s="723"/>
      <c r="Z2553" s="382"/>
      <c r="AA2553" s="372"/>
      <c r="AB2553" s="372"/>
      <c r="AC2553" s="372"/>
      <c r="AD2553" s="372"/>
      <c r="AE2553" s="372"/>
      <c r="AF2553" s="372"/>
      <c r="AG2553" s="372"/>
      <c r="AH2553" s="372"/>
    </row>
    <row r="2554" spans="1:34">
      <c r="A2554" s="372"/>
      <c r="B2554" s="372"/>
      <c r="C2554" s="372"/>
      <c r="D2554" s="374"/>
      <c r="E2554" s="372"/>
      <c r="F2554" s="372"/>
      <c r="G2554" s="375"/>
      <c r="H2554" s="375"/>
      <c r="I2554" s="375"/>
      <c r="J2554" s="375"/>
      <c r="K2554" s="375"/>
      <c r="L2554" s="375"/>
      <c r="M2554" s="375"/>
      <c r="N2554" s="372"/>
      <c r="O2554" s="704"/>
      <c r="P2554" s="563"/>
      <c r="Q2554" s="372"/>
      <c r="R2554" s="696"/>
      <c r="S2554" s="372"/>
      <c r="T2554" s="697"/>
      <c r="U2554" s="372"/>
      <c r="V2554" s="723"/>
      <c r="W2554" s="723"/>
      <c r="X2554" s="723"/>
      <c r="Y2554" s="723"/>
      <c r="Z2554" s="382"/>
      <c r="AA2554" s="372"/>
      <c r="AB2554" s="372"/>
      <c r="AC2554" s="372"/>
      <c r="AD2554" s="372"/>
      <c r="AE2554" s="372"/>
      <c r="AF2554" s="372"/>
      <c r="AG2554" s="372"/>
      <c r="AH2554" s="372"/>
    </row>
    <row r="2555" spans="1:34">
      <c r="A2555" s="372"/>
      <c r="B2555" s="372"/>
      <c r="C2555" s="372"/>
      <c r="D2555" s="374"/>
      <c r="E2555" s="372"/>
      <c r="F2555" s="372"/>
      <c r="G2555" s="375"/>
      <c r="H2555" s="375"/>
      <c r="I2555" s="375"/>
      <c r="J2555" s="375"/>
      <c r="K2555" s="375"/>
      <c r="L2555" s="375"/>
      <c r="M2555" s="375"/>
      <c r="N2555" s="372"/>
      <c r="O2555" s="704"/>
      <c r="P2555" s="563"/>
      <c r="Q2555" s="372"/>
      <c r="R2555" s="696"/>
      <c r="S2555" s="372"/>
      <c r="T2555" s="697"/>
      <c r="U2555" s="372"/>
      <c r="V2555" s="723"/>
      <c r="W2555" s="723"/>
      <c r="X2555" s="723"/>
      <c r="Y2555" s="723"/>
      <c r="Z2555" s="382"/>
      <c r="AA2555" s="372"/>
      <c r="AB2555" s="372"/>
      <c r="AC2555" s="372"/>
      <c r="AD2555" s="372"/>
      <c r="AE2555" s="372"/>
      <c r="AF2555" s="372"/>
      <c r="AG2555" s="372"/>
      <c r="AH2555" s="372"/>
    </row>
    <row r="2556" spans="1:34">
      <c r="A2556" s="372"/>
      <c r="B2556" s="372"/>
      <c r="C2556" s="372"/>
      <c r="D2556" s="374"/>
      <c r="E2556" s="372"/>
      <c r="F2556" s="372"/>
      <c r="G2556" s="375"/>
      <c r="H2556" s="375"/>
      <c r="I2556" s="375"/>
      <c r="J2556" s="375"/>
      <c r="K2556" s="375"/>
      <c r="L2556" s="375"/>
      <c r="M2556" s="375"/>
      <c r="N2556" s="372"/>
      <c r="O2556" s="704"/>
      <c r="P2556" s="563"/>
      <c r="Q2556" s="372"/>
      <c r="R2556" s="696"/>
      <c r="S2556" s="372"/>
      <c r="T2556" s="697"/>
      <c r="U2556" s="372"/>
      <c r="V2556" s="723"/>
      <c r="W2556" s="723"/>
      <c r="X2556" s="723"/>
      <c r="Y2556" s="723"/>
      <c r="Z2556" s="382"/>
      <c r="AA2556" s="372"/>
      <c r="AB2556" s="372"/>
      <c r="AC2556" s="372"/>
      <c r="AD2556" s="372"/>
      <c r="AE2556" s="372"/>
      <c r="AF2556" s="372"/>
      <c r="AG2556" s="372"/>
      <c r="AH2556" s="372"/>
    </row>
    <row r="2557" spans="1:34">
      <c r="A2557" s="372"/>
      <c r="B2557" s="372"/>
      <c r="C2557" s="372"/>
      <c r="D2557" s="374"/>
      <c r="E2557" s="372"/>
      <c r="F2557" s="372"/>
      <c r="G2557" s="375"/>
      <c r="H2557" s="375"/>
      <c r="I2557" s="375"/>
      <c r="J2557" s="375"/>
      <c r="K2557" s="375"/>
      <c r="L2557" s="375"/>
      <c r="M2557" s="375"/>
      <c r="N2557" s="372"/>
      <c r="O2557" s="704"/>
      <c r="P2557" s="563"/>
      <c r="Q2557" s="372"/>
      <c r="R2557" s="696"/>
      <c r="S2557" s="372"/>
      <c r="T2557" s="697"/>
      <c r="U2557" s="372"/>
      <c r="V2557" s="723"/>
      <c r="W2557" s="723"/>
      <c r="X2557" s="723"/>
      <c r="Y2557" s="723"/>
      <c r="Z2557" s="382"/>
      <c r="AA2557" s="372"/>
      <c r="AB2557" s="372"/>
      <c r="AC2557" s="372"/>
      <c r="AD2557" s="372"/>
      <c r="AE2557" s="372"/>
      <c r="AF2557" s="372"/>
      <c r="AG2557" s="372"/>
      <c r="AH2557" s="372"/>
    </row>
    <row r="2558" spans="1:34">
      <c r="A2558" s="372"/>
      <c r="B2558" s="372"/>
      <c r="C2558" s="372"/>
      <c r="D2558" s="374"/>
      <c r="E2558" s="372"/>
      <c r="F2558" s="372"/>
      <c r="G2558" s="375"/>
      <c r="H2558" s="375"/>
      <c r="I2558" s="375"/>
      <c r="J2558" s="375"/>
      <c r="K2558" s="375"/>
      <c r="L2558" s="375"/>
      <c r="M2558" s="375"/>
      <c r="N2558" s="372"/>
      <c r="O2558" s="704"/>
      <c r="P2558" s="563"/>
      <c r="Q2558" s="372"/>
      <c r="R2558" s="696"/>
      <c r="S2558" s="372"/>
      <c r="T2558" s="697"/>
      <c r="U2558" s="372"/>
      <c r="V2558" s="723"/>
      <c r="W2558" s="723"/>
      <c r="X2558" s="723"/>
      <c r="Y2558" s="723"/>
      <c r="Z2558" s="382"/>
      <c r="AA2558" s="372"/>
      <c r="AB2558" s="372"/>
      <c r="AC2558" s="372"/>
      <c r="AD2558" s="372"/>
      <c r="AE2558" s="372"/>
      <c r="AF2558" s="372"/>
      <c r="AG2558" s="372"/>
      <c r="AH2558" s="372"/>
    </row>
    <row r="2559" spans="1:34">
      <c r="A2559" s="372"/>
      <c r="B2559" s="372"/>
      <c r="C2559" s="372"/>
      <c r="D2559" s="374"/>
      <c r="E2559" s="372"/>
      <c r="F2559" s="372"/>
      <c r="G2559" s="375"/>
      <c r="H2559" s="375"/>
      <c r="I2559" s="375"/>
      <c r="J2559" s="375"/>
      <c r="K2559" s="375"/>
      <c r="L2559" s="375"/>
      <c r="M2559" s="375"/>
      <c r="N2559" s="372"/>
      <c r="O2559" s="704"/>
      <c r="P2559" s="563"/>
      <c r="Q2559" s="372"/>
      <c r="R2559" s="696"/>
      <c r="S2559" s="372"/>
      <c r="T2559" s="697"/>
      <c r="U2559" s="372"/>
      <c r="V2559" s="723"/>
      <c r="W2559" s="723"/>
      <c r="X2559" s="723"/>
      <c r="Y2559" s="723"/>
      <c r="Z2559" s="382"/>
      <c r="AA2559" s="372"/>
      <c r="AB2559" s="372"/>
      <c r="AC2559" s="372"/>
      <c r="AD2559" s="372"/>
      <c r="AE2559" s="372"/>
      <c r="AF2559" s="372"/>
      <c r="AG2559" s="372"/>
      <c r="AH2559" s="372"/>
    </row>
    <row r="2560" spans="1:34">
      <c r="A2560" s="372"/>
      <c r="B2560" s="372"/>
      <c r="C2560" s="372"/>
      <c r="D2560" s="374"/>
      <c r="E2560" s="372"/>
      <c r="F2560" s="372"/>
      <c r="G2560" s="375"/>
      <c r="H2560" s="375"/>
      <c r="I2560" s="375"/>
      <c r="J2560" s="375"/>
      <c r="K2560" s="375"/>
      <c r="L2560" s="375"/>
      <c r="M2560" s="375"/>
      <c r="N2560" s="372"/>
      <c r="O2560" s="704"/>
      <c r="P2560" s="563"/>
      <c r="Q2560" s="372"/>
      <c r="R2560" s="696"/>
      <c r="S2560" s="372"/>
      <c r="T2560" s="697"/>
      <c r="U2560" s="372"/>
      <c r="V2560" s="723"/>
      <c r="W2560" s="723"/>
      <c r="X2560" s="723"/>
      <c r="Y2560" s="723"/>
      <c r="Z2560" s="382"/>
      <c r="AA2560" s="372"/>
      <c r="AB2560" s="372"/>
      <c r="AC2560" s="372"/>
      <c r="AD2560" s="372"/>
      <c r="AE2560" s="372"/>
      <c r="AF2560" s="372"/>
      <c r="AG2560" s="372"/>
      <c r="AH2560" s="372"/>
    </row>
    <row r="2561" spans="1:34">
      <c r="A2561" s="372"/>
      <c r="B2561" s="372"/>
      <c r="C2561" s="372"/>
      <c r="D2561" s="374"/>
      <c r="E2561" s="372"/>
      <c r="F2561" s="372"/>
      <c r="G2561" s="375"/>
      <c r="H2561" s="375"/>
      <c r="I2561" s="375"/>
      <c r="J2561" s="375"/>
      <c r="K2561" s="375"/>
      <c r="L2561" s="375"/>
      <c r="M2561" s="375"/>
      <c r="N2561" s="372"/>
      <c r="O2561" s="704"/>
      <c r="P2561" s="563"/>
      <c r="Q2561" s="372"/>
      <c r="R2561" s="696"/>
      <c r="S2561" s="372"/>
      <c r="T2561" s="697"/>
      <c r="U2561" s="372"/>
      <c r="V2561" s="723"/>
      <c r="W2561" s="723"/>
      <c r="X2561" s="723"/>
      <c r="Y2561" s="723"/>
      <c r="Z2561" s="382"/>
      <c r="AA2561" s="372"/>
      <c r="AB2561" s="372"/>
      <c r="AC2561" s="372"/>
      <c r="AD2561" s="372"/>
      <c r="AE2561" s="372"/>
      <c r="AF2561" s="372"/>
      <c r="AG2561" s="372"/>
      <c r="AH2561" s="372"/>
    </row>
    <row r="2562" spans="1:34">
      <c r="A2562" s="372"/>
      <c r="B2562" s="372"/>
      <c r="C2562" s="372"/>
      <c r="D2562" s="374"/>
      <c r="E2562" s="372"/>
      <c r="F2562" s="372"/>
      <c r="G2562" s="375"/>
      <c r="H2562" s="375"/>
      <c r="I2562" s="375"/>
      <c r="J2562" s="375"/>
      <c r="K2562" s="375"/>
      <c r="L2562" s="375"/>
      <c r="M2562" s="375"/>
      <c r="N2562" s="372"/>
      <c r="O2562" s="704"/>
      <c r="P2562" s="563"/>
      <c r="Q2562" s="372"/>
      <c r="R2562" s="696"/>
      <c r="S2562" s="372"/>
      <c r="T2562" s="697"/>
      <c r="U2562" s="372"/>
      <c r="V2562" s="723"/>
      <c r="W2562" s="723"/>
      <c r="X2562" s="723"/>
      <c r="Y2562" s="723"/>
      <c r="Z2562" s="382"/>
      <c r="AA2562" s="372"/>
      <c r="AB2562" s="372"/>
      <c r="AC2562" s="372"/>
      <c r="AD2562" s="372"/>
      <c r="AE2562" s="372"/>
      <c r="AF2562" s="372"/>
      <c r="AG2562" s="372"/>
      <c r="AH2562" s="372"/>
    </row>
    <row r="2563" spans="1:34">
      <c r="A2563" s="372"/>
      <c r="B2563" s="372"/>
      <c r="C2563" s="372"/>
      <c r="D2563" s="374"/>
      <c r="E2563" s="372"/>
      <c r="F2563" s="372"/>
      <c r="G2563" s="375"/>
      <c r="H2563" s="375"/>
      <c r="I2563" s="375"/>
      <c r="J2563" s="375"/>
      <c r="K2563" s="375"/>
      <c r="L2563" s="375"/>
      <c r="M2563" s="375"/>
      <c r="N2563" s="372"/>
      <c r="O2563" s="704"/>
      <c r="P2563" s="563"/>
      <c r="Q2563" s="372"/>
      <c r="R2563" s="696"/>
      <c r="S2563" s="372"/>
      <c r="T2563" s="697"/>
      <c r="U2563" s="372"/>
      <c r="V2563" s="723"/>
      <c r="W2563" s="723"/>
      <c r="X2563" s="723"/>
      <c r="Y2563" s="723"/>
      <c r="Z2563" s="382"/>
      <c r="AA2563" s="372"/>
      <c r="AB2563" s="372"/>
      <c r="AC2563" s="372"/>
      <c r="AD2563" s="372"/>
      <c r="AE2563" s="372"/>
      <c r="AF2563" s="372"/>
      <c r="AG2563" s="372"/>
      <c r="AH2563" s="372"/>
    </row>
    <row r="2564" spans="1:34">
      <c r="A2564" s="372"/>
      <c r="B2564" s="372"/>
      <c r="C2564" s="372"/>
      <c r="D2564" s="374"/>
      <c r="E2564" s="372"/>
      <c r="F2564" s="372"/>
      <c r="G2564" s="375"/>
      <c r="H2564" s="375"/>
      <c r="I2564" s="375"/>
      <c r="J2564" s="375"/>
      <c r="K2564" s="375"/>
      <c r="L2564" s="375"/>
      <c r="M2564" s="375"/>
      <c r="N2564" s="372"/>
      <c r="O2564" s="704"/>
      <c r="P2564" s="563"/>
      <c r="Q2564" s="372"/>
      <c r="R2564" s="696"/>
      <c r="S2564" s="372"/>
      <c r="T2564" s="697"/>
      <c r="U2564" s="372"/>
      <c r="V2564" s="723"/>
      <c r="W2564" s="723"/>
      <c r="X2564" s="723"/>
      <c r="Y2564" s="723"/>
      <c r="Z2564" s="382"/>
      <c r="AA2564" s="372"/>
      <c r="AB2564" s="372"/>
      <c r="AC2564" s="372"/>
      <c r="AD2564" s="372"/>
      <c r="AE2564" s="372"/>
      <c r="AF2564" s="372"/>
      <c r="AG2564" s="372"/>
      <c r="AH2564" s="372"/>
    </row>
    <row r="2565" spans="1:34">
      <c r="A2565" s="372"/>
      <c r="B2565" s="372"/>
      <c r="C2565" s="372"/>
      <c r="D2565" s="374"/>
      <c r="E2565" s="372"/>
      <c r="F2565" s="372"/>
      <c r="G2565" s="375"/>
      <c r="H2565" s="375"/>
      <c r="I2565" s="375"/>
      <c r="J2565" s="375"/>
      <c r="K2565" s="375"/>
      <c r="L2565" s="375"/>
      <c r="M2565" s="375"/>
      <c r="N2565" s="372"/>
      <c r="O2565" s="704"/>
      <c r="P2565" s="563"/>
      <c r="Q2565" s="372"/>
      <c r="R2565" s="696"/>
      <c r="S2565" s="372"/>
      <c r="T2565" s="697"/>
      <c r="U2565" s="372"/>
      <c r="V2565" s="723"/>
      <c r="W2565" s="723"/>
      <c r="X2565" s="723"/>
      <c r="Y2565" s="723"/>
      <c r="Z2565" s="382"/>
      <c r="AA2565" s="372"/>
      <c r="AB2565" s="372"/>
      <c r="AC2565" s="372"/>
      <c r="AD2565" s="372"/>
      <c r="AE2565" s="372"/>
      <c r="AF2565" s="372"/>
      <c r="AG2565" s="372"/>
      <c r="AH2565" s="372"/>
    </row>
    <row r="2566" spans="1:34">
      <c r="A2566" s="372"/>
      <c r="B2566" s="372"/>
      <c r="C2566" s="372"/>
      <c r="D2566" s="374"/>
      <c r="E2566" s="372"/>
      <c r="F2566" s="372"/>
      <c r="G2566" s="375"/>
      <c r="H2566" s="375"/>
      <c r="I2566" s="375"/>
      <c r="J2566" s="375"/>
      <c r="K2566" s="375"/>
      <c r="L2566" s="375"/>
      <c r="M2566" s="375"/>
      <c r="N2566" s="372"/>
      <c r="O2566" s="704"/>
      <c r="P2566" s="563"/>
      <c r="Q2566" s="372"/>
      <c r="R2566" s="696"/>
      <c r="S2566" s="372"/>
      <c r="T2566" s="697"/>
      <c r="U2566" s="372"/>
      <c r="V2566" s="723"/>
      <c r="W2566" s="723"/>
      <c r="X2566" s="723"/>
      <c r="Y2566" s="723"/>
      <c r="Z2566" s="382"/>
      <c r="AA2566" s="372"/>
      <c r="AB2566" s="372"/>
      <c r="AC2566" s="372"/>
      <c r="AD2566" s="372"/>
      <c r="AE2566" s="372"/>
      <c r="AF2566" s="372"/>
      <c r="AG2566" s="372"/>
      <c r="AH2566" s="372"/>
    </row>
    <row r="2567" spans="1:34">
      <c r="A2567" s="372"/>
      <c r="B2567" s="372"/>
      <c r="C2567" s="372"/>
      <c r="D2567" s="374"/>
      <c r="E2567" s="372"/>
      <c r="F2567" s="372"/>
      <c r="G2567" s="375"/>
      <c r="H2567" s="375"/>
      <c r="I2567" s="375"/>
      <c r="J2567" s="375"/>
      <c r="K2567" s="375"/>
      <c r="L2567" s="375"/>
      <c r="M2567" s="375"/>
      <c r="N2567" s="372"/>
      <c r="O2567" s="704"/>
      <c r="P2567" s="563"/>
      <c r="Q2567" s="372"/>
      <c r="R2567" s="696"/>
      <c r="S2567" s="372"/>
      <c r="T2567" s="697"/>
      <c r="U2567" s="372"/>
      <c r="V2567" s="723"/>
      <c r="W2567" s="723"/>
      <c r="X2567" s="723"/>
      <c r="Y2567" s="723"/>
      <c r="Z2567" s="382"/>
      <c r="AA2567" s="372"/>
      <c r="AB2567" s="372"/>
      <c r="AC2567" s="372"/>
      <c r="AD2567" s="372"/>
      <c r="AE2567" s="372"/>
      <c r="AF2567" s="372"/>
      <c r="AG2567" s="372"/>
      <c r="AH2567" s="372"/>
    </row>
    <row r="2568" spans="1:34">
      <c r="A2568" s="372"/>
      <c r="B2568" s="372"/>
      <c r="C2568" s="372"/>
      <c r="D2568" s="374"/>
      <c r="E2568" s="372"/>
      <c r="F2568" s="372"/>
      <c r="G2568" s="375"/>
      <c r="H2568" s="375"/>
      <c r="I2568" s="375"/>
      <c r="J2568" s="375"/>
      <c r="K2568" s="375"/>
      <c r="L2568" s="375"/>
      <c r="M2568" s="375"/>
      <c r="N2568" s="372"/>
      <c r="O2568" s="704"/>
      <c r="P2568" s="563"/>
      <c r="Q2568" s="372"/>
      <c r="R2568" s="696"/>
      <c r="S2568" s="372"/>
      <c r="T2568" s="697"/>
      <c r="U2568" s="372"/>
      <c r="V2568" s="723"/>
      <c r="W2568" s="723"/>
      <c r="X2568" s="723"/>
      <c r="Y2568" s="723"/>
      <c r="Z2568" s="382"/>
      <c r="AA2568" s="372"/>
      <c r="AB2568" s="372"/>
      <c r="AC2568" s="372"/>
      <c r="AD2568" s="372"/>
      <c r="AE2568" s="372"/>
      <c r="AF2568" s="372"/>
      <c r="AG2568" s="372"/>
      <c r="AH2568" s="372"/>
    </row>
    <row r="2569" spans="1:34">
      <c r="A2569" s="372"/>
      <c r="B2569" s="372"/>
      <c r="C2569" s="372"/>
      <c r="D2569" s="374"/>
      <c r="E2569" s="372"/>
      <c r="F2569" s="372"/>
      <c r="G2569" s="375"/>
      <c r="H2569" s="375"/>
      <c r="I2569" s="375"/>
      <c r="J2569" s="375"/>
      <c r="K2569" s="375"/>
      <c r="L2569" s="375"/>
      <c r="M2569" s="375"/>
      <c r="N2569" s="372"/>
      <c r="O2569" s="704"/>
      <c r="P2569" s="563"/>
      <c r="Q2569" s="372"/>
      <c r="R2569" s="696"/>
      <c r="S2569" s="372"/>
      <c r="T2569" s="697"/>
      <c r="U2569" s="372"/>
      <c r="V2569" s="723"/>
      <c r="W2569" s="723"/>
      <c r="X2569" s="723"/>
      <c r="Y2569" s="723"/>
      <c r="Z2569" s="382"/>
      <c r="AA2569" s="372"/>
      <c r="AB2569" s="372"/>
      <c r="AC2569" s="372"/>
      <c r="AD2569" s="372"/>
      <c r="AE2569" s="372"/>
      <c r="AF2569" s="372"/>
      <c r="AG2569" s="372"/>
      <c r="AH2569" s="372"/>
    </row>
    <row r="2570" spans="1:34">
      <c r="A2570" s="372"/>
      <c r="B2570" s="372"/>
      <c r="C2570" s="372"/>
      <c r="D2570" s="374"/>
      <c r="E2570" s="372"/>
      <c r="F2570" s="372"/>
      <c r="G2570" s="375"/>
      <c r="H2570" s="375"/>
      <c r="I2570" s="375"/>
      <c r="J2570" s="375"/>
      <c r="K2570" s="375"/>
      <c r="L2570" s="375"/>
      <c r="M2570" s="375"/>
      <c r="N2570" s="372"/>
      <c r="O2570" s="704"/>
      <c r="P2570" s="563"/>
      <c r="Q2570" s="372"/>
      <c r="R2570" s="696"/>
      <c r="S2570" s="372"/>
      <c r="T2570" s="697"/>
      <c r="U2570" s="372"/>
      <c r="V2570" s="723"/>
      <c r="W2570" s="723"/>
      <c r="X2570" s="723"/>
      <c r="Y2570" s="723"/>
      <c r="Z2570" s="382"/>
      <c r="AA2570" s="372"/>
      <c r="AB2570" s="372"/>
      <c r="AC2570" s="372"/>
      <c r="AD2570" s="372"/>
      <c r="AE2570" s="372"/>
      <c r="AF2570" s="372"/>
      <c r="AG2570" s="372"/>
      <c r="AH2570" s="372"/>
    </row>
    <row r="2571" spans="1:34">
      <c r="A2571" s="372"/>
      <c r="B2571" s="372"/>
      <c r="C2571" s="372"/>
      <c r="D2571" s="374"/>
      <c r="E2571" s="372"/>
      <c r="F2571" s="372"/>
      <c r="G2571" s="375"/>
      <c r="H2571" s="375"/>
      <c r="I2571" s="375"/>
      <c r="J2571" s="375"/>
      <c r="K2571" s="375"/>
      <c r="L2571" s="375"/>
      <c r="M2571" s="375"/>
      <c r="N2571" s="372"/>
      <c r="O2571" s="704"/>
      <c r="P2571" s="563"/>
      <c r="Q2571" s="372"/>
      <c r="R2571" s="696"/>
      <c r="S2571" s="372"/>
      <c r="T2571" s="697"/>
      <c r="U2571" s="372"/>
      <c r="V2571" s="723"/>
      <c r="W2571" s="723"/>
      <c r="X2571" s="723"/>
      <c r="Y2571" s="723"/>
      <c r="Z2571" s="382"/>
      <c r="AA2571" s="372"/>
      <c r="AB2571" s="372"/>
      <c r="AC2571" s="372"/>
      <c r="AD2571" s="372"/>
      <c r="AE2571" s="372"/>
      <c r="AF2571" s="372"/>
      <c r="AG2571" s="372"/>
      <c r="AH2571" s="372"/>
    </row>
    <row r="2572" spans="1:34">
      <c r="A2572" s="372"/>
      <c r="B2572" s="372"/>
      <c r="C2572" s="372"/>
      <c r="D2572" s="374"/>
      <c r="E2572" s="372"/>
      <c r="F2572" s="372"/>
      <c r="G2572" s="375"/>
      <c r="H2572" s="375"/>
      <c r="I2572" s="375"/>
      <c r="J2572" s="375"/>
      <c r="K2572" s="375"/>
      <c r="L2572" s="375"/>
      <c r="M2572" s="375"/>
      <c r="N2572" s="372"/>
      <c r="O2572" s="704"/>
      <c r="P2572" s="563"/>
      <c r="Q2572" s="372"/>
      <c r="R2572" s="696"/>
      <c r="S2572" s="372"/>
      <c r="T2572" s="697"/>
      <c r="U2572" s="372"/>
      <c r="V2572" s="723"/>
      <c r="W2572" s="723"/>
      <c r="X2572" s="723"/>
      <c r="Y2572" s="723"/>
      <c r="Z2572" s="382"/>
      <c r="AA2572" s="372"/>
      <c r="AB2572" s="372"/>
      <c r="AC2572" s="372"/>
      <c r="AD2572" s="372"/>
      <c r="AE2572" s="372"/>
      <c r="AF2572" s="372"/>
      <c r="AG2572" s="372"/>
      <c r="AH2572" s="372"/>
    </row>
    <row r="2573" spans="1:34">
      <c r="A2573" s="372"/>
      <c r="B2573" s="372"/>
      <c r="C2573" s="372"/>
      <c r="D2573" s="374"/>
      <c r="E2573" s="372"/>
      <c r="F2573" s="372"/>
      <c r="G2573" s="375"/>
      <c r="H2573" s="375"/>
      <c r="I2573" s="375"/>
      <c r="J2573" s="375"/>
      <c r="K2573" s="375"/>
      <c r="L2573" s="375"/>
      <c r="M2573" s="375"/>
      <c r="N2573" s="372"/>
      <c r="O2573" s="704"/>
      <c r="P2573" s="563"/>
      <c r="Q2573" s="372"/>
      <c r="R2573" s="696"/>
      <c r="S2573" s="372"/>
      <c r="T2573" s="697"/>
      <c r="U2573" s="372"/>
      <c r="V2573" s="723"/>
      <c r="W2573" s="723"/>
      <c r="X2573" s="723"/>
      <c r="Y2573" s="723"/>
      <c r="Z2573" s="382"/>
      <c r="AA2573" s="372"/>
      <c r="AB2573" s="372"/>
      <c r="AC2573" s="372"/>
      <c r="AD2573" s="372"/>
      <c r="AE2573" s="372"/>
      <c r="AF2573" s="372"/>
      <c r="AG2573" s="372"/>
      <c r="AH2573" s="372"/>
    </row>
    <row r="2574" spans="1:34">
      <c r="A2574" s="372"/>
      <c r="B2574" s="372"/>
      <c r="C2574" s="372"/>
      <c r="D2574" s="374"/>
      <c r="E2574" s="372"/>
      <c r="F2574" s="372"/>
      <c r="G2574" s="375"/>
      <c r="H2574" s="375"/>
      <c r="I2574" s="375"/>
      <c r="J2574" s="375"/>
      <c r="K2574" s="375"/>
      <c r="L2574" s="375"/>
      <c r="M2574" s="375"/>
      <c r="N2574" s="372"/>
      <c r="O2574" s="704"/>
      <c r="P2574" s="563"/>
      <c r="Q2574" s="372"/>
      <c r="R2574" s="696"/>
      <c r="S2574" s="372"/>
      <c r="T2574" s="697"/>
      <c r="U2574" s="372"/>
      <c r="V2574" s="723"/>
      <c r="W2574" s="723"/>
      <c r="X2574" s="723"/>
      <c r="Y2574" s="723"/>
      <c r="Z2574" s="382"/>
      <c r="AA2574" s="372"/>
      <c r="AB2574" s="372"/>
      <c r="AC2574" s="372"/>
      <c r="AD2574" s="372"/>
      <c r="AE2574" s="372"/>
      <c r="AF2574" s="372"/>
      <c r="AG2574" s="372"/>
      <c r="AH2574" s="372"/>
    </row>
    <row r="2575" spans="1:34">
      <c r="A2575" s="372"/>
      <c r="B2575" s="372"/>
      <c r="C2575" s="372"/>
      <c r="D2575" s="374"/>
      <c r="E2575" s="372"/>
      <c r="F2575" s="372"/>
      <c r="G2575" s="375"/>
      <c r="H2575" s="375"/>
      <c r="I2575" s="375"/>
      <c r="J2575" s="375"/>
      <c r="K2575" s="375"/>
      <c r="L2575" s="375"/>
      <c r="M2575" s="375"/>
      <c r="N2575" s="372"/>
      <c r="O2575" s="704"/>
      <c r="P2575" s="563"/>
      <c r="Q2575" s="372"/>
      <c r="R2575" s="696"/>
      <c r="S2575" s="372"/>
      <c r="T2575" s="697"/>
      <c r="U2575" s="372"/>
      <c r="V2575" s="723"/>
      <c r="W2575" s="723"/>
      <c r="X2575" s="723"/>
      <c r="Y2575" s="723"/>
      <c r="Z2575" s="382"/>
      <c r="AA2575" s="372"/>
      <c r="AB2575" s="372"/>
      <c r="AC2575" s="372"/>
      <c r="AD2575" s="372"/>
      <c r="AE2575" s="372"/>
      <c r="AF2575" s="372"/>
      <c r="AG2575" s="372"/>
      <c r="AH2575" s="372"/>
    </row>
    <row r="2576" spans="1:34">
      <c r="A2576" s="372"/>
      <c r="B2576" s="372"/>
      <c r="C2576" s="372"/>
      <c r="D2576" s="374"/>
      <c r="E2576" s="372"/>
      <c r="F2576" s="372"/>
      <c r="G2576" s="375"/>
      <c r="H2576" s="375"/>
      <c r="I2576" s="375"/>
      <c r="J2576" s="375"/>
      <c r="K2576" s="375"/>
      <c r="L2576" s="375"/>
      <c r="M2576" s="375"/>
      <c r="N2576" s="372"/>
      <c r="O2576" s="704"/>
      <c r="P2576" s="563"/>
      <c r="Q2576" s="372"/>
      <c r="R2576" s="696"/>
      <c r="S2576" s="372"/>
      <c r="T2576" s="697"/>
      <c r="U2576" s="372"/>
      <c r="V2576" s="723"/>
      <c r="W2576" s="723"/>
      <c r="X2576" s="723"/>
      <c r="Y2576" s="723"/>
      <c r="Z2576" s="382"/>
      <c r="AA2576" s="372"/>
      <c r="AB2576" s="372"/>
      <c r="AC2576" s="372"/>
      <c r="AD2576" s="372"/>
      <c r="AE2576" s="372"/>
      <c r="AF2576" s="372"/>
      <c r="AG2576" s="372"/>
      <c r="AH2576" s="372"/>
    </row>
    <row r="2577" spans="1:34">
      <c r="A2577" s="372"/>
      <c r="B2577" s="372"/>
      <c r="C2577" s="372"/>
      <c r="D2577" s="374"/>
      <c r="E2577" s="372"/>
      <c r="F2577" s="372"/>
      <c r="G2577" s="375"/>
      <c r="H2577" s="375"/>
      <c r="I2577" s="375"/>
      <c r="J2577" s="375"/>
      <c r="K2577" s="375"/>
      <c r="L2577" s="375"/>
      <c r="M2577" s="375"/>
      <c r="N2577" s="372"/>
      <c r="O2577" s="704"/>
      <c r="P2577" s="563"/>
      <c r="Q2577" s="372"/>
      <c r="R2577" s="696"/>
      <c r="S2577" s="372"/>
      <c r="T2577" s="697"/>
      <c r="U2577" s="372"/>
      <c r="V2577" s="723"/>
      <c r="W2577" s="723"/>
      <c r="X2577" s="723"/>
      <c r="Y2577" s="723"/>
      <c r="Z2577" s="382"/>
      <c r="AA2577" s="372"/>
      <c r="AB2577" s="372"/>
      <c r="AC2577" s="372"/>
      <c r="AD2577" s="372"/>
      <c r="AE2577" s="372"/>
      <c r="AF2577" s="372"/>
      <c r="AG2577" s="372"/>
      <c r="AH2577" s="372"/>
    </row>
    <row r="2578" spans="1:34">
      <c r="A2578" s="372"/>
      <c r="B2578" s="372"/>
      <c r="C2578" s="372"/>
      <c r="D2578" s="374"/>
      <c r="E2578" s="372"/>
      <c r="F2578" s="372"/>
      <c r="G2578" s="375"/>
      <c r="H2578" s="375"/>
      <c r="I2578" s="375"/>
      <c r="J2578" s="375"/>
      <c r="K2578" s="375"/>
      <c r="L2578" s="375"/>
      <c r="M2578" s="375"/>
      <c r="N2578" s="372"/>
      <c r="O2578" s="704"/>
      <c r="P2578" s="563"/>
      <c r="Q2578" s="372"/>
      <c r="R2578" s="696"/>
      <c r="S2578" s="372"/>
      <c r="T2578" s="697"/>
      <c r="U2578" s="372"/>
      <c r="V2578" s="723"/>
      <c r="W2578" s="723"/>
      <c r="X2578" s="723"/>
      <c r="Y2578" s="723"/>
      <c r="Z2578" s="382"/>
      <c r="AA2578" s="372"/>
      <c r="AB2578" s="372"/>
      <c r="AC2578" s="372"/>
      <c r="AD2578" s="372"/>
      <c r="AE2578" s="372"/>
      <c r="AF2578" s="372"/>
      <c r="AG2578" s="372"/>
      <c r="AH2578" s="372"/>
    </row>
    <row r="2579" spans="1:34">
      <c r="A2579" s="372"/>
      <c r="B2579" s="372"/>
      <c r="C2579" s="372"/>
      <c r="D2579" s="374"/>
      <c r="E2579" s="372"/>
      <c r="F2579" s="372"/>
      <c r="G2579" s="375"/>
      <c r="H2579" s="375"/>
      <c r="I2579" s="375"/>
      <c r="J2579" s="375"/>
      <c r="K2579" s="375"/>
      <c r="L2579" s="375"/>
      <c r="M2579" s="375"/>
      <c r="N2579" s="372"/>
      <c r="O2579" s="704"/>
      <c r="P2579" s="563"/>
      <c r="Q2579" s="372"/>
      <c r="R2579" s="696"/>
      <c r="S2579" s="372"/>
      <c r="T2579" s="697"/>
      <c r="U2579" s="372"/>
      <c r="V2579" s="723"/>
      <c r="W2579" s="723"/>
      <c r="X2579" s="723"/>
      <c r="Y2579" s="723"/>
      <c r="Z2579" s="382"/>
      <c r="AA2579" s="372"/>
      <c r="AB2579" s="372"/>
      <c r="AC2579" s="372"/>
      <c r="AD2579" s="372"/>
      <c r="AE2579" s="372"/>
      <c r="AF2579" s="372"/>
      <c r="AG2579" s="372"/>
      <c r="AH2579" s="372"/>
    </row>
    <row r="2580" spans="1:34">
      <c r="A2580" s="372"/>
      <c r="B2580" s="372"/>
      <c r="C2580" s="372"/>
      <c r="D2580" s="374"/>
      <c r="E2580" s="372"/>
      <c r="F2580" s="372"/>
      <c r="G2580" s="375"/>
      <c r="H2580" s="375"/>
      <c r="I2580" s="375"/>
      <c r="J2580" s="375"/>
      <c r="K2580" s="375"/>
      <c r="L2580" s="375"/>
      <c r="M2580" s="375"/>
      <c r="N2580" s="372"/>
      <c r="O2580" s="704"/>
      <c r="P2580" s="563"/>
      <c r="Q2580" s="372"/>
      <c r="R2580" s="696"/>
      <c r="S2580" s="372"/>
      <c r="T2580" s="697"/>
      <c r="U2580" s="372"/>
      <c r="V2580" s="723"/>
      <c r="W2580" s="723"/>
      <c r="X2580" s="723"/>
      <c r="Y2580" s="723"/>
      <c r="Z2580" s="382"/>
      <c r="AA2580" s="372"/>
      <c r="AB2580" s="372"/>
      <c r="AC2580" s="372"/>
      <c r="AD2580" s="372"/>
      <c r="AE2580" s="372"/>
      <c r="AF2580" s="372"/>
      <c r="AG2580" s="372"/>
      <c r="AH2580" s="372"/>
    </row>
    <row r="2581" spans="1:34">
      <c r="A2581" s="372"/>
      <c r="B2581" s="372"/>
      <c r="C2581" s="372"/>
      <c r="D2581" s="374"/>
      <c r="E2581" s="372"/>
      <c r="F2581" s="372"/>
      <c r="G2581" s="375"/>
      <c r="H2581" s="375"/>
      <c r="I2581" s="375"/>
      <c r="J2581" s="375"/>
      <c r="K2581" s="375"/>
      <c r="L2581" s="375"/>
      <c r="M2581" s="375"/>
      <c r="N2581" s="372"/>
      <c r="O2581" s="704"/>
      <c r="P2581" s="563"/>
      <c r="Q2581" s="372"/>
      <c r="R2581" s="696"/>
      <c r="S2581" s="372"/>
      <c r="T2581" s="697"/>
      <c r="U2581" s="372"/>
      <c r="V2581" s="723"/>
      <c r="W2581" s="723"/>
      <c r="X2581" s="723"/>
      <c r="Y2581" s="723"/>
      <c r="Z2581" s="382"/>
      <c r="AA2581" s="372"/>
      <c r="AB2581" s="372"/>
      <c r="AC2581" s="372"/>
      <c r="AD2581" s="372"/>
      <c r="AE2581" s="372"/>
      <c r="AF2581" s="372"/>
      <c r="AG2581" s="372"/>
      <c r="AH2581" s="372"/>
    </row>
    <row r="2582" spans="1:34">
      <c r="A2582" s="372"/>
      <c r="B2582" s="372"/>
      <c r="C2582" s="372"/>
      <c r="D2582" s="374"/>
      <c r="E2582" s="372"/>
      <c r="F2582" s="372"/>
      <c r="G2582" s="375"/>
      <c r="H2582" s="375"/>
      <c r="I2582" s="375"/>
      <c r="J2582" s="375"/>
      <c r="K2582" s="375"/>
      <c r="L2582" s="375"/>
      <c r="M2582" s="375"/>
      <c r="N2582" s="372"/>
      <c r="O2582" s="704"/>
      <c r="P2582" s="563"/>
      <c r="Q2582" s="372"/>
      <c r="R2582" s="696"/>
      <c r="S2582" s="372"/>
      <c r="T2582" s="697"/>
      <c r="U2582" s="372"/>
      <c r="V2582" s="723"/>
      <c r="W2582" s="723"/>
      <c r="X2582" s="723"/>
      <c r="Y2582" s="723"/>
      <c r="Z2582" s="382"/>
      <c r="AA2582" s="372"/>
      <c r="AB2582" s="372"/>
      <c r="AC2582" s="372"/>
      <c r="AD2582" s="372"/>
      <c r="AE2582" s="372"/>
      <c r="AF2582" s="372"/>
      <c r="AG2582" s="372"/>
      <c r="AH2582" s="372"/>
    </row>
    <row r="2583" spans="1:34">
      <c r="A2583" s="372"/>
      <c r="B2583" s="372"/>
      <c r="C2583" s="372"/>
      <c r="D2583" s="374"/>
      <c r="E2583" s="372"/>
      <c r="F2583" s="372"/>
      <c r="G2583" s="375"/>
      <c r="H2583" s="375"/>
      <c r="I2583" s="375"/>
      <c r="J2583" s="375"/>
      <c r="K2583" s="375"/>
      <c r="L2583" s="375"/>
      <c r="M2583" s="375"/>
      <c r="N2583" s="372"/>
      <c r="O2583" s="704"/>
      <c r="P2583" s="563"/>
      <c r="Q2583" s="372"/>
      <c r="R2583" s="696"/>
      <c r="S2583" s="372"/>
      <c r="T2583" s="697"/>
      <c r="U2583" s="372"/>
      <c r="V2583" s="723"/>
      <c r="W2583" s="723"/>
      <c r="X2583" s="723"/>
      <c r="Y2583" s="723"/>
      <c r="Z2583" s="382"/>
      <c r="AA2583" s="372"/>
      <c r="AB2583" s="372"/>
      <c r="AC2583" s="372"/>
      <c r="AD2583" s="372"/>
      <c r="AE2583" s="372"/>
      <c r="AF2583" s="372"/>
      <c r="AG2583" s="372"/>
      <c r="AH2583" s="372"/>
    </row>
    <row r="2584" spans="1:34">
      <c r="A2584" s="372"/>
      <c r="B2584" s="372"/>
      <c r="C2584" s="372"/>
      <c r="D2584" s="374"/>
      <c r="E2584" s="372"/>
      <c r="F2584" s="372"/>
      <c r="G2584" s="375"/>
      <c r="H2584" s="375"/>
      <c r="I2584" s="375"/>
      <c r="J2584" s="375"/>
      <c r="K2584" s="375"/>
      <c r="L2584" s="375"/>
      <c r="M2584" s="375"/>
      <c r="N2584" s="372"/>
      <c r="O2584" s="704"/>
      <c r="P2584" s="563"/>
      <c r="Q2584" s="372"/>
      <c r="R2584" s="696"/>
      <c r="S2584" s="372"/>
      <c r="T2584" s="697"/>
      <c r="U2584" s="372"/>
      <c r="V2584" s="723"/>
      <c r="W2584" s="723"/>
      <c r="X2584" s="723"/>
      <c r="Y2584" s="723"/>
      <c r="Z2584" s="382"/>
      <c r="AA2584" s="372"/>
      <c r="AB2584" s="372"/>
      <c r="AC2584" s="372"/>
      <c r="AD2584" s="372"/>
      <c r="AE2584" s="372"/>
      <c r="AF2584" s="372"/>
      <c r="AG2584" s="372"/>
      <c r="AH2584" s="372"/>
    </row>
    <row r="2585" spans="1:34">
      <c r="A2585" s="372"/>
      <c r="B2585" s="372"/>
      <c r="C2585" s="372"/>
      <c r="D2585" s="374"/>
      <c r="E2585" s="372"/>
      <c r="F2585" s="372"/>
      <c r="G2585" s="375"/>
      <c r="H2585" s="375"/>
      <c r="I2585" s="375"/>
      <c r="J2585" s="375"/>
      <c r="K2585" s="375"/>
      <c r="L2585" s="375"/>
      <c r="M2585" s="375"/>
      <c r="N2585" s="372"/>
      <c r="O2585" s="704"/>
      <c r="P2585" s="563"/>
      <c r="Q2585" s="372"/>
      <c r="R2585" s="696"/>
      <c r="S2585" s="372"/>
      <c r="T2585" s="697"/>
      <c r="U2585" s="372"/>
      <c r="V2585" s="723"/>
      <c r="W2585" s="723"/>
      <c r="X2585" s="723"/>
      <c r="Y2585" s="723"/>
      <c r="Z2585" s="382"/>
      <c r="AA2585" s="372"/>
      <c r="AB2585" s="372"/>
      <c r="AC2585" s="372"/>
      <c r="AD2585" s="372"/>
      <c r="AE2585" s="372"/>
      <c r="AF2585" s="372"/>
      <c r="AG2585" s="372"/>
      <c r="AH2585" s="372"/>
    </row>
    <row r="2586" spans="1:34">
      <c r="A2586" s="372"/>
      <c r="B2586" s="372"/>
      <c r="C2586" s="372"/>
      <c r="D2586" s="374"/>
      <c r="E2586" s="372"/>
      <c r="F2586" s="372"/>
      <c r="G2586" s="375"/>
      <c r="H2586" s="375"/>
      <c r="I2586" s="375"/>
      <c r="J2586" s="375"/>
      <c r="K2586" s="375"/>
      <c r="L2586" s="375"/>
      <c r="M2586" s="375"/>
      <c r="N2586" s="372"/>
      <c r="O2586" s="704"/>
      <c r="P2586" s="563"/>
      <c r="Q2586" s="372"/>
      <c r="R2586" s="696"/>
      <c r="S2586" s="372"/>
      <c r="T2586" s="697"/>
      <c r="U2586" s="372"/>
      <c r="V2586" s="723"/>
      <c r="W2586" s="723"/>
      <c r="X2586" s="723"/>
      <c r="Y2586" s="723"/>
      <c r="Z2586" s="382"/>
      <c r="AA2586" s="372"/>
      <c r="AB2586" s="372"/>
      <c r="AC2586" s="372"/>
      <c r="AD2586" s="372"/>
      <c r="AE2586" s="372"/>
      <c r="AF2586" s="372"/>
      <c r="AG2586" s="372"/>
      <c r="AH2586" s="372"/>
    </row>
    <row r="2587" spans="1:34">
      <c r="A2587" s="372"/>
      <c r="B2587" s="372"/>
      <c r="C2587" s="372"/>
      <c r="D2587" s="374"/>
      <c r="E2587" s="372"/>
      <c r="F2587" s="372"/>
      <c r="G2587" s="375"/>
      <c r="H2587" s="375"/>
      <c r="I2587" s="375"/>
      <c r="J2587" s="375"/>
      <c r="K2587" s="375"/>
      <c r="L2587" s="375"/>
      <c r="M2587" s="375"/>
      <c r="N2587" s="372"/>
      <c r="O2587" s="704"/>
      <c r="P2587" s="563"/>
      <c r="Q2587" s="372"/>
      <c r="R2587" s="696"/>
      <c r="S2587" s="372"/>
      <c r="T2587" s="697"/>
      <c r="U2587" s="372"/>
      <c r="V2587" s="723"/>
      <c r="W2587" s="723"/>
      <c r="X2587" s="723"/>
      <c r="Y2587" s="723"/>
      <c r="Z2587" s="382"/>
      <c r="AA2587" s="372"/>
      <c r="AB2587" s="372"/>
      <c r="AC2587" s="372"/>
      <c r="AD2587" s="372"/>
      <c r="AE2587" s="372"/>
      <c r="AF2587" s="372"/>
      <c r="AG2587" s="372"/>
      <c r="AH2587" s="372"/>
    </row>
    <row r="2588" spans="1:34">
      <c r="A2588" s="372"/>
      <c r="B2588" s="372"/>
      <c r="C2588" s="372"/>
      <c r="D2588" s="374"/>
      <c r="E2588" s="372"/>
      <c r="F2588" s="372"/>
      <c r="G2588" s="375"/>
      <c r="H2588" s="375"/>
      <c r="I2588" s="375"/>
      <c r="J2588" s="375"/>
      <c r="K2588" s="375"/>
      <c r="L2588" s="375"/>
      <c r="M2588" s="375"/>
      <c r="N2588" s="372"/>
      <c r="O2588" s="704"/>
      <c r="P2588" s="563"/>
      <c r="Q2588" s="372"/>
      <c r="R2588" s="696"/>
      <c r="S2588" s="372"/>
      <c r="T2588" s="697"/>
      <c r="U2588" s="372"/>
      <c r="V2588" s="723"/>
      <c r="W2588" s="723"/>
      <c r="X2588" s="723"/>
      <c r="Y2588" s="723"/>
      <c r="Z2588" s="382"/>
      <c r="AA2588" s="372"/>
      <c r="AB2588" s="372"/>
      <c r="AC2588" s="372"/>
      <c r="AD2588" s="372"/>
      <c r="AE2588" s="372"/>
      <c r="AF2588" s="372"/>
      <c r="AG2588" s="372"/>
      <c r="AH2588" s="372"/>
    </row>
    <row r="2589" spans="1:34">
      <c r="A2589" s="372"/>
      <c r="B2589" s="372"/>
      <c r="C2589" s="372"/>
      <c r="D2589" s="374"/>
      <c r="E2589" s="372"/>
      <c r="F2589" s="372"/>
      <c r="G2589" s="375"/>
      <c r="H2589" s="375"/>
      <c r="I2589" s="375"/>
      <c r="J2589" s="375"/>
      <c r="K2589" s="375"/>
      <c r="L2589" s="375"/>
      <c r="M2589" s="375"/>
      <c r="N2589" s="372"/>
      <c r="O2589" s="704"/>
      <c r="P2589" s="563"/>
      <c r="Q2589" s="372"/>
      <c r="R2589" s="696"/>
      <c r="S2589" s="372"/>
      <c r="T2589" s="697"/>
      <c r="U2589" s="372"/>
      <c r="V2589" s="723"/>
      <c r="W2589" s="723"/>
      <c r="X2589" s="723"/>
      <c r="Y2589" s="723"/>
      <c r="Z2589" s="382"/>
      <c r="AA2589" s="372"/>
      <c r="AB2589" s="372"/>
      <c r="AC2589" s="372"/>
      <c r="AD2589" s="372"/>
      <c r="AE2589" s="372"/>
      <c r="AF2589" s="372"/>
      <c r="AG2589" s="372"/>
      <c r="AH2589" s="372"/>
    </row>
    <row r="2590" spans="1:34">
      <c r="A2590" s="372"/>
      <c r="B2590" s="372"/>
      <c r="C2590" s="372"/>
      <c r="D2590" s="374"/>
      <c r="E2590" s="372"/>
      <c r="F2590" s="372"/>
      <c r="G2590" s="375"/>
      <c r="H2590" s="375"/>
      <c r="I2590" s="375"/>
      <c r="J2590" s="375"/>
      <c r="K2590" s="375"/>
      <c r="L2590" s="375"/>
      <c r="M2590" s="375"/>
      <c r="N2590" s="372"/>
      <c r="O2590" s="704"/>
      <c r="P2590" s="563"/>
      <c r="Q2590" s="372"/>
      <c r="R2590" s="696"/>
      <c r="S2590" s="372"/>
      <c r="T2590" s="697"/>
      <c r="U2590" s="372"/>
      <c r="V2590" s="723"/>
      <c r="W2590" s="723"/>
      <c r="X2590" s="723"/>
      <c r="Y2590" s="723"/>
      <c r="Z2590" s="382"/>
      <c r="AA2590" s="372"/>
      <c r="AB2590" s="372"/>
      <c r="AC2590" s="372"/>
      <c r="AD2590" s="372"/>
      <c r="AE2590" s="372"/>
      <c r="AF2590" s="372"/>
      <c r="AG2590" s="372"/>
      <c r="AH2590" s="372"/>
    </row>
    <row r="2591" spans="1:34">
      <c r="A2591" s="372"/>
      <c r="B2591" s="372"/>
      <c r="C2591" s="372"/>
      <c r="D2591" s="374"/>
      <c r="E2591" s="372"/>
      <c r="F2591" s="372"/>
      <c r="G2591" s="375"/>
      <c r="H2591" s="375"/>
      <c r="I2591" s="375"/>
      <c r="J2591" s="375"/>
      <c r="K2591" s="375"/>
      <c r="L2591" s="375"/>
      <c r="M2591" s="375"/>
      <c r="N2591" s="372"/>
      <c r="O2591" s="704"/>
      <c r="P2591" s="563"/>
      <c r="Q2591" s="372"/>
      <c r="R2591" s="696"/>
      <c r="S2591" s="372"/>
      <c r="T2591" s="697"/>
      <c r="U2591" s="372"/>
      <c r="V2591" s="723"/>
      <c r="W2591" s="723"/>
      <c r="X2591" s="723"/>
      <c r="Y2591" s="723"/>
      <c r="Z2591" s="382"/>
      <c r="AA2591" s="372"/>
      <c r="AB2591" s="372"/>
      <c r="AC2591" s="372"/>
      <c r="AD2591" s="372"/>
      <c r="AE2591" s="372"/>
      <c r="AF2591" s="372"/>
      <c r="AG2591" s="372"/>
      <c r="AH2591" s="372"/>
    </row>
    <row r="2592" spans="1:34">
      <c r="A2592" s="372"/>
      <c r="B2592" s="372"/>
      <c r="C2592" s="372"/>
      <c r="D2592" s="374"/>
      <c r="E2592" s="372"/>
      <c r="F2592" s="372"/>
      <c r="G2592" s="375"/>
      <c r="H2592" s="375"/>
      <c r="I2592" s="375"/>
      <c r="J2592" s="375"/>
      <c r="K2592" s="375"/>
      <c r="L2592" s="375"/>
      <c r="M2592" s="375"/>
      <c r="N2592" s="372"/>
      <c r="O2592" s="704"/>
      <c r="P2592" s="563"/>
      <c r="Q2592" s="372"/>
      <c r="R2592" s="696"/>
      <c r="S2592" s="372"/>
      <c r="T2592" s="697"/>
      <c r="U2592" s="372"/>
      <c r="V2592" s="723"/>
      <c r="W2592" s="723"/>
      <c r="X2592" s="723"/>
      <c r="Y2592" s="723"/>
      <c r="Z2592" s="382"/>
      <c r="AA2592" s="372"/>
      <c r="AB2592" s="372"/>
      <c r="AC2592" s="372"/>
      <c r="AD2592" s="372"/>
      <c r="AE2592" s="372"/>
      <c r="AF2592" s="372"/>
      <c r="AG2592" s="372"/>
      <c r="AH2592" s="372"/>
    </row>
    <row r="2593" spans="1:34">
      <c r="A2593" s="372"/>
      <c r="B2593" s="372"/>
      <c r="C2593" s="372"/>
      <c r="D2593" s="374"/>
      <c r="E2593" s="372"/>
      <c r="F2593" s="372"/>
      <c r="G2593" s="375"/>
      <c r="H2593" s="375"/>
      <c r="I2593" s="375"/>
      <c r="J2593" s="375"/>
      <c r="K2593" s="375"/>
      <c r="L2593" s="375"/>
      <c r="M2593" s="375"/>
      <c r="N2593" s="372"/>
      <c r="O2593" s="704"/>
      <c r="P2593" s="563"/>
      <c r="Q2593" s="372"/>
      <c r="R2593" s="696"/>
      <c r="S2593" s="372"/>
      <c r="T2593" s="697"/>
      <c r="U2593" s="372"/>
      <c r="V2593" s="723"/>
      <c r="W2593" s="723"/>
      <c r="X2593" s="723"/>
      <c r="Y2593" s="723"/>
      <c r="Z2593" s="382"/>
      <c r="AA2593" s="372"/>
      <c r="AB2593" s="372"/>
      <c r="AC2593" s="372"/>
      <c r="AD2593" s="372"/>
      <c r="AE2593" s="372"/>
      <c r="AF2593" s="372"/>
      <c r="AG2593" s="372"/>
      <c r="AH2593" s="372"/>
    </row>
    <row r="2594" spans="1:34">
      <c r="A2594" s="372"/>
      <c r="B2594" s="372"/>
      <c r="C2594" s="372"/>
      <c r="D2594" s="374"/>
      <c r="E2594" s="372"/>
      <c r="F2594" s="372"/>
      <c r="G2594" s="375"/>
      <c r="H2594" s="375"/>
      <c r="I2594" s="375"/>
      <c r="J2594" s="375"/>
      <c r="K2594" s="375"/>
      <c r="L2594" s="375"/>
      <c r="M2594" s="375"/>
      <c r="N2594" s="372"/>
      <c r="O2594" s="704"/>
      <c r="P2594" s="563"/>
      <c r="Q2594" s="372"/>
      <c r="R2594" s="696"/>
      <c r="S2594" s="372"/>
      <c r="T2594" s="697"/>
      <c r="U2594" s="372"/>
      <c r="V2594" s="723"/>
      <c r="W2594" s="723"/>
      <c r="X2594" s="723"/>
      <c r="Y2594" s="723"/>
      <c r="Z2594" s="382"/>
      <c r="AA2594" s="372"/>
      <c r="AB2594" s="372"/>
      <c r="AC2594" s="372"/>
      <c r="AD2594" s="372"/>
      <c r="AE2594" s="372"/>
      <c r="AF2594" s="372"/>
      <c r="AG2594" s="372"/>
      <c r="AH2594" s="372"/>
    </row>
    <row r="2595" spans="1:34">
      <c r="A2595" s="372"/>
      <c r="B2595" s="372"/>
      <c r="C2595" s="372"/>
      <c r="D2595" s="374"/>
      <c r="E2595" s="372"/>
      <c r="F2595" s="372"/>
      <c r="G2595" s="375"/>
      <c r="H2595" s="375"/>
      <c r="I2595" s="375"/>
      <c r="J2595" s="375"/>
      <c r="K2595" s="375"/>
      <c r="L2595" s="375"/>
      <c r="M2595" s="375"/>
      <c r="N2595" s="372"/>
      <c r="O2595" s="704"/>
      <c r="P2595" s="563"/>
      <c r="Q2595" s="372"/>
      <c r="R2595" s="696"/>
      <c r="S2595" s="372"/>
      <c r="T2595" s="697"/>
      <c r="U2595" s="372"/>
      <c r="V2595" s="723"/>
      <c r="W2595" s="723"/>
      <c r="X2595" s="723"/>
      <c r="Y2595" s="723"/>
      <c r="Z2595" s="382"/>
      <c r="AA2595" s="372"/>
      <c r="AB2595" s="372"/>
      <c r="AC2595" s="372"/>
      <c r="AD2595" s="372"/>
      <c r="AE2595" s="372"/>
      <c r="AF2595" s="372"/>
      <c r="AG2595" s="372"/>
      <c r="AH2595" s="372"/>
    </row>
    <row r="2596" spans="1:34">
      <c r="A2596" s="372"/>
      <c r="B2596" s="372"/>
      <c r="C2596" s="372"/>
      <c r="D2596" s="374"/>
      <c r="E2596" s="372"/>
      <c r="F2596" s="372"/>
      <c r="G2596" s="375"/>
      <c r="H2596" s="375"/>
      <c r="I2596" s="375"/>
      <c r="J2596" s="375"/>
      <c r="K2596" s="375"/>
      <c r="L2596" s="375"/>
      <c r="M2596" s="375"/>
      <c r="N2596" s="372"/>
      <c r="O2596" s="704"/>
      <c r="P2596" s="563"/>
      <c r="Q2596" s="372"/>
      <c r="R2596" s="696"/>
      <c r="S2596" s="372"/>
      <c r="T2596" s="697"/>
      <c r="U2596" s="372"/>
      <c r="V2596" s="723"/>
      <c r="W2596" s="723"/>
      <c r="X2596" s="723"/>
      <c r="Y2596" s="723"/>
      <c r="Z2596" s="382"/>
      <c r="AA2596" s="372"/>
      <c r="AB2596" s="372"/>
      <c r="AC2596" s="372"/>
      <c r="AD2596" s="372"/>
      <c r="AE2596" s="372"/>
      <c r="AF2596" s="372"/>
      <c r="AG2596" s="372"/>
      <c r="AH2596" s="372"/>
    </row>
    <row r="2597" spans="1:34">
      <c r="A2597" s="372"/>
      <c r="B2597" s="372"/>
      <c r="C2597" s="372"/>
      <c r="D2597" s="374"/>
      <c r="E2597" s="372"/>
      <c r="F2597" s="372"/>
      <c r="G2597" s="375"/>
      <c r="H2597" s="375"/>
      <c r="I2597" s="375"/>
      <c r="J2597" s="375"/>
      <c r="K2597" s="375"/>
      <c r="L2597" s="375"/>
      <c r="M2597" s="375"/>
      <c r="N2597" s="372"/>
      <c r="O2597" s="704"/>
      <c r="P2597" s="563"/>
      <c r="Q2597" s="372"/>
      <c r="R2597" s="696"/>
      <c r="S2597" s="372"/>
      <c r="T2597" s="697"/>
      <c r="U2597" s="372"/>
      <c r="V2597" s="723"/>
      <c r="W2597" s="723"/>
      <c r="X2597" s="723"/>
      <c r="Y2597" s="723"/>
      <c r="Z2597" s="382"/>
      <c r="AA2597" s="372"/>
      <c r="AB2597" s="372"/>
      <c r="AC2597" s="372"/>
      <c r="AD2597" s="372"/>
      <c r="AE2597" s="372"/>
      <c r="AF2597" s="372"/>
      <c r="AG2597" s="372"/>
      <c r="AH2597" s="372"/>
    </row>
    <row r="2598" spans="1:34">
      <c r="A2598" s="372"/>
      <c r="B2598" s="372"/>
      <c r="C2598" s="372"/>
      <c r="D2598" s="374"/>
      <c r="E2598" s="372"/>
      <c r="F2598" s="372"/>
      <c r="G2598" s="375"/>
      <c r="H2598" s="375"/>
      <c r="I2598" s="375"/>
      <c r="J2598" s="375"/>
      <c r="K2598" s="375"/>
      <c r="L2598" s="375"/>
      <c r="M2598" s="375"/>
      <c r="N2598" s="372"/>
      <c r="O2598" s="704"/>
      <c r="P2598" s="563"/>
      <c r="Q2598" s="372"/>
      <c r="R2598" s="696"/>
      <c r="S2598" s="372"/>
      <c r="T2598" s="697"/>
      <c r="U2598" s="372"/>
      <c r="V2598" s="723"/>
      <c r="W2598" s="723"/>
      <c r="X2598" s="723"/>
      <c r="Y2598" s="723"/>
      <c r="Z2598" s="382"/>
      <c r="AA2598" s="372"/>
      <c r="AB2598" s="372"/>
      <c r="AC2598" s="372"/>
      <c r="AD2598" s="372"/>
      <c r="AE2598" s="372"/>
      <c r="AF2598" s="372"/>
      <c r="AG2598" s="372"/>
      <c r="AH2598" s="372"/>
    </row>
    <row r="2599" spans="1:34">
      <c r="A2599" s="372"/>
      <c r="B2599" s="372"/>
      <c r="C2599" s="372"/>
      <c r="D2599" s="374"/>
      <c r="E2599" s="372"/>
      <c r="F2599" s="372"/>
      <c r="G2599" s="375"/>
      <c r="H2599" s="375"/>
      <c r="I2599" s="375"/>
      <c r="J2599" s="375"/>
      <c r="K2599" s="375"/>
      <c r="L2599" s="375"/>
      <c r="M2599" s="375"/>
      <c r="N2599" s="372"/>
      <c r="O2599" s="704"/>
      <c r="P2599" s="563"/>
      <c r="Q2599" s="372"/>
      <c r="R2599" s="696"/>
      <c r="S2599" s="372"/>
      <c r="T2599" s="697"/>
      <c r="U2599" s="372"/>
      <c r="V2599" s="723"/>
      <c r="W2599" s="723"/>
      <c r="X2599" s="723"/>
      <c r="Y2599" s="723"/>
      <c r="Z2599" s="382"/>
      <c r="AA2599" s="372"/>
      <c r="AB2599" s="372"/>
      <c r="AC2599" s="372"/>
      <c r="AD2599" s="372"/>
      <c r="AE2599" s="372"/>
      <c r="AF2599" s="372"/>
      <c r="AG2599" s="372"/>
      <c r="AH2599" s="372"/>
    </row>
    <row r="2600" spans="1:34">
      <c r="A2600" s="372"/>
      <c r="B2600" s="372"/>
      <c r="C2600" s="372"/>
      <c r="D2600" s="374"/>
      <c r="E2600" s="372"/>
      <c r="F2600" s="372"/>
      <c r="G2600" s="375"/>
      <c r="H2600" s="375"/>
      <c r="I2600" s="375"/>
      <c r="J2600" s="375"/>
      <c r="K2600" s="375"/>
      <c r="L2600" s="375"/>
      <c r="M2600" s="375"/>
      <c r="N2600" s="372"/>
      <c r="O2600" s="704"/>
      <c r="P2600" s="563"/>
      <c r="Q2600" s="372"/>
      <c r="R2600" s="696"/>
      <c r="S2600" s="372"/>
      <c r="T2600" s="697"/>
      <c r="U2600" s="372"/>
      <c r="V2600" s="723"/>
      <c r="W2600" s="723"/>
      <c r="X2600" s="723"/>
      <c r="Y2600" s="723"/>
      <c r="Z2600" s="382"/>
      <c r="AA2600" s="372"/>
      <c r="AB2600" s="372"/>
      <c r="AC2600" s="372"/>
      <c r="AD2600" s="372"/>
      <c r="AE2600" s="372"/>
      <c r="AF2600" s="372"/>
      <c r="AG2600" s="372"/>
      <c r="AH2600" s="372"/>
    </row>
  </sheetData>
  <phoneticPr fontId="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I136"/>
  <sheetViews>
    <sheetView showGridLines="0" topLeftCell="C1" zoomScale="85" zoomScaleNormal="85" workbookViewId="0">
      <selection activeCell="C1" sqref="C1"/>
    </sheetView>
  </sheetViews>
  <sheetFormatPr defaultColWidth="9" defaultRowHeight="16.5"/>
  <cols>
    <col min="1" max="2" width="9" style="70" hidden="1" customWidth="1"/>
    <col min="3" max="3" width="9" style="70"/>
    <col min="4" max="4" width="39.75" style="70" bestFit="1" customWidth="1"/>
    <col min="5" max="5" width="12.375" style="70" bestFit="1" customWidth="1"/>
    <col min="6" max="7" width="11" style="70" bestFit="1" customWidth="1"/>
    <col min="8" max="8" width="10.875" style="70" customWidth="1"/>
    <col min="9" max="9" width="10.625" style="70" customWidth="1"/>
    <col min="10" max="16384" width="9" style="70"/>
  </cols>
  <sheetData>
    <row r="1" spans="1:8">
      <c r="A1" s="70">
        <v>16</v>
      </c>
      <c r="C1" s="80" t="s">
        <v>16443</v>
      </c>
      <c r="D1" s="80"/>
      <c r="E1" s="69" t="s">
        <v>16477</v>
      </c>
      <c r="F1" s="69" t="s">
        <v>16479</v>
      </c>
      <c r="G1" s="69" t="s">
        <v>16482</v>
      </c>
      <c r="H1" s="69" t="s">
        <v>16485</v>
      </c>
    </row>
    <row r="2" spans="1:8">
      <c r="A2" s="70" t="s">
        <v>12</v>
      </c>
      <c r="B2" s="70" t="s">
        <v>11</v>
      </c>
      <c r="C2" s="80" t="s">
        <v>16444</v>
      </c>
      <c r="D2" s="74" t="s">
        <v>16445</v>
      </c>
      <c r="E2" s="74"/>
      <c r="F2" s="74"/>
      <c r="G2" s="74"/>
      <c r="H2" s="74"/>
    </row>
    <row r="3" spans="1:8">
      <c r="A3" s="70" t="s">
        <v>12</v>
      </c>
      <c r="B3" s="70" t="s">
        <v>11</v>
      </c>
      <c r="C3" s="80" t="s">
        <v>16446</v>
      </c>
      <c r="D3" s="74" t="s">
        <v>16447</v>
      </c>
      <c r="E3" s="74"/>
      <c r="F3" s="74"/>
      <c r="G3" s="74"/>
      <c r="H3" s="74"/>
    </row>
    <row r="4" spans="1:8">
      <c r="A4" s="70" t="s">
        <v>12</v>
      </c>
      <c r="B4" s="70" t="s">
        <v>11</v>
      </c>
      <c r="C4" s="80" t="s">
        <v>16448</v>
      </c>
      <c r="D4" s="74" t="s">
        <v>16449</v>
      </c>
      <c r="E4" s="74"/>
      <c r="F4" s="74"/>
      <c r="G4" s="74">
        <v>62</v>
      </c>
      <c r="H4" s="74"/>
    </row>
    <row r="5" spans="1:8">
      <c r="A5" s="70" t="s">
        <v>12</v>
      </c>
      <c r="B5" s="70" t="s">
        <v>11</v>
      </c>
      <c r="C5" s="80" t="s">
        <v>16450</v>
      </c>
      <c r="D5" s="74" t="s">
        <v>16451</v>
      </c>
      <c r="E5" s="74"/>
      <c r="F5" s="74"/>
      <c r="G5" s="74"/>
      <c r="H5" s="74"/>
    </row>
    <row r="6" spans="1:8">
      <c r="A6" s="70" t="s">
        <v>12</v>
      </c>
      <c r="B6" s="70" t="s">
        <v>11</v>
      </c>
      <c r="C6" s="80" t="s">
        <v>16452</v>
      </c>
      <c r="D6" s="74" t="s">
        <v>16453</v>
      </c>
      <c r="E6" s="74"/>
      <c r="F6" s="74"/>
      <c r="G6" s="74"/>
      <c r="H6" s="74"/>
    </row>
    <row r="7" spans="1:8">
      <c r="A7" s="70" t="s">
        <v>12</v>
      </c>
      <c r="B7" s="70" t="s">
        <v>11</v>
      </c>
      <c r="C7" s="80" t="s">
        <v>16454</v>
      </c>
      <c r="D7" s="74" t="s">
        <v>16455</v>
      </c>
      <c r="E7" s="74">
        <v>2000</v>
      </c>
      <c r="F7" s="74">
        <v>2700</v>
      </c>
      <c r="G7" s="74">
        <v>2801</v>
      </c>
      <c r="H7" s="74">
        <v>5900</v>
      </c>
    </row>
    <row r="8" spans="1:8">
      <c r="A8" s="70" t="s">
        <v>12</v>
      </c>
      <c r="B8" s="70" t="s">
        <v>11</v>
      </c>
      <c r="C8" s="80" t="s">
        <v>16456</v>
      </c>
      <c r="D8" s="74" t="s">
        <v>16457</v>
      </c>
      <c r="E8" s="74">
        <v>2000</v>
      </c>
      <c r="F8" s="74">
        <v>2700</v>
      </c>
      <c r="G8" s="74">
        <v>2863</v>
      </c>
      <c r="H8" s="74">
        <v>5900</v>
      </c>
    </row>
    <row r="9" spans="1:8">
      <c r="A9" s="70" t="s">
        <v>12</v>
      </c>
      <c r="B9" s="70" t="s">
        <v>11</v>
      </c>
      <c r="C9" s="80" t="s">
        <v>16458</v>
      </c>
      <c r="D9" s="74" t="s">
        <v>16459</v>
      </c>
      <c r="E9" s="84">
        <f>E12+E13</f>
        <v>1167</v>
      </c>
      <c r="F9" s="84">
        <f t="shared" ref="F9:H9" si="0">F12+F13</f>
        <v>7147</v>
      </c>
      <c r="G9" s="84">
        <f t="shared" si="0"/>
        <v>11910</v>
      </c>
      <c r="H9" s="84">
        <f t="shared" si="0"/>
        <v>15958</v>
      </c>
    </row>
    <row r="10" spans="1:8">
      <c r="A10" s="70" t="s">
        <v>12</v>
      </c>
      <c r="B10" s="70" t="s">
        <v>11</v>
      </c>
      <c r="C10" s="80" t="s">
        <v>16460</v>
      </c>
      <c r="D10" s="74" t="s">
        <v>16461</v>
      </c>
      <c r="E10" s="74"/>
      <c r="F10" s="74">
        <v>331</v>
      </c>
      <c r="G10" s="74"/>
      <c r="H10" s="74"/>
    </row>
    <row r="11" spans="1:8">
      <c r="A11" s="70" t="s">
        <v>12</v>
      </c>
      <c r="B11" s="70" t="s">
        <v>11</v>
      </c>
      <c r="C11" s="80" t="s">
        <v>16462</v>
      </c>
      <c r="D11" s="74" t="s">
        <v>16463</v>
      </c>
      <c r="E11" s="74"/>
      <c r="F11" s="74"/>
      <c r="G11" s="74"/>
      <c r="H11" s="74"/>
    </row>
    <row r="12" spans="1:8">
      <c r="A12" s="70" t="s">
        <v>12</v>
      </c>
      <c r="B12" s="70" t="s">
        <v>11</v>
      </c>
      <c r="C12" s="80" t="s">
        <v>16464</v>
      </c>
      <c r="D12" s="74" t="s">
        <v>16465</v>
      </c>
      <c r="E12" s="74">
        <v>1167</v>
      </c>
      <c r="F12" s="74">
        <v>4736</v>
      </c>
      <c r="G12" s="74">
        <v>10514</v>
      </c>
      <c r="H12" s="74">
        <v>13459</v>
      </c>
    </row>
    <row r="13" spans="1:8">
      <c r="A13" s="70" t="s">
        <v>12</v>
      </c>
      <c r="B13" s="70" t="s">
        <v>11</v>
      </c>
      <c r="C13" s="80" t="s">
        <v>16466</v>
      </c>
      <c r="D13" s="74" t="s">
        <v>16467</v>
      </c>
      <c r="E13" s="74"/>
      <c r="F13" s="74">
        <v>2411</v>
      </c>
      <c r="G13" s="74">
        <v>1396</v>
      </c>
      <c r="H13" s="74">
        <v>2499</v>
      </c>
    </row>
    <row r="14" spans="1:8">
      <c r="A14" s="70" t="s">
        <v>12</v>
      </c>
      <c r="B14" s="70" t="s">
        <v>11</v>
      </c>
      <c r="C14" s="80" t="s">
        <v>16468</v>
      </c>
      <c r="D14" s="74" t="s">
        <v>16469</v>
      </c>
      <c r="E14" s="74"/>
      <c r="F14" s="74">
        <v>11885</v>
      </c>
      <c r="G14" s="74">
        <v>12861</v>
      </c>
      <c r="H14" s="74">
        <v>13918</v>
      </c>
    </row>
    <row r="15" spans="1:8">
      <c r="A15" s="70" t="s">
        <v>12</v>
      </c>
      <c r="B15" s="70" t="s">
        <v>11</v>
      </c>
      <c r="C15" s="80" t="s">
        <v>16470</v>
      </c>
      <c r="D15" s="74" t="s">
        <v>16471</v>
      </c>
      <c r="E15" s="74"/>
      <c r="F15" s="74"/>
      <c r="G15" s="74"/>
      <c r="H15" s="74">
        <v>13918</v>
      </c>
    </row>
    <row r="16" spans="1:8">
      <c r="A16" s="70" t="s">
        <v>12</v>
      </c>
      <c r="B16" s="70" t="s">
        <v>11</v>
      </c>
      <c r="C16" s="80" t="s">
        <v>16472</v>
      </c>
      <c r="D16" s="74" t="s">
        <v>16473</v>
      </c>
      <c r="E16" s="74"/>
      <c r="F16" s="74"/>
      <c r="G16" s="74"/>
      <c r="H16" s="74"/>
    </row>
    <row r="17" spans="1:9">
      <c r="A17" s="70" t="s">
        <v>12</v>
      </c>
      <c r="B17" s="70" t="s">
        <v>11</v>
      </c>
      <c r="C17" s="80" t="s">
        <v>16474</v>
      </c>
      <c r="D17" s="74" t="s">
        <v>16475</v>
      </c>
      <c r="E17" s="84">
        <f>E8+E12+E14+E16</f>
        <v>3167</v>
      </c>
      <c r="F17" s="84">
        <f>F8+F12+F14+F16</f>
        <v>19321</v>
      </c>
      <c r="G17" s="84">
        <f>G8+G12+G14+G16</f>
        <v>26238</v>
      </c>
      <c r="H17" s="84">
        <f>H8+H12+H14+H16</f>
        <v>33277</v>
      </c>
    </row>
    <row r="18" spans="1:9">
      <c r="C18" s="79"/>
      <c r="D18" s="79"/>
      <c r="E18" s="79"/>
      <c r="F18" s="79"/>
      <c r="G18" s="79"/>
      <c r="H18" s="78"/>
    </row>
    <row r="19" spans="1:9">
      <c r="C19" s="79"/>
      <c r="D19" s="79"/>
      <c r="E19" s="79"/>
      <c r="F19" s="79"/>
      <c r="G19" s="79"/>
      <c r="H19" s="76"/>
    </row>
    <row r="20" spans="1:9">
      <c r="C20" s="79"/>
      <c r="D20" s="79"/>
      <c r="E20" s="79"/>
      <c r="F20" s="79"/>
      <c r="G20" s="79"/>
      <c r="H20" s="78"/>
    </row>
    <row r="21" spans="1:9">
      <c r="A21" s="70">
        <v>5</v>
      </c>
      <c r="C21" s="80" t="s">
        <v>16486</v>
      </c>
      <c r="D21" s="80" t="s">
        <v>16487</v>
      </c>
      <c r="E21" s="80" t="s">
        <v>16498</v>
      </c>
      <c r="F21" s="80" t="s">
        <v>16499</v>
      </c>
      <c r="G21" s="80" t="s">
        <v>16484</v>
      </c>
      <c r="H21" s="80"/>
      <c r="I21" s="80"/>
    </row>
    <row r="22" spans="1:9">
      <c r="A22" s="70" t="s">
        <v>12</v>
      </c>
      <c r="B22" s="70" t="s">
        <v>11</v>
      </c>
      <c r="C22" s="80" t="s">
        <v>16488</v>
      </c>
      <c r="D22" s="79" t="s">
        <v>16489</v>
      </c>
      <c r="E22" s="79">
        <v>312</v>
      </c>
      <c r="F22" s="79">
        <v>-5080</v>
      </c>
      <c r="G22" s="79">
        <v>-5202</v>
      </c>
      <c r="H22" s="78"/>
    </row>
    <row r="23" spans="1:9">
      <c r="A23" s="70" t="s">
        <v>12</v>
      </c>
      <c r="B23" s="70" t="s">
        <v>11</v>
      </c>
      <c r="C23" s="80" t="s">
        <v>16490</v>
      </c>
      <c r="D23" s="79" t="s">
        <v>16491</v>
      </c>
      <c r="E23" s="79">
        <v>-7086</v>
      </c>
      <c r="F23" s="79">
        <v>-31632</v>
      </c>
      <c r="G23" s="79">
        <v>-8954</v>
      </c>
      <c r="H23" s="78"/>
    </row>
    <row r="24" spans="1:9">
      <c r="A24" s="70" t="s">
        <v>12</v>
      </c>
      <c r="B24" s="70" t="s">
        <v>11</v>
      </c>
      <c r="C24" s="80" t="s">
        <v>16492</v>
      </c>
      <c r="D24" s="79" t="s">
        <v>16493</v>
      </c>
      <c r="E24" s="79">
        <v>18863</v>
      </c>
      <c r="F24" s="79">
        <v>32500</v>
      </c>
      <c r="G24" s="79">
        <v>5470</v>
      </c>
      <c r="H24" s="78"/>
    </row>
    <row r="25" spans="1:9">
      <c r="A25" s="70" t="s">
        <v>12</v>
      </c>
      <c r="B25" s="70" t="s">
        <v>16364</v>
      </c>
      <c r="C25" s="80" t="s">
        <v>16494</v>
      </c>
      <c r="D25" s="79" t="s">
        <v>16495</v>
      </c>
      <c r="E25" s="79"/>
      <c r="F25" s="79"/>
      <c r="G25" s="79"/>
      <c r="H25" s="78"/>
    </row>
    <row r="26" spans="1:9">
      <c r="A26" s="70" t="s">
        <v>12</v>
      </c>
      <c r="B26" s="70" t="s">
        <v>16364</v>
      </c>
      <c r="C26" s="80" t="s">
        <v>16496</v>
      </c>
      <c r="D26" s="79" t="s">
        <v>16497</v>
      </c>
      <c r="E26" s="79"/>
      <c r="F26" s="79"/>
      <c r="G26" s="79"/>
      <c r="H26" s="78"/>
    </row>
    <row r="27" spans="1:9">
      <c r="C27" s="79"/>
      <c r="D27" s="79"/>
      <c r="E27" s="79"/>
      <c r="F27" s="79"/>
      <c r="G27" s="79"/>
      <c r="H27" s="78"/>
    </row>
    <row r="28" spans="1:9">
      <c r="C28" s="79"/>
      <c r="D28" s="79"/>
      <c r="E28" s="79"/>
      <c r="F28" s="79"/>
      <c r="G28" s="79"/>
      <c r="H28" s="78"/>
    </row>
    <row r="29" spans="1:9">
      <c r="C29" s="71"/>
      <c r="D29" s="71"/>
      <c r="E29" s="71"/>
      <c r="F29" s="71"/>
      <c r="G29" s="71"/>
    </row>
    <row r="30" spans="1:9">
      <c r="A30" s="70">
        <v>59</v>
      </c>
      <c r="C30" s="80" t="s">
        <v>16500</v>
      </c>
      <c r="D30" s="80" t="s">
        <v>16501</v>
      </c>
      <c r="E30" s="72" t="s">
        <v>16620</v>
      </c>
      <c r="F30" s="72" t="s">
        <v>16621</v>
      </c>
      <c r="G30" s="72" t="s">
        <v>16481</v>
      </c>
      <c r="H30" s="72" t="s">
        <v>16484</v>
      </c>
      <c r="I30" s="80"/>
    </row>
    <row r="31" spans="1:9">
      <c r="A31" s="70" t="s">
        <v>12</v>
      </c>
      <c r="B31" s="70" t="s">
        <v>11</v>
      </c>
      <c r="C31" s="80" t="s">
        <v>16502</v>
      </c>
      <c r="D31" s="79" t="s">
        <v>16503</v>
      </c>
      <c r="E31" s="71">
        <v>15182</v>
      </c>
      <c r="F31" s="71">
        <v>18162</v>
      </c>
      <c r="G31" s="71">
        <v>12194</v>
      </c>
      <c r="H31" s="70">
        <v>5015</v>
      </c>
    </row>
    <row r="32" spans="1:9">
      <c r="A32" s="70" t="s">
        <v>12</v>
      </c>
      <c r="B32" s="70" t="s">
        <v>16364</v>
      </c>
      <c r="C32" s="80" t="s">
        <v>16504</v>
      </c>
      <c r="D32" s="79" t="s">
        <v>16505</v>
      </c>
      <c r="E32" s="71"/>
      <c r="F32" s="71"/>
      <c r="G32" s="71"/>
    </row>
    <row r="33" spans="1:9">
      <c r="A33" s="70" t="s">
        <v>12</v>
      </c>
      <c r="B33" s="70" t="s">
        <v>11</v>
      </c>
      <c r="C33" s="80" t="s">
        <v>16506</v>
      </c>
      <c r="D33" s="79" t="s">
        <v>16507</v>
      </c>
      <c r="E33" s="71">
        <v>-192</v>
      </c>
      <c r="F33" s="71">
        <v>294</v>
      </c>
      <c r="G33" s="71">
        <v>-3553</v>
      </c>
      <c r="H33" s="70">
        <v>-8323</v>
      </c>
    </row>
    <row r="34" spans="1:9">
      <c r="A34" s="70" t="s">
        <v>12</v>
      </c>
      <c r="B34" s="70" t="s">
        <v>16364</v>
      </c>
      <c r="C34" s="80" t="s">
        <v>16508</v>
      </c>
      <c r="D34" s="78" t="s">
        <v>16509</v>
      </c>
    </row>
    <row r="35" spans="1:9">
      <c r="A35" s="70" t="s">
        <v>12</v>
      </c>
      <c r="B35" s="70" t="s">
        <v>11</v>
      </c>
      <c r="C35" s="80" t="s">
        <v>16510</v>
      </c>
      <c r="D35" s="78" t="s">
        <v>16511</v>
      </c>
      <c r="E35" s="70">
        <v>-60</v>
      </c>
      <c r="F35" s="70">
        <v>575</v>
      </c>
      <c r="G35" s="70">
        <v>-3441</v>
      </c>
      <c r="H35" s="70">
        <v>-9995</v>
      </c>
    </row>
    <row r="36" spans="1:9">
      <c r="A36" s="70" t="s">
        <v>12</v>
      </c>
      <c r="B36" s="70" t="s">
        <v>16364</v>
      </c>
      <c r="C36" s="80" t="s">
        <v>16512</v>
      </c>
      <c r="D36" s="78" t="s">
        <v>16513</v>
      </c>
    </row>
    <row r="37" spans="1:9">
      <c r="A37" s="70" t="s">
        <v>12</v>
      </c>
      <c r="B37" s="70" t="s">
        <v>16364</v>
      </c>
      <c r="C37" s="80" t="s">
        <v>16514</v>
      </c>
      <c r="D37" s="79" t="s">
        <v>16515</v>
      </c>
      <c r="E37" s="71"/>
      <c r="F37" s="71"/>
      <c r="G37" s="71"/>
    </row>
    <row r="38" spans="1:9">
      <c r="A38" s="70" t="s">
        <v>12</v>
      </c>
      <c r="B38" s="70" t="s">
        <v>11</v>
      </c>
      <c r="C38" s="80" t="s">
        <v>16516</v>
      </c>
      <c r="D38" s="78" t="s">
        <v>16517</v>
      </c>
      <c r="E38" s="70">
        <v>6570</v>
      </c>
      <c r="F38" s="70">
        <v>10173</v>
      </c>
      <c r="G38" s="70">
        <v>32851</v>
      </c>
      <c r="H38" s="70">
        <v>22865</v>
      </c>
    </row>
    <row r="39" spans="1:9">
      <c r="A39" s="70" t="s">
        <v>12</v>
      </c>
      <c r="B39" s="70" t="s">
        <v>11</v>
      </c>
      <c r="C39" s="80" t="s">
        <v>16518</v>
      </c>
      <c r="D39" s="78" t="s">
        <v>16519</v>
      </c>
      <c r="E39" s="70">
        <v>5338</v>
      </c>
      <c r="F39" s="70">
        <v>26884</v>
      </c>
      <c r="G39" s="70">
        <v>31431</v>
      </c>
      <c r="H39" s="70">
        <v>39048</v>
      </c>
    </row>
    <row r="40" spans="1:9">
      <c r="A40" s="70" t="s">
        <v>12</v>
      </c>
      <c r="B40" s="70" t="s">
        <v>16364</v>
      </c>
      <c r="C40" s="80" t="s">
        <v>16520</v>
      </c>
      <c r="D40" s="78" t="s">
        <v>16521</v>
      </c>
    </row>
    <row r="41" spans="1:9">
      <c r="A41" s="70" t="s">
        <v>12</v>
      </c>
      <c r="C41" s="80" t="s">
        <v>16522</v>
      </c>
      <c r="D41" s="80" t="s">
        <v>16523</v>
      </c>
      <c r="E41" s="72"/>
      <c r="F41" s="72"/>
      <c r="G41" s="72"/>
      <c r="H41" s="72"/>
      <c r="I41" s="80"/>
    </row>
    <row r="42" spans="1:9">
      <c r="A42" s="70" t="s">
        <v>12</v>
      </c>
      <c r="B42" s="70" t="s">
        <v>11</v>
      </c>
      <c r="C42" s="80" t="s">
        <v>16524</v>
      </c>
      <c r="D42" s="78" t="s">
        <v>16525</v>
      </c>
      <c r="E42" s="70">
        <v>15182</v>
      </c>
      <c r="F42" s="70">
        <v>18162</v>
      </c>
      <c r="G42" s="70">
        <v>12194</v>
      </c>
      <c r="H42" s="70">
        <v>5015</v>
      </c>
    </row>
    <row r="43" spans="1:9">
      <c r="A43" s="70" t="s">
        <v>12</v>
      </c>
      <c r="B43" s="70" t="s">
        <v>11</v>
      </c>
      <c r="C43" s="80" t="s">
        <v>16526</v>
      </c>
      <c r="D43" s="78" t="s">
        <v>16527</v>
      </c>
      <c r="E43" s="70">
        <v>11780</v>
      </c>
      <c r="F43" s="70">
        <v>14341</v>
      </c>
      <c r="G43" s="70">
        <v>11518</v>
      </c>
      <c r="H43" s="70">
        <v>7282</v>
      </c>
    </row>
    <row r="44" spans="1:9">
      <c r="A44" s="70" t="s">
        <v>12</v>
      </c>
      <c r="B44" s="70" t="s">
        <v>11</v>
      </c>
      <c r="C44" s="80" t="s">
        <v>16528</v>
      </c>
      <c r="D44" s="79" t="s">
        <v>16529</v>
      </c>
      <c r="E44" s="71">
        <v>3402</v>
      </c>
      <c r="F44" s="71">
        <v>3821</v>
      </c>
      <c r="G44" s="71">
        <v>677</v>
      </c>
      <c r="H44" s="70">
        <v>-2266</v>
      </c>
    </row>
    <row r="45" spans="1:9">
      <c r="A45" s="70" t="s">
        <v>12</v>
      </c>
      <c r="B45" s="70" t="s">
        <v>11</v>
      </c>
      <c r="C45" s="80" t="s">
        <v>16530</v>
      </c>
      <c r="D45" s="78" t="s">
        <v>16531</v>
      </c>
      <c r="E45" s="70">
        <v>3594</v>
      </c>
      <c r="F45" s="70">
        <v>3527</v>
      </c>
      <c r="G45" s="70">
        <v>4229</v>
      </c>
      <c r="H45" s="70">
        <v>6057</v>
      </c>
    </row>
    <row r="46" spans="1:9">
      <c r="A46" s="70" t="s">
        <v>12</v>
      </c>
      <c r="B46" s="70" t="s">
        <v>11</v>
      </c>
      <c r="C46" s="80" t="s">
        <v>16532</v>
      </c>
      <c r="D46" s="79" t="s">
        <v>16533</v>
      </c>
      <c r="E46" s="71">
        <v>24</v>
      </c>
      <c r="F46" s="71">
        <v>73</v>
      </c>
      <c r="G46" s="71">
        <v>100</v>
      </c>
      <c r="H46" s="70">
        <v>92</v>
      </c>
    </row>
    <row r="47" spans="1:9">
      <c r="A47" s="70" t="s">
        <v>12</v>
      </c>
      <c r="B47" s="70" t="s">
        <v>11</v>
      </c>
      <c r="C47" s="80" t="s">
        <v>16534</v>
      </c>
      <c r="D47" s="78" t="s">
        <v>16535</v>
      </c>
      <c r="E47" s="70">
        <v>1</v>
      </c>
      <c r="F47" s="70">
        <v>3</v>
      </c>
      <c r="G47" s="70">
        <v>3</v>
      </c>
      <c r="H47" s="70">
        <v>5</v>
      </c>
    </row>
    <row r="48" spans="1:9">
      <c r="A48" s="70" t="s">
        <v>12</v>
      </c>
      <c r="B48" s="70" t="s">
        <v>11</v>
      </c>
      <c r="C48" s="80" t="s">
        <v>16536</v>
      </c>
      <c r="D48" s="78" t="s">
        <v>16537</v>
      </c>
      <c r="E48" s="70">
        <v>80</v>
      </c>
      <c r="F48" s="70">
        <v>358</v>
      </c>
      <c r="G48" s="70">
        <v>422</v>
      </c>
      <c r="H48" s="70">
        <v>641</v>
      </c>
    </row>
    <row r="49" spans="1:8">
      <c r="A49" s="70" t="s">
        <v>12</v>
      </c>
      <c r="B49" s="70" t="s">
        <v>11</v>
      </c>
      <c r="C49" s="80" t="s">
        <v>16538</v>
      </c>
      <c r="D49" s="78" t="s">
        <v>16539</v>
      </c>
    </row>
    <row r="50" spans="1:8">
      <c r="A50" s="70" t="s">
        <v>12</v>
      </c>
      <c r="B50" s="70" t="s">
        <v>11</v>
      </c>
      <c r="C50" s="80" t="s">
        <v>16540</v>
      </c>
      <c r="D50" s="78" t="s">
        <v>16541</v>
      </c>
    </row>
    <row r="51" spans="1:8">
      <c r="A51" s="70" t="s">
        <v>12</v>
      </c>
      <c r="B51" s="70" t="s">
        <v>11</v>
      </c>
      <c r="C51" s="80" t="s">
        <v>16542</v>
      </c>
      <c r="D51" s="78" t="s">
        <v>16543</v>
      </c>
      <c r="E51" s="70">
        <v>42</v>
      </c>
      <c r="F51" s="70">
        <v>178</v>
      </c>
      <c r="G51" s="70">
        <v>283</v>
      </c>
      <c r="H51" s="70">
        <v>224</v>
      </c>
    </row>
    <row r="52" spans="1:8">
      <c r="A52" s="70" t="s">
        <v>12</v>
      </c>
      <c r="B52" s="70" t="s">
        <v>11</v>
      </c>
      <c r="C52" s="80" t="s">
        <v>16544</v>
      </c>
      <c r="D52" s="78" t="s">
        <v>16545</v>
      </c>
      <c r="E52" s="70">
        <v>8</v>
      </c>
      <c r="F52" s="70">
        <v>8</v>
      </c>
      <c r="G52" s="70">
        <v>6</v>
      </c>
      <c r="H52" s="70">
        <v>1</v>
      </c>
    </row>
    <row r="53" spans="1:8" s="74" customFormat="1">
      <c r="A53" s="75" t="s">
        <v>12</v>
      </c>
      <c r="B53" s="75" t="s">
        <v>11</v>
      </c>
      <c r="C53" s="82" t="s">
        <v>16546</v>
      </c>
      <c r="D53" s="81" t="s">
        <v>16547</v>
      </c>
      <c r="E53" s="75"/>
    </row>
    <row r="54" spans="1:8">
      <c r="A54" s="70" t="s">
        <v>12</v>
      </c>
      <c r="B54" s="70" t="s">
        <v>11</v>
      </c>
      <c r="C54" s="80" t="s">
        <v>16548</v>
      </c>
      <c r="D54" s="78" t="s">
        <v>16549</v>
      </c>
    </row>
    <row r="55" spans="1:8">
      <c r="A55" s="75" t="s">
        <v>12</v>
      </c>
      <c r="B55" s="75" t="s">
        <v>11</v>
      </c>
      <c r="C55" s="80" t="s">
        <v>16550</v>
      </c>
      <c r="D55" s="81" t="s">
        <v>16551</v>
      </c>
      <c r="E55" s="75"/>
      <c r="F55" s="70">
        <v>15</v>
      </c>
      <c r="G55" s="70">
        <v>9</v>
      </c>
    </row>
    <row r="56" spans="1:8">
      <c r="A56" s="70" t="s">
        <v>12</v>
      </c>
      <c r="B56" s="70" t="s">
        <v>11</v>
      </c>
      <c r="C56" s="80" t="s">
        <v>16552</v>
      </c>
      <c r="D56" s="78" t="s">
        <v>16553</v>
      </c>
      <c r="E56" s="70">
        <v>1</v>
      </c>
      <c r="F56" s="70">
        <v>2</v>
      </c>
      <c r="G56" s="70">
        <v>73</v>
      </c>
      <c r="H56" s="70">
        <v>59</v>
      </c>
    </row>
    <row r="57" spans="1:8">
      <c r="A57" s="70" t="s">
        <v>12</v>
      </c>
      <c r="B57" s="70" t="s">
        <v>11</v>
      </c>
      <c r="C57" s="80" t="s">
        <v>16554</v>
      </c>
      <c r="D57" s="78" t="s">
        <v>16555</v>
      </c>
    </row>
    <row r="58" spans="1:8">
      <c r="A58" s="70" t="s">
        <v>12</v>
      </c>
      <c r="B58" s="70" t="s">
        <v>11</v>
      </c>
      <c r="C58" s="80" t="s">
        <v>16556</v>
      </c>
      <c r="D58" s="78" t="s">
        <v>16557</v>
      </c>
    </row>
    <row r="59" spans="1:8">
      <c r="A59" s="70" t="s">
        <v>12</v>
      </c>
      <c r="B59" s="70" t="s">
        <v>11</v>
      </c>
      <c r="C59" s="80" t="s">
        <v>16558</v>
      </c>
      <c r="D59" s="78" t="s">
        <v>16559</v>
      </c>
    </row>
    <row r="60" spans="1:8">
      <c r="A60" s="70" t="s">
        <v>12</v>
      </c>
      <c r="B60" s="70" t="s">
        <v>11</v>
      </c>
      <c r="C60" s="80" t="s">
        <v>16560</v>
      </c>
      <c r="D60" s="78" t="s">
        <v>16561</v>
      </c>
      <c r="E60" s="70">
        <v>25</v>
      </c>
      <c r="F60" s="70">
        <v>73</v>
      </c>
      <c r="G60" s="70">
        <v>68</v>
      </c>
      <c r="H60" s="70">
        <v>5</v>
      </c>
    </row>
    <row r="61" spans="1:8">
      <c r="A61" s="70" t="s">
        <v>12</v>
      </c>
      <c r="B61" s="70" t="s">
        <v>11</v>
      </c>
      <c r="C61" s="80" t="s">
        <v>16562</v>
      </c>
      <c r="D61" s="78" t="s">
        <v>16563</v>
      </c>
    </row>
    <row r="62" spans="1:8">
      <c r="A62" s="70" t="s">
        <v>12</v>
      </c>
      <c r="B62" s="70" t="s">
        <v>11</v>
      </c>
      <c r="C62" s="80" t="s">
        <v>16564</v>
      </c>
      <c r="D62" s="78" t="s">
        <v>16565</v>
      </c>
      <c r="G62" s="70">
        <v>6</v>
      </c>
      <c r="H62" s="70">
        <v>-3</v>
      </c>
    </row>
    <row r="63" spans="1:8">
      <c r="A63" s="70" t="s">
        <v>12</v>
      </c>
      <c r="B63" s="70" t="s">
        <v>11</v>
      </c>
      <c r="C63" s="80" t="s">
        <v>16566</v>
      </c>
      <c r="D63" s="78" t="s">
        <v>16567</v>
      </c>
    </row>
    <row r="64" spans="1:8">
      <c r="A64" s="70" t="s">
        <v>12</v>
      </c>
      <c r="B64" s="70" t="s">
        <v>11</v>
      </c>
      <c r="C64" s="80" t="s">
        <v>16568</v>
      </c>
      <c r="D64" s="78" t="s">
        <v>16569</v>
      </c>
    </row>
    <row r="65" spans="1:9">
      <c r="A65" s="70" t="s">
        <v>12</v>
      </c>
      <c r="B65" s="70" t="s">
        <v>11</v>
      </c>
      <c r="C65" s="80" t="s">
        <v>16570</v>
      </c>
      <c r="D65" s="78" t="s">
        <v>16571</v>
      </c>
      <c r="F65" s="70">
        <v>142</v>
      </c>
      <c r="G65" s="70">
        <v>415</v>
      </c>
      <c r="H65" s="70">
        <v>1862</v>
      </c>
    </row>
    <row r="66" spans="1:9">
      <c r="A66" s="70" t="s">
        <v>12</v>
      </c>
      <c r="B66" s="70" t="s">
        <v>11</v>
      </c>
      <c r="C66" s="80" t="s">
        <v>16572</v>
      </c>
      <c r="D66" s="78" t="s">
        <v>16573</v>
      </c>
      <c r="E66" s="70">
        <v>207</v>
      </c>
    </row>
    <row r="67" spans="1:9">
      <c r="A67" s="70" t="s">
        <v>12</v>
      </c>
      <c r="B67" s="70" t="s">
        <v>11</v>
      </c>
      <c r="C67" s="80" t="s">
        <v>16574</v>
      </c>
      <c r="D67" s="78" t="s">
        <v>16575</v>
      </c>
    </row>
    <row r="68" spans="1:9">
      <c r="A68" s="70" t="s">
        <v>12</v>
      </c>
      <c r="B68" s="70" t="s">
        <v>11</v>
      </c>
      <c r="C68" s="80" t="s">
        <v>16576</v>
      </c>
      <c r="D68" s="78" t="s">
        <v>16577</v>
      </c>
      <c r="E68" s="73">
        <v>25</v>
      </c>
      <c r="F68" s="73">
        <v>25</v>
      </c>
      <c r="G68" s="73">
        <v>16</v>
      </c>
      <c r="H68" s="73">
        <v>-10</v>
      </c>
      <c r="I68" s="73">
        <f>SUM(I44:I67)</f>
        <v>0</v>
      </c>
    </row>
    <row r="69" spans="1:9">
      <c r="A69" s="70" t="s">
        <v>12</v>
      </c>
      <c r="B69" s="70" t="s">
        <v>11</v>
      </c>
      <c r="C69" s="80" t="s">
        <v>16578</v>
      </c>
      <c r="D69" s="78" t="s">
        <v>16579</v>
      </c>
    </row>
    <row r="70" spans="1:9">
      <c r="A70" s="70" t="s">
        <v>106</v>
      </c>
      <c r="B70" s="70" t="s">
        <v>11</v>
      </c>
      <c r="C70" s="80" t="s">
        <v>16580</v>
      </c>
      <c r="D70" s="78" t="s">
        <v>16581</v>
      </c>
    </row>
    <row r="71" spans="1:9">
      <c r="A71" s="70" t="s">
        <v>12</v>
      </c>
      <c r="B71" s="70" t="s">
        <v>11</v>
      </c>
      <c r="C71" s="80" t="s">
        <v>16582</v>
      </c>
      <c r="D71" s="78" t="s">
        <v>16583</v>
      </c>
    </row>
    <row r="72" spans="1:9">
      <c r="A72" s="70" t="s">
        <v>12</v>
      </c>
      <c r="B72" s="70" t="s">
        <v>11</v>
      </c>
      <c r="C72" s="80" t="s">
        <v>16584</v>
      </c>
      <c r="D72" s="78" t="s">
        <v>16585</v>
      </c>
      <c r="E72" s="70">
        <v>951</v>
      </c>
      <c r="F72" s="70">
        <v>1635</v>
      </c>
      <c r="G72" s="70">
        <v>1765</v>
      </c>
      <c r="H72" s="70">
        <v>1790</v>
      </c>
    </row>
    <row r="73" spans="1:9">
      <c r="A73" s="70" t="s">
        <v>12</v>
      </c>
      <c r="B73" s="70" t="s">
        <v>11</v>
      </c>
      <c r="C73" s="80" t="s">
        <v>16586</v>
      </c>
      <c r="D73" s="78" t="s">
        <v>16587</v>
      </c>
      <c r="E73" s="73">
        <f>SUM(E69:E72)</f>
        <v>951</v>
      </c>
      <c r="F73" s="73">
        <f t="shared" ref="F73:I73" si="1">SUM(F69:F72)</f>
        <v>1635</v>
      </c>
      <c r="G73" s="73">
        <f t="shared" si="1"/>
        <v>1765</v>
      </c>
      <c r="H73" s="73">
        <f t="shared" si="1"/>
        <v>1790</v>
      </c>
      <c r="I73" s="73">
        <f t="shared" si="1"/>
        <v>0</v>
      </c>
    </row>
    <row r="74" spans="1:9">
      <c r="A74" s="70" t="s">
        <v>12</v>
      </c>
      <c r="B74" s="70" t="s">
        <v>11</v>
      </c>
      <c r="C74" s="80" t="s">
        <v>16588</v>
      </c>
      <c r="D74" s="78" t="s">
        <v>16589</v>
      </c>
    </row>
    <row r="75" spans="1:9">
      <c r="A75" s="70" t="s">
        <v>12</v>
      </c>
      <c r="B75" s="70" t="s">
        <v>11</v>
      </c>
      <c r="C75" s="80" t="s">
        <v>16590</v>
      </c>
      <c r="D75" s="78" t="s">
        <v>16591</v>
      </c>
    </row>
    <row r="76" spans="1:9">
      <c r="A76" s="70" t="s">
        <v>12</v>
      </c>
      <c r="B76" s="70" t="s">
        <v>11</v>
      </c>
      <c r="C76" s="80" t="s">
        <v>16592</v>
      </c>
      <c r="D76" s="78" t="s">
        <v>16593</v>
      </c>
      <c r="E76" s="73">
        <f>SUM(E74:E75)</f>
        <v>0</v>
      </c>
      <c r="F76" s="73">
        <v>452</v>
      </c>
      <c r="G76" s="73">
        <v>132</v>
      </c>
      <c r="H76" s="73">
        <v>273</v>
      </c>
      <c r="I76" s="73">
        <f>SUM(I74:I75)</f>
        <v>0</v>
      </c>
    </row>
    <row r="77" spans="1:9">
      <c r="A77" s="70" t="s">
        <v>12</v>
      </c>
      <c r="B77" s="70" t="s">
        <v>11</v>
      </c>
      <c r="C77" s="80" t="s">
        <v>16594</v>
      </c>
      <c r="D77" s="78" t="s">
        <v>16595</v>
      </c>
      <c r="E77" s="73">
        <v>1813</v>
      </c>
      <c r="F77" s="73">
        <f t="shared" ref="F77:G77" si="2">F73+F76</f>
        <v>2087</v>
      </c>
      <c r="G77" s="73">
        <f t="shared" si="2"/>
        <v>1897</v>
      </c>
      <c r="H77" s="73">
        <f>H73+H76</f>
        <v>2063</v>
      </c>
      <c r="I77" s="73">
        <f>I73+I76</f>
        <v>0</v>
      </c>
    </row>
    <row r="78" spans="1:9">
      <c r="A78" s="70" t="s">
        <v>12</v>
      </c>
      <c r="B78" s="70" t="s">
        <v>11</v>
      </c>
      <c r="C78" s="80" t="s">
        <v>16596</v>
      </c>
      <c r="D78" s="78" t="s">
        <v>16597</v>
      </c>
    </row>
    <row r="79" spans="1:9">
      <c r="A79" s="70" t="s">
        <v>106</v>
      </c>
      <c r="B79" s="70" t="s">
        <v>11</v>
      </c>
      <c r="C79" s="80" t="s">
        <v>16598</v>
      </c>
      <c r="D79" s="78" t="s">
        <v>16599</v>
      </c>
    </row>
    <row r="80" spans="1:9">
      <c r="A80" s="70" t="s">
        <v>12</v>
      </c>
      <c r="B80" s="70" t="s">
        <v>11</v>
      </c>
      <c r="C80" s="80" t="s">
        <v>16600</v>
      </c>
      <c r="D80" s="78" t="s">
        <v>16601</v>
      </c>
      <c r="E80" s="70">
        <v>54</v>
      </c>
      <c r="F80" s="70">
        <v>187</v>
      </c>
      <c r="G80" s="70">
        <v>478</v>
      </c>
      <c r="H80" s="70">
        <v>452</v>
      </c>
    </row>
    <row r="81" spans="1:9">
      <c r="A81" s="70" t="s">
        <v>12</v>
      </c>
      <c r="B81" s="70" t="s">
        <v>11</v>
      </c>
      <c r="C81" s="80" t="s">
        <v>16602</v>
      </c>
      <c r="D81" s="78" t="s">
        <v>16603</v>
      </c>
    </row>
    <row r="82" spans="1:9">
      <c r="A82" s="70" t="s">
        <v>12</v>
      </c>
      <c r="B82" s="70" t="s">
        <v>11</v>
      </c>
      <c r="C82" s="80" t="s">
        <v>16604</v>
      </c>
      <c r="D82" s="78" t="s">
        <v>16605</v>
      </c>
    </row>
    <row r="83" spans="1:9">
      <c r="A83" s="70" t="s">
        <v>12</v>
      </c>
      <c r="B83" s="70" t="s">
        <v>11</v>
      </c>
      <c r="C83" s="80" t="s">
        <v>16606</v>
      </c>
      <c r="D83" s="78" t="s">
        <v>16607</v>
      </c>
      <c r="E83" s="73">
        <v>1</v>
      </c>
      <c r="F83" s="73">
        <v>2</v>
      </c>
      <c r="G83" s="73">
        <v>8</v>
      </c>
      <c r="H83" s="73">
        <v>4</v>
      </c>
      <c r="I83" s="73">
        <f t="shared" ref="F83:I83" si="3">SUM(I78:I82)</f>
        <v>0</v>
      </c>
    </row>
    <row r="84" spans="1:9">
      <c r="A84" s="70" t="s">
        <v>12</v>
      </c>
      <c r="B84" s="70" t="s">
        <v>11</v>
      </c>
      <c r="C84" s="80" t="s">
        <v>16608</v>
      </c>
      <c r="D84" s="78" t="s">
        <v>16609</v>
      </c>
      <c r="E84" s="83">
        <f>E43/E42*100</f>
        <v>77.591885127124229</v>
      </c>
      <c r="F84" s="83">
        <f t="shared" ref="F84:H84" si="4">F43/F42*100</f>
        <v>78.961568109239067</v>
      </c>
      <c r="G84" s="83">
        <f t="shared" si="4"/>
        <v>94.456289978678043</v>
      </c>
      <c r="H84" s="83">
        <f t="shared" si="4"/>
        <v>145.20438683948157</v>
      </c>
      <c r="I84" s="83" t="e">
        <f t="shared" ref="I84" si="5">I43/I42*100</f>
        <v>#DIV/0!</v>
      </c>
    </row>
    <row r="85" spans="1:9">
      <c r="A85" s="70" t="s">
        <v>106</v>
      </c>
      <c r="B85" s="70" t="s">
        <v>11</v>
      </c>
      <c r="C85" s="80" t="s">
        <v>16610</v>
      </c>
      <c r="D85" s="78" t="s">
        <v>16611</v>
      </c>
      <c r="E85" s="83">
        <f>E68/E42*100</f>
        <v>0.16466868660255568</v>
      </c>
      <c r="F85" s="83">
        <f t="shared" ref="F85:H85" si="6">F68/F42*100</f>
        <v>0.13765003854201077</v>
      </c>
      <c r="G85" s="83">
        <f t="shared" si="6"/>
        <v>0.13121207151057895</v>
      </c>
      <c r="H85" s="83">
        <f t="shared" si="6"/>
        <v>-0.19940179461615154</v>
      </c>
      <c r="I85" s="83" t="e">
        <f t="shared" ref="I85" si="7">I68/I42*100</f>
        <v>#DIV/0!</v>
      </c>
    </row>
    <row r="86" spans="1:9">
      <c r="A86" s="70" t="s">
        <v>12</v>
      </c>
      <c r="B86" s="70" t="s">
        <v>16364</v>
      </c>
      <c r="C86" s="80" t="s">
        <v>16612</v>
      </c>
      <c r="D86" s="78" t="s">
        <v>16613</v>
      </c>
      <c r="E86" s="83">
        <f>E76/E73*100</f>
        <v>0</v>
      </c>
      <c r="F86" s="83">
        <f t="shared" ref="F86:G86" si="8">F76/F73*100</f>
        <v>27.645259938837917</v>
      </c>
      <c r="G86" s="83">
        <f t="shared" si="8"/>
        <v>7.4787535410764869</v>
      </c>
      <c r="H86" s="83">
        <f>H76/H73*100</f>
        <v>15.251396648044693</v>
      </c>
      <c r="I86" s="83" t="e">
        <f>I76/I73*100</f>
        <v>#DIV/0!</v>
      </c>
    </row>
    <row r="87" spans="1:9">
      <c r="A87" s="70" t="s">
        <v>12</v>
      </c>
      <c r="B87" s="70" t="s">
        <v>16364</v>
      </c>
      <c r="C87" s="80" t="s">
        <v>16614</v>
      </c>
      <c r="D87" s="79" t="s">
        <v>16615</v>
      </c>
      <c r="E87" s="83">
        <f>E83/E77*100</f>
        <v>5.5157198014340873E-2</v>
      </c>
      <c r="F87" s="83">
        <f t="shared" ref="F87:H87" si="9">F83/F77*100</f>
        <v>9.5831336847149021E-2</v>
      </c>
      <c r="G87" s="83">
        <f t="shared" si="9"/>
        <v>0.42171850289931473</v>
      </c>
      <c r="H87" s="83">
        <f t="shared" si="9"/>
        <v>0.19389238972370335</v>
      </c>
      <c r="I87" s="83" t="e">
        <f t="shared" ref="I87" si="10">I83/I77*100</f>
        <v>#DIV/0!</v>
      </c>
    </row>
    <row r="88" spans="1:9">
      <c r="A88" s="70" t="s">
        <v>12</v>
      </c>
      <c r="B88" s="70" t="s">
        <v>16364</v>
      </c>
      <c r="C88" s="70" t="s">
        <v>16616</v>
      </c>
      <c r="D88" s="70" t="s">
        <v>16617</v>
      </c>
    </row>
    <row r="89" spans="1:9">
      <c r="A89" s="70" t="s">
        <v>12</v>
      </c>
      <c r="B89" s="70" t="s">
        <v>16364</v>
      </c>
      <c r="C89" s="70" t="s">
        <v>16618</v>
      </c>
      <c r="D89" s="70" t="s">
        <v>16619</v>
      </c>
    </row>
    <row r="91" spans="1:9">
      <c r="C91" s="72"/>
      <c r="D91" s="72"/>
      <c r="E91" s="72"/>
      <c r="F91" s="72"/>
      <c r="G91" s="72"/>
    </row>
    <row r="93" spans="1:9">
      <c r="A93" s="70">
        <v>5</v>
      </c>
      <c r="C93" s="70" t="s">
        <v>16623</v>
      </c>
      <c r="D93" s="70" t="s">
        <v>16624</v>
      </c>
      <c r="E93" s="70" t="s">
        <v>16620</v>
      </c>
      <c r="F93" s="70" t="s">
        <v>16479</v>
      </c>
      <c r="G93" s="70" t="s">
        <v>16482</v>
      </c>
      <c r="H93" s="70" t="s">
        <v>16622</v>
      </c>
    </row>
    <row r="94" spans="1:9">
      <c r="A94" s="70" t="s">
        <v>12</v>
      </c>
      <c r="B94" s="70" t="s">
        <v>11</v>
      </c>
      <c r="C94" s="70" t="s">
        <v>16625</v>
      </c>
      <c r="D94" s="70" t="s">
        <v>16626</v>
      </c>
      <c r="E94" s="70">
        <v>11908</v>
      </c>
      <c r="F94" s="70">
        <v>37057</v>
      </c>
      <c r="G94" s="70">
        <v>64283</v>
      </c>
      <c r="H94" s="70">
        <v>61913</v>
      </c>
    </row>
    <row r="95" spans="1:9">
      <c r="A95" s="70" t="s">
        <v>12</v>
      </c>
      <c r="B95" s="70" t="s">
        <v>11</v>
      </c>
      <c r="C95" s="70" t="s">
        <v>16627</v>
      </c>
      <c r="D95" s="70" t="s">
        <v>16628</v>
      </c>
      <c r="E95" s="70">
        <v>8237</v>
      </c>
      <c r="F95" s="70">
        <v>24139</v>
      </c>
      <c r="G95" s="70">
        <v>19389</v>
      </c>
      <c r="H95" s="70">
        <v>9207</v>
      </c>
    </row>
    <row r="96" spans="1:9">
      <c r="A96" s="70" t="s">
        <v>12</v>
      </c>
      <c r="B96" s="70" t="s">
        <v>11</v>
      </c>
      <c r="C96" s="70" t="s">
        <v>16629</v>
      </c>
      <c r="D96" s="70" t="s">
        <v>16630</v>
      </c>
      <c r="E96" s="70">
        <v>3670</v>
      </c>
      <c r="F96" s="70">
        <v>12917</v>
      </c>
      <c r="G96" s="70">
        <v>44894</v>
      </c>
      <c r="H96" s="70">
        <v>52706</v>
      </c>
    </row>
    <row r="97" spans="1:8">
      <c r="A97" s="70" t="s">
        <v>12</v>
      </c>
      <c r="B97" s="70" t="s">
        <v>11</v>
      </c>
      <c r="C97" s="70" t="s">
        <v>16631</v>
      </c>
      <c r="D97" s="70" t="s">
        <v>16632</v>
      </c>
      <c r="E97" s="70">
        <v>4171</v>
      </c>
      <c r="F97" s="70">
        <v>10263</v>
      </c>
      <c r="G97" s="70">
        <v>7792</v>
      </c>
      <c r="H97" s="70">
        <v>24953</v>
      </c>
    </row>
    <row r="98" spans="1:8">
      <c r="A98" s="70" t="s">
        <v>12</v>
      </c>
      <c r="B98" s="70" t="s">
        <v>11</v>
      </c>
      <c r="C98" s="70" t="s">
        <v>16633</v>
      </c>
      <c r="D98" s="70" t="s">
        <v>16634</v>
      </c>
      <c r="E98" s="70">
        <v>1167</v>
      </c>
      <c r="F98" s="70">
        <v>16621</v>
      </c>
      <c r="G98" s="70">
        <v>23640</v>
      </c>
      <c r="H98" s="70">
        <v>14095</v>
      </c>
    </row>
    <row r="102" spans="1:8">
      <c r="A102" s="776">
        <v>9</v>
      </c>
      <c r="B102" s="776"/>
      <c r="C102" s="776"/>
      <c r="D102" s="776" t="s">
        <v>16378</v>
      </c>
      <c r="E102" s="777" t="s">
        <v>16635</v>
      </c>
      <c r="F102" s="776" t="s">
        <v>16636</v>
      </c>
      <c r="G102" s="776" t="s">
        <v>16637</v>
      </c>
    </row>
    <row r="103" spans="1:8">
      <c r="D103" s="70">
        <v>20231231</v>
      </c>
      <c r="E103" s="77" t="s">
        <v>16638</v>
      </c>
      <c r="F103" s="70">
        <v>6</v>
      </c>
      <c r="G103" s="70">
        <v>15.79</v>
      </c>
    </row>
    <row r="104" spans="1:8">
      <c r="D104" s="70">
        <v>20231231</v>
      </c>
      <c r="E104" s="70" t="s">
        <v>16639</v>
      </c>
      <c r="F104" s="70">
        <v>6</v>
      </c>
      <c r="G104" s="70">
        <v>14.99</v>
      </c>
    </row>
    <row r="105" spans="1:8">
      <c r="D105" s="70">
        <v>20231231</v>
      </c>
      <c r="E105" s="70" t="s">
        <v>16640</v>
      </c>
      <c r="F105" s="70">
        <v>4</v>
      </c>
      <c r="G105" s="70">
        <v>11.43</v>
      </c>
    </row>
    <row r="106" spans="1:8">
      <c r="D106" s="70">
        <v>20231231</v>
      </c>
      <c r="E106" s="70" t="s">
        <v>16641</v>
      </c>
      <c r="F106" s="70">
        <v>3</v>
      </c>
      <c r="G106" s="70">
        <v>7.03</v>
      </c>
    </row>
    <row r="107" spans="1:8">
      <c r="D107" s="70">
        <v>20231231</v>
      </c>
      <c r="E107" s="70" t="s">
        <v>16642</v>
      </c>
      <c r="F107" s="70">
        <v>2</v>
      </c>
      <c r="G107" s="70">
        <v>6.38</v>
      </c>
    </row>
    <row r="108" spans="1:8">
      <c r="D108" s="70">
        <v>20231231</v>
      </c>
      <c r="E108" s="70" t="s">
        <v>16643</v>
      </c>
      <c r="F108" s="70">
        <v>0</v>
      </c>
      <c r="G108" s="70">
        <v>0</v>
      </c>
    </row>
    <row r="109" spans="1:8">
      <c r="D109" s="70">
        <v>20231231</v>
      </c>
      <c r="E109" s="70" t="s">
        <v>16644</v>
      </c>
      <c r="F109" s="70">
        <v>0</v>
      </c>
      <c r="G109" s="70">
        <v>0</v>
      </c>
    </row>
    <row r="110" spans="1:8">
      <c r="D110" s="70">
        <v>20231231</v>
      </c>
      <c r="E110" s="70" t="s">
        <v>16645</v>
      </c>
      <c r="F110" s="70">
        <v>0</v>
      </c>
      <c r="G110" s="70">
        <v>0</v>
      </c>
    </row>
    <row r="111" spans="1:8">
      <c r="D111" s="70">
        <v>20231231</v>
      </c>
      <c r="E111" s="70" t="s">
        <v>16646</v>
      </c>
      <c r="F111" s="70">
        <v>18</v>
      </c>
      <c r="G111" s="70">
        <v>44.37</v>
      </c>
    </row>
    <row r="115" spans="1:5">
      <c r="A115" s="776">
        <v>21</v>
      </c>
      <c r="B115" s="776"/>
      <c r="C115" s="776"/>
      <c r="D115" s="776" t="s">
        <v>16378</v>
      </c>
      <c r="E115" s="776" t="s">
        <v>16647</v>
      </c>
    </row>
    <row r="116" spans="1:5">
      <c r="D116" s="70">
        <v>20000112</v>
      </c>
      <c r="E116" s="70" t="s">
        <v>16648</v>
      </c>
    </row>
    <row r="117" spans="1:5">
      <c r="D117" s="70">
        <v>20000112</v>
      </c>
      <c r="E117" s="70" t="s">
        <v>16649</v>
      </c>
    </row>
    <row r="118" spans="1:5">
      <c r="D118" s="70">
        <v>20010403</v>
      </c>
      <c r="E118" s="70" t="s">
        <v>16650</v>
      </c>
    </row>
    <row r="119" spans="1:5">
      <c r="D119" s="70">
        <v>20010403</v>
      </c>
      <c r="E119" s="70" t="s">
        <v>16650</v>
      </c>
    </row>
    <row r="120" spans="1:5">
      <c r="D120" s="70">
        <v>20041100</v>
      </c>
      <c r="E120" s="77" t="s">
        <v>16651</v>
      </c>
    </row>
    <row r="121" spans="1:5">
      <c r="D121" s="70">
        <v>20041100</v>
      </c>
      <c r="E121" s="70" t="s">
        <v>16651</v>
      </c>
    </row>
    <row r="122" spans="1:5">
      <c r="D122" s="70">
        <v>20041101</v>
      </c>
      <c r="E122" s="70" t="s">
        <v>16652</v>
      </c>
    </row>
    <row r="123" spans="1:5">
      <c r="D123" s="70">
        <v>20041101</v>
      </c>
      <c r="E123" s="70" t="s">
        <v>16652</v>
      </c>
    </row>
    <row r="124" spans="1:5">
      <c r="D124" s="70">
        <v>20041218</v>
      </c>
      <c r="E124" s="70" t="s">
        <v>16653</v>
      </c>
    </row>
    <row r="125" spans="1:5">
      <c r="D125" s="70">
        <v>20041218</v>
      </c>
      <c r="E125" s="70" t="s">
        <v>16653</v>
      </c>
    </row>
    <row r="126" spans="1:5">
      <c r="D126" s="70">
        <v>20060301</v>
      </c>
      <c r="E126" s="70" t="s">
        <v>16654</v>
      </c>
    </row>
    <row r="127" spans="1:5">
      <c r="D127" s="70">
        <v>20060301</v>
      </c>
      <c r="E127" s="70" t="s">
        <v>16654</v>
      </c>
    </row>
    <row r="128" spans="1:5">
      <c r="D128" s="70">
        <v>20070814</v>
      </c>
      <c r="E128" s="70" t="s">
        <v>16655</v>
      </c>
    </row>
    <row r="129" spans="4:5">
      <c r="D129" s="70">
        <v>20070814</v>
      </c>
      <c r="E129" s="70" t="s">
        <v>16655</v>
      </c>
    </row>
    <row r="130" spans="4:5">
      <c r="D130" s="70">
        <v>20100900</v>
      </c>
      <c r="E130" s="70" t="s">
        <v>16656</v>
      </c>
    </row>
    <row r="131" spans="4:5">
      <c r="D131" s="70">
        <v>20100900</v>
      </c>
      <c r="E131" s="70" t="s">
        <v>16656</v>
      </c>
    </row>
    <row r="132" spans="4:5">
      <c r="D132" s="70">
        <v>20160300</v>
      </c>
      <c r="E132" s="70" t="s">
        <v>16657</v>
      </c>
    </row>
    <row r="133" spans="4:5">
      <c r="D133" s="70">
        <v>20170200</v>
      </c>
      <c r="E133" s="70" t="s">
        <v>16658</v>
      </c>
    </row>
    <row r="134" spans="4:5">
      <c r="D134" s="70">
        <v>20170300</v>
      </c>
      <c r="E134" s="70" t="s">
        <v>16659</v>
      </c>
    </row>
    <row r="135" spans="4:5">
      <c r="D135" s="70">
        <v>20170600</v>
      </c>
      <c r="E135" s="70" t="s">
        <v>16660</v>
      </c>
    </row>
    <row r="136" spans="4:5">
      <c r="D136" s="70">
        <v>20200800</v>
      </c>
      <c r="E136" s="70" t="s">
        <v>16661</v>
      </c>
    </row>
  </sheetData>
  <sheetProtection selectLockedCells="1"/>
  <phoneticPr fontId="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74"/>
  <sheetViews>
    <sheetView showGridLines="0" topLeftCell="C1" zoomScale="85" zoomScaleNormal="85" workbookViewId="0">
      <pane ySplit="1" topLeftCell="A2" activePane="bottomLeft" state="frozen"/>
      <selection activeCell="C1" sqref="C1"/>
      <selection pane="bottomLeft" activeCell="S29" sqref="S29"/>
    </sheetView>
  </sheetViews>
  <sheetFormatPr defaultColWidth="9" defaultRowHeight="16.5"/>
  <cols>
    <col min="1" max="2" width="9" style="2" hidden="1" customWidth="1"/>
    <col min="3" max="3" width="9" style="2"/>
    <col min="4" max="4" width="43.625" style="2" customWidth="1"/>
    <col min="5" max="11" width="11.625" style="2" customWidth="1"/>
    <col min="12" max="17" width="12.625" style="2" customWidth="1"/>
    <col min="18" max="23" width="9.625" style="2" customWidth="1"/>
    <col min="24" max="16384" width="9" style="2"/>
  </cols>
  <sheetData>
    <row r="1" spans="1:19">
      <c r="A1" s="367">
        <v>37</v>
      </c>
      <c r="B1" s="1"/>
      <c r="C1" s="12" t="s">
        <v>16662</v>
      </c>
      <c r="D1" s="12" t="s">
        <v>16663</v>
      </c>
      <c r="E1" s="12" t="s">
        <v>16755</v>
      </c>
      <c r="F1"/>
      <c r="I1" s="109" t="s">
        <v>15</v>
      </c>
      <c r="J1" s="115" t="s">
        <v>66</v>
      </c>
      <c r="L1" s="279" t="s">
        <v>112</v>
      </c>
      <c r="M1" s="279"/>
      <c r="N1" s="279"/>
      <c r="O1" s="279"/>
      <c r="P1" s="279"/>
      <c r="Q1" s="279"/>
      <c r="R1" s="279"/>
      <c r="S1" s="279"/>
    </row>
    <row r="2" spans="1:19">
      <c r="A2" s="1" t="s">
        <v>12</v>
      </c>
      <c r="B2" s="1" t="s">
        <v>2</v>
      </c>
      <c r="C2" s="12" t="s">
        <v>16664</v>
      </c>
      <c r="D2" s="2" t="s">
        <v>16665</v>
      </c>
      <c r="E2" s="18">
        <v>61913</v>
      </c>
      <c r="I2" s="209">
        <f>IF(E2=J2," ",E2-J2)</f>
        <v>61913</v>
      </c>
      <c r="J2" s="101"/>
      <c r="K2" s="99"/>
      <c r="L2" s="280" t="s">
        <v>113</v>
      </c>
      <c r="M2" s="280"/>
      <c r="N2" s="280"/>
      <c r="O2" s="280"/>
      <c r="P2" s="280"/>
      <c r="Q2" s="280"/>
      <c r="R2" s="280"/>
      <c r="S2" s="280"/>
    </row>
    <row r="3" spans="1:19">
      <c r="A3" s="1" t="s">
        <v>12</v>
      </c>
      <c r="B3" s="1" t="s">
        <v>2</v>
      </c>
      <c r="C3" s="12" t="s">
        <v>16666</v>
      </c>
      <c r="D3" s="2" t="s">
        <v>16667</v>
      </c>
      <c r="E3" s="18">
        <v>39048</v>
      </c>
      <c r="I3" s="209">
        <f t="shared" ref="I3:I39" si="0">IF(E3=J3," ",E3-J3)</f>
        <v>39048</v>
      </c>
      <c r="J3" s="101"/>
      <c r="K3" s="99"/>
      <c r="L3" s="281" t="s">
        <v>114</v>
      </c>
      <c r="M3" s="282"/>
      <c r="N3" s="282"/>
      <c r="O3" s="282"/>
      <c r="P3" s="282"/>
      <c r="Q3" s="282"/>
      <c r="R3" s="282"/>
      <c r="S3" s="282"/>
    </row>
    <row r="4" spans="1:19">
      <c r="A4" s="1" t="s">
        <v>12</v>
      </c>
      <c r="B4" s="1" t="s">
        <v>2</v>
      </c>
      <c r="C4" s="12" t="s">
        <v>16668</v>
      </c>
      <c r="D4" s="2" t="s">
        <v>16669</v>
      </c>
      <c r="E4" s="18">
        <v>22865</v>
      </c>
      <c r="I4" s="209">
        <f t="shared" si="0"/>
        <v>22865</v>
      </c>
      <c r="J4" s="101"/>
      <c r="K4" s="99"/>
      <c r="L4" s="281" t="s">
        <v>115</v>
      </c>
      <c r="M4" s="283"/>
      <c r="N4" s="283"/>
      <c r="O4" s="283"/>
      <c r="P4" s="283"/>
      <c r="Q4" s="283"/>
      <c r="R4" s="283"/>
      <c r="S4" s="283"/>
    </row>
    <row r="5" spans="1:19">
      <c r="A5" s="1" t="s">
        <v>106</v>
      </c>
      <c r="B5" s="1" t="s">
        <v>16670</v>
      </c>
      <c r="C5" s="12" t="s">
        <v>16671</v>
      </c>
      <c r="D5" s="2" t="s">
        <v>16672</v>
      </c>
      <c r="E5" s="22">
        <f>E3/E4*100</f>
        <v>170.77629564837088</v>
      </c>
      <c r="F5" s="205"/>
      <c r="I5" s="209" t="e">
        <f t="shared" si="0"/>
        <v>#DIV/0!</v>
      </c>
      <c r="J5" s="110" t="e">
        <f>J3/J4*100</f>
        <v>#DIV/0!</v>
      </c>
      <c r="K5" s="99"/>
      <c r="L5" s="281" t="s">
        <v>116</v>
      </c>
      <c r="M5" s="284"/>
      <c r="N5" s="284"/>
      <c r="O5" s="284"/>
      <c r="P5" s="284"/>
      <c r="Q5" s="284"/>
      <c r="R5" s="284"/>
      <c r="S5" s="284"/>
    </row>
    <row r="6" spans="1:19">
      <c r="A6" s="1" t="s">
        <v>12</v>
      </c>
      <c r="B6" s="1" t="s">
        <v>16673</v>
      </c>
      <c r="C6" s="12" t="s">
        <v>16674</v>
      </c>
      <c r="D6" s="2" t="s">
        <v>16675</v>
      </c>
      <c r="E6" s="258">
        <v>5900</v>
      </c>
      <c r="I6" s="209">
        <f t="shared" si="0"/>
        <v>5900</v>
      </c>
      <c r="J6" s="90"/>
      <c r="K6" s="99"/>
      <c r="L6" s="280" t="s">
        <v>117</v>
      </c>
      <c r="M6" s="285" t="str">
        <f>IFERROR(M4/M5,"")</f>
        <v/>
      </c>
      <c r="N6" s="285" t="str">
        <f t="shared" ref="N6:S6" si="1">IFERROR(N4/N5,"")</f>
        <v/>
      </c>
      <c r="O6" s="285" t="str">
        <f t="shared" si="1"/>
        <v/>
      </c>
      <c r="P6" s="285" t="str">
        <f t="shared" si="1"/>
        <v/>
      </c>
      <c r="Q6" s="285" t="str">
        <f t="shared" si="1"/>
        <v/>
      </c>
      <c r="R6" s="285" t="str">
        <f t="shared" si="1"/>
        <v/>
      </c>
      <c r="S6" s="285" t="str">
        <f t="shared" si="1"/>
        <v/>
      </c>
    </row>
    <row r="7" spans="1:19">
      <c r="A7" s="1" t="s">
        <v>12</v>
      </c>
      <c r="B7" s="1" t="s">
        <v>2</v>
      </c>
      <c r="C7" s="12" t="s">
        <v>16676</v>
      </c>
      <c r="D7" s="2" t="s">
        <v>16677</v>
      </c>
      <c r="E7" s="258">
        <v>16417</v>
      </c>
      <c r="I7" s="209">
        <f t="shared" si="0"/>
        <v>16417</v>
      </c>
      <c r="J7" s="90"/>
      <c r="K7" s="99"/>
      <c r="L7" s="99"/>
      <c r="M7" s="99"/>
      <c r="N7" s="99"/>
    </row>
    <row r="8" spans="1:19">
      <c r="A8" s="1" t="s">
        <v>12</v>
      </c>
      <c r="B8" s="1" t="s">
        <v>16673</v>
      </c>
      <c r="C8" s="12" t="s">
        <v>16678</v>
      </c>
      <c r="D8" s="2" t="s">
        <v>16679</v>
      </c>
      <c r="E8" s="258"/>
      <c r="I8" s="209" t="str">
        <f t="shared" si="0"/>
        <v xml:space="preserve"> </v>
      </c>
      <c r="J8" s="90"/>
      <c r="K8" s="99"/>
    </row>
    <row r="9" spans="1:19">
      <c r="A9" s="1" t="s">
        <v>12</v>
      </c>
      <c r="B9" s="1" t="s">
        <v>2</v>
      </c>
      <c r="C9" s="12" t="s">
        <v>16680</v>
      </c>
      <c r="D9" s="2" t="s">
        <v>16681</v>
      </c>
      <c r="E9" s="258">
        <v>13459</v>
      </c>
      <c r="I9" s="209">
        <f t="shared" si="0"/>
        <v>13459</v>
      </c>
      <c r="J9" s="90"/>
      <c r="K9" s="99"/>
      <c r="L9" s="268" t="s">
        <v>16322</v>
      </c>
      <c r="M9" s="269" t="s">
        <v>91</v>
      </c>
      <c r="N9" s="269" t="s">
        <v>92</v>
      </c>
      <c r="O9" s="269" t="s">
        <v>93</v>
      </c>
      <c r="P9" s="269" t="s">
        <v>94</v>
      </c>
      <c r="Q9" s="269" t="s">
        <v>95</v>
      </c>
    </row>
    <row r="10" spans="1:19">
      <c r="A10" s="1" t="s">
        <v>12</v>
      </c>
      <c r="B10" s="1" t="s">
        <v>2</v>
      </c>
      <c r="C10" s="12" t="s">
        <v>16682</v>
      </c>
      <c r="D10" s="2" t="s">
        <v>16683</v>
      </c>
      <c r="E10" s="259"/>
      <c r="I10" s="209" t="str">
        <f t="shared" si="0"/>
        <v xml:space="preserve"> </v>
      </c>
      <c r="J10" s="91"/>
      <c r="K10" s="99"/>
      <c r="L10" s="205" t="s">
        <v>90</v>
      </c>
      <c r="M10" s="270" t="s">
        <v>96</v>
      </c>
      <c r="N10" s="205">
        <v>3.5</v>
      </c>
      <c r="O10" s="205">
        <v>3.64</v>
      </c>
      <c r="P10" s="205">
        <v>3.8</v>
      </c>
      <c r="Q10" s="271">
        <v>4.29</v>
      </c>
    </row>
    <row r="11" spans="1:19">
      <c r="A11" s="1" t="s">
        <v>12</v>
      </c>
      <c r="B11" s="1" t="s">
        <v>11</v>
      </c>
      <c r="C11" s="12" t="s">
        <v>16684</v>
      </c>
      <c r="D11" s="3" t="s">
        <v>16685</v>
      </c>
      <c r="E11" s="258"/>
      <c r="I11" s="209" t="str">
        <f t="shared" si="0"/>
        <v xml:space="preserve"> </v>
      </c>
      <c r="J11" s="90"/>
      <c r="K11" s="99"/>
      <c r="L11" s="205" t="s">
        <v>90</v>
      </c>
      <c r="M11" s="270" t="s">
        <v>97</v>
      </c>
      <c r="N11" s="205">
        <v>3.69</v>
      </c>
      <c r="O11" s="205">
        <v>3.81</v>
      </c>
      <c r="P11" s="205">
        <v>4.0599999999999996</v>
      </c>
      <c r="Q11" s="271">
        <v>4.71</v>
      </c>
    </row>
    <row r="12" spans="1:19">
      <c r="A12" s="1" t="s">
        <v>106</v>
      </c>
      <c r="B12" s="1" t="s">
        <v>16686</v>
      </c>
      <c r="C12" s="12" t="s">
        <v>16687</v>
      </c>
      <c r="D12" s="2" t="s">
        <v>16688</v>
      </c>
      <c r="E12" s="26">
        <f>SUM(E6:E11)</f>
        <v>35776</v>
      </c>
      <c r="F12" s="256">
        <f>100*E12/E4</f>
        <v>156.46621473868359</v>
      </c>
      <c r="G12" s="155" t="s">
        <v>70</v>
      </c>
      <c r="I12" s="209">
        <f t="shared" si="0"/>
        <v>35776</v>
      </c>
      <c r="J12" s="147">
        <f>SUM(J6:J11)</f>
        <v>0</v>
      </c>
      <c r="K12" s="99"/>
      <c r="L12" s="205" t="s">
        <v>90</v>
      </c>
      <c r="M12" s="270" t="s">
        <v>98</v>
      </c>
      <c r="N12" s="205">
        <v>3.95</v>
      </c>
      <c r="O12" s="205">
        <v>4.13</v>
      </c>
      <c r="P12" s="205">
        <v>4.51</v>
      </c>
      <c r="Q12" s="271">
        <v>5.26</v>
      </c>
    </row>
    <row r="13" spans="1:19">
      <c r="A13" s="1" t="s">
        <v>12</v>
      </c>
      <c r="B13" s="1" t="s">
        <v>2</v>
      </c>
      <c r="C13" s="12" t="s">
        <v>16689</v>
      </c>
      <c r="D13" s="100" t="s">
        <v>16690</v>
      </c>
      <c r="E13" s="90">
        <v>326</v>
      </c>
      <c r="F13" s="99"/>
      <c r="G13" s="224"/>
      <c r="I13" s="209">
        <f t="shared" si="0"/>
        <v>326</v>
      </c>
      <c r="J13" s="90"/>
      <c r="K13" s="99"/>
      <c r="L13" s="205" t="s">
        <v>90</v>
      </c>
      <c r="M13" s="270" t="s">
        <v>99</v>
      </c>
      <c r="N13" s="205">
        <v>5.14</v>
      </c>
      <c r="O13" s="205">
        <v>6.23</v>
      </c>
      <c r="P13" s="205">
        <v>6.86</v>
      </c>
      <c r="Q13" s="271">
        <v>7.22</v>
      </c>
    </row>
    <row r="14" spans="1:19">
      <c r="A14" s="1" t="s">
        <v>12</v>
      </c>
      <c r="B14" s="1" t="s">
        <v>16673</v>
      </c>
      <c r="C14" s="12" t="s">
        <v>16691</v>
      </c>
      <c r="D14" s="2" t="s">
        <v>16692</v>
      </c>
      <c r="E14" s="19">
        <f>E4-E13</f>
        <v>22539</v>
      </c>
      <c r="F14" s="205"/>
      <c r="G14" s="96"/>
      <c r="H14" s="96"/>
      <c r="I14" s="209">
        <f t="shared" si="0"/>
        <v>22539</v>
      </c>
      <c r="J14" s="111">
        <f>J4-J13</f>
        <v>0</v>
      </c>
      <c r="K14" s="99"/>
      <c r="L14" s="205" t="s">
        <v>90</v>
      </c>
      <c r="M14" s="270" t="s">
        <v>100</v>
      </c>
      <c r="N14" s="205">
        <v>5.81</v>
      </c>
      <c r="O14" s="205">
        <v>7.18</v>
      </c>
      <c r="P14" s="205">
        <v>7.89</v>
      </c>
      <c r="Q14" s="271">
        <v>8.27</v>
      </c>
    </row>
    <row r="15" spans="1:19">
      <c r="A15" s="1" t="s">
        <v>106</v>
      </c>
      <c r="B15" s="1" t="s">
        <v>2</v>
      </c>
      <c r="C15" s="12" t="s">
        <v>16693</v>
      </c>
      <c r="D15" s="2" t="s">
        <v>16694</v>
      </c>
      <c r="E15" s="19">
        <f>E13+E14+E12</f>
        <v>58641</v>
      </c>
      <c r="F15" s="77"/>
      <c r="G15" s="96"/>
      <c r="H15" s="96"/>
      <c r="I15" s="209">
        <f t="shared" si="0"/>
        <v>58641</v>
      </c>
      <c r="J15" s="111">
        <f>J13+J14+J12</f>
        <v>0</v>
      </c>
      <c r="K15" s="99"/>
      <c r="L15" s="205" t="s">
        <v>90</v>
      </c>
      <c r="M15" s="270" t="s">
        <v>101</v>
      </c>
      <c r="N15" s="205">
        <v>6.81</v>
      </c>
      <c r="O15" s="205">
        <v>8.35</v>
      </c>
      <c r="P15" s="205">
        <v>9.26</v>
      </c>
      <c r="Q15" s="271">
        <v>9.69</v>
      </c>
    </row>
    <row r="16" spans="1:19">
      <c r="A16" s="1" t="s">
        <v>12</v>
      </c>
      <c r="B16" s="1" t="s">
        <v>16695</v>
      </c>
      <c r="C16" s="12" t="s">
        <v>16696</v>
      </c>
      <c r="D16" s="2" t="s">
        <v>16697</v>
      </c>
      <c r="E16" s="18">
        <v>42743</v>
      </c>
      <c r="F16" s="292"/>
      <c r="G16" s="96"/>
      <c r="H16" s="96"/>
      <c r="I16" s="209">
        <f t="shared" si="0"/>
        <v>42743</v>
      </c>
      <c r="J16" s="101"/>
      <c r="K16" s="99"/>
      <c r="L16" s="205" t="s">
        <v>90</v>
      </c>
      <c r="M16" s="270" t="s">
        <v>102</v>
      </c>
      <c r="N16" s="205">
        <v>8.89</v>
      </c>
      <c r="O16" s="205">
        <v>10.33</v>
      </c>
      <c r="P16" s="205">
        <v>11.54</v>
      </c>
      <c r="Q16" s="271">
        <v>12.21</v>
      </c>
    </row>
    <row r="17" spans="1:17">
      <c r="A17" s="1" t="s">
        <v>12</v>
      </c>
      <c r="B17" s="1" t="s">
        <v>2</v>
      </c>
      <c r="C17" s="12" t="s">
        <v>16698</v>
      </c>
      <c r="D17" s="60" t="s">
        <v>16699</v>
      </c>
      <c r="F17" s="205"/>
      <c r="G17" s="96"/>
      <c r="H17" s="96"/>
      <c r="I17" s="209" t="str">
        <f t="shared" si="0"/>
        <v xml:space="preserve"> </v>
      </c>
      <c r="J17" s="99"/>
      <c r="K17" s="99"/>
      <c r="L17" s="205" t="s">
        <v>90</v>
      </c>
      <c r="M17" s="270" t="s">
        <v>103</v>
      </c>
      <c r="N17" s="205">
        <v>9.73</v>
      </c>
      <c r="O17" s="205">
        <v>11.25</v>
      </c>
      <c r="P17" s="205">
        <v>12.94</v>
      </c>
      <c r="Q17" s="271">
        <v>13.31</v>
      </c>
    </row>
    <row r="18" spans="1:17">
      <c r="A18" s="1" t="s">
        <v>16700</v>
      </c>
      <c r="B18" s="1" t="s">
        <v>16701</v>
      </c>
      <c r="C18" s="12" t="s">
        <v>16702</v>
      </c>
      <c r="D18" s="8" t="s">
        <v>16703</v>
      </c>
      <c r="E18" s="20">
        <f>E16-E17</f>
        <v>42743</v>
      </c>
      <c r="F18" s="205"/>
      <c r="G18" s="96"/>
      <c r="H18" s="96"/>
      <c r="I18" s="209">
        <f t="shared" si="0"/>
        <v>42743</v>
      </c>
      <c r="J18" s="112">
        <f>J16-J17</f>
        <v>0</v>
      </c>
      <c r="K18" s="99"/>
      <c r="L18" s="205" t="s">
        <v>90</v>
      </c>
      <c r="M18" s="270" t="s">
        <v>104</v>
      </c>
      <c r="N18" s="205">
        <v>10.87</v>
      </c>
      <c r="O18" s="205">
        <v>12.51</v>
      </c>
      <c r="P18" s="205">
        <v>14.19</v>
      </c>
      <c r="Q18" s="271">
        <v>14.54</v>
      </c>
    </row>
    <row r="19" spans="1:17">
      <c r="A19" s="1" t="s">
        <v>12</v>
      </c>
      <c r="B19" s="1" t="s">
        <v>16704</v>
      </c>
      <c r="C19" s="12" t="s">
        <v>16705</v>
      </c>
      <c r="D19" s="2" t="s">
        <v>16706</v>
      </c>
      <c r="E19" s="22">
        <f>E12/E15*100</f>
        <v>61.008509404682734</v>
      </c>
      <c r="F19" s="257">
        <f ca="1">100-F21</f>
        <v>84.256989623584388</v>
      </c>
      <c r="G19" s="96"/>
      <c r="H19" s="96"/>
      <c r="I19" s="216" t="e">
        <f t="shared" si="0"/>
        <v>#DIV/0!</v>
      </c>
      <c r="J19" s="110" t="e">
        <f>J12/J15*100</f>
        <v>#DIV/0!</v>
      </c>
      <c r="K19" s="99"/>
      <c r="L19" s="205" t="s">
        <v>90</v>
      </c>
      <c r="M19" s="270" t="s">
        <v>105</v>
      </c>
      <c r="N19" s="205">
        <v>12.96</v>
      </c>
      <c r="O19" s="205">
        <v>14.49</v>
      </c>
      <c r="P19" s="205">
        <v>16.12</v>
      </c>
      <c r="Q19" s="271">
        <v>16.850000000000001</v>
      </c>
    </row>
    <row r="20" spans="1:17">
      <c r="A20" s="1" t="s">
        <v>12</v>
      </c>
      <c r="B20" s="1" t="s">
        <v>16670</v>
      </c>
      <c r="C20" s="12" t="s">
        <v>16707</v>
      </c>
      <c r="D20" s="2" t="s">
        <v>16708</v>
      </c>
      <c r="E20"/>
      <c r="F20" s="205"/>
      <c r="G20" s="96"/>
      <c r="H20" s="96"/>
      <c r="I20" s="216" t="e">
        <f t="shared" si="0"/>
        <v>#DIV/0!</v>
      </c>
      <c r="J20" s="110" t="e">
        <f>J13/$J$15*100</f>
        <v>#DIV/0!</v>
      </c>
      <c r="K20" s="99"/>
      <c r="L20" s="205" t="s">
        <v>90</v>
      </c>
      <c r="M20" s="270" t="s">
        <v>106</v>
      </c>
      <c r="N20" s="205">
        <v>14.66</v>
      </c>
      <c r="O20" s="205">
        <v>16.239999999999998</v>
      </c>
      <c r="P20" s="205">
        <v>17.63</v>
      </c>
      <c r="Q20" s="271">
        <v>18.57</v>
      </c>
    </row>
    <row r="21" spans="1:17">
      <c r="A21" s="1" t="s">
        <v>12</v>
      </c>
      <c r="B21" s="1" t="s">
        <v>3</v>
      </c>
      <c r="C21" s="12" t="s">
        <v>16709</v>
      </c>
      <c r="D21" s="60" t="s">
        <v>16710</v>
      </c>
      <c r="E21" s="22">
        <f>E14/$E$15*100</f>
        <v>38.435565559932471</v>
      </c>
      <c r="F21" s="257">
        <f ca="1">100*(1/(1+E26/100))</f>
        <v>15.743010376415615</v>
      </c>
      <c r="G21" s="96"/>
      <c r="H21" s="96"/>
      <c r="I21" s="216" t="e">
        <f t="shared" si="0"/>
        <v>#DIV/0!</v>
      </c>
      <c r="J21" s="110" t="e">
        <f>J14/$J$15*100</f>
        <v>#DIV/0!</v>
      </c>
      <c r="K21" s="99"/>
      <c r="L21" s="272" t="s">
        <v>90</v>
      </c>
      <c r="M21" s="273" t="s">
        <v>107</v>
      </c>
      <c r="N21" s="272">
        <v>15.75</v>
      </c>
      <c r="O21" s="272">
        <v>17.489999999999998</v>
      </c>
      <c r="P21" s="272">
        <v>18.95</v>
      </c>
      <c r="Q21" s="274">
        <v>19.79</v>
      </c>
    </row>
    <row r="22" spans="1:17">
      <c r="A22" s="1" t="s">
        <v>4</v>
      </c>
      <c r="B22" s="1" t="s">
        <v>16711</v>
      </c>
      <c r="C22" s="12" t="s">
        <v>16712</v>
      </c>
      <c r="D22" s="8" t="s">
        <v>16713</v>
      </c>
      <c r="E22" s="21">
        <f>RATE!F7</f>
        <v>3.35</v>
      </c>
      <c r="F22" s="293"/>
      <c r="G22" s="157"/>
      <c r="H22" s="96"/>
      <c r="I22" s="216">
        <f t="shared" si="0"/>
        <v>3.35</v>
      </c>
      <c r="J22" s="152"/>
      <c r="K22" s="99"/>
      <c r="L22" s="205" t="s">
        <v>108</v>
      </c>
      <c r="M22" s="270" t="s">
        <v>96</v>
      </c>
      <c r="N22" s="205">
        <v>3.79</v>
      </c>
      <c r="O22" s="205">
        <v>3.96</v>
      </c>
      <c r="P22" s="205">
        <v>4.17</v>
      </c>
      <c r="Q22" s="271">
        <v>4.66</v>
      </c>
    </row>
    <row r="23" spans="1:17">
      <c r="A23" s="1" t="s">
        <v>16714</v>
      </c>
      <c r="B23" s="1" t="s">
        <v>3</v>
      </c>
      <c r="C23" s="12" t="s">
        <v>16715</v>
      </c>
      <c r="D23" s="8" t="s">
        <v>16716</v>
      </c>
      <c r="E23" s="21">
        <f>RATE!F8</f>
        <v>11.97</v>
      </c>
      <c r="F23" s="294"/>
      <c r="G23" s="295"/>
      <c r="H23" s="96"/>
      <c r="I23" s="216">
        <f t="shared" si="0"/>
        <v>11.97</v>
      </c>
      <c r="J23" s="152"/>
      <c r="K23" s="99"/>
      <c r="L23" s="205" t="s">
        <v>108</v>
      </c>
      <c r="M23" s="270" t="s">
        <v>97</v>
      </c>
      <c r="N23" s="205">
        <v>4.01</v>
      </c>
      <c r="O23" s="205">
        <v>4.17</v>
      </c>
      <c r="P23" s="205">
        <v>4.47</v>
      </c>
      <c r="Q23" s="271">
        <v>5.15</v>
      </c>
    </row>
    <row r="24" spans="1:17">
      <c r="A24" s="1" t="s">
        <v>4</v>
      </c>
      <c r="B24" s="1" t="s">
        <v>16717</v>
      </c>
      <c r="C24" s="12" t="s">
        <v>16718</v>
      </c>
      <c r="D24" s="8" t="s">
        <v>16719</v>
      </c>
      <c r="E24" s="63">
        <f ca="1">Bloomberg!K6</f>
        <v>0.90600000000000003</v>
      </c>
      <c r="F24" s="294"/>
      <c r="G24" s="295"/>
      <c r="H24" s="96"/>
      <c r="I24" s="216">
        <f t="shared" ca="1" si="0"/>
        <v>0.90600000000000003</v>
      </c>
      <c r="J24" s="153"/>
      <c r="K24" s="99"/>
      <c r="L24" s="205" t="s">
        <v>108</v>
      </c>
      <c r="M24" s="270" t="s">
        <v>98</v>
      </c>
      <c r="N24" s="205">
        <v>4.3600000000000003</v>
      </c>
      <c r="O24" s="205">
        <v>4.55</v>
      </c>
      <c r="P24" s="205">
        <v>4.99</v>
      </c>
      <c r="Q24" s="271">
        <v>5.74</v>
      </c>
    </row>
    <row r="25" spans="1:17">
      <c r="A25" s="1" t="s">
        <v>4</v>
      </c>
      <c r="B25" s="1" t="s">
        <v>16720</v>
      </c>
      <c r="C25" s="12" t="s">
        <v>16721</v>
      </c>
      <c r="D25" s="8" t="s">
        <v>16722</v>
      </c>
      <c r="E25" s="63"/>
      <c r="F25" s="294"/>
      <c r="G25" s="296"/>
      <c r="H25" s="205"/>
      <c r="I25" s="216" t="str">
        <f t="shared" si="0"/>
        <v xml:space="preserve"> </v>
      </c>
      <c r="J25" s="153"/>
      <c r="K25" s="99"/>
      <c r="L25" s="205" t="s">
        <v>108</v>
      </c>
      <c r="M25" s="270" t="s">
        <v>99</v>
      </c>
      <c r="N25" s="205">
        <v>5.71</v>
      </c>
      <c r="O25" s="205">
        <v>6.75</v>
      </c>
      <c r="P25" s="205">
        <v>7.47</v>
      </c>
      <c r="Q25" s="271">
        <v>7.86</v>
      </c>
    </row>
    <row r="26" spans="1:17">
      <c r="A26" s="1" t="s">
        <v>16723</v>
      </c>
      <c r="B26" s="1" t="s">
        <v>16724</v>
      </c>
      <c r="C26" s="12" t="s">
        <v>16725</v>
      </c>
      <c r="D26" s="8" t="s">
        <v>16726</v>
      </c>
      <c r="E26" s="21">
        <f ca="1">Bloomberg!L6</f>
        <v>535.20252867144529</v>
      </c>
      <c r="F26" s="294"/>
      <c r="G26" s="296"/>
      <c r="H26" s="205"/>
      <c r="I26" s="216">
        <f t="shared" ca="1" si="0"/>
        <v>535.20252867144529</v>
      </c>
      <c r="J26" s="152"/>
      <c r="K26" s="99"/>
      <c r="L26" s="205" t="s">
        <v>108</v>
      </c>
      <c r="M26" s="270" t="s">
        <v>100</v>
      </c>
      <c r="N26" s="205">
        <v>6.49</v>
      </c>
      <c r="O26" s="205">
        <v>7.81</v>
      </c>
      <c r="P26" s="205">
        <v>8.61</v>
      </c>
      <c r="Q26" s="271">
        <v>9.06</v>
      </c>
    </row>
    <row r="27" spans="1:17">
      <c r="A27" s="1" t="s">
        <v>106</v>
      </c>
      <c r="B27" s="1" t="s">
        <v>16724</v>
      </c>
      <c r="C27" s="12" t="s">
        <v>16727</v>
      </c>
      <c r="D27" s="60" t="s">
        <v>16728</v>
      </c>
      <c r="E27" s="22">
        <f ca="1">E24/(1+E26/100*(1-E30/100))</f>
        <v>0.17311709359136654</v>
      </c>
      <c r="F27" s="297"/>
      <c r="G27" s="297"/>
      <c r="H27" s="96"/>
      <c r="I27" s="216">
        <f t="shared" ca="1" si="0"/>
        <v>0.17311709359136654</v>
      </c>
      <c r="J27" s="22">
        <f>J24/(1+J26/100*(1-J30/100))</f>
        <v>0</v>
      </c>
      <c r="K27" s="99"/>
      <c r="L27" s="205" t="s">
        <v>108</v>
      </c>
      <c r="M27" s="270" t="s">
        <v>101</v>
      </c>
      <c r="N27" s="205">
        <v>7.5</v>
      </c>
      <c r="O27" s="205">
        <v>9.1</v>
      </c>
      <c r="P27" s="205">
        <v>10.1</v>
      </c>
      <c r="Q27" s="271">
        <v>10.55</v>
      </c>
    </row>
    <row r="28" spans="1:17">
      <c r="A28" s="1" t="s">
        <v>106</v>
      </c>
      <c r="B28" s="1" t="s">
        <v>16729</v>
      </c>
      <c r="C28" s="12" t="s">
        <v>16730</v>
      </c>
      <c r="D28" s="60" t="s">
        <v>16731</v>
      </c>
      <c r="E28" s="257">
        <f ca="1">Bloomberg!Q6</f>
        <v>0.3873750764471226</v>
      </c>
      <c r="F28" s="257">
        <f ca="1">Bloomberg!R6</f>
        <v>0.90600000000000003</v>
      </c>
      <c r="G28"/>
      <c r="H28" s="205"/>
      <c r="I28" s="216" t="e">
        <f t="shared" ca="1" si="0"/>
        <v>#DIV/0!</v>
      </c>
      <c r="J28" s="22" t="e">
        <f>J27*(1+J5/100*(1-J30/100))/J25</f>
        <v>#DIV/0!</v>
      </c>
      <c r="K28" s="99"/>
      <c r="L28" s="205" t="s">
        <v>108</v>
      </c>
      <c r="M28" s="270" t="s">
        <v>102</v>
      </c>
      <c r="N28" s="205">
        <v>9.4700000000000006</v>
      </c>
      <c r="O28" s="205">
        <v>11.13</v>
      </c>
      <c r="P28" s="205">
        <v>12.45</v>
      </c>
      <c r="Q28" s="271">
        <v>13.12</v>
      </c>
    </row>
    <row r="29" spans="1:17">
      <c r="A29" s="1" t="s">
        <v>16732</v>
      </c>
      <c r="B29" s="1" t="s">
        <v>16711</v>
      </c>
      <c r="C29" s="12" t="s">
        <v>16733</v>
      </c>
      <c r="D29" s="8" t="s">
        <v>16734</v>
      </c>
      <c r="E29" s="23"/>
      <c r="F29" s="291"/>
      <c r="G29" s="93"/>
      <c r="H29" s="93"/>
      <c r="I29" s="216" t="str">
        <f t="shared" si="0"/>
        <v xml:space="preserve"> </v>
      </c>
      <c r="J29" s="149"/>
      <c r="K29" s="99"/>
      <c r="L29" s="205" t="s">
        <v>108</v>
      </c>
      <c r="M29" s="270" t="s">
        <v>103</v>
      </c>
      <c r="N29" s="205">
        <v>10.49</v>
      </c>
      <c r="O29" s="205">
        <v>12.08</v>
      </c>
      <c r="P29" s="205">
        <v>13.83</v>
      </c>
      <c r="Q29" s="271">
        <v>14.22</v>
      </c>
    </row>
    <row r="30" spans="1:17" ht="17.25" thickBot="1">
      <c r="A30" s="1" t="s">
        <v>12</v>
      </c>
      <c r="B30" s="1" t="s">
        <v>16735</v>
      </c>
      <c r="C30" s="12" t="s">
        <v>16736</v>
      </c>
      <c r="D30" s="61" t="s">
        <v>16737</v>
      </c>
      <c r="E30" s="27">
        <v>20.9</v>
      </c>
      <c r="F30" s="225">
        <v>2029</v>
      </c>
      <c r="G30" s="154" t="s">
        <v>16</v>
      </c>
      <c r="H30" s="96"/>
      <c r="I30" s="216">
        <f t="shared" si="0"/>
        <v>20.9</v>
      </c>
      <c r="J30" s="150"/>
      <c r="K30" s="99"/>
      <c r="L30" s="205" t="s">
        <v>108</v>
      </c>
      <c r="M30" s="270" t="s">
        <v>104</v>
      </c>
      <c r="N30" s="205">
        <v>11.65</v>
      </c>
      <c r="O30" s="205">
        <v>13.37</v>
      </c>
      <c r="P30" s="205">
        <v>15.11</v>
      </c>
      <c r="Q30" s="271">
        <v>15.52</v>
      </c>
    </row>
    <row r="31" spans="1:17" ht="17.25" thickBot="1">
      <c r="A31" s="1" t="s">
        <v>16714</v>
      </c>
      <c r="B31" s="1" t="s">
        <v>3</v>
      </c>
      <c r="C31" s="12" t="s">
        <v>16738</v>
      </c>
      <c r="D31" s="148" t="s">
        <v>16739</v>
      </c>
      <c r="E31" s="377"/>
      <c r="F31" s="96"/>
      <c r="G31" s="215"/>
      <c r="H31" s="94"/>
      <c r="I31" s="216" t="str">
        <f t="shared" si="0"/>
        <v xml:space="preserve"> </v>
      </c>
      <c r="J31" s="151"/>
      <c r="K31" s="99"/>
      <c r="L31" s="205" t="s">
        <v>108</v>
      </c>
      <c r="M31" s="270" t="s">
        <v>105</v>
      </c>
      <c r="N31" s="205">
        <v>13.74</v>
      </c>
      <c r="O31" s="205">
        <v>15.32</v>
      </c>
      <c r="P31" s="205">
        <v>17.05</v>
      </c>
      <c r="Q31" s="271">
        <v>17.84</v>
      </c>
    </row>
    <row r="32" spans="1:17">
      <c r="A32" s="1" t="s">
        <v>12</v>
      </c>
      <c r="B32" s="1" t="s">
        <v>3</v>
      </c>
      <c r="C32" s="12" t="s">
        <v>16740</v>
      </c>
      <c r="D32" s="2" t="s">
        <v>16741</v>
      </c>
      <c r="E32" s="22">
        <f>E31*(1-(E30/100))</f>
        <v>0</v>
      </c>
      <c r="F32" s="94"/>
      <c r="G32" s="99"/>
      <c r="H32" s="95"/>
      <c r="I32" s="216" t="str">
        <f t="shared" si="0"/>
        <v xml:space="preserve"> </v>
      </c>
      <c r="J32" s="22">
        <f>J31*(1-(J30/100))</f>
        <v>0</v>
      </c>
      <c r="K32" s="99"/>
      <c r="L32" s="205" t="s">
        <v>108</v>
      </c>
      <c r="M32" s="270" t="s">
        <v>106</v>
      </c>
      <c r="N32" s="205">
        <v>15.46</v>
      </c>
      <c r="O32" s="205">
        <v>17.149999999999999</v>
      </c>
      <c r="P32" s="205">
        <v>18.59</v>
      </c>
      <c r="Q32" s="271">
        <v>19.559999999999999</v>
      </c>
    </row>
    <row r="33" spans="1:17">
      <c r="A33" s="1" t="s">
        <v>12</v>
      </c>
      <c r="B33" s="1" t="s">
        <v>3</v>
      </c>
      <c r="C33" s="12" t="s">
        <v>16742</v>
      </c>
      <c r="D33" s="2" t="s">
        <v>16743</v>
      </c>
      <c r="E33"/>
      <c r="F33" s="226"/>
      <c r="G33" s="154" t="s">
        <v>17</v>
      </c>
      <c r="H33" s="94"/>
      <c r="I33" s="216" t="e">
        <f t="shared" si="0"/>
        <v>#DIV/0!</v>
      </c>
      <c r="J33" s="22" t="e">
        <f>J34*0.9</f>
        <v>#DIV/0!</v>
      </c>
      <c r="K33" s="99"/>
      <c r="L33" s="205" t="s">
        <v>108</v>
      </c>
      <c r="M33" s="270" t="s">
        <v>107</v>
      </c>
      <c r="N33" s="205">
        <v>16.63</v>
      </c>
      <c r="O33" s="205">
        <v>18.43</v>
      </c>
      <c r="P33" s="205">
        <v>19.96</v>
      </c>
      <c r="Q33" s="271">
        <v>20.8</v>
      </c>
    </row>
    <row r="34" spans="1:17">
      <c r="A34" s="1" t="s">
        <v>12</v>
      </c>
      <c r="B34" s="1" t="s">
        <v>16729</v>
      </c>
      <c r="C34" s="12" t="s">
        <v>16744</v>
      </c>
      <c r="D34" s="2" t="s">
        <v>16745</v>
      </c>
      <c r="E34" s="257">
        <f ca="1">E22+E23*F28+E43</f>
        <v>14.19482</v>
      </c>
      <c r="G34" s="645" t="str">
        <f ca="1">IF(E32&gt;E34,"자본비용역전","이상없음")</f>
        <v>이상없음</v>
      </c>
      <c r="H34" s="94"/>
      <c r="I34" s="216" t="e">
        <f t="shared" ca="1" si="0"/>
        <v>#DIV/0!</v>
      </c>
      <c r="J34" s="110" t="e">
        <f>J22+J23*J28</f>
        <v>#DIV/0!</v>
      </c>
      <c r="K34" s="99"/>
      <c r="L34" s="205"/>
      <c r="M34" s="205"/>
      <c r="N34" s="205"/>
      <c r="O34" s="205"/>
      <c r="P34" s="205"/>
      <c r="Q34" s="205"/>
    </row>
    <row r="35" spans="1:17" ht="17.25" thickBot="1">
      <c r="A35" s="2" t="s">
        <v>16746</v>
      </c>
      <c r="B35" s="2" t="s">
        <v>16729</v>
      </c>
      <c r="C35" s="12" t="s">
        <v>16747</v>
      </c>
      <c r="D35" s="2" t="s">
        <v>16748</v>
      </c>
      <c r="E35" s="22">
        <f ca="1">(F19/100)*E32+(F21/100)*E34</f>
        <v>2.234691985513519</v>
      </c>
      <c r="G35" s="205"/>
      <c r="H35" s="99"/>
      <c r="I35" s="216" t="e">
        <f t="shared" ca="1" si="0"/>
        <v>#DIV/0!</v>
      </c>
      <c r="J35" s="110" t="e">
        <f>(J19/100)*J32+(J20/100)*J33+(J21/100)*J34</f>
        <v>#DIV/0!</v>
      </c>
      <c r="K35" s="99"/>
      <c r="L35" s="206" t="s">
        <v>109</v>
      </c>
      <c r="M35" s="205"/>
      <c r="N35" s="205"/>
      <c r="O35" s="205"/>
      <c r="P35" s="205"/>
      <c r="Q35" s="205"/>
    </row>
    <row r="36" spans="1:17">
      <c r="A36" s="2" t="s">
        <v>12</v>
      </c>
      <c r="B36" s="2" t="s">
        <v>16701</v>
      </c>
      <c r="C36" s="12" t="s">
        <v>16749</v>
      </c>
      <c r="D36" s="2" t="s">
        <v>16750</v>
      </c>
      <c r="E36" s="24">
        <f>E4</f>
        <v>22865</v>
      </c>
      <c r="G36" s="154" t="s">
        <v>18</v>
      </c>
      <c r="H36" s="99"/>
      <c r="I36" s="209">
        <f t="shared" si="0"/>
        <v>22865</v>
      </c>
      <c r="J36" s="187">
        <f>J4</f>
        <v>0</v>
      </c>
      <c r="K36" s="99"/>
      <c r="L36" s="275" t="s">
        <v>110</v>
      </c>
      <c r="M36" s="276"/>
      <c r="N36" s="205"/>
      <c r="O36" s="205"/>
      <c r="P36" s="205"/>
      <c r="Q36" s="205"/>
    </row>
    <row r="37" spans="1:17" ht="17.25" thickBot="1">
      <c r="A37" s="2" t="s">
        <v>12</v>
      </c>
      <c r="B37" s="2" t="s">
        <v>16701</v>
      </c>
      <c r="C37" s="12" t="s">
        <v>16751</v>
      </c>
      <c r="D37" s="60" t="s">
        <v>16752</v>
      </c>
      <c r="E37" s="24">
        <f>E18</f>
        <v>42743</v>
      </c>
      <c r="F37"/>
      <c r="G37" s="645" t="str">
        <f>IF(E37=J37,"변동없음","주식수변동")</f>
        <v>주식수변동</v>
      </c>
      <c r="H37" s="99"/>
      <c r="I37" s="209">
        <f t="shared" si="0"/>
        <v>42743</v>
      </c>
      <c r="J37" s="187">
        <f>J18</f>
        <v>0</v>
      </c>
      <c r="K37" s="99"/>
      <c r="L37" s="277" t="s">
        <v>111</v>
      </c>
      <c r="M37" s="278">
        <f>IS추정!H50</f>
        <v>1.5132408575031526</v>
      </c>
      <c r="N37" s="205"/>
      <c r="O37" s="205"/>
      <c r="P37" s="205"/>
      <c r="Q37" s="205"/>
    </row>
    <row r="38" spans="1:17">
      <c r="A38" s="2" t="s">
        <v>16700</v>
      </c>
      <c r="B38" s="2" t="s">
        <v>2</v>
      </c>
      <c r="C38" s="12" t="s">
        <v>16753</v>
      </c>
      <c r="D38" s="9" t="s">
        <v>16754</v>
      </c>
      <c r="E38" s="25">
        <f>E36*1000000/E37</f>
        <v>534941.39391245355</v>
      </c>
      <c r="F38" s="94"/>
      <c r="G38" s="205"/>
      <c r="H38" s="99"/>
      <c r="I38" s="209" t="e">
        <f t="shared" si="0"/>
        <v>#DIV/0!</v>
      </c>
      <c r="J38" s="113" t="e">
        <f>J36*1000000/J37</f>
        <v>#DIV/0!</v>
      </c>
      <c r="K38" s="99"/>
      <c r="N38" s="205"/>
      <c r="O38" s="205"/>
      <c r="P38" s="205"/>
      <c r="Q38" s="205"/>
    </row>
    <row r="39" spans="1:17">
      <c r="C39" s="12"/>
      <c r="D39" s="144" t="s">
        <v>1</v>
      </c>
      <c r="E39" s="62">
        <f ca="1">+민감도!B7</f>
        <v>-13305399948.490595</v>
      </c>
      <c r="F39" s="350" t="str">
        <f ca="1">IFERROR(E39/J39-1,"")</f>
        <v/>
      </c>
      <c r="G39" s="154" t="s">
        <v>19</v>
      </c>
      <c r="H39" s="99"/>
      <c r="I39" s="209">
        <f t="shared" ca="1" si="0"/>
        <v>-13305399948.490595</v>
      </c>
      <c r="J39" s="201">
        <f>E60</f>
        <v>0</v>
      </c>
      <c r="K39" s="99"/>
      <c r="N39" s="205"/>
      <c r="O39" s="205"/>
      <c r="P39" s="205"/>
      <c r="Q39" s="205"/>
    </row>
    <row r="40" spans="1:17">
      <c r="G40" s="645" t="str">
        <f>IF(BS추정!H40&lt;0,"자본잠식","해당없음")</f>
        <v>자본잠식</v>
      </c>
    </row>
    <row r="41" spans="1:17">
      <c r="D41" s="97"/>
      <c r="E41" s="298" t="str">
        <f>IF(E43=0,"RP=0 경고","")</f>
        <v>RP=0 경고</v>
      </c>
      <c r="F41" s="99"/>
    </row>
    <row r="42" spans="1:17">
      <c r="A42" s="14">
        <v>1</v>
      </c>
      <c r="C42" s="107" t="s">
        <v>16756</v>
      </c>
      <c r="D42" s="107" t="s">
        <v>16757</v>
      </c>
      <c r="E42" s="107" t="s">
        <v>16483</v>
      </c>
      <c r="F42" s="107"/>
      <c r="G42" s="99"/>
    </row>
    <row r="43" spans="1:17">
      <c r="A43" s="2" t="s">
        <v>12</v>
      </c>
      <c r="B43" s="2" t="s">
        <v>16364</v>
      </c>
      <c r="C43" s="107" t="s">
        <v>16758</v>
      </c>
      <c r="D43" s="205" t="s">
        <v>16759</v>
      </c>
      <c r="E43" s="286">
        <v>0</v>
      </c>
      <c r="F43" s="205"/>
      <c r="G43" s="99"/>
    </row>
    <row r="47" spans="1:17">
      <c r="D47" s="299" t="s">
        <v>123</v>
      </c>
      <c r="E47" s="299" t="s">
        <v>124</v>
      </c>
      <c r="H47"/>
    </row>
    <row r="48" spans="1:17">
      <c r="D48" s="300" t="s">
        <v>125</v>
      </c>
      <c r="E48" s="125" t="s">
        <v>696</v>
      </c>
      <c r="F48" s="667" t="s">
        <v>697</v>
      </c>
    </row>
    <row r="49" spans="3:23">
      <c r="D49" s="300" t="s">
        <v>126</v>
      </c>
      <c r="E49" s="125" t="s">
        <v>127</v>
      </c>
    </row>
    <row r="50" spans="3:23">
      <c r="D50" s="300" t="s">
        <v>128</v>
      </c>
      <c r="E50" s="125" t="s">
        <v>129</v>
      </c>
    </row>
    <row r="51" spans="3:23">
      <c r="D51" s="300" t="s">
        <v>130</v>
      </c>
      <c r="E51" s="125" t="s">
        <v>131</v>
      </c>
    </row>
    <row r="52" spans="3:23">
      <c r="D52" s="300" t="s">
        <v>132</v>
      </c>
      <c r="E52" s="125" t="s">
        <v>133</v>
      </c>
    </row>
    <row r="54" spans="3:23">
      <c r="D54"/>
      <c r="E54"/>
      <c r="F54"/>
      <c r="G54"/>
      <c r="H54" s="205"/>
      <c r="I54" s="205"/>
      <c r="J54" s="99"/>
      <c r="K54" s="99"/>
      <c r="L54" s="99"/>
      <c r="M54" s="99"/>
      <c r="N54" s="99"/>
      <c r="O54" s="99"/>
      <c r="P54" s="99"/>
      <c r="Q54" s="99"/>
    </row>
    <row r="55" spans="3:23">
      <c r="D55"/>
      <c r="E55"/>
      <c r="F55"/>
      <c r="G55"/>
      <c r="H55" s="205"/>
      <c r="I55" s="205"/>
      <c r="J55" s="99"/>
      <c r="K55" s="99"/>
      <c r="L55" s="99"/>
      <c r="M55" s="99"/>
      <c r="N55" s="99"/>
      <c r="O55" s="99"/>
      <c r="P55" s="99"/>
      <c r="Q55" s="99"/>
    </row>
    <row r="56" spans="3:23">
      <c r="D56"/>
      <c r="E56"/>
      <c r="F56"/>
      <c r="G56"/>
      <c r="H56" s="205"/>
      <c r="I56" s="205"/>
      <c r="J56" s="99"/>
      <c r="K56" s="99"/>
      <c r="L56" s="99"/>
    </row>
    <row r="57" spans="3:23">
      <c r="D57" s="99"/>
      <c r="E57" s="227">
        <f ca="1">E59/$G$59-1</f>
        <v>0</v>
      </c>
      <c r="F57" s="227">
        <f ca="1">F59/$G$59-1</f>
        <v>-1</v>
      </c>
      <c r="G57" s="227" t="e">
        <f t="shared" ref="G57:I57" ca="1" si="2">G59/G60-1</f>
        <v>#DIV/0!</v>
      </c>
      <c r="H57" s="227" t="e">
        <f t="shared" si="2"/>
        <v>#DIV/0!</v>
      </c>
      <c r="I57" s="227" t="e">
        <f t="shared" si="2"/>
        <v>#DIV/0!</v>
      </c>
    </row>
    <row r="58" spans="3:23">
      <c r="D58" s="156" t="s">
        <v>710</v>
      </c>
      <c r="E58" s="154" t="s">
        <v>64</v>
      </c>
      <c r="F58" s="154" t="s">
        <v>86</v>
      </c>
      <c r="G58" s="154" t="s">
        <v>65</v>
      </c>
      <c r="H58" s="154" t="s">
        <v>20</v>
      </c>
      <c r="I58" s="154" t="s">
        <v>55</v>
      </c>
      <c r="J58" s="154" t="s">
        <v>21</v>
      </c>
      <c r="K58" s="154" t="s">
        <v>22</v>
      </c>
      <c r="L58" s="99"/>
      <c r="M58" s="550" t="s">
        <v>231</v>
      </c>
      <c r="N58" s="550" t="s">
        <v>608</v>
      </c>
      <c r="O58" s="550" t="s">
        <v>609</v>
      </c>
      <c r="P58" s="550" t="s">
        <v>610</v>
      </c>
      <c r="Q58" s="550" t="s">
        <v>119</v>
      </c>
      <c r="R58" s="550" t="s">
        <v>120</v>
      </c>
      <c r="S58" s="550" t="s">
        <v>121</v>
      </c>
      <c r="T58" s="550" t="s">
        <v>122</v>
      </c>
      <c r="U58" s="551" t="s">
        <v>611</v>
      </c>
      <c r="V58" s="550" t="s">
        <v>612</v>
      </c>
      <c r="W58" s="551" t="s">
        <v>613</v>
      </c>
    </row>
    <row r="59" spans="3:23">
      <c r="C59" s="227"/>
      <c r="D59" s="553" t="str">
        <f>LEFT(평가기준일,10)</f>
        <v>2024-12-31</v>
      </c>
      <c r="E59" s="554">
        <f ca="1">E39</f>
        <v>-13305399948.490595</v>
      </c>
      <c r="F59" s="554"/>
      <c r="G59" s="554">
        <f ca="1">AVERAGE(E59:F59)</f>
        <v>-13305399948.490595</v>
      </c>
      <c r="H59" s="555">
        <f>E38</f>
        <v>534941.39391245355</v>
      </c>
      <c r="I59" s="554">
        <f>비용추정!H83</f>
        <v>-233628.89829913669</v>
      </c>
      <c r="J59" s="556">
        <f ca="1">G59/I59</f>
        <v>56951.002403197832</v>
      </c>
      <c r="K59" s="557">
        <f ca="1">G59/H59</f>
        <v>-24872.631095488014</v>
      </c>
      <c r="L59" s="99"/>
      <c r="M59" s="558" t="str">
        <f>TRIM(COMPANY!E2)</f>
        <v>(주)미래세라텍</v>
      </c>
      <c r="N59" s="558"/>
      <c r="O59" s="559" t="str">
        <f>LEFT(평가기준일,10)</f>
        <v>2024-12-31</v>
      </c>
      <c r="P59" s="560">
        <f ca="1">G59</f>
        <v>-13305399948.490595</v>
      </c>
      <c r="Q59" s="561">
        <v>3</v>
      </c>
      <c r="R59" s="561"/>
      <c r="S59" s="561"/>
      <c r="T59" s="561"/>
      <c r="U59" s="561">
        <v>0</v>
      </c>
      <c r="V59" s="561"/>
      <c r="W59" s="562">
        <f>E18</f>
        <v>42743</v>
      </c>
    </row>
    <row r="60" spans="3:23">
      <c r="D60" s="202"/>
      <c r="E60" s="250"/>
      <c r="F60" s="250"/>
      <c r="G60" s="251"/>
      <c r="H60" s="252"/>
      <c r="I60" s="250"/>
      <c r="J60" s="668" t="str">
        <f>IFERROR(G60/I60,"")</f>
        <v/>
      </c>
      <c r="K60" s="669" t="str">
        <f>IFERROR(G60/H60,"")</f>
        <v/>
      </c>
      <c r="L60" s="99"/>
      <c r="M60" s="552"/>
      <c r="N60" s="552"/>
      <c r="O60" s="287"/>
      <c r="P60" s="288"/>
      <c r="Q60" s="289"/>
      <c r="R60" s="289"/>
      <c r="S60" s="289"/>
      <c r="T60" s="289"/>
      <c r="U60" s="289"/>
      <c r="V60" s="289"/>
      <c r="W60" s="290"/>
    </row>
    <row r="61" spans="3:23">
      <c r="D61" s="202"/>
      <c r="E61" s="250"/>
      <c r="F61" s="250"/>
      <c r="G61" s="251"/>
      <c r="H61" s="252"/>
      <c r="I61" s="250"/>
      <c r="J61" s="668" t="str">
        <f t="shared" ref="J61:J73" si="3">IFERROR(G61/I61,"")</f>
        <v/>
      </c>
      <c r="K61" s="669" t="str">
        <f t="shared" ref="K61:K73" si="4">IFERROR(G61/H61,"")</f>
        <v/>
      </c>
      <c r="L61" s="99"/>
      <c r="M61" s="552"/>
      <c r="N61" s="552"/>
      <c r="O61" s="287"/>
      <c r="P61" s="288"/>
      <c r="Q61" s="289"/>
      <c r="R61" s="289"/>
      <c r="S61" s="289"/>
      <c r="T61" s="289"/>
      <c r="U61" s="289"/>
      <c r="V61" s="289"/>
      <c r="W61" s="290"/>
    </row>
    <row r="62" spans="3:23">
      <c r="D62" s="202"/>
      <c r="E62" s="250"/>
      <c r="F62" s="250"/>
      <c r="G62" s="251"/>
      <c r="H62" s="252"/>
      <c r="I62" s="250"/>
      <c r="J62" s="668" t="str">
        <f t="shared" si="3"/>
        <v/>
      </c>
      <c r="K62" s="669" t="str">
        <f t="shared" si="4"/>
        <v/>
      </c>
      <c r="L62" s="99"/>
      <c r="M62" s="552"/>
      <c r="N62" s="552"/>
      <c r="O62" s="287"/>
      <c r="P62" s="288"/>
      <c r="Q62" s="289"/>
      <c r="R62" s="289"/>
      <c r="S62" s="289"/>
      <c r="T62" s="289"/>
      <c r="U62" s="289"/>
      <c r="V62" s="289"/>
      <c r="W62" s="290"/>
    </row>
    <row r="63" spans="3:23">
      <c r="D63" s="202"/>
      <c r="E63" s="250"/>
      <c r="F63" s="250"/>
      <c r="G63" s="251"/>
      <c r="H63" s="252"/>
      <c r="I63" s="250"/>
      <c r="J63" s="668" t="str">
        <f t="shared" si="3"/>
        <v/>
      </c>
      <c r="K63" s="669" t="str">
        <f t="shared" si="4"/>
        <v/>
      </c>
      <c r="L63" s="99"/>
      <c r="M63" s="552"/>
      <c r="N63" s="552"/>
      <c r="O63" s="287"/>
      <c r="P63" s="288"/>
      <c r="Q63" s="289"/>
      <c r="R63" s="289"/>
      <c r="S63" s="289"/>
      <c r="T63" s="289"/>
      <c r="U63" s="289"/>
      <c r="V63" s="289"/>
      <c r="W63" s="290"/>
    </row>
    <row r="64" spans="3:23">
      <c r="D64" s="202"/>
      <c r="E64" s="250"/>
      <c r="F64" s="250"/>
      <c r="G64" s="251"/>
      <c r="H64" s="252"/>
      <c r="I64" s="250"/>
      <c r="J64" s="668" t="str">
        <f t="shared" si="3"/>
        <v/>
      </c>
      <c r="K64" s="669" t="str">
        <f t="shared" si="4"/>
        <v/>
      </c>
      <c r="L64" s="205"/>
      <c r="M64" s="552"/>
      <c r="N64" s="552"/>
      <c r="O64" s="287"/>
      <c r="P64" s="288"/>
      <c r="Q64" s="289"/>
      <c r="R64" s="289"/>
      <c r="S64" s="289"/>
      <c r="T64" s="289"/>
      <c r="U64" s="289"/>
      <c r="V64" s="289"/>
      <c r="W64" s="290"/>
    </row>
    <row r="65" spans="4:23">
      <c r="D65" s="202"/>
      <c r="E65" s="250"/>
      <c r="F65" s="250"/>
      <c r="G65" s="251"/>
      <c r="H65" s="252"/>
      <c r="I65" s="250"/>
      <c r="J65" s="668" t="str">
        <f t="shared" si="3"/>
        <v/>
      </c>
      <c r="K65" s="669" t="str">
        <f t="shared" si="4"/>
        <v/>
      </c>
      <c r="L65" s="205"/>
      <c r="M65" s="552"/>
      <c r="N65" s="552"/>
      <c r="O65" s="287"/>
      <c r="P65" s="288"/>
      <c r="Q65" s="289"/>
      <c r="R65" s="289"/>
      <c r="S65" s="289"/>
      <c r="T65" s="289"/>
      <c r="U65" s="289"/>
      <c r="V65" s="289"/>
      <c r="W65" s="290"/>
    </row>
    <row r="66" spans="4:23">
      <c r="D66" s="202"/>
      <c r="E66" s="250"/>
      <c r="F66" s="250"/>
      <c r="G66" s="251"/>
      <c r="H66" s="252"/>
      <c r="I66" s="250"/>
      <c r="J66" s="668" t="str">
        <f t="shared" si="3"/>
        <v/>
      </c>
      <c r="K66" s="669" t="str">
        <f t="shared" si="4"/>
        <v/>
      </c>
      <c r="L66" s="205"/>
      <c r="M66" s="552"/>
      <c r="N66" s="552"/>
      <c r="O66" s="287"/>
      <c r="P66" s="288"/>
      <c r="Q66" s="289"/>
      <c r="R66" s="289"/>
      <c r="S66" s="289"/>
      <c r="T66" s="289"/>
      <c r="U66" s="289"/>
      <c r="V66" s="289"/>
      <c r="W66" s="290"/>
    </row>
    <row r="67" spans="4:23">
      <c r="D67" s="202"/>
      <c r="E67" s="250"/>
      <c r="F67" s="250"/>
      <c r="G67" s="251"/>
      <c r="H67" s="252"/>
      <c r="I67" s="250"/>
      <c r="J67" s="668" t="str">
        <f t="shared" si="3"/>
        <v/>
      </c>
      <c r="K67" s="669" t="str">
        <f t="shared" si="4"/>
        <v/>
      </c>
      <c r="L67" s="205"/>
      <c r="M67" s="552"/>
      <c r="N67" s="552"/>
      <c r="O67" s="287"/>
      <c r="P67" s="288"/>
      <c r="Q67" s="289"/>
      <c r="R67" s="289"/>
      <c r="S67" s="289"/>
      <c r="T67" s="289"/>
      <c r="U67" s="289"/>
      <c r="V67" s="289"/>
      <c r="W67" s="290"/>
    </row>
    <row r="68" spans="4:23">
      <c r="D68" s="202"/>
      <c r="E68" s="250"/>
      <c r="F68" s="250"/>
      <c r="G68" s="251"/>
      <c r="H68" s="252"/>
      <c r="I68" s="250"/>
      <c r="J68" s="668" t="str">
        <f t="shared" si="3"/>
        <v/>
      </c>
      <c r="K68" s="669" t="str">
        <f t="shared" si="4"/>
        <v/>
      </c>
      <c r="L68" s="205"/>
      <c r="M68" s="552"/>
      <c r="N68" s="552"/>
      <c r="O68" s="287"/>
      <c r="P68" s="288"/>
      <c r="Q68" s="289"/>
      <c r="R68" s="289"/>
      <c r="S68" s="289"/>
      <c r="T68" s="289"/>
      <c r="U68" s="289"/>
      <c r="V68" s="289"/>
      <c r="W68" s="290"/>
    </row>
    <row r="69" spans="4:23">
      <c r="D69" s="202"/>
      <c r="E69" s="250"/>
      <c r="F69" s="250"/>
      <c r="G69" s="251"/>
      <c r="H69" s="252"/>
      <c r="I69" s="250"/>
      <c r="J69" s="668" t="str">
        <f t="shared" si="3"/>
        <v/>
      </c>
      <c r="K69" s="669" t="str">
        <f t="shared" si="4"/>
        <v/>
      </c>
      <c r="L69" s="205"/>
      <c r="M69" s="552"/>
      <c r="N69" s="552"/>
      <c r="O69" s="287"/>
      <c r="P69" s="288"/>
      <c r="Q69" s="289"/>
      <c r="R69" s="289"/>
      <c r="S69" s="289"/>
      <c r="T69" s="289"/>
      <c r="U69" s="289"/>
      <c r="V69" s="289"/>
      <c r="W69" s="290"/>
    </row>
    <row r="70" spans="4:23">
      <c r="D70" s="202"/>
      <c r="E70" s="250"/>
      <c r="F70" s="250"/>
      <c r="G70" s="251"/>
      <c r="H70" s="252"/>
      <c r="I70" s="250"/>
      <c r="J70" s="668" t="str">
        <f t="shared" si="3"/>
        <v/>
      </c>
      <c r="K70" s="669" t="str">
        <f t="shared" si="4"/>
        <v/>
      </c>
      <c r="L70" s="205"/>
      <c r="M70" s="552"/>
      <c r="N70" s="552"/>
      <c r="O70" s="287"/>
      <c r="P70" s="288"/>
      <c r="Q70" s="289"/>
      <c r="R70" s="289"/>
      <c r="S70" s="289"/>
      <c r="T70" s="289"/>
      <c r="U70" s="289"/>
      <c r="V70" s="289"/>
      <c r="W70" s="290"/>
    </row>
    <row r="71" spans="4:23">
      <c r="D71" s="202"/>
      <c r="E71" s="250"/>
      <c r="F71" s="250"/>
      <c r="G71" s="251"/>
      <c r="H71" s="252"/>
      <c r="I71" s="250"/>
      <c r="J71" s="668" t="str">
        <f t="shared" si="3"/>
        <v/>
      </c>
      <c r="K71" s="669" t="str">
        <f t="shared" si="4"/>
        <v/>
      </c>
      <c r="L71" s="205"/>
      <c r="M71" s="552"/>
      <c r="N71" s="552"/>
      <c r="O71" s="287"/>
      <c r="P71" s="288"/>
      <c r="Q71" s="289"/>
      <c r="R71" s="289"/>
      <c r="S71" s="289"/>
      <c r="T71" s="289"/>
      <c r="U71" s="289"/>
      <c r="V71" s="289"/>
      <c r="W71" s="290"/>
    </row>
    <row r="72" spans="4:23">
      <c r="D72" s="202"/>
      <c r="E72" s="250"/>
      <c r="F72" s="250"/>
      <c r="G72" s="251"/>
      <c r="H72" s="252"/>
      <c r="I72" s="250"/>
      <c r="J72" s="668" t="str">
        <f t="shared" si="3"/>
        <v/>
      </c>
      <c r="K72" s="669" t="str">
        <f t="shared" si="4"/>
        <v/>
      </c>
      <c r="L72" s="205"/>
      <c r="M72" s="552"/>
      <c r="N72" s="552"/>
      <c r="O72" s="287"/>
      <c r="P72" s="288"/>
      <c r="Q72" s="289"/>
      <c r="R72" s="289"/>
      <c r="S72" s="289"/>
      <c r="T72" s="289"/>
      <c r="U72" s="289"/>
      <c r="V72" s="289"/>
      <c r="W72" s="290"/>
    </row>
    <row r="73" spans="4:23">
      <c r="D73" s="202"/>
      <c r="E73" s="250"/>
      <c r="F73" s="250"/>
      <c r="G73" s="251"/>
      <c r="H73" s="252"/>
      <c r="I73" s="250"/>
      <c r="J73" s="668" t="str">
        <f t="shared" si="3"/>
        <v/>
      </c>
      <c r="K73" s="669" t="str">
        <f t="shared" si="4"/>
        <v/>
      </c>
      <c r="L73" s="205"/>
      <c r="M73" s="552"/>
      <c r="N73" s="552"/>
      <c r="O73" s="287"/>
      <c r="P73" s="288"/>
      <c r="Q73" s="289"/>
      <c r="R73" s="289"/>
      <c r="S73" s="289"/>
      <c r="T73" s="289"/>
      <c r="U73" s="289"/>
      <c r="V73" s="289"/>
      <c r="W73" s="290"/>
    </row>
    <row r="74" spans="4:23">
      <c r="N74"/>
      <c r="O74"/>
      <c r="P74"/>
      <c r="Q74"/>
      <c r="R74"/>
      <c r="S74"/>
      <c r="T74"/>
      <c r="U74"/>
      <c r="V74"/>
    </row>
  </sheetData>
  <sheetProtection selectLockedCells="1"/>
  <phoneticPr fontId="3" type="noConversion"/>
  <conditionalFormatting sqref="M36:M37 Q10:Q33 E31">
    <cfRule type="duplicateValues" dxfId="17" priority="9"/>
  </conditionalFormatting>
  <conditionalFormatting sqref="G34">
    <cfRule type="cellIs" dxfId="16" priority="3" operator="equal">
      <formula>"자본비용역전"</formula>
    </cfRule>
  </conditionalFormatting>
  <conditionalFormatting sqref="G37">
    <cfRule type="cellIs" dxfId="15" priority="2" operator="equal">
      <formula>"주식수변동"</formula>
    </cfRule>
  </conditionalFormatting>
  <conditionalFormatting sqref="G40">
    <cfRule type="cellIs" dxfId="14" priority="1" operator="equal">
      <formula>"자본잠식"</formula>
    </cfRule>
  </conditionalFormatting>
  <pageMargins left="0.7" right="0.7" top="0.75" bottom="0.75" header="0.3" footer="0.3"/>
  <pageSetup paperSize="9" orientation="portrait" r:id="rId1"/>
  <ignoredErrors>
    <ignoredError sqref="I2:I4 M6:S6" unlockedFormula="1"/>
    <ignoredError sqref="G43 J38" evalError="1"/>
    <ignoredError sqref="I5:I25 I28:I33 I35:I36 I38:I39" evalError="1" unlockedFormula="1"/>
  </ignoredError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C00000"/>
  </sheetPr>
  <dimension ref="A1:T65"/>
  <sheetViews>
    <sheetView showGridLines="0" zoomScale="85" zoomScaleNormal="85" workbookViewId="0">
      <pane ySplit="1" topLeftCell="A2" activePane="bottomLeft" state="frozen"/>
      <selection activeCell="D26" sqref="D26"/>
      <selection pane="bottomLeft" activeCell="F15" sqref="F15"/>
    </sheetView>
  </sheetViews>
  <sheetFormatPr defaultColWidth="9" defaultRowHeight="16.5"/>
  <cols>
    <col min="1" max="2" width="9" style="2" hidden="1" customWidth="1"/>
    <col min="3" max="3" width="7.875" style="2" bestFit="1" customWidth="1"/>
    <col min="4" max="4" width="31.125" style="2" customWidth="1"/>
    <col min="5" max="20" width="9.625" style="2" customWidth="1"/>
    <col min="21" max="16384" width="9" style="2"/>
  </cols>
  <sheetData>
    <row r="1" spans="1:20">
      <c r="A1" s="367">
        <f>ROW(C17)-ROW(C1)</f>
        <v>16</v>
      </c>
      <c r="B1" s="1"/>
      <c r="C1" s="1" t="s">
        <v>16760</v>
      </c>
      <c r="D1" s="1" t="s">
        <v>16761</v>
      </c>
      <c r="E1" s="1" t="s">
        <v>16799</v>
      </c>
      <c r="F1" s="1" t="s">
        <v>16801</v>
      </c>
      <c r="G1" s="1" t="s">
        <v>16805</v>
      </c>
      <c r="H1" s="1" t="s">
        <v>16806</v>
      </c>
      <c r="I1" s="1" t="s">
        <v>16807</v>
      </c>
      <c r="J1" s="1" t="s">
        <v>16808</v>
      </c>
      <c r="K1" s="1" t="s">
        <v>16809</v>
      </c>
      <c r="L1" s="1" t="s">
        <v>16810</v>
      </c>
      <c r="M1" s="1" t="s">
        <v>16811</v>
      </c>
      <c r="N1" s="1" t="s">
        <v>16812</v>
      </c>
      <c r="O1" s="1" t="s">
        <v>16813</v>
      </c>
    </row>
    <row r="2" spans="1:20">
      <c r="A2" s="1" t="s">
        <v>12</v>
      </c>
      <c r="B2" s="1" t="s">
        <v>16711</v>
      </c>
      <c r="C2" s="1" t="s">
        <v>16762</v>
      </c>
      <c r="D2" s="2" t="s">
        <v>16763</v>
      </c>
      <c r="F2" s="27">
        <f t="shared" ref="F2:F7" si="0">F22</f>
        <v>9.1170295060227655</v>
      </c>
      <c r="G2" s="27">
        <f t="shared" ref="G2:H2" si="1">G22</f>
        <v>3.0929504480190002</v>
      </c>
      <c r="H2" s="27">
        <f t="shared" si="1"/>
        <v>3.0915196418101378</v>
      </c>
      <c r="I2" s="27">
        <f>H2</f>
        <v>3.0915196418101378</v>
      </c>
      <c r="J2" s="27">
        <f>$J$22</f>
        <v>4.0962482212485298</v>
      </c>
      <c r="K2" s="27">
        <f t="shared" ref="K2:M2" si="2">$J$22</f>
        <v>4.0962482212485298</v>
      </c>
      <c r="L2" s="27">
        <f t="shared" si="2"/>
        <v>4.0962482212485298</v>
      </c>
      <c r="M2" s="27">
        <f t="shared" si="2"/>
        <v>4.0962482212485298</v>
      </c>
      <c r="N2" s="27">
        <f>$J$22</f>
        <v>4.0962482212485298</v>
      </c>
      <c r="O2" s="27">
        <f>$J$22</f>
        <v>4.0962482212485298</v>
      </c>
    </row>
    <row r="3" spans="1:20">
      <c r="A3" s="1" t="s">
        <v>12</v>
      </c>
      <c r="B3" s="1" t="s">
        <v>16729</v>
      </c>
      <c r="C3" s="1" t="s">
        <v>16764</v>
      </c>
      <c r="D3" s="2" t="s">
        <v>16765</v>
      </c>
      <c r="F3" s="27">
        <f t="shared" si="0"/>
        <v>4.2424242424242431</v>
      </c>
      <c r="G3" s="27">
        <f t="shared" ref="G3" si="3">G23</f>
        <v>10.99476439790576</v>
      </c>
      <c r="H3" s="27">
        <f>H23</f>
        <v>10.775862068965516</v>
      </c>
      <c r="I3" s="27">
        <f t="shared" ref="I3:I7" si="4">H3</f>
        <v>10.775862068965516</v>
      </c>
      <c r="J3" s="27">
        <f>$J$23</f>
        <v>9.7599232075220517</v>
      </c>
      <c r="K3" s="27">
        <f>$J$23</f>
        <v>9.7599232075220517</v>
      </c>
      <c r="L3" s="27">
        <f t="shared" ref="L3" si="5">$J$23</f>
        <v>9.7599232075220517</v>
      </c>
      <c r="M3" s="27">
        <f>$J$23</f>
        <v>9.7599232075220517</v>
      </c>
      <c r="N3" s="27">
        <f>$J$23</f>
        <v>9.7599232075220517</v>
      </c>
      <c r="O3" s="27">
        <f>$J$23</f>
        <v>9.7599232075220517</v>
      </c>
    </row>
    <row r="4" spans="1:20">
      <c r="A4" s="1" t="s">
        <v>12</v>
      </c>
      <c r="B4" s="1" t="s">
        <v>16735</v>
      </c>
      <c r="C4" s="1" t="s">
        <v>16766</v>
      </c>
      <c r="D4" s="2" t="s">
        <v>16767</v>
      </c>
      <c r="F4" s="27">
        <f t="shared" si="0"/>
        <v>1149.4545454545455</v>
      </c>
      <c r="G4" s="27">
        <f t="shared" ref="G4:H4" si="6">G24</f>
        <v>3320.4188481675396</v>
      </c>
      <c r="H4" s="27">
        <f t="shared" si="6"/>
        <v>971.98275862068965</v>
      </c>
      <c r="I4" s="27">
        <f t="shared" si="4"/>
        <v>971.98275862068965</v>
      </c>
      <c r="J4" s="27">
        <f>$J$24</f>
        <v>1784.3734196086154</v>
      </c>
      <c r="K4" s="27">
        <f t="shared" ref="K4:O4" si="7">$J$24</f>
        <v>1784.3734196086154</v>
      </c>
      <c r="L4" s="27">
        <f t="shared" si="7"/>
        <v>1784.3734196086154</v>
      </c>
      <c r="M4" s="27">
        <f t="shared" si="7"/>
        <v>1784.3734196086154</v>
      </c>
      <c r="N4" s="27">
        <f t="shared" si="7"/>
        <v>1784.3734196086154</v>
      </c>
      <c r="O4" s="27">
        <f t="shared" si="7"/>
        <v>1784.3734196086154</v>
      </c>
    </row>
    <row r="5" spans="1:20">
      <c r="A5" s="1" t="s">
        <v>12</v>
      </c>
      <c r="B5" s="1" t="s">
        <v>16768</v>
      </c>
      <c r="C5" s="1" t="s">
        <v>16769</v>
      </c>
      <c r="D5" s="2" t="s">
        <v>16770</v>
      </c>
      <c r="F5" s="27">
        <f t="shared" si="0"/>
        <v>32.307692307692307</v>
      </c>
      <c r="G5" s="27">
        <f t="shared" ref="G5:H5" si="8">G25</f>
        <v>5.2427184466019421</v>
      </c>
      <c r="H5" s="27">
        <f t="shared" si="8"/>
        <v>0.94398993077407178</v>
      </c>
      <c r="I5" s="27">
        <f t="shared" si="4"/>
        <v>0.94398993077407178</v>
      </c>
      <c r="J5" s="27">
        <f>$J$25</f>
        <v>7.6041831655364005</v>
      </c>
      <c r="K5" s="27">
        <f t="shared" ref="K5:O5" si="9">$J$25</f>
        <v>7.6041831655364005</v>
      </c>
      <c r="L5" s="27">
        <f t="shared" si="9"/>
        <v>7.6041831655364005</v>
      </c>
      <c r="M5" s="27">
        <f t="shared" si="9"/>
        <v>7.6041831655364005</v>
      </c>
      <c r="N5" s="27">
        <f t="shared" si="9"/>
        <v>7.6041831655364005</v>
      </c>
      <c r="O5" s="27">
        <f t="shared" si="9"/>
        <v>7.6041831655364005</v>
      </c>
    </row>
    <row r="6" spans="1:20">
      <c r="A6" s="1" t="s">
        <v>12</v>
      </c>
      <c r="B6" s="1" t="s">
        <v>16711</v>
      </c>
      <c r="C6" s="1" t="s">
        <v>16771</v>
      </c>
      <c r="D6" s="2" t="s">
        <v>16772</v>
      </c>
      <c r="F6" s="27">
        <f t="shared" si="0"/>
        <v>100</v>
      </c>
      <c r="G6" s="27">
        <f t="shared" ref="G6:H6" si="10">G26</f>
        <v>85.18518518518519</v>
      </c>
      <c r="H6" s="27">
        <f t="shared" si="10"/>
        <v>100</v>
      </c>
      <c r="I6" s="27">
        <f t="shared" si="4"/>
        <v>100</v>
      </c>
      <c r="J6" s="27">
        <f>$J$26</f>
        <v>95.061728395061735</v>
      </c>
      <c r="K6" s="27">
        <f t="shared" ref="K6:O6" si="11">$J$26</f>
        <v>95.061728395061735</v>
      </c>
      <c r="L6" s="27">
        <f t="shared" si="11"/>
        <v>95.061728395061735</v>
      </c>
      <c r="M6" s="27">
        <f t="shared" si="11"/>
        <v>95.061728395061735</v>
      </c>
      <c r="N6" s="27">
        <f t="shared" si="11"/>
        <v>95.061728395061735</v>
      </c>
      <c r="O6" s="27">
        <f t="shared" si="11"/>
        <v>95.061728395061735</v>
      </c>
    </row>
    <row r="7" spans="1:20">
      <c r="A7" s="1" t="s">
        <v>12</v>
      </c>
      <c r="B7" s="1" t="s">
        <v>16773</v>
      </c>
      <c r="C7" s="1" t="s">
        <v>16774</v>
      </c>
      <c r="D7" s="2" t="s">
        <v>16775</v>
      </c>
      <c r="F7" s="27">
        <f t="shared" si="0"/>
        <v>2242.8571428571427</v>
      </c>
      <c r="G7" s="27">
        <f t="shared" ref="G7:H7" si="12">G27</f>
        <v>4077.7777777777778</v>
      </c>
      <c r="H7" s="27">
        <f t="shared" si="12"/>
        <v>12646.666666666666</v>
      </c>
      <c r="I7" s="27">
        <f t="shared" si="4"/>
        <v>12646.666666666666</v>
      </c>
      <c r="J7" s="27">
        <f>$J$27</f>
        <v>8056.4021164021169</v>
      </c>
      <c r="K7" s="27">
        <f t="shared" ref="K7:O7" si="13">$J$27</f>
        <v>8056.4021164021169</v>
      </c>
      <c r="L7" s="27">
        <f t="shared" si="13"/>
        <v>8056.4021164021169</v>
      </c>
      <c r="M7" s="27">
        <f t="shared" si="13"/>
        <v>8056.4021164021169</v>
      </c>
      <c r="N7" s="27">
        <f t="shared" si="13"/>
        <v>8056.4021164021169</v>
      </c>
      <c r="O7" s="27">
        <f t="shared" si="13"/>
        <v>8056.4021164021169</v>
      </c>
    </row>
    <row r="8" spans="1:20">
      <c r="A8" s="1" t="s">
        <v>4</v>
      </c>
      <c r="B8" s="1" t="s">
        <v>16695</v>
      </c>
      <c r="C8" s="1" t="s">
        <v>16776</v>
      </c>
      <c r="D8" s="9" t="s">
        <v>16777</v>
      </c>
      <c r="E8" s="29"/>
      <c r="F8" s="29">
        <v>825</v>
      </c>
      <c r="G8" s="29">
        <v>573</v>
      </c>
      <c r="H8" s="29">
        <v>1160</v>
      </c>
      <c r="I8" s="54">
        <v>1160</v>
      </c>
      <c r="J8" s="30">
        <f>INT(MIN(I12*J2/100, I10))</f>
        <v>1993</v>
      </c>
      <c r="K8" s="30">
        <f t="shared" ref="K8:O8" si="14">INT(MIN(J12*K2/100, J10))</f>
        <v>3450</v>
      </c>
      <c r="L8" s="30">
        <f t="shared" si="14"/>
        <v>5971</v>
      </c>
      <c r="M8" s="30">
        <f t="shared" si="14"/>
        <v>10336</v>
      </c>
      <c r="N8" s="30">
        <f t="shared" si="14"/>
        <v>17890</v>
      </c>
      <c r="O8" s="30">
        <f t="shared" si="14"/>
        <v>30967</v>
      </c>
    </row>
    <row r="9" spans="1:20">
      <c r="A9" s="1" t="s">
        <v>4</v>
      </c>
      <c r="B9" s="1" t="s">
        <v>2</v>
      </c>
      <c r="C9" s="1" t="s">
        <v>16778</v>
      </c>
      <c r="D9" s="9" t="s">
        <v>16779</v>
      </c>
      <c r="E9" s="29">
        <v>26</v>
      </c>
      <c r="F9" s="29">
        <v>35</v>
      </c>
      <c r="G9" s="29">
        <v>63</v>
      </c>
      <c r="H9" s="29">
        <v>125</v>
      </c>
      <c r="I9" s="54">
        <v>125</v>
      </c>
      <c r="J9" s="30">
        <f>INT(J8*J3/100)</f>
        <v>194</v>
      </c>
      <c r="K9" s="30">
        <f t="shared" ref="K9:N9" si="15">INT(K8*K3/100)</f>
        <v>336</v>
      </c>
      <c r="L9" s="30">
        <f t="shared" si="15"/>
        <v>582</v>
      </c>
      <c r="M9" s="30">
        <f t="shared" si="15"/>
        <v>1008</v>
      </c>
      <c r="N9" s="30">
        <f t="shared" si="15"/>
        <v>1746</v>
      </c>
      <c r="O9" s="30">
        <f t="shared" ref="O9" si="16">INT(O8*O3/100)</f>
        <v>3022</v>
      </c>
      <c r="Q9" s="316"/>
      <c r="R9" s="317" t="str">
        <f>LEFT(F1,4)&amp;"년"</f>
        <v>2021년</v>
      </c>
      <c r="S9" s="317" t="str">
        <f>LEFT(G1,4)&amp;"년"</f>
        <v>2022년</v>
      </c>
      <c r="T9" s="318" t="str">
        <f>LEFT(H1,4)&amp;"년"</f>
        <v>2023년</v>
      </c>
    </row>
    <row r="10" spans="1:20">
      <c r="A10" s="1" t="s">
        <v>4</v>
      </c>
      <c r="B10" s="1" t="s">
        <v>16780</v>
      </c>
      <c r="C10" s="1" t="s">
        <v>16781</v>
      </c>
      <c r="D10" s="8" t="s">
        <v>16782</v>
      </c>
      <c r="E10" s="49">
        <v>2839</v>
      </c>
      <c r="F10" s="49">
        <v>11497</v>
      </c>
      <c r="G10" s="49">
        <v>29950</v>
      </c>
      <c r="H10" s="49">
        <v>40065</v>
      </c>
      <c r="I10" s="30">
        <f>INT(H10-(1-J4/100)*(I8-H8))</f>
        <v>40065</v>
      </c>
      <c r="J10" s="30">
        <f>INT(I10-(1-J4/100)*J8)</f>
        <v>73634</v>
      </c>
      <c r="K10" s="30">
        <f t="shared" ref="K10:O10" si="17">INT(J10-(1-K4/100)*K8)</f>
        <v>131744</v>
      </c>
      <c r="L10" s="30">
        <f t="shared" si="17"/>
        <v>232317</v>
      </c>
      <c r="M10" s="30">
        <f t="shared" si="17"/>
        <v>406413</v>
      </c>
      <c r="N10" s="30">
        <f t="shared" si="17"/>
        <v>707747</v>
      </c>
      <c r="O10" s="30">
        <f t="shared" si="17"/>
        <v>1229346</v>
      </c>
      <c r="Q10" s="319" t="s">
        <v>185</v>
      </c>
      <c r="R10" s="320"/>
      <c r="S10" s="320"/>
      <c r="T10" s="321"/>
    </row>
    <row r="11" spans="1:20">
      <c r="A11" s="1" t="s">
        <v>12</v>
      </c>
      <c r="B11" s="1" t="s">
        <v>16701</v>
      </c>
      <c r="C11" s="1" t="s">
        <v>16783</v>
      </c>
      <c r="D11" s="2" t="s">
        <v>16784</v>
      </c>
      <c r="E11" s="31">
        <v>6210</v>
      </c>
      <c r="F11" s="31">
        <v>7029</v>
      </c>
      <c r="G11" s="31">
        <v>7572</v>
      </c>
      <c r="H11" s="31">
        <v>8599</v>
      </c>
      <c r="I11" s="64">
        <f>H11+(I8-H8)</f>
        <v>8599</v>
      </c>
      <c r="J11" s="32">
        <f>INT(I11+J8)</f>
        <v>10592</v>
      </c>
      <c r="K11" s="32">
        <f t="shared" ref="K11:O11" si="18">INT(J11+K8)</f>
        <v>14042</v>
      </c>
      <c r="L11" s="32">
        <f t="shared" si="18"/>
        <v>20013</v>
      </c>
      <c r="M11" s="32">
        <f t="shared" si="18"/>
        <v>30349</v>
      </c>
      <c r="N11" s="32">
        <f t="shared" si="18"/>
        <v>48239</v>
      </c>
      <c r="O11" s="32">
        <f t="shared" si="18"/>
        <v>79206</v>
      </c>
      <c r="Q11" s="319" t="s">
        <v>181</v>
      </c>
      <c r="R11" s="320"/>
      <c r="S11" s="320"/>
      <c r="T11" s="321"/>
    </row>
    <row r="12" spans="1:20">
      <c r="A12" s="1" t="s">
        <v>12</v>
      </c>
      <c r="B12" s="1" t="s">
        <v>16695</v>
      </c>
      <c r="C12" s="1" t="s">
        <v>16785</v>
      </c>
      <c r="D12" s="2" t="s">
        <v>16786</v>
      </c>
      <c r="E12" s="32">
        <f>E10+E11</f>
        <v>9049</v>
      </c>
      <c r="F12" s="32">
        <f t="shared" ref="F12:H12" si="19">F10+F11</f>
        <v>18526</v>
      </c>
      <c r="G12" s="32">
        <f t="shared" si="19"/>
        <v>37522</v>
      </c>
      <c r="H12" s="32">
        <f t="shared" si="19"/>
        <v>48664</v>
      </c>
      <c r="I12" s="32">
        <f>I10+I11</f>
        <v>48664</v>
      </c>
      <c r="J12" s="32">
        <f>INT(J10+J11)</f>
        <v>84226</v>
      </c>
      <c r="K12" s="32">
        <f t="shared" ref="K12:N12" si="20">INT(K10+K11)</f>
        <v>145786</v>
      </c>
      <c r="L12" s="32">
        <f t="shared" si="20"/>
        <v>252330</v>
      </c>
      <c r="M12" s="32">
        <f t="shared" si="20"/>
        <v>436762</v>
      </c>
      <c r="N12" s="32">
        <f t="shared" si="20"/>
        <v>755986</v>
      </c>
      <c r="O12" s="32">
        <f t="shared" ref="O12" si="21">INT(O10+O11)</f>
        <v>1308552</v>
      </c>
      <c r="Q12" s="322" t="s">
        <v>182</v>
      </c>
      <c r="R12" s="323"/>
      <c r="S12" s="323"/>
      <c r="T12" s="324"/>
    </row>
    <row r="13" spans="1:20">
      <c r="A13" s="1" t="s">
        <v>12</v>
      </c>
      <c r="B13" s="1" t="s">
        <v>16695</v>
      </c>
      <c r="C13" s="1" t="s">
        <v>16787</v>
      </c>
      <c r="D13" s="2" t="s">
        <v>16788</v>
      </c>
      <c r="E13" s="31"/>
      <c r="F13" s="32">
        <f>F10-E10+F8</f>
        <v>9483</v>
      </c>
      <c r="G13" s="32">
        <f t="shared" ref="G13:H13" si="22">G10-F10+G8</f>
        <v>19026</v>
      </c>
      <c r="H13" s="32">
        <f t="shared" si="22"/>
        <v>11275</v>
      </c>
      <c r="I13" s="32">
        <f>I10-G10+I8</f>
        <v>11275</v>
      </c>
      <c r="J13" s="32">
        <f>INT(J10-I10+J8)</f>
        <v>35562</v>
      </c>
      <c r="K13" s="32">
        <f t="shared" ref="K13:O13" si="23">INT(K10-J10+K8)</f>
        <v>61560</v>
      </c>
      <c r="L13" s="32">
        <f t="shared" si="23"/>
        <v>106544</v>
      </c>
      <c r="M13" s="32">
        <f t="shared" si="23"/>
        <v>184432</v>
      </c>
      <c r="N13" s="32">
        <f t="shared" si="23"/>
        <v>319224</v>
      </c>
      <c r="O13" s="32">
        <f t="shared" si="23"/>
        <v>552566</v>
      </c>
    </row>
    <row r="14" spans="1:20">
      <c r="A14" s="1" t="s">
        <v>4</v>
      </c>
      <c r="B14" s="1" t="s">
        <v>16780</v>
      </c>
      <c r="C14" s="1" t="s">
        <v>16789</v>
      </c>
      <c r="D14" s="8" t="s">
        <v>16790</v>
      </c>
      <c r="E14" s="29"/>
      <c r="F14" s="29">
        <v>21</v>
      </c>
      <c r="G14" s="29">
        <v>27</v>
      </c>
      <c r="H14" s="29">
        <v>15</v>
      </c>
      <c r="I14" s="54">
        <v>15</v>
      </c>
      <c r="J14" s="30">
        <f>INT(MIN(I16*J5/100,I16))</f>
        <v>263</v>
      </c>
      <c r="K14" s="30">
        <f t="shared" ref="K14:O14" si="24">INT(MIN(J16*K5/100,J16))</f>
        <v>1855</v>
      </c>
      <c r="L14" s="30">
        <f t="shared" si="24"/>
        <v>13078</v>
      </c>
      <c r="M14" s="30">
        <f t="shared" si="24"/>
        <v>92202</v>
      </c>
      <c r="N14" s="30">
        <f t="shared" si="24"/>
        <v>650042</v>
      </c>
      <c r="O14" s="30">
        <f t="shared" si="24"/>
        <v>4582922</v>
      </c>
    </row>
    <row r="15" spans="1:20">
      <c r="A15" s="1" t="s">
        <v>4</v>
      </c>
      <c r="B15" s="1" t="s">
        <v>16701</v>
      </c>
      <c r="C15" s="1" t="s">
        <v>16791</v>
      </c>
      <c r="D15" s="8" t="s">
        <v>16792</v>
      </c>
      <c r="E15" s="29"/>
      <c r="F15" s="29">
        <v>21</v>
      </c>
      <c r="G15" s="29">
        <v>23</v>
      </c>
      <c r="H15" s="29">
        <v>15</v>
      </c>
      <c r="I15" s="54">
        <v>15</v>
      </c>
      <c r="J15" s="30">
        <f>INT(J14*J6/100)</f>
        <v>250</v>
      </c>
      <c r="K15" s="30">
        <f t="shared" ref="K15:N15" si="25">INT(K14*K6/100)</f>
        <v>1763</v>
      </c>
      <c r="L15" s="30">
        <f t="shared" si="25"/>
        <v>12432</v>
      </c>
      <c r="M15" s="30">
        <f t="shared" si="25"/>
        <v>87648</v>
      </c>
      <c r="N15" s="30">
        <f t="shared" si="25"/>
        <v>617941</v>
      </c>
      <c r="O15" s="30">
        <f t="shared" ref="O15" si="26">INT(O14*O6/100)</f>
        <v>4356604</v>
      </c>
    </row>
    <row r="16" spans="1:20">
      <c r="A16" s="1" t="s">
        <v>16723</v>
      </c>
      <c r="B16" s="1" t="s">
        <v>16793</v>
      </c>
      <c r="C16" s="1" t="s">
        <v>16794</v>
      </c>
      <c r="D16" s="8" t="s">
        <v>16795</v>
      </c>
      <c r="E16" s="29">
        <v>65</v>
      </c>
      <c r="F16" s="29">
        <v>515</v>
      </c>
      <c r="G16" s="29">
        <v>1589</v>
      </c>
      <c r="H16" s="29">
        <v>3471</v>
      </c>
      <c r="I16" s="30">
        <f>INT(H16-(1-J7/100)*(I14-H14))</f>
        <v>3471</v>
      </c>
      <c r="J16" s="30">
        <f>INT(I16-J14*(1-J7/100))</f>
        <v>24396</v>
      </c>
      <c r="K16" s="30">
        <f t="shared" ref="K16:O16" si="27">INT(J16-K14*(1-K7/100))</f>
        <v>171987</v>
      </c>
      <c r="L16" s="30">
        <f t="shared" si="27"/>
        <v>1212525</v>
      </c>
      <c r="M16" s="30">
        <f t="shared" si="27"/>
        <v>8548486</v>
      </c>
      <c r="N16" s="30">
        <f t="shared" si="27"/>
        <v>60268441</v>
      </c>
      <c r="O16" s="30">
        <f t="shared" si="27"/>
        <v>424904144</v>
      </c>
    </row>
    <row r="17" spans="1:18">
      <c r="A17" s="1" t="s">
        <v>12</v>
      </c>
      <c r="B17" s="1" t="s">
        <v>16796</v>
      </c>
      <c r="C17" s="1" t="s">
        <v>16797</v>
      </c>
      <c r="D17" s="2" t="s">
        <v>16798</v>
      </c>
      <c r="E17" s="31"/>
      <c r="F17" s="32">
        <f>F16-E16+F14</f>
        <v>471</v>
      </c>
      <c r="G17" s="32">
        <f t="shared" ref="G17:H17" si="28">G16-F16+G14</f>
        <v>1101</v>
      </c>
      <c r="H17" s="32">
        <f t="shared" si="28"/>
        <v>1897</v>
      </c>
      <c r="I17" s="32">
        <f>I16-G16+I14</f>
        <v>1897</v>
      </c>
      <c r="J17" s="32">
        <f>J16-I16+J14</f>
        <v>21188</v>
      </c>
      <c r="K17" s="32">
        <f t="shared" ref="K17:O17" si="29">K16-J16+K14</f>
        <v>149446</v>
      </c>
      <c r="L17" s="32">
        <f t="shared" si="29"/>
        <v>1053616</v>
      </c>
      <c r="M17" s="32">
        <f t="shared" si="29"/>
        <v>7428163</v>
      </c>
      <c r="N17" s="32">
        <f t="shared" si="29"/>
        <v>52369997</v>
      </c>
      <c r="O17" s="32">
        <f t="shared" si="29"/>
        <v>369218625</v>
      </c>
    </row>
    <row r="18" spans="1:18">
      <c r="I18" s="253" t="s">
        <v>87</v>
      </c>
      <c r="J18" s="95">
        <f>100+RATE!F9</f>
        <v>101.66</v>
      </c>
      <c r="K18" s="14"/>
      <c r="L18" s="14"/>
      <c r="M18" s="14"/>
      <c r="N18" s="14"/>
    </row>
    <row r="19" spans="1:18">
      <c r="F19" s="31"/>
      <c r="I19" s="127" t="s">
        <v>88</v>
      </c>
      <c r="J19" s="95">
        <f ca="1">100+성장률추정!L8</f>
        <v>102.2056</v>
      </c>
      <c r="L19" s="56" t="s">
        <v>0</v>
      </c>
    </row>
    <row r="20" spans="1:18">
      <c r="I20" s="127" t="s">
        <v>89</v>
      </c>
      <c r="J20" s="95">
        <f ca="1">100+성장률추정!L9</f>
        <v>102.2056</v>
      </c>
      <c r="L20" s="57">
        <f ca="1">+민감도!B7</f>
        <v>-13305399948.490595</v>
      </c>
    </row>
    <row r="21" spans="1:18" ht="17.25" thickBot="1">
      <c r="A21" s="367">
        <f>ROW(C27)-ROW(C21)</f>
        <v>6</v>
      </c>
      <c r="B21" s="1"/>
      <c r="C21" s="1" t="s">
        <v>16814</v>
      </c>
      <c r="D21" s="1" t="s">
        <v>16815</v>
      </c>
      <c r="E21" s="1" t="s">
        <v>16476</v>
      </c>
      <c r="F21" s="1" t="s">
        <v>16478</v>
      </c>
      <c r="G21" s="1" t="s">
        <v>16480</v>
      </c>
      <c r="H21" s="1" t="s">
        <v>16483</v>
      </c>
      <c r="I21" s="1" t="s">
        <v>16829</v>
      </c>
      <c r="J21" s="355" t="s">
        <v>204</v>
      </c>
      <c r="L21" s="116" t="s">
        <v>23</v>
      </c>
      <c r="M21" s="14"/>
      <c r="N21" s="126" t="s">
        <v>24</v>
      </c>
      <c r="O21" s="126" t="s">
        <v>25</v>
      </c>
      <c r="P21" s="126" t="s">
        <v>203</v>
      </c>
      <c r="Q21" s="126" t="s">
        <v>26</v>
      </c>
      <c r="R21" s="354" t="s">
        <v>205</v>
      </c>
    </row>
    <row r="22" spans="1:18">
      <c r="A22" s="1" t="s">
        <v>12</v>
      </c>
      <c r="B22" s="1" t="s">
        <v>16729</v>
      </c>
      <c r="C22" s="1" t="s">
        <v>16816</v>
      </c>
      <c r="D22" s="2" t="s">
        <v>16817</v>
      </c>
      <c r="F22" s="28">
        <f>IF(E12=0,0,F8/E12*100)</f>
        <v>9.1170295060227655</v>
      </c>
      <c r="G22" s="28">
        <f t="shared" ref="G22" si="30">IF(F12=0,0,G8/F12*100)</f>
        <v>3.0929504480190002</v>
      </c>
      <c r="H22" s="28">
        <f>IF(G12=0,0,I8/G12*100)</f>
        <v>3.0915196418101378</v>
      </c>
      <c r="I22" s="28">
        <f>(F22+G22*2+H22*3)/6</f>
        <v>4.0962482212485298</v>
      </c>
      <c r="J22" s="356">
        <f>HLOOKUP($J$21,$N$21:$R$27,$M22,0)</f>
        <v>4.0962482212485298</v>
      </c>
      <c r="L22" s="159"/>
      <c r="M22" s="359">
        <v>2</v>
      </c>
      <c r="N22" s="117">
        <f>AVERAGE(F22:H22)</f>
        <v>5.1004998652839673</v>
      </c>
      <c r="O22" s="117">
        <f>AVERAGE(G22:H22)</f>
        <v>3.092235044914569</v>
      </c>
      <c r="P22" s="117">
        <f>AVERAGE(F22:G22)</f>
        <v>6.1049899770208826</v>
      </c>
      <c r="Q22" s="117">
        <f>(2*H22+G22)/3</f>
        <v>3.091996577213092</v>
      </c>
      <c r="R22" s="353">
        <f>(F22+G22*2+H22*3)/6</f>
        <v>4.0962482212485298</v>
      </c>
    </row>
    <row r="23" spans="1:18">
      <c r="A23" s="1" t="s">
        <v>12</v>
      </c>
      <c r="B23" s="1" t="s">
        <v>3</v>
      </c>
      <c r="C23" s="1" t="s">
        <v>16818</v>
      </c>
      <c r="D23" s="2" t="s">
        <v>16819</v>
      </c>
      <c r="F23" s="28">
        <f>IF(F8=0,0,F9/F8*100)</f>
        <v>4.2424242424242431</v>
      </c>
      <c r="G23" s="28">
        <f>IF(G8=0,0,G9/G8*100)</f>
        <v>10.99476439790576</v>
      </c>
      <c r="H23" s="28">
        <f>IF(H8=0,0,H9/H8*100)</f>
        <v>10.775862068965516</v>
      </c>
      <c r="I23" s="28">
        <f t="shared" ref="I23:I27" si="31">(F23+G23*2+H23*3)/6</f>
        <v>9.7599232075220517</v>
      </c>
      <c r="J23" s="357">
        <f t="shared" ref="J23:J27" si="32">HLOOKUP($J$21,$N$21:$R$27,$M23,0)</f>
        <v>9.7599232075220517</v>
      </c>
      <c r="L23" s="159"/>
      <c r="M23" s="359">
        <v>3</v>
      </c>
      <c r="N23" s="117">
        <f t="shared" ref="N23:N27" si="33">AVERAGE(F23:H23)</f>
        <v>8.671016903098506</v>
      </c>
      <c r="O23" s="117">
        <f t="shared" ref="O23:O27" si="34">AVERAGE(G23:H23)</f>
        <v>10.885313233435639</v>
      </c>
      <c r="P23" s="117">
        <f t="shared" ref="P23:P27" si="35">AVERAGE(F23:G23)</f>
        <v>7.6185943201650019</v>
      </c>
      <c r="Q23" s="117">
        <f t="shared" ref="Q23:Q27" si="36">(2*H23+G23)/3</f>
        <v>10.848829511945597</v>
      </c>
      <c r="R23" s="353">
        <f t="shared" ref="R23:R27" si="37">(F23+G23*2+H23*3)/6</f>
        <v>9.7599232075220517</v>
      </c>
    </row>
    <row r="24" spans="1:18">
      <c r="A24" s="1" t="s">
        <v>4</v>
      </c>
      <c r="B24" s="1" t="s">
        <v>3</v>
      </c>
      <c r="C24" s="1" t="s">
        <v>16820</v>
      </c>
      <c r="D24" s="8" t="s">
        <v>16821</v>
      </c>
      <c r="F24" s="28">
        <f>IF(F8=0,0,F13/F8*100)</f>
        <v>1149.4545454545455</v>
      </c>
      <c r="G24" s="28">
        <f t="shared" ref="G24:H24" si="38">IF(G8=0,0,G13/G8*100)</f>
        <v>3320.4188481675396</v>
      </c>
      <c r="H24" s="28">
        <f t="shared" si="38"/>
        <v>971.98275862068965</v>
      </c>
      <c r="I24" s="28">
        <f t="shared" si="31"/>
        <v>1784.3734196086154</v>
      </c>
      <c r="J24" s="357">
        <f t="shared" si="32"/>
        <v>1784.3734196086154</v>
      </c>
      <c r="K24" s="85">
        <f>IF(E10=0,0,(H10/E10)^(1/3)*100)</f>
        <v>241.65729961812116</v>
      </c>
      <c r="L24" s="159"/>
      <c r="M24" s="359">
        <v>4</v>
      </c>
      <c r="N24" s="117">
        <f t="shared" si="33"/>
        <v>1813.9520507475916</v>
      </c>
      <c r="O24" s="117">
        <f t="shared" si="34"/>
        <v>2146.2008033941147</v>
      </c>
      <c r="P24" s="117">
        <f t="shared" si="35"/>
        <v>2234.9366968110426</v>
      </c>
      <c r="Q24" s="117">
        <f t="shared" si="36"/>
        <v>1754.7947884696396</v>
      </c>
      <c r="R24" s="353">
        <f t="shared" si="37"/>
        <v>1784.3734196086154</v>
      </c>
    </row>
    <row r="25" spans="1:18">
      <c r="A25" s="1" t="s">
        <v>12</v>
      </c>
      <c r="B25" s="1" t="s">
        <v>3</v>
      </c>
      <c r="C25" s="1" t="s">
        <v>16822</v>
      </c>
      <c r="D25" s="2" t="s">
        <v>16823</v>
      </c>
      <c r="F25" s="28">
        <f>IF(E16=0,0,F14/E16*100)</f>
        <v>32.307692307692307</v>
      </c>
      <c r="G25" s="28">
        <f t="shared" ref="G25" si="39">IF(F16=0,0,G14/F16*100)</f>
        <v>5.2427184466019421</v>
      </c>
      <c r="H25" s="28">
        <f>IF(G16=0,0,I14/G16*100)</f>
        <v>0.94398993077407178</v>
      </c>
      <c r="I25" s="28">
        <f t="shared" si="31"/>
        <v>7.6041831655364005</v>
      </c>
      <c r="J25" s="357">
        <f t="shared" si="32"/>
        <v>7.6041831655364005</v>
      </c>
      <c r="K25" s="85"/>
      <c r="L25" s="159"/>
      <c r="M25" s="359">
        <v>5</v>
      </c>
      <c r="N25" s="117">
        <f t="shared" si="33"/>
        <v>12.831466895022773</v>
      </c>
      <c r="O25" s="117">
        <f t="shared" si="34"/>
        <v>3.0933541886880072</v>
      </c>
      <c r="P25" s="117">
        <f t="shared" si="35"/>
        <v>18.775205377147124</v>
      </c>
      <c r="Q25" s="117">
        <f t="shared" si="36"/>
        <v>2.3768994360500284</v>
      </c>
      <c r="R25" s="353">
        <f t="shared" si="37"/>
        <v>7.6041831655364005</v>
      </c>
    </row>
    <row r="26" spans="1:18">
      <c r="A26" s="1" t="s">
        <v>12</v>
      </c>
      <c r="B26" s="1" t="s">
        <v>3</v>
      </c>
      <c r="C26" s="1" t="s">
        <v>16824</v>
      </c>
      <c r="D26" s="2" t="s">
        <v>16825</v>
      </c>
      <c r="F26" s="28">
        <f>IF(F14=0,0,F15/F14*100)</f>
        <v>100</v>
      </c>
      <c r="G26" s="28">
        <f t="shared" ref="G26:H26" si="40">IF(G14=0,0,G15/G14*100)</f>
        <v>85.18518518518519</v>
      </c>
      <c r="H26" s="28">
        <f t="shared" si="40"/>
        <v>100</v>
      </c>
      <c r="I26" s="28">
        <f>(F26+G26*2+H26*3)/6</f>
        <v>95.061728395061735</v>
      </c>
      <c r="J26" s="357">
        <f t="shared" si="32"/>
        <v>95.061728395061735</v>
      </c>
      <c r="K26" s="85"/>
      <c r="L26" s="159"/>
      <c r="M26" s="359">
        <v>6</v>
      </c>
      <c r="N26" s="117">
        <f t="shared" si="33"/>
        <v>95.061728395061735</v>
      </c>
      <c r="O26" s="117">
        <f t="shared" si="34"/>
        <v>92.592592592592595</v>
      </c>
      <c r="P26" s="117">
        <f t="shared" si="35"/>
        <v>92.592592592592595</v>
      </c>
      <c r="Q26" s="117">
        <f t="shared" si="36"/>
        <v>95.061728395061735</v>
      </c>
      <c r="R26" s="353">
        <f t="shared" si="37"/>
        <v>95.061728395061735</v>
      </c>
    </row>
    <row r="27" spans="1:18" ht="17.25" thickBot="1">
      <c r="A27" s="1" t="s">
        <v>16826</v>
      </c>
      <c r="B27" s="1" t="s">
        <v>16729</v>
      </c>
      <c r="C27" s="1" t="s">
        <v>16827</v>
      </c>
      <c r="D27" s="8" t="s">
        <v>16828</v>
      </c>
      <c r="F27" s="28">
        <f>IF(F14=0,0,F17/F14*100)</f>
        <v>2242.8571428571427</v>
      </c>
      <c r="G27" s="28">
        <f t="shared" ref="G27:H27" si="41">IF(G14=0,0,G17/G14*100)</f>
        <v>4077.7777777777778</v>
      </c>
      <c r="H27" s="28">
        <f t="shared" si="41"/>
        <v>12646.666666666666</v>
      </c>
      <c r="I27" s="28">
        <f t="shared" si="31"/>
        <v>8056.4021164021169</v>
      </c>
      <c r="J27" s="358">
        <f t="shared" si="32"/>
        <v>8056.4021164021169</v>
      </c>
      <c r="K27" s="85">
        <f>IF(E16=0,0,(H16/E16)^(1/3)*100)</f>
        <v>376.57118558617799</v>
      </c>
      <c r="L27" s="159"/>
      <c r="M27" s="359">
        <v>7</v>
      </c>
      <c r="N27" s="117">
        <f t="shared" si="33"/>
        <v>6322.4338624338625</v>
      </c>
      <c r="O27" s="117">
        <f t="shared" si="34"/>
        <v>8362.2222222222226</v>
      </c>
      <c r="P27" s="117">
        <f t="shared" si="35"/>
        <v>3160.3174603174602</v>
      </c>
      <c r="Q27" s="117">
        <f t="shared" si="36"/>
        <v>9790.3703703703704</v>
      </c>
      <c r="R27" s="353">
        <f t="shared" si="37"/>
        <v>8056.4021164021169</v>
      </c>
    </row>
    <row r="28" spans="1:18">
      <c r="F28" s="227">
        <f>F8/IS추정!F14</f>
        <v>4.5424512718863559E-2</v>
      </c>
      <c r="G28" s="227">
        <f>G8/IS추정!G14</f>
        <v>4.6990323109726097E-2</v>
      </c>
      <c r="H28" s="227">
        <f>H8/IS추정!H14</f>
        <v>0.2313060817547358</v>
      </c>
      <c r="I28" s="227">
        <f>I8/IS추정!I14</f>
        <v>0.2313060817547358</v>
      </c>
      <c r="J28" s="227">
        <f>J8/IS추정!J14</f>
        <v>0.38781864175909708</v>
      </c>
      <c r="K28" s="227">
        <f>K8/IS추정!K14</f>
        <v>0.65714285714285714</v>
      </c>
      <c r="L28" s="227">
        <f>L8/IS추정!L14</f>
        <v>1.1133693828081297</v>
      </c>
      <c r="M28" s="227">
        <f>M8/IS추정!M14</f>
        <v>1.8875091307523739</v>
      </c>
      <c r="N28" s="227">
        <f>N8/IS추정!N14</f>
        <v>3.2003577817531306</v>
      </c>
      <c r="O28" s="227">
        <f>O8/IS추정!O14</f>
        <v>5.429949149570402</v>
      </c>
    </row>
    <row r="29" spans="1:18" s="205" customFormat="1">
      <c r="F29" s="227"/>
      <c r="G29" s="227"/>
      <c r="H29" s="227"/>
      <c r="I29" s="227"/>
      <c r="J29" s="227"/>
      <c r="K29" s="227"/>
      <c r="L29" s="227"/>
      <c r="M29" s="227"/>
      <c r="N29" s="227"/>
      <c r="O29" s="227"/>
    </row>
    <row r="30" spans="1:18" s="205" customFormat="1">
      <c r="F30" s="227"/>
      <c r="G30" s="227"/>
      <c r="H30" s="227"/>
      <c r="I30" s="227"/>
      <c r="J30" s="227"/>
      <c r="K30" s="227"/>
      <c r="L30" s="227"/>
      <c r="M30" s="227"/>
      <c r="N30" s="227"/>
      <c r="O30" s="227"/>
    </row>
    <row r="31" spans="1:18" s="205" customFormat="1">
      <c r="A31" s="564">
        <f>ROW(C35)-ROW(C31)</f>
        <v>4</v>
      </c>
      <c r="B31" s="120"/>
      <c r="C31" s="1" t="s">
        <v>16830</v>
      </c>
      <c r="D31" s="1" t="s">
        <v>16831</v>
      </c>
      <c r="E31" s="1"/>
      <c r="F31" s="367"/>
      <c r="G31" s="367"/>
      <c r="H31" s="367"/>
      <c r="I31" s="493" t="str">
        <f t="shared" ref="I31:O31" si="42">LEFT(I1,4)</f>
        <v>2023</v>
      </c>
      <c r="J31" s="493" t="str">
        <f t="shared" si="42"/>
        <v>2024</v>
      </c>
      <c r="K31" s="493" t="str">
        <f t="shared" si="42"/>
        <v>2025</v>
      </c>
      <c r="L31" s="493" t="str">
        <f t="shared" si="42"/>
        <v>2026</v>
      </c>
      <c r="M31" s="493" t="str">
        <f t="shared" si="42"/>
        <v>2027</v>
      </c>
      <c r="N31" s="493" t="str">
        <f t="shared" si="42"/>
        <v>2028</v>
      </c>
      <c r="O31" s="493" t="str">
        <f t="shared" si="42"/>
        <v>2029</v>
      </c>
    </row>
    <row r="32" spans="1:18" s="205" customFormat="1">
      <c r="A32" s="488" t="s">
        <v>12</v>
      </c>
      <c r="B32" s="120"/>
      <c r="C32" s="1" t="s">
        <v>16832</v>
      </c>
      <c r="D32" s="74" t="s">
        <v>16833</v>
      </c>
      <c r="F32" s="489"/>
      <c r="G32" s="489"/>
      <c r="H32" s="489"/>
      <c r="I32" s="489">
        <f>I8+I14</f>
        <v>1175</v>
      </c>
      <c r="J32" s="489">
        <f>J8+J14</f>
        <v>2256</v>
      </c>
      <c r="K32" s="489">
        <f t="shared" ref="K32:O32" si="43">K8+K14</f>
        <v>5305</v>
      </c>
      <c r="L32" s="489">
        <f t="shared" si="43"/>
        <v>19049</v>
      </c>
      <c r="M32" s="489">
        <f t="shared" si="43"/>
        <v>102538</v>
      </c>
      <c r="N32" s="489">
        <f t="shared" si="43"/>
        <v>667932</v>
      </c>
      <c r="O32" s="489">
        <f t="shared" si="43"/>
        <v>4613889</v>
      </c>
    </row>
    <row r="33" spans="1:15" s="205" customFormat="1">
      <c r="A33" s="488" t="s">
        <v>12</v>
      </c>
      <c r="B33" s="120"/>
      <c r="C33" s="1" t="s">
        <v>16834</v>
      </c>
      <c r="D33" s="74" t="s">
        <v>16835</v>
      </c>
      <c r="F33" s="489">
        <f t="shared" ref="F33:O33" si="44">F13+F17</f>
        <v>9954</v>
      </c>
      <c r="G33" s="489">
        <f t="shared" si="44"/>
        <v>20127</v>
      </c>
      <c r="H33" s="489">
        <f t="shared" si="44"/>
        <v>13172</v>
      </c>
      <c r="I33" s="489">
        <f t="shared" si="44"/>
        <v>13172</v>
      </c>
      <c r="J33" s="489">
        <f t="shared" si="44"/>
        <v>56750</v>
      </c>
      <c r="K33" s="489">
        <f t="shared" si="44"/>
        <v>211006</v>
      </c>
      <c r="L33" s="489">
        <f t="shared" si="44"/>
        <v>1160160</v>
      </c>
      <c r="M33" s="489">
        <f t="shared" si="44"/>
        <v>7612595</v>
      </c>
      <c r="N33" s="489">
        <f t="shared" si="44"/>
        <v>52689221</v>
      </c>
      <c r="O33" s="489">
        <f t="shared" si="44"/>
        <v>369771191</v>
      </c>
    </row>
    <row r="34" spans="1:15" s="205" customFormat="1">
      <c r="A34" s="488" t="s">
        <v>12</v>
      </c>
      <c r="B34" s="120"/>
      <c r="C34" s="1" t="s">
        <v>16836</v>
      </c>
      <c r="D34" s="74" t="s">
        <v>16837</v>
      </c>
      <c r="F34" s="489"/>
      <c r="G34" s="489"/>
      <c r="H34" s="489"/>
      <c r="I34" s="489"/>
      <c r="J34" s="489">
        <f ca="1">OFFSET(NWC추정!$I$12,11,MATCH(J31,NWC추정!$J$12:$O$12,0))</f>
        <v>-420.20280771856096</v>
      </c>
      <c r="K34" s="489">
        <f ca="1">OFFSET(NWC추정!$I$12,11,MATCH(K31,NWC추정!$J$12:$O$12,0))</f>
        <v>64</v>
      </c>
      <c r="L34" s="489">
        <f ca="1">OFFSET(NWC추정!$I$12,11,MATCH(L31,NWC추정!$J$12:$O$12,0))</f>
        <v>67</v>
      </c>
      <c r="M34" s="489">
        <f ca="1">OFFSET(NWC추정!$I$12,11,MATCH(M31,NWC추정!$J$12:$O$12,0))</f>
        <v>67</v>
      </c>
      <c r="N34" s="489">
        <f ca="1">OFFSET(NWC추정!$I$12,11,MATCH(N31,NWC추정!$J$12:$O$12,0))</f>
        <v>68</v>
      </c>
      <c r="O34" s="489">
        <f ca="1">OFFSET(NWC추정!$I$12,11,MATCH(O31,NWC추정!$J$12:$O$12,0))</f>
        <v>66</v>
      </c>
    </row>
    <row r="35" spans="1:15" s="205" customFormat="1">
      <c r="A35" s="488" t="s">
        <v>12</v>
      </c>
      <c r="B35" s="120"/>
      <c r="C35" s="1" t="s">
        <v>16838</v>
      </c>
      <c r="D35" s="206" t="s">
        <v>16839</v>
      </c>
      <c r="F35" s="489"/>
      <c r="G35" s="489"/>
      <c r="H35" s="489"/>
      <c r="I35" s="489"/>
      <c r="J35" s="489">
        <f ca="1">-J32+J33+J34</f>
        <v>54073.797192281439</v>
      </c>
      <c r="K35" s="489">
        <f t="shared" ref="K35:O35" ca="1" si="45">-K32+K33+K34</f>
        <v>205765</v>
      </c>
      <c r="L35" s="489">
        <f t="shared" ca="1" si="45"/>
        <v>1141178</v>
      </c>
      <c r="M35" s="489">
        <f t="shared" ca="1" si="45"/>
        <v>7510124</v>
      </c>
      <c r="N35" s="489">
        <f t="shared" ca="1" si="45"/>
        <v>52021357</v>
      </c>
      <c r="O35" s="489">
        <f t="shared" ca="1" si="45"/>
        <v>365157368</v>
      </c>
    </row>
    <row r="36" spans="1:15">
      <c r="I36" s="343"/>
      <c r="J36" s="343"/>
      <c r="K36" s="343"/>
      <c r="L36" s="343"/>
      <c r="M36" s="343"/>
      <c r="N36" s="343"/>
      <c r="O36" s="343"/>
    </row>
    <row r="37" spans="1:15" customFormat="1">
      <c r="D37" s="302" t="s">
        <v>144</v>
      </c>
      <c r="E37" s="302" t="s">
        <v>184</v>
      </c>
      <c r="F37" s="303" t="s">
        <v>145</v>
      </c>
      <c r="G37" s="303" t="s">
        <v>146</v>
      </c>
      <c r="H37" s="304"/>
      <c r="I37" s="305"/>
      <c r="J37" s="304"/>
      <c r="K37" s="304"/>
      <c r="L37" s="304"/>
      <c r="M37" s="304"/>
    </row>
    <row r="38" spans="1:15" customFormat="1">
      <c r="D38" s="306" t="s">
        <v>147</v>
      </c>
      <c r="E38" s="306">
        <v>40</v>
      </c>
      <c r="F38" s="307">
        <f>1/E38*100</f>
        <v>2.5</v>
      </c>
      <c r="G38" s="308"/>
      <c r="H38" s="304"/>
      <c r="I38" s="309"/>
      <c r="J38" s="304"/>
      <c r="K38" s="304"/>
      <c r="L38" s="304"/>
      <c r="M38" s="304"/>
    </row>
    <row r="39" spans="1:15" customFormat="1">
      <c r="D39" s="306" t="s">
        <v>148</v>
      </c>
      <c r="E39" s="306">
        <v>20</v>
      </c>
      <c r="F39" s="307">
        <f t="shared" ref="F39:F43" si="46">1/E39*100</f>
        <v>5</v>
      </c>
      <c r="G39" s="308"/>
      <c r="H39" s="304"/>
      <c r="I39" s="310"/>
      <c r="J39" s="304"/>
      <c r="K39" s="304"/>
      <c r="L39" s="304"/>
      <c r="M39" s="304"/>
    </row>
    <row r="40" spans="1:15" customFormat="1">
      <c r="D40" s="306" t="s">
        <v>149</v>
      </c>
      <c r="E40" s="306">
        <v>10</v>
      </c>
      <c r="F40" s="307">
        <f t="shared" si="46"/>
        <v>10</v>
      </c>
      <c r="G40" s="308"/>
      <c r="H40" s="304"/>
      <c r="I40" s="310"/>
      <c r="J40" s="304"/>
      <c r="K40" s="304"/>
      <c r="L40" s="304"/>
      <c r="M40" s="304"/>
    </row>
    <row r="41" spans="1:15" customFormat="1">
      <c r="D41" s="306" t="s">
        <v>150</v>
      </c>
      <c r="E41" s="306">
        <v>5</v>
      </c>
      <c r="F41" s="307">
        <f t="shared" si="46"/>
        <v>20</v>
      </c>
      <c r="G41" s="308"/>
      <c r="H41" s="304"/>
      <c r="I41" s="304"/>
      <c r="J41" s="304"/>
      <c r="K41" s="304"/>
      <c r="L41" s="304"/>
      <c r="M41" s="304"/>
    </row>
    <row r="42" spans="1:15" customFormat="1">
      <c r="D42" s="306" t="s">
        <v>151</v>
      </c>
      <c r="E42" s="306">
        <v>5</v>
      </c>
      <c r="F42" s="307">
        <f t="shared" si="46"/>
        <v>20</v>
      </c>
      <c r="G42" s="308"/>
      <c r="H42" s="304"/>
      <c r="I42" s="304"/>
      <c r="J42" s="304"/>
      <c r="K42" s="304"/>
      <c r="L42" s="304"/>
      <c r="M42" s="304"/>
    </row>
    <row r="43" spans="1:15" customFormat="1">
      <c r="D43" s="306" t="s">
        <v>152</v>
      </c>
      <c r="E43" s="306">
        <v>5</v>
      </c>
      <c r="F43" s="307">
        <f t="shared" si="46"/>
        <v>20</v>
      </c>
      <c r="G43" s="308"/>
      <c r="H43" s="304"/>
      <c r="I43" s="304"/>
      <c r="J43" s="304"/>
      <c r="K43" s="304"/>
      <c r="L43" s="304"/>
      <c r="M43" s="304"/>
    </row>
    <row r="44" spans="1:15" customFormat="1">
      <c r="D44" s="304"/>
      <c r="E44" s="304"/>
      <c r="F44" s="304"/>
      <c r="G44" s="304"/>
      <c r="H44" s="304"/>
      <c r="I44" s="304"/>
      <c r="J44" s="304"/>
      <c r="K44" s="304"/>
      <c r="L44" s="304"/>
      <c r="M44" s="304"/>
    </row>
    <row r="45" spans="1:15" customFormat="1">
      <c r="D45" s="302" t="s">
        <v>153</v>
      </c>
      <c r="E45" s="302" t="s">
        <v>154</v>
      </c>
      <c r="F45" s="303" t="s">
        <v>155</v>
      </c>
      <c r="G45" s="302" t="s">
        <v>156</v>
      </c>
      <c r="H45" s="303" t="s">
        <v>157</v>
      </c>
      <c r="I45" s="302" t="s">
        <v>158</v>
      </c>
      <c r="J45" s="303" t="s">
        <v>159</v>
      </c>
      <c r="K45" s="302" t="s">
        <v>160</v>
      </c>
      <c r="L45" s="302" t="s">
        <v>161</v>
      </c>
      <c r="M45" s="302" t="s">
        <v>162</v>
      </c>
    </row>
    <row r="46" spans="1:15" customFormat="1">
      <c r="D46" s="306" t="s">
        <v>147</v>
      </c>
      <c r="E46" s="306"/>
      <c r="F46" s="306"/>
      <c r="G46" s="306"/>
      <c r="H46" s="125"/>
      <c r="I46" s="306"/>
      <c r="J46" s="125">
        <f>E46+F46-G46+H46-I46</f>
        <v>0</v>
      </c>
      <c r="K46" s="311" t="str">
        <f t="shared" ref="K46:K51" si="47">IFERROR(J46/$J$54,"")</f>
        <v/>
      </c>
      <c r="L46" s="312" t="e">
        <f>(I46/(E46+F46*0.5-G46*0.5+H46*0.5))*100*K46</f>
        <v>#DIV/0!</v>
      </c>
      <c r="M46" s="312" t="str">
        <f>IFERROR(F38*K46,"")</f>
        <v/>
      </c>
    </row>
    <row r="47" spans="1:15" customFormat="1">
      <c r="D47" s="306" t="s">
        <v>148</v>
      </c>
      <c r="E47" s="306"/>
      <c r="F47" s="306"/>
      <c r="G47" s="306"/>
      <c r="H47" s="125"/>
      <c r="I47" s="306"/>
      <c r="J47" s="125">
        <f t="shared" ref="J47:J52" si="48">E47+F47-G47+H47-I47</f>
        <v>0</v>
      </c>
      <c r="K47" s="311" t="str">
        <f t="shared" si="47"/>
        <v/>
      </c>
      <c r="L47" s="312" t="e">
        <f t="shared" ref="L47:L51" si="49">(I47/(E47+F47*0.5-G47*0.5+H47*0.5))*100*K47</f>
        <v>#DIV/0!</v>
      </c>
      <c r="M47" s="312" t="str">
        <f t="shared" ref="M47:M51" si="50">IFERROR(F39*K47,"")</f>
        <v/>
      </c>
    </row>
    <row r="48" spans="1:15" customFormat="1">
      <c r="D48" s="306" t="s">
        <v>149</v>
      </c>
      <c r="E48" s="306"/>
      <c r="F48" s="306"/>
      <c r="G48" s="306"/>
      <c r="H48" s="125"/>
      <c r="I48" s="306"/>
      <c r="J48" s="125">
        <f t="shared" si="48"/>
        <v>0</v>
      </c>
      <c r="K48" s="311" t="str">
        <f t="shared" si="47"/>
        <v/>
      </c>
      <c r="L48" s="312" t="e">
        <f t="shared" si="49"/>
        <v>#DIV/0!</v>
      </c>
      <c r="M48" s="312" t="str">
        <f t="shared" si="50"/>
        <v/>
      </c>
    </row>
    <row r="49" spans="4:13" customFormat="1">
      <c r="D49" s="306" t="s">
        <v>163</v>
      </c>
      <c r="E49" s="306"/>
      <c r="F49" s="306"/>
      <c r="G49" s="306"/>
      <c r="H49" s="125"/>
      <c r="I49" s="306"/>
      <c r="J49" s="125">
        <f t="shared" si="48"/>
        <v>0</v>
      </c>
      <c r="K49" s="311" t="str">
        <f t="shared" si="47"/>
        <v/>
      </c>
      <c r="L49" s="312" t="e">
        <f t="shared" si="49"/>
        <v>#DIV/0!</v>
      </c>
      <c r="M49" s="312" t="str">
        <f t="shared" si="50"/>
        <v/>
      </c>
    </row>
    <row r="50" spans="4:13" customFormat="1">
      <c r="D50" s="306" t="s">
        <v>164</v>
      </c>
      <c r="E50" s="306"/>
      <c r="F50" s="306"/>
      <c r="G50" s="306"/>
      <c r="H50" s="125"/>
      <c r="I50" s="306"/>
      <c r="J50" s="125">
        <f t="shared" si="48"/>
        <v>0</v>
      </c>
      <c r="K50" s="311" t="str">
        <f t="shared" si="47"/>
        <v/>
      </c>
      <c r="L50" s="312" t="e">
        <f t="shared" si="49"/>
        <v>#DIV/0!</v>
      </c>
      <c r="M50" s="312" t="str">
        <f t="shared" si="50"/>
        <v/>
      </c>
    </row>
    <row r="51" spans="4:13" customFormat="1">
      <c r="D51" s="306" t="s">
        <v>152</v>
      </c>
      <c r="E51" s="306"/>
      <c r="F51" s="306"/>
      <c r="G51" s="306"/>
      <c r="H51" s="125"/>
      <c r="I51" s="306"/>
      <c r="J51" s="125">
        <f t="shared" si="48"/>
        <v>0</v>
      </c>
      <c r="K51" s="311" t="str">
        <f t="shared" si="47"/>
        <v/>
      </c>
      <c r="L51" s="312" t="e">
        <f t="shared" si="49"/>
        <v>#DIV/0!</v>
      </c>
      <c r="M51" s="312" t="str">
        <f t="shared" si="50"/>
        <v/>
      </c>
    </row>
    <row r="52" spans="4:13" customFormat="1">
      <c r="D52" s="306" t="s">
        <v>165</v>
      </c>
      <c r="E52" s="306"/>
      <c r="F52" s="306"/>
      <c r="G52" s="306"/>
      <c r="H52" s="125"/>
      <c r="I52" s="306"/>
      <c r="J52" s="125">
        <f t="shared" si="48"/>
        <v>0</v>
      </c>
      <c r="K52" s="311"/>
      <c r="L52" s="306"/>
      <c r="M52" s="306"/>
    </row>
    <row r="53" spans="4:13" customFormat="1">
      <c r="D53" s="306" t="s">
        <v>166</v>
      </c>
      <c r="E53" s="306">
        <f>SUM(E46:E52)</f>
        <v>0</v>
      </c>
      <c r="F53" s="306">
        <f t="shared" ref="F53:J53" si="51">SUM(F46:F52)</f>
        <v>0</v>
      </c>
      <c r="G53" s="306">
        <f t="shared" si="51"/>
        <v>0</v>
      </c>
      <c r="H53" s="306">
        <f t="shared" si="51"/>
        <v>0</v>
      </c>
      <c r="I53" s="306">
        <f t="shared" si="51"/>
        <v>0</v>
      </c>
      <c r="J53" s="306">
        <f t="shared" si="51"/>
        <v>0</v>
      </c>
      <c r="K53" s="313">
        <f>SUM(K46:K51)</f>
        <v>0</v>
      </c>
      <c r="L53" s="314" t="e">
        <f>ROUND(SUM(L46:L52),2)</f>
        <v>#DIV/0!</v>
      </c>
      <c r="M53" s="314">
        <f>ROUND(SUM(M46:M52),2)</f>
        <v>0</v>
      </c>
    </row>
    <row r="54" spans="4:13" customFormat="1">
      <c r="D54" s="304"/>
      <c r="E54" s="304"/>
      <c r="F54" s="304"/>
      <c r="G54" s="304"/>
      <c r="H54" s="304"/>
      <c r="I54" s="304"/>
      <c r="J54" s="315">
        <f>SUM(J46:J51)</f>
        <v>0</v>
      </c>
      <c r="K54" s="304"/>
      <c r="L54" s="304"/>
      <c r="M54" s="304"/>
    </row>
    <row r="55" spans="4:13" customFormat="1">
      <c r="D55" s="304"/>
      <c r="E55" s="304"/>
      <c r="F55" s="304"/>
      <c r="G55" s="304"/>
      <c r="H55" s="304"/>
      <c r="I55" s="304"/>
      <c r="J55" s="304"/>
      <c r="K55" s="304"/>
      <c r="L55" s="304"/>
      <c r="M55" s="304"/>
    </row>
    <row r="56" spans="4:13" customFormat="1">
      <c r="D56" s="302" t="s">
        <v>167</v>
      </c>
      <c r="E56" s="302" t="s">
        <v>183</v>
      </c>
      <c r="F56" s="303" t="s">
        <v>168</v>
      </c>
      <c r="G56" s="304"/>
      <c r="H56" s="304"/>
      <c r="I56" s="304"/>
      <c r="J56" s="304"/>
      <c r="K56" s="304"/>
      <c r="L56" s="304"/>
      <c r="M56" s="304"/>
    </row>
    <row r="57" spans="4:13" customFormat="1">
      <c r="D57" s="306" t="s">
        <v>169</v>
      </c>
      <c r="E57" s="306">
        <v>10</v>
      </c>
      <c r="F57" s="307">
        <f>1/E57*100</f>
        <v>10</v>
      </c>
      <c r="G57" s="304"/>
      <c r="H57" s="304"/>
      <c r="I57" s="304"/>
      <c r="J57" s="304"/>
      <c r="K57" s="304"/>
      <c r="L57" s="304"/>
      <c r="M57" s="304"/>
    </row>
    <row r="58" spans="4:13" customFormat="1">
      <c r="D58" s="306" t="s">
        <v>170</v>
      </c>
      <c r="E58" s="306">
        <v>5</v>
      </c>
      <c r="F58" s="307">
        <f>1/E58*100</f>
        <v>20</v>
      </c>
      <c r="G58" s="304"/>
      <c r="H58" s="304"/>
      <c r="I58" s="304"/>
      <c r="J58" s="304"/>
      <c r="K58" s="304"/>
      <c r="L58" s="304"/>
      <c r="M58" s="304"/>
    </row>
    <row r="59" spans="4:13" customFormat="1">
      <c r="D59" s="306" t="s">
        <v>171</v>
      </c>
      <c r="E59" s="306">
        <v>5</v>
      </c>
      <c r="F59" s="307">
        <f t="shared" ref="F59" si="52">1/E59*100</f>
        <v>20</v>
      </c>
      <c r="G59" s="304"/>
      <c r="H59" s="304"/>
      <c r="I59" s="304"/>
      <c r="J59" s="304"/>
      <c r="K59" s="304"/>
      <c r="L59" s="304"/>
      <c r="M59" s="304"/>
    </row>
    <row r="60" spans="4:13" customFormat="1">
      <c r="D60" s="304"/>
      <c r="E60" s="304"/>
      <c r="F60" s="304"/>
      <c r="G60" s="304"/>
      <c r="H60" s="304"/>
      <c r="I60" s="304"/>
      <c r="J60" s="304"/>
      <c r="K60" s="304"/>
      <c r="L60" s="304"/>
      <c r="M60" s="304"/>
    </row>
    <row r="61" spans="4:13">
      <c r="D61" s="302" t="s">
        <v>172</v>
      </c>
      <c r="E61" s="302" t="s">
        <v>173</v>
      </c>
      <c r="F61" s="303" t="s">
        <v>174</v>
      </c>
      <c r="G61" s="302" t="s">
        <v>156</v>
      </c>
      <c r="H61" s="303" t="s">
        <v>157</v>
      </c>
      <c r="I61" s="302" t="s">
        <v>175</v>
      </c>
      <c r="J61" s="303" t="s">
        <v>176</v>
      </c>
      <c r="K61" s="302" t="s">
        <v>177</v>
      </c>
      <c r="L61" s="302" t="s">
        <v>161</v>
      </c>
      <c r="M61" s="302" t="s">
        <v>162</v>
      </c>
    </row>
    <row r="62" spans="4:13">
      <c r="D62" s="306" t="s">
        <v>178</v>
      </c>
      <c r="E62" s="306"/>
      <c r="F62" s="306"/>
      <c r="G62" s="306"/>
      <c r="H62" s="125"/>
      <c r="I62" s="306"/>
      <c r="J62" s="125">
        <f>E62+F62-G62+H62-I62</f>
        <v>0</v>
      </c>
      <c r="K62" s="311" t="str">
        <f>IFERROR(J62/$J$65,"")</f>
        <v/>
      </c>
      <c r="L62" s="312" t="e">
        <f>(I62/(E62+F62*0.5-G62*0.5+H62*0.5))*100*K62</f>
        <v>#DIV/0!</v>
      </c>
      <c r="M62" s="312" t="str">
        <f>IFERROR(F57*K62,"")</f>
        <v/>
      </c>
    </row>
    <row r="63" spans="4:13">
      <c r="D63" s="306" t="s">
        <v>170</v>
      </c>
      <c r="E63" s="306"/>
      <c r="F63" s="306"/>
      <c r="G63" s="306"/>
      <c r="H63" s="125"/>
      <c r="I63" s="306"/>
      <c r="J63" s="125">
        <f t="shared" ref="J63:J64" si="53">E63+F63-G63+H63-I63</f>
        <v>0</v>
      </c>
      <c r="K63" s="311" t="str">
        <f>IFERROR(J63/$J$65,"")</f>
        <v/>
      </c>
      <c r="L63" s="312" t="e">
        <f t="shared" ref="L63:L64" si="54">(I63/(E63+F63*0.5-G63*0.5+H63*0.5))*100*K63</f>
        <v>#DIV/0!</v>
      </c>
      <c r="M63" s="312" t="str">
        <f t="shared" ref="M63:M64" si="55">IFERROR(F58*K63,"")</f>
        <v/>
      </c>
    </row>
    <row r="64" spans="4:13">
      <c r="D64" s="306" t="s">
        <v>179</v>
      </c>
      <c r="E64" s="306"/>
      <c r="F64" s="306"/>
      <c r="G64" s="306"/>
      <c r="H64" s="125"/>
      <c r="I64" s="306"/>
      <c r="J64" s="125">
        <f t="shared" si="53"/>
        <v>0</v>
      </c>
      <c r="K64" s="311" t="str">
        <f>IFERROR(J64/$J$65,"")</f>
        <v/>
      </c>
      <c r="L64" s="312" t="e">
        <f t="shared" si="54"/>
        <v>#DIV/0!</v>
      </c>
      <c r="M64" s="312" t="str">
        <f t="shared" si="55"/>
        <v/>
      </c>
    </row>
    <row r="65" spans="4:13">
      <c r="D65" s="306" t="s">
        <v>180</v>
      </c>
      <c r="E65" s="306">
        <f t="shared" ref="E65:K65" si="56">SUM(E62:E64)</f>
        <v>0</v>
      </c>
      <c r="F65" s="306">
        <f t="shared" si="56"/>
        <v>0</v>
      </c>
      <c r="G65" s="306">
        <f t="shared" si="56"/>
        <v>0</v>
      </c>
      <c r="H65" s="306">
        <f t="shared" si="56"/>
        <v>0</v>
      </c>
      <c r="I65" s="306">
        <f t="shared" si="56"/>
        <v>0</v>
      </c>
      <c r="J65" s="306">
        <f t="shared" si="56"/>
        <v>0</v>
      </c>
      <c r="K65" s="313">
        <f t="shared" si="56"/>
        <v>0</v>
      </c>
      <c r="L65" s="314" t="e">
        <f>ROUND(SUM(L62:L64),2)</f>
        <v>#DIV/0!</v>
      </c>
      <c r="M65" s="314">
        <f>ROUND(SUM(M62:M64),2)</f>
        <v>0</v>
      </c>
    </row>
  </sheetData>
  <sheetProtection selectLockedCells="1"/>
  <phoneticPr fontId="3" type="noConversion"/>
  <conditionalFormatting sqref="J21 N21:R21">
    <cfRule type="duplicateValues" dxfId="13" priority="3"/>
  </conditionalFormatting>
  <conditionalFormatting sqref="R21">
    <cfRule type="duplicateValues" dxfId="12" priority="2"/>
  </conditionalFormatting>
  <conditionalFormatting sqref="J24 J27 J18:J20">
    <cfRule type="duplicateValues" dxfId="11" priority="1"/>
  </conditionalFormatting>
  <dataValidations disablePrompts="1" count="1">
    <dataValidation type="list" errorStyle="warning" allowBlank="1" showInputMessage="1" sqref="J21">
      <formula1>$N$21:$R$21</formula1>
    </dataValidation>
  </dataValidations>
  <pageMargins left="0.7" right="0.7" top="0.75" bottom="0.75" header="0.3" footer="0.3"/>
  <pageSetup paperSize="9" orientation="portrait" horizontalDpi="1200" verticalDpi="1200" r:id="rId1"/>
  <ignoredErrors>
    <ignoredError sqref="N22:Q27" unlockedFormula="1"/>
    <ignoredError sqref="I17" formula="1"/>
    <ignoredError sqref="J19:J20 F28:Q28" evalError="1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C00000"/>
  </sheetPr>
  <dimension ref="A1:AA112"/>
  <sheetViews>
    <sheetView showGridLines="0" zoomScale="85" zoomScaleNormal="85" workbookViewId="0">
      <pane ySplit="1" topLeftCell="A20" activePane="bottomLeft" state="frozen"/>
      <selection activeCell="D26" sqref="D26"/>
      <selection pane="bottomLeft" activeCell="P26" sqref="P26"/>
    </sheetView>
  </sheetViews>
  <sheetFormatPr defaultColWidth="9" defaultRowHeight="16.5"/>
  <cols>
    <col min="1" max="2" width="9" style="2" hidden="1" customWidth="1"/>
    <col min="3" max="3" width="9" style="2"/>
    <col min="4" max="4" width="29" style="2" bestFit="1" customWidth="1"/>
    <col min="5" max="5" width="9.625" style="78" customWidth="1"/>
    <col min="6" max="19" width="9.625" style="2" customWidth="1"/>
    <col min="20" max="20" width="9" style="2"/>
    <col min="21" max="21" width="12.625" style="2" customWidth="1"/>
    <col min="22" max="27" width="9.625" style="2" customWidth="1"/>
    <col min="28" max="16384" width="9" style="2"/>
  </cols>
  <sheetData>
    <row r="1" spans="1:15">
      <c r="A1" s="367">
        <f>ROW(C69)-ROW(C1)</f>
        <v>68</v>
      </c>
      <c r="B1" s="1"/>
      <c r="C1" s="1" t="s">
        <v>16840</v>
      </c>
      <c r="D1" s="1" t="s">
        <v>16841</v>
      </c>
      <c r="E1" s="1" t="s">
        <v>16984</v>
      </c>
      <c r="F1" s="1" t="s">
        <v>16803</v>
      </c>
      <c r="G1" s="1" t="s">
        <v>16987</v>
      </c>
      <c r="H1" s="1" t="s">
        <v>16989</v>
      </c>
      <c r="I1" s="1" t="s">
        <v>16807</v>
      </c>
      <c r="J1" s="1" t="s">
        <v>16808</v>
      </c>
      <c r="K1" s="1" t="s">
        <v>16809</v>
      </c>
      <c r="L1" s="1" t="s">
        <v>16810</v>
      </c>
      <c r="M1" s="1" t="s">
        <v>16811</v>
      </c>
      <c r="N1" s="1" t="s">
        <v>16812</v>
      </c>
      <c r="O1" s="1" t="s">
        <v>16813</v>
      </c>
    </row>
    <row r="2" spans="1:15">
      <c r="A2" s="1" t="s">
        <v>12</v>
      </c>
      <c r="B2" s="1" t="s">
        <v>16842</v>
      </c>
      <c r="C2" s="1" t="s">
        <v>16843</v>
      </c>
      <c r="D2" s="2" t="s">
        <v>16844</v>
      </c>
      <c r="E2" s="31">
        <v>15182</v>
      </c>
      <c r="F2" s="31">
        <v>18162</v>
      </c>
      <c r="G2" s="31">
        <v>12194</v>
      </c>
      <c r="H2" s="31">
        <v>5015</v>
      </c>
      <c r="I2" s="118">
        <f>IS추정!I14</f>
        <v>5015</v>
      </c>
      <c r="J2" s="118">
        <f>IS추정!J14</f>
        <v>5139</v>
      </c>
      <c r="K2" s="118">
        <f>IS추정!K14</f>
        <v>5250</v>
      </c>
      <c r="L2" s="118">
        <f>IS추정!L14</f>
        <v>5363</v>
      </c>
      <c r="M2" s="118">
        <f>IS추정!M14</f>
        <v>5476</v>
      </c>
      <c r="N2" s="118">
        <f>IS추정!N14</f>
        <v>5590</v>
      </c>
      <c r="O2" s="118">
        <f>IS추정!O14</f>
        <v>5703</v>
      </c>
    </row>
    <row r="3" spans="1:15">
      <c r="A3" s="1" t="s">
        <v>12</v>
      </c>
      <c r="B3" s="1" t="s">
        <v>16701</v>
      </c>
      <c r="C3" s="1" t="s">
        <v>16845</v>
      </c>
      <c r="D3" s="2" t="s">
        <v>16846</v>
      </c>
      <c r="E3" s="31">
        <v>11780</v>
      </c>
      <c r="F3" s="31">
        <v>14341</v>
      </c>
      <c r="G3" s="31">
        <v>11518</v>
      </c>
      <c r="H3" s="31">
        <v>7282</v>
      </c>
      <c r="I3" s="217">
        <f>IS추정!I15</f>
        <v>7282</v>
      </c>
      <c r="J3" s="118">
        <f>IS추정!J15</f>
        <v>6025</v>
      </c>
      <c r="K3" s="118">
        <f>IS추정!K15</f>
        <v>6155</v>
      </c>
      <c r="L3" s="118">
        <f>IS추정!L15</f>
        <v>6288</v>
      </c>
      <c r="M3" s="118">
        <f>IS추정!M15</f>
        <v>6420</v>
      </c>
      <c r="N3" s="118">
        <f>IS추정!N15</f>
        <v>6554</v>
      </c>
      <c r="O3" s="118">
        <f>IS추정!O15</f>
        <v>6686</v>
      </c>
    </row>
    <row r="4" spans="1:15">
      <c r="A4" s="1" t="s">
        <v>4</v>
      </c>
      <c r="B4" s="1" t="s">
        <v>16701</v>
      </c>
      <c r="C4" s="1" t="s">
        <v>16847</v>
      </c>
      <c r="D4" s="8" t="s">
        <v>16848</v>
      </c>
      <c r="E4" s="30">
        <f>E2-E3</f>
        <v>3402</v>
      </c>
      <c r="F4" s="30">
        <f>F2-F3</f>
        <v>3821</v>
      </c>
      <c r="G4" s="30">
        <f t="shared" ref="G4:I4" si="0">G2-G3</f>
        <v>676</v>
      </c>
      <c r="H4" s="30">
        <f t="shared" si="0"/>
        <v>-2267</v>
      </c>
      <c r="I4" s="30">
        <f t="shared" si="0"/>
        <v>-2267</v>
      </c>
      <c r="J4" s="119">
        <f>J2-J3</f>
        <v>-886</v>
      </c>
      <c r="K4" s="119">
        <f t="shared" ref="K4:O4" si="1">K2-K3</f>
        <v>-905</v>
      </c>
      <c r="L4" s="119">
        <f t="shared" si="1"/>
        <v>-925</v>
      </c>
      <c r="M4" s="119">
        <f t="shared" si="1"/>
        <v>-944</v>
      </c>
      <c r="N4" s="119">
        <f t="shared" si="1"/>
        <v>-964</v>
      </c>
      <c r="O4" s="119">
        <f t="shared" si="1"/>
        <v>-983</v>
      </c>
    </row>
    <row r="5" spans="1:15">
      <c r="A5" s="1" t="s">
        <v>12</v>
      </c>
      <c r="B5" s="1" t="s">
        <v>2</v>
      </c>
      <c r="C5" s="1" t="s">
        <v>16849</v>
      </c>
      <c r="D5" s="2" t="s">
        <v>16850</v>
      </c>
      <c r="E5" s="31">
        <v>24</v>
      </c>
      <c r="F5" s="31">
        <v>73</v>
      </c>
      <c r="G5" s="31">
        <v>100</v>
      </c>
      <c r="H5" s="31">
        <v>92</v>
      </c>
      <c r="I5" s="31">
        <v>92</v>
      </c>
      <c r="J5" s="31"/>
      <c r="K5" s="31"/>
      <c r="L5" s="31"/>
      <c r="M5" s="31"/>
      <c r="N5" s="31"/>
      <c r="O5" s="31"/>
    </row>
    <row r="6" spans="1:15">
      <c r="A6" s="1" t="s">
        <v>12</v>
      </c>
      <c r="B6" s="1" t="s">
        <v>2</v>
      </c>
      <c r="C6" s="1" t="s">
        <v>16851</v>
      </c>
      <c r="D6" s="2" t="s">
        <v>16852</v>
      </c>
      <c r="E6" s="31">
        <v>1</v>
      </c>
      <c r="F6" s="31">
        <v>3</v>
      </c>
      <c r="G6" s="31">
        <v>3</v>
      </c>
      <c r="H6" s="31">
        <v>5</v>
      </c>
      <c r="I6" s="31">
        <v>5</v>
      </c>
      <c r="J6" s="31"/>
      <c r="K6" s="31"/>
      <c r="L6" s="31"/>
      <c r="M6" s="31"/>
      <c r="N6" s="31"/>
      <c r="O6" s="31"/>
    </row>
    <row r="7" spans="1:15">
      <c r="A7" s="1" t="s">
        <v>12</v>
      </c>
      <c r="B7" s="1" t="s">
        <v>2</v>
      </c>
      <c r="C7" s="1" t="s">
        <v>16853</v>
      </c>
      <c r="D7" s="2" t="s">
        <v>16854</v>
      </c>
      <c r="E7" s="31">
        <v>80</v>
      </c>
      <c r="F7" s="31">
        <v>358</v>
      </c>
      <c r="G7" s="31">
        <v>422</v>
      </c>
      <c r="H7" s="31">
        <v>641</v>
      </c>
      <c r="I7" s="31">
        <v>641</v>
      </c>
      <c r="J7" s="31"/>
      <c r="K7" s="31"/>
      <c r="L7" s="31"/>
      <c r="M7" s="31"/>
      <c r="N7" s="31"/>
      <c r="O7" s="31"/>
    </row>
    <row r="8" spans="1:15">
      <c r="A8" s="1" t="s">
        <v>12</v>
      </c>
      <c r="B8" s="1" t="s">
        <v>2</v>
      </c>
      <c r="C8" s="1" t="s">
        <v>16855</v>
      </c>
      <c r="D8" s="2" t="s">
        <v>16856</v>
      </c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</row>
    <row r="9" spans="1:15">
      <c r="A9" s="1" t="s">
        <v>12</v>
      </c>
      <c r="B9" s="1" t="s">
        <v>16796</v>
      </c>
      <c r="C9" s="1" t="s">
        <v>16857</v>
      </c>
      <c r="D9" s="2" t="s">
        <v>16858</v>
      </c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</row>
    <row r="10" spans="1:15">
      <c r="A10" s="1" t="s">
        <v>12</v>
      </c>
      <c r="B10" s="1" t="s">
        <v>2</v>
      </c>
      <c r="C10" s="1" t="s">
        <v>16859</v>
      </c>
      <c r="D10" s="2" t="s">
        <v>16860</v>
      </c>
      <c r="E10" s="31">
        <v>42</v>
      </c>
      <c r="F10" s="31">
        <v>178</v>
      </c>
      <c r="G10" s="31">
        <v>283</v>
      </c>
      <c r="H10" s="31">
        <v>224</v>
      </c>
      <c r="I10" s="31">
        <v>224</v>
      </c>
      <c r="J10" s="31"/>
      <c r="K10" s="31"/>
      <c r="L10" s="31"/>
      <c r="M10" s="31"/>
      <c r="N10" s="31"/>
      <c r="O10" s="31"/>
    </row>
    <row r="11" spans="1:15">
      <c r="A11" s="1" t="s">
        <v>12</v>
      </c>
      <c r="B11" s="1" t="s">
        <v>2</v>
      </c>
      <c r="C11" s="1" t="s">
        <v>16861</v>
      </c>
      <c r="D11" s="2" t="s">
        <v>16862</v>
      </c>
      <c r="E11" s="31">
        <v>8</v>
      </c>
      <c r="F11" s="31">
        <v>8</v>
      </c>
      <c r="G11" s="31">
        <v>6</v>
      </c>
      <c r="H11" s="31">
        <v>1</v>
      </c>
      <c r="I11" s="31">
        <v>1</v>
      </c>
      <c r="J11" s="31"/>
      <c r="K11" s="31"/>
      <c r="L11" s="31"/>
      <c r="M11" s="31"/>
      <c r="N11" s="31"/>
      <c r="O11" s="31"/>
    </row>
    <row r="12" spans="1:15">
      <c r="A12" s="1" t="s">
        <v>12</v>
      </c>
      <c r="B12" s="1" t="s">
        <v>16695</v>
      </c>
      <c r="C12" s="1" t="s">
        <v>16863</v>
      </c>
      <c r="D12" s="2" t="s">
        <v>16864</v>
      </c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</row>
    <row r="13" spans="1:15">
      <c r="A13" s="1" t="s">
        <v>12</v>
      </c>
      <c r="B13" s="1" t="s">
        <v>2</v>
      </c>
      <c r="C13" s="1" t="s">
        <v>16865</v>
      </c>
      <c r="D13" s="2" t="s">
        <v>16866</v>
      </c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</row>
    <row r="14" spans="1:15">
      <c r="A14" s="1" t="s">
        <v>12</v>
      </c>
      <c r="B14" s="1" t="s">
        <v>2</v>
      </c>
      <c r="C14" s="1" t="s">
        <v>16867</v>
      </c>
      <c r="D14" s="2" t="s">
        <v>16868</v>
      </c>
      <c r="E14" s="31"/>
      <c r="F14" s="31">
        <v>15</v>
      </c>
      <c r="G14" s="31">
        <v>9</v>
      </c>
      <c r="H14" s="31"/>
      <c r="I14" s="31"/>
      <c r="J14" s="31"/>
      <c r="K14" s="31"/>
      <c r="L14" s="31"/>
      <c r="M14" s="31"/>
      <c r="N14" s="31"/>
      <c r="O14" s="31"/>
    </row>
    <row r="15" spans="1:15">
      <c r="A15" s="1" t="s">
        <v>12</v>
      </c>
      <c r="B15" s="1" t="s">
        <v>2</v>
      </c>
      <c r="C15" s="1" t="s">
        <v>16869</v>
      </c>
      <c r="D15" s="2" t="s">
        <v>16870</v>
      </c>
      <c r="E15" s="31">
        <v>1</v>
      </c>
      <c r="F15" s="31">
        <v>2</v>
      </c>
      <c r="G15" s="31">
        <v>73</v>
      </c>
      <c r="H15" s="31">
        <v>59</v>
      </c>
      <c r="I15" s="31">
        <v>59</v>
      </c>
      <c r="J15" s="31"/>
      <c r="K15" s="31"/>
      <c r="L15" s="31"/>
      <c r="M15" s="31"/>
      <c r="N15" s="31"/>
      <c r="O15" s="31"/>
    </row>
    <row r="16" spans="1:15">
      <c r="A16" s="1" t="s">
        <v>12</v>
      </c>
      <c r="B16" s="1" t="s">
        <v>16695</v>
      </c>
      <c r="C16" s="1" t="s">
        <v>16871</v>
      </c>
      <c r="D16" s="2" t="s">
        <v>16872</v>
      </c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</row>
    <row r="17" spans="1:27">
      <c r="A17" s="1" t="s">
        <v>12</v>
      </c>
      <c r="B17" s="1" t="s">
        <v>16873</v>
      </c>
      <c r="C17" s="1" t="s">
        <v>16874</v>
      </c>
      <c r="D17" s="2" t="s">
        <v>16875</v>
      </c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</row>
    <row r="18" spans="1:27">
      <c r="A18" s="1" t="s">
        <v>12</v>
      </c>
      <c r="B18" s="1" t="s">
        <v>16695</v>
      </c>
      <c r="C18" s="1" t="s">
        <v>16876</v>
      </c>
      <c r="D18" s="2" t="s">
        <v>16877</v>
      </c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</row>
    <row r="19" spans="1:27">
      <c r="A19" s="1" t="s">
        <v>12</v>
      </c>
      <c r="B19" s="1" t="s">
        <v>16780</v>
      </c>
      <c r="C19" s="1" t="s">
        <v>16878</v>
      </c>
      <c r="D19" s="2" t="s">
        <v>16879</v>
      </c>
      <c r="E19" s="31">
        <v>25</v>
      </c>
      <c r="F19" s="31">
        <v>73</v>
      </c>
      <c r="G19" s="31">
        <v>68</v>
      </c>
      <c r="H19" s="31">
        <v>5</v>
      </c>
      <c r="I19" s="31">
        <v>5</v>
      </c>
      <c r="J19" s="31"/>
      <c r="K19" s="31"/>
      <c r="L19" s="31"/>
      <c r="M19" s="31"/>
      <c r="N19" s="31"/>
      <c r="O19" s="31"/>
    </row>
    <row r="20" spans="1:27">
      <c r="A20" s="1" t="s">
        <v>12</v>
      </c>
      <c r="B20" s="1" t="s">
        <v>2</v>
      </c>
      <c r="C20" s="1" t="s">
        <v>16880</v>
      </c>
      <c r="D20" s="2" t="s">
        <v>16881</v>
      </c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</row>
    <row r="21" spans="1:27">
      <c r="A21" s="1" t="s">
        <v>12</v>
      </c>
      <c r="B21" s="1" t="s">
        <v>16695</v>
      </c>
      <c r="C21" s="1" t="s">
        <v>16882</v>
      </c>
      <c r="D21" s="2" t="s">
        <v>16883</v>
      </c>
      <c r="E21" s="31"/>
      <c r="F21" s="31"/>
      <c r="G21" s="31">
        <v>6</v>
      </c>
      <c r="H21" s="31">
        <v>-3</v>
      </c>
      <c r="I21" s="31">
        <v>-3</v>
      </c>
      <c r="J21" s="31"/>
      <c r="K21" s="31"/>
      <c r="L21" s="31"/>
      <c r="M21" s="31"/>
      <c r="N21" s="31"/>
      <c r="O21" s="31"/>
    </row>
    <row r="22" spans="1:27">
      <c r="A22" s="1" t="s">
        <v>12</v>
      </c>
      <c r="B22" s="1" t="s">
        <v>16793</v>
      </c>
      <c r="C22" s="1" t="s">
        <v>16884</v>
      </c>
      <c r="D22" s="2" t="s">
        <v>16885</v>
      </c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</row>
    <row r="23" spans="1:27">
      <c r="A23" s="1" t="s">
        <v>12</v>
      </c>
      <c r="B23" s="1" t="s">
        <v>16695</v>
      </c>
      <c r="C23" s="1" t="s">
        <v>16886</v>
      </c>
      <c r="D23" s="2" t="s">
        <v>16887</v>
      </c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</row>
    <row r="24" spans="1:27">
      <c r="A24" s="1" t="s">
        <v>12</v>
      </c>
      <c r="B24" s="1" t="s">
        <v>16780</v>
      </c>
      <c r="C24" s="1" t="s">
        <v>16888</v>
      </c>
      <c r="D24" s="2" t="s">
        <v>16889</v>
      </c>
      <c r="E24" s="31"/>
      <c r="F24" s="31">
        <v>142</v>
      </c>
      <c r="G24" s="31">
        <v>415</v>
      </c>
      <c r="H24" s="31">
        <v>1862</v>
      </c>
      <c r="I24" s="31">
        <v>1862</v>
      </c>
      <c r="J24" s="31"/>
      <c r="K24" s="31"/>
      <c r="L24" s="31"/>
      <c r="M24" s="31"/>
      <c r="N24" s="31"/>
      <c r="O24" s="31"/>
    </row>
    <row r="25" spans="1:27">
      <c r="A25" s="1" t="s">
        <v>12</v>
      </c>
      <c r="B25" s="1" t="s">
        <v>16701</v>
      </c>
      <c r="C25" s="1" t="s">
        <v>16890</v>
      </c>
      <c r="D25" s="2" t="s">
        <v>16891</v>
      </c>
      <c r="E25" s="31">
        <v>207</v>
      </c>
      <c r="F25" s="31"/>
      <c r="G25" s="31"/>
      <c r="H25" s="31"/>
      <c r="I25" s="31"/>
      <c r="J25" s="31"/>
      <c r="K25" s="31"/>
      <c r="L25" s="31"/>
      <c r="M25" s="31"/>
      <c r="N25" s="31"/>
      <c r="O25" s="31"/>
    </row>
    <row r="26" spans="1:27">
      <c r="A26" s="1" t="s">
        <v>12</v>
      </c>
      <c r="B26" s="1" t="s">
        <v>2</v>
      </c>
      <c r="C26" s="1" t="s">
        <v>16892</v>
      </c>
      <c r="D26" s="2" t="s">
        <v>16893</v>
      </c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</row>
    <row r="27" spans="1:27">
      <c r="A27" s="1" t="s">
        <v>12</v>
      </c>
      <c r="B27" s="1" t="s">
        <v>16793</v>
      </c>
      <c r="C27" s="1" t="s">
        <v>16894</v>
      </c>
      <c r="D27" s="2" t="s">
        <v>16895</v>
      </c>
      <c r="E27" s="31">
        <v>25</v>
      </c>
      <c r="F27" s="31">
        <v>25</v>
      </c>
      <c r="G27" s="31">
        <v>16</v>
      </c>
      <c r="H27" s="31">
        <v>-10</v>
      </c>
      <c r="I27" s="31">
        <v>-10</v>
      </c>
      <c r="J27" s="31"/>
      <c r="K27" s="31"/>
      <c r="L27" s="31"/>
      <c r="M27" s="31"/>
      <c r="N27" s="31"/>
      <c r="O27" s="31"/>
    </row>
    <row r="28" spans="1:27">
      <c r="A28" s="1" t="s">
        <v>12</v>
      </c>
      <c r="B28" s="1" t="s">
        <v>16793</v>
      </c>
      <c r="C28" s="1" t="s">
        <v>16896</v>
      </c>
      <c r="D28" s="3" t="s">
        <v>16897</v>
      </c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</row>
    <row r="29" spans="1:27">
      <c r="A29" s="1" t="s">
        <v>4</v>
      </c>
      <c r="B29" s="1" t="s">
        <v>16793</v>
      </c>
      <c r="C29" s="1" t="s">
        <v>16898</v>
      </c>
      <c r="D29" s="9" t="s">
        <v>16899</v>
      </c>
      <c r="E29" s="30">
        <f>SUM(E5:E28)</f>
        <v>413</v>
      </c>
      <c r="F29" s="30">
        <f>SUM(F5:F28)</f>
        <v>877</v>
      </c>
      <c r="G29" s="30">
        <f t="shared" ref="G29:I29" si="2">SUM(G5:G28)</f>
        <v>1401</v>
      </c>
      <c r="H29" s="30">
        <f t="shared" si="2"/>
        <v>2876</v>
      </c>
      <c r="I29" s="218">
        <f t="shared" si="2"/>
        <v>2876</v>
      </c>
      <c r="J29" s="143">
        <f>IS추정!J18</f>
        <v>1711</v>
      </c>
      <c r="K29" s="143">
        <f>IS추정!K18</f>
        <v>1748</v>
      </c>
      <c r="L29" s="143">
        <f>IS추정!L18</f>
        <v>1786</v>
      </c>
      <c r="M29" s="143">
        <f>IS추정!M18</f>
        <v>1823</v>
      </c>
      <c r="N29" s="143">
        <f>IS추정!N18</f>
        <v>1861</v>
      </c>
      <c r="O29" s="143">
        <f>IS추정!O18</f>
        <v>1899</v>
      </c>
    </row>
    <row r="30" spans="1:27" ht="17.25" thickBot="1">
      <c r="A30" s="1" t="s">
        <v>12</v>
      </c>
      <c r="B30" s="1" t="s">
        <v>16729</v>
      </c>
      <c r="C30" s="1" t="s">
        <v>16900</v>
      </c>
      <c r="D30" s="2" t="s">
        <v>16901</v>
      </c>
      <c r="E30" s="35">
        <f>RATE!$F$3</f>
        <v>1.94</v>
      </c>
      <c r="F30" s="35">
        <f>RATE!$F$3</f>
        <v>1.94</v>
      </c>
      <c r="G30" s="35">
        <f>RATE!$F$3</f>
        <v>1.94</v>
      </c>
      <c r="H30" s="35">
        <f>RATE!$F$3</f>
        <v>1.94</v>
      </c>
      <c r="I30" s="35">
        <f>RATE!$F$3</f>
        <v>1.94</v>
      </c>
      <c r="J30" s="35">
        <f>RATE!$F$3</f>
        <v>1.94</v>
      </c>
      <c r="K30" s="35">
        <f>RATE!$F$3</f>
        <v>1.94</v>
      </c>
      <c r="L30" s="35">
        <f>RATE!$F$3</f>
        <v>1.94</v>
      </c>
      <c r="M30" s="35">
        <f>RATE!$F$3</f>
        <v>1.94</v>
      </c>
      <c r="N30" s="35">
        <f>RATE!$F$3</f>
        <v>1.94</v>
      </c>
      <c r="O30" s="35">
        <f>RATE!$F$3</f>
        <v>1.94</v>
      </c>
      <c r="V30" s="497">
        <v>2</v>
      </c>
      <c r="W30" s="497">
        <v>3</v>
      </c>
      <c r="X30" s="497">
        <v>4</v>
      </c>
      <c r="Y30" s="497">
        <v>5</v>
      </c>
      <c r="Z30" s="497">
        <v>6</v>
      </c>
      <c r="AA30" s="497">
        <v>7</v>
      </c>
    </row>
    <row r="31" spans="1:27" ht="17.25" thickBot="1">
      <c r="A31" s="1" t="s">
        <v>12</v>
      </c>
      <c r="B31" s="1" t="s">
        <v>16793</v>
      </c>
      <c r="C31" s="1" t="s">
        <v>16902</v>
      </c>
      <c r="D31" s="2" t="s">
        <v>16903</v>
      </c>
      <c r="E31" s="32">
        <f>E37/E32</f>
        <v>9.51</v>
      </c>
      <c r="F31" s="32">
        <f>F37/F32</f>
        <v>16.350000000000001</v>
      </c>
      <c r="G31" s="32">
        <f t="shared" ref="G31:I31" si="3">G37/G32</f>
        <v>17.649999999999999</v>
      </c>
      <c r="H31" s="32">
        <f t="shared" si="3"/>
        <v>17.899999999999999</v>
      </c>
      <c r="I31" s="32">
        <f t="shared" si="3"/>
        <v>17.899999999999999</v>
      </c>
      <c r="J31" s="32">
        <f>ROUND(I31*(1+(J30/100)),3)</f>
        <v>18.247</v>
      </c>
      <c r="K31" s="105">
        <f t="shared" ref="K31:O31" si="4">ROUND(J31*(1+(K30/100)),3)</f>
        <v>18.600999999999999</v>
      </c>
      <c r="L31" s="105">
        <f t="shared" si="4"/>
        <v>18.962</v>
      </c>
      <c r="M31" s="105">
        <f t="shared" si="4"/>
        <v>19.329999999999998</v>
      </c>
      <c r="N31" s="105">
        <f t="shared" si="4"/>
        <v>19.704999999999998</v>
      </c>
      <c r="O31" s="105">
        <f t="shared" si="4"/>
        <v>20.087</v>
      </c>
      <c r="R31" s="348" t="s">
        <v>198</v>
      </c>
      <c r="U31" s="269" t="s">
        <v>195</v>
      </c>
      <c r="V31" s="269" t="str">
        <f>LEFT(V35,4)</f>
        <v>2024</v>
      </c>
      <c r="W31" s="269" t="str">
        <f t="shared" ref="W31:AA31" si="5">LEFT(W35,4)</f>
        <v>2025</v>
      </c>
      <c r="X31" s="269" t="str">
        <f t="shared" si="5"/>
        <v>2026</v>
      </c>
      <c r="Y31" s="269" t="str">
        <f t="shared" si="5"/>
        <v>2027</v>
      </c>
      <c r="Z31" s="269" t="str">
        <f t="shared" si="5"/>
        <v>2028</v>
      </c>
      <c r="AA31" s="269" t="str">
        <f t="shared" si="5"/>
        <v>2029</v>
      </c>
    </row>
    <row r="32" spans="1:27" ht="17.25" thickBot="1">
      <c r="A32" s="1" t="s">
        <v>12</v>
      </c>
      <c r="B32" s="1" t="s">
        <v>16701</v>
      </c>
      <c r="C32" s="1" t="s">
        <v>16904</v>
      </c>
      <c r="D32" s="2" t="s">
        <v>16905</v>
      </c>
      <c r="E32" s="31">
        <v>100</v>
      </c>
      <c r="F32" s="102">
        <v>100</v>
      </c>
      <c r="G32" s="102">
        <v>100</v>
      </c>
      <c r="H32" s="102">
        <v>100</v>
      </c>
      <c r="I32" s="347">
        <v>100</v>
      </c>
      <c r="J32" s="32">
        <f>VLOOKUP($P$32,$U$32:$AA$33,MATCH(LEFT(J$1,4),$V$31:$AA$31,0)+1,0)</f>
        <v>102.486</v>
      </c>
      <c r="K32" s="496">
        <f t="shared" ref="K32:O32" si="6">VLOOKUP($P$32,$U$32:$AA$33,MATCH(LEFT(K$1,4),$V$31:$AA$31,0)+1,0)</f>
        <v>104.70584676</v>
      </c>
      <c r="L32" s="496">
        <f t="shared" si="6"/>
        <v>106.9664459915484</v>
      </c>
      <c r="M32" s="496">
        <f t="shared" si="6"/>
        <v>109.23092565318947</v>
      </c>
      <c r="N32" s="496">
        <f t="shared" si="6"/>
        <v>111.52477509190645</v>
      </c>
      <c r="O32" s="496">
        <f t="shared" si="6"/>
        <v>113.7976500082795</v>
      </c>
      <c r="P32" s="494" t="s">
        <v>199</v>
      </c>
      <c r="R32" s="349">
        <v>1</v>
      </c>
      <c r="U32" s="226" t="s">
        <v>200</v>
      </c>
      <c r="V32" s="345">
        <f>I$32*(1+V36/100*$R$32)</f>
        <v>102.486</v>
      </c>
      <c r="W32" s="345">
        <f>V$32*(1+W36/100*$R$32)</f>
        <v>104.70584676</v>
      </c>
      <c r="X32" s="345">
        <f t="shared" ref="X32:AA32" si="7">W$32*(1+X36/100*$R$32)</f>
        <v>106.9664459915484</v>
      </c>
      <c r="Y32" s="345">
        <f t="shared" si="7"/>
        <v>109.23092565318947</v>
      </c>
      <c r="Z32" s="345">
        <f t="shared" si="7"/>
        <v>111.52477509190645</v>
      </c>
      <c r="AA32" s="345">
        <f t="shared" si="7"/>
        <v>113.7976500082795</v>
      </c>
    </row>
    <row r="33" spans="1:27">
      <c r="A33" s="1" t="s">
        <v>12</v>
      </c>
      <c r="B33" s="1" t="s">
        <v>16695</v>
      </c>
      <c r="C33" s="1" t="s">
        <v>16906</v>
      </c>
      <c r="D33" s="2" t="s">
        <v>16907</v>
      </c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95" t="s">
        <v>451</v>
      </c>
      <c r="U33" s="226" t="s">
        <v>201</v>
      </c>
      <c r="V33" s="345">
        <f>I$32*(1+V37/100*$R$32)</f>
        <v>102.486</v>
      </c>
      <c r="W33" s="345">
        <f>V$33*(1+W37/100*$R$32)</f>
        <v>104.70584676</v>
      </c>
      <c r="X33" s="345">
        <f t="shared" ref="X33:AA33" si="8">W$33*(1+X37/100*$R$32)</f>
        <v>106.9664459915484</v>
      </c>
      <c r="Y33" s="345">
        <f t="shared" si="8"/>
        <v>109.23092565318947</v>
      </c>
      <c r="Z33" s="345">
        <f t="shared" si="8"/>
        <v>111.52477509190645</v>
      </c>
      <c r="AA33" s="345">
        <f t="shared" si="8"/>
        <v>113.7976500082795</v>
      </c>
    </row>
    <row r="34" spans="1:27">
      <c r="A34" s="1" t="s">
        <v>12</v>
      </c>
      <c r="B34" s="1" t="s">
        <v>16695</v>
      </c>
      <c r="C34" s="1" t="s">
        <v>16908</v>
      </c>
      <c r="D34" s="2" t="s">
        <v>16909</v>
      </c>
      <c r="E34" s="31">
        <v>951</v>
      </c>
      <c r="F34" s="31">
        <v>1635</v>
      </c>
      <c r="G34" s="31">
        <v>1765</v>
      </c>
      <c r="H34" s="31">
        <v>1790</v>
      </c>
      <c r="I34" s="31">
        <v>1790</v>
      </c>
      <c r="J34" s="31"/>
      <c r="K34" s="31"/>
      <c r="L34" s="31"/>
      <c r="M34" s="31"/>
      <c r="N34" s="31"/>
      <c r="O34" s="31"/>
    </row>
    <row r="35" spans="1:27">
      <c r="A35" s="1" t="s">
        <v>12</v>
      </c>
      <c r="B35" s="1" t="s">
        <v>16793</v>
      </c>
      <c r="C35" s="1" t="s">
        <v>16910</v>
      </c>
      <c r="D35" s="2" t="s">
        <v>16911</v>
      </c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U35" s="205"/>
      <c r="V35" s="297" t="str">
        <f>성장률추정!E7</f>
        <v>20241231K</v>
      </c>
      <c r="W35" s="297" t="str">
        <f>성장률추정!F7</f>
        <v>20251231K</v>
      </c>
      <c r="X35" s="297" t="str">
        <f>성장률추정!G7</f>
        <v>20261231K</v>
      </c>
      <c r="Y35" s="297" t="str">
        <f>성장률추정!H7</f>
        <v>20271231K</v>
      </c>
      <c r="Z35" s="297" t="str">
        <f>성장률추정!I7</f>
        <v>20281231K</v>
      </c>
      <c r="AA35" s="297" t="str">
        <f>성장률추정!J7</f>
        <v>20291231K</v>
      </c>
    </row>
    <row r="36" spans="1:27">
      <c r="A36" s="1" t="s">
        <v>12</v>
      </c>
      <c r="B36" s="1" t="s">
        <v>16701</v>
      </c>
      <c r="C36" s="1" t="s">
        <v>16912</v>
      </c>
      <c r="D36" s="2" t="s">
        <v>16913</v>
      </c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U36" s="226" t="s">
        <v>196</v>
      </c>
      <c r="V36" s="4">
        <f>성장률추정!E8</f>
        <v>2.4860000000000002</v>
      </c>
      <c r="W36" s="4">
        <f>성장률추정!F8</f>
        <v>2.1659999999999999</v>
      </c>
      <c r="X36" s="4">
        <f>성장률추정!G8</f>
        <v>2.1589999999999998</v>
      </c>
      <c r="Y36" s="4">
        <f>성장률추정!H8</f>
        <v>2.117</v>
      </c>
      <c r="Z36" s="4">
        <f>성장률추정!I8</f>
        <v>2.1</v>
      </c>
      <c r="AA36" s="4">
        <f>성장률추정!J8</f>
        <v>2.0379999999999998</v>
      </c>
    </row>
    <row r="37" spans="1:27">
      <c r="A37" s="1" t="s">
        <v>12</v>
      </c>
      <c r="B37" s="1" t="s">
        <v>16780</v>
      </c>
      <c r="C37" s="1" t="s">
        <v>16914</v>
      </c>
      <c r="D37" s="2" t="s">
        <v>16915</v>
      </c>
      <c r="E37" s="32">
        <f>SUM(E33:E36)</f>
        <v>951</v>
      </c>
      <c r="F37" s="32">
        <f>SUM(F33:F36)</f>
        <v>1635</v>
      </c>
      <c r="G37" s="32">
        <f t="shared" ref="G37:I37" si="9">SUM(G33:G36)</f>
        <v>1765</v>
      </c>
      <c r="H37" s="32">
        <f t="shared" si="9"/>
        <v>1790</v>
      </c>
      <c r="I37" s="32">
        <f t="shared" si="9"/>
        <v>1790</v>
      </c>
      <c r="J37" s="34">
        <f>INT(J32*J31)</f>
        <v>1870</v>
      </c>
      <c r="K37" s="34">
        <f t="shared" ref="K37:N37" si="10">INT(K32*K31)</f>
        <v>1947</v>
      </c>
      <c r="L37" s="34">
        <f t="shared" si="10"/>
        <v>2028</v>
      </c>
      <c r="M37" s="34">
        <f t="shared" si="10"/>
        <v>2111</v>
      </c>
      <c r="N37" s="34">
        <f t="shared" si="10"/>
        <v>2197</v>
      </c>
      <c r="O37" s="34">
        <f t="shared" ref="O37" si="11">INT(O32*O31)</f>
        <v>2285</v>
      </c>
      <c r="U37" s="226" t="s">
        <v>197</v>
      </c>
      <c r="V37" s="4">
        <f>성장률추정!E9</f>
        <v>2.4860000000000002</v>
      </c>
      <c r="W37" s="4">
        <f>성장률추정!F9</f>
        <v>2.1659999999999999</v>
      </c>
      <c r="X37" s="4">
        <f>성장률추정!G9</f>
        <v>2.1589999999999998</v>
      </c>
      <c r="Y37" s="4">
        <f>성장률추정!H9</f>
        <v>2.117</v>
      </c>
      <c r="Z37" s="4">
        <f>성장률추정!I9</f>
        <v>2.1</v>
      </c>
      <c r="AA37" s="4">
        <f>성장률추정!J9</f>
        <v>2.0379999999999998</v>
      </c>
    </row>
    <row r="38" spans="1:27">
      <c r="A38" s="1" t="s">
        <v>12</v>
      </c>
      <c r="B38" s="1" t="s">
        <v>2</v>
      </c>
      <c r="C38" s="1" t="s">
        <v>16916</v>
      </c>
      <c r="D38" s="2" t="s">
        <v>16917</v>
      </c>
      <c r="E38" s="31"/>
      <c r="F38" s="31">
        <v>452</v>
      </c>
      <c r="G38" s="31">
        <v>132</v>
      </c>
      <c r="H38" s="31">
        <v>273</v>
      </c>
      <c r="I38" s="31">
        <v>273</v>
      </c>
      <c r="J38" s="31"/>
      <c r="K38" s="31"/>
      <c r="L38" s="31"/>
      <c r="M38" s="31"/>
      <c r="N38" s="31"/>
      <c r="O38" s="31"/>
    </row>
    <row r="39" spans="1:27">
      <c r="A39" s="1" t="s">
        <v>12</v>
      </c>
      <c r="B39" s="1" t="s">
        <v>2</v>
      </c>
      <c r="C39" s="1" t="s">
        <v>16918</v>
      </c>
      <c r="D39" s="2" t="s">
        <v>16919</v>
      </c>
      <c r="E39" s="31">
        <v>1813</v>
      </c>
      <c r="F39" s="31"/>
      <c r="G39" s="31"/>
      <c r="H39" s="31"/>
      <c r="I39" s="31"/>
      <c r="J39" s="31"/>
      <c r="K39" s="31"/>
      <c r="L39" s="31"/>
      <c r="M39" s="31"/>
      <c r="N39" s="31"/>
      <c r="O39" s="31"/>
    </row>
    <row r="40" spans="1:27">
      <c r="A40" s="1" t="s">
        <v>12</v>
      </c>
      <c r="B40" s="1" t="s">
        <v>16695</v>
      </c>
      <c r="C40" s="1" t="s">
        <v>16920</v>
      </c>
      <c r="D40" s="2" t="s">
        <v>16921</v>
      </c>
      <c r="E40" s="32">
        <f>SUM(E38:E39)</f>
        <v>1813</v>
      </c>
      <c r="F40" s="32">
        <f>SUM(F38:F39)</f>
        <v>452</v>
      </c>
      <c r="G40" s="32">
        <f t="shared" ref="G40:I40" si="12">SUM(G38:G39)</f>
        <v>132</v>
      </c>
      <c r="H40" s="32">
        <f t="shared" si="12"/>
        <v>273</v>
      </c>
      <c r="I40" s="219">
        <f t="shared" si="12"/>
        <v>273</v>
      </c>
      <c r="J40" s="32">
        <f>INT(J37*$J$76/100)</f>
        <v>275</v>
      </c>
      <c r="K40" s="32">
        <f t="shared" ref="K40:N40" si="13">INT(K37*$J$76/100)</f>
        <v>286</v>
      </c>
      <c r="L40" s="32">
        <f t="shared" si="13"/>
        <v>298</v>
      </c>
      <c r="M40" s="32">
        <f t="shared" si="13"/>
        <v>310</v>
      </c>
      <c r="N40" s="32">
        <f t="shared" si="13"/>
        <v>323</v>
      </c>
      <c r="O40" s="32">
        <f t="shared" ref="O40" si="14">INT(O37*$J$76/100)</f>
        <v>336</v>
      </c>
    </row>
    <row r="41" spans="1:27">
      <c r="A41" s="1" t="s">
        <v>4</v>
      </c>
      <c r="B41" s="1" t="s">
        <v>2</v>
      </c>
      <c r="C41" s="1" t="s">
        <v>16922</v>
      </c>
      <c r="D41" s="8" t="s">
        <v>16923</v>
      </c>
      <c r="E41" s="30">
        <f>E37+E40</f>
        <v>2764</v>
      </c>
      <c r="F41" s="30">
        <f>F37+F40</f>
        <v>2087</v>
      </c>
      <c r="G41" s="30">
        <f t="shared" ref="G41:J41" si="15">G37+G40</f>
        <v>1897</v>
      </c>
      <c r="H41" s="30">
        <f t="shared" si="15"/>
        <v>2063</v>
      </c>
      <c r="I41" s="30">
        <f t="shared" si="15"/>
        <v>2063</v>
      </c>
      <c r="J41" s="30">
        <f t="shared" si="15"/>
        <v>2145</v>
      </c>
      <c r="K41" s="30">
        <f t="shared" ref="K41" si="16">K37+K40</f>
        <v>2233</v>
      </c>
      <c r="L41" s="30">
        <f t="shared" ref="L41" si="17">L37+L40</f>
        <v>2326</v>
      </c>
      <c r="M41" s="30">
        <f t="shared" ref="M41:N41" si="18">M37+M40</f>
        <v>2421</v>
      </c>
      <c r="N41" s="30">
        <f t="shared" si="18"/>
        <v>2520</v>
      </c>
      <c r="O41" s="30">
        <f t="shared" ref="O41" si="19">O37+O40</f>
        <v>2621</v>
      </c>
    </row>
    <row r="42" spans="1:27">
      <c r="A42" s="1" t="s">
        <v>12</v>
      </c>
      <c r="B42" s="1" t="s">
        <v>16793</v>
      </c>
      <c r="C42" s="1" t="s">
        <v>16924</v>
      </c>
      <c r="D42" s="2" t="s">
        <v>16925</v>
      </c>
      <c r="E42" s="31">
        <v>54</v>
      </c>
      <c r="F42" s="31">
        <v>187</v>
      </c>
      <c r="G42" s="31">
        <v>478</v>
      </c>
      <c r="H42" s="31">
        <v>452</v>
      </c>
      <c r="I42" s="31">
        <v>452</v>
      </c>
      <c r="J42" s="31"/>
      <c r="K42" s="31"/>
      <c r="L42" s="31"/>
      <c r="M42" s="31"/>
      <c r="N42" s="31"/>
      <c r="O42" s="31"/>
    </row>
    <row r="43" spans="1:27">
      <c r="A43" s="1" t="s">
        <v>12</v>
      </c>
      <c r="B43" s="1" t="s">
        <v>16926</v>
      </c>
      <c r="C43" s="1" t="s">
        <v>16927</v>
      </c>
      <c r="D43" s="2" t="s">
        <v>16928</v>
      </c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</row>
    <row r="44" spans="1:27">
      <c r="A44" s="1" t="s">
        <v>12</v>
      </c>
      <c r="B44" s="1" t="s">
        <v>16929</v>
      </c>
      <c r="C44" s="1" t="s">
        <v>16930</v>
      </c>
      <c r="D44" s="2" t="s">
        <v>16931</v>
      </c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</row>
    <row r="45" spans="1:27">
      <c r="A45" s="1" t="s">
        <v>12</v>
      </c>
      <c r="B45" s="1" t="s">
        <v>16932</v>
      </c>
      <c r="C45" s="1" t="s">
        <v>16933</v>
      </c>
      <c r="D45" s="2" t="s">
        <v>16934</v>
      </c>
      <c r="E45" s="31">
        <v>1</v>
      </c>
      <c r="F45" s="31">
        <v>2</v>
      </c>
      <c r="G45" s="31">
        <v>8</v>
      </c>
      <c r="H45" s="31">
        <v>4</v>
      </c>
      <c r="I45" s="31">
        <v>4</v>
      </c>
      <c r="J45" s="31"/>
      <c r="K45" s="31"/>
      <c r="L45" s="31"/>
      <c r="M45" s="31"/>
      <c r="N45" s="31"/>
      <c r="O45" s="31"/>
    </row>
    <row r="46" spans="1:27">
      <c r="A46" s="1" t="s">
        <v>12</v>
      </c>
      <c r="B46" s="1" t="s">
        <v>2</v>
      </c>
      <c r="C46" s="1" t="s">
        <v>16935</v>
      </c>
      <c r="D46" s="3" t="s">
        <v>16936</v>
      </c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</row>
    <row r="47" spans="1:27">
      <c r="A47" s="1" t="s">
        <v>4</v>
      </c>
      <c r="B47" s="1" t="s">
        <v>16873</v>
      </c>
      <c r="C47" s="1" t="s">
        <v>16937</v>
      </c>
      <c r="D47" s="9" t="s">
        <v>16938</v>
      </c>
      <c r="E47" s="30">
        <f>SUM(E42:E46)</f>
        <v>55</v>
      </c>
      <c r="F47" s="30">
        <f>SUM(F42:F46)</f>
        <v>189</v>
      </c>
      <c r="G47" s="30">
        <f t="shared" ref="G47:I47" si="20">SUM(G42:G46)</f>
        <v>486</v>
      </c>
      <c r="H47" s="30">
        <f t="shared" si="20"/>
        <v>456</v>
      </c>
      <c r="I47" s="218">
        <f t="shared" si="20"/>
        <v>456</v>
      </c>
      <c r="J47" s="30">
        <f>INT(J41*$J$77/100)</f>
        <v>452</v>
      </c>
      <c r="K47" s="30">
        <f t="shared" ref="K47:N47" si="21">INT(K41*$J$77/100)</f>
        <v>471</v>
      </c>
      <c r="L47" s="30">
        <f t="shared" si="21"/>
        <v>490</v>
      </c>
      <c r="M47" s="30">
        <f t="shared" si="21"/>
        <v>510</v>
      </c>
      <c r="N47" s="30">
        <f t="shared" si="21"/>
        <v>531</v>
      </c>
      <c r="O47" s="30">
        <f t="shared" ref="O47" si="22">INT(O41*$J$77/100)</f>
        <v>553</v>
      </c>
    </row>
    <row r="48" spans="1:27">
      <c r="A48" s="1" t="s">
        <v>12</v>
      </c>
      <c r="B48" s="1" t="s">
        <v>3</v>
      </c>
      <c r="C48" s="1" t="s">
        <v>16939</v>
      </c>
      <c r="D48" s="3" t="s">
        <v>16940</v>
      </c>
      <c r="E48" s="35">
        <f>RATE!$F$5</f>
        <v>1.94</v>
      </c>
      <c r="F48" s="35">
        <f>RATE!$F$5</f>
        <v>1.94</v>
      </c>
      <c r="G48" s="35">
        <f>RATE!$F$5</f>
        <v>1.94</v>
      </c>
      <c r="H48" s="35">
        <f>RATE!$F$5</f>
        <v>1.94</v>
      </c>
      <c r="I48" s="35">
        <f>RATE!$F$5</f>
        <v>1.94</v>
      </c>
      <c r="J48" s="35">
        <f>RATE!$F$5</f>
        <v>1.94</v>
      </c>
      <c r="K48" s="35">
        <f>RATE!$F$5</f>
        <v>1.94</v>
      </c>
      <c r="L48" s="35">
        <f>RATE!$F$5</f>
        <v>1.94</v>
      </c>
      <c r="M48" s="35">
        <f>RATE!$F$5</f>
        <v>1.94</v>
      </c>
      <c r="N48" s="35">
        <f>RATE!$F$5</f>
        <v>1.94</v>
      </c>
      <c r="O48" s="35">
        <f>RATE!$F$5</f>
        <v>1.94</v>
      </c>
    </row>
    <row r="49" spans="1:15">
      <c r="A49" s="1" t="s">
        <v>12</v>
      </c>
      <c r="B49" s="1" t="s">
        <v>3</v>
      </c>
      <c r="C49" s="1" t="s">
        <v>16941</v>
      </c>
      <c r="D49" s="3" t="s">
        <v>16942</v>
      </c>
      <c r="E49" s="35">
        <f>RATE!$F$4</f>
        <v>0.77</v>
      </c>
      <c r="F49" s="35">
        <f>RATE!$F$4</f>
        <v>0.77</v>
      </c>
      <c r="G49" s="35">
        <f>RATE!$F$4</f>
        <v>0.77</v>
      </c>
      <c r="H49" s="35">
        <f>RATE!$F$4</f>
        <v>0.77</v>
      </c>
      <c r="I49" s="35">
        <f>RATE!$F$4</f>
        <v>0.77</v>
      </c>
      <c r="J49" s="35">
        <f>RATE!$F$4</f>
        <v>0.77</v>
      </c>
      <c r="K49" s="35">
        <f>RATE!$F$4</f>
        <v>0.77</v>
      </c>
      <c r="L49" s="35">
        <f>RATE!$F$4</f>
        <v>0.77</v>
      </c>
      <c r="M49" s="35">
        <f>RATE!$F$4</f>
        <v>0.77</v>
      </c>
      <c r="N49" s="35">
        <f>RATE!$F$4</f>
        <v>0.77</v>
      </c>
      <c r="O49" s="35">
        <f>RATE!$F$4</f>
        <v>0.77</v>
      </c>
    </row>
    <row r="50" spans="1:15">
      <c r="A50" s="1" t="s">
        <v>12</v>
      </c>
      <c r="B50" s="1" t="s">
        <v>16793</v>
      </c>
      <c r="C50" s="1" t="s">
        <v>16943</v>
      </c>
      <c r="D50" s="3" t="s">
        <v>16944</v>
      </c>
      <c r="E50" s="31">
        <v>93</v>
      </c>
      <c r="F50" s="31">
        <v>142</v>
      </c>
      <c r="G50" s="31">
        <v>199</v>
      </c>
      <c r="H50" s="31">
        <v>244</v>
      </c>
      <c r="I50" s="31">
        <v>244</v>
      </c>
      <c r="J50" s="32">
        <f>INT(I50*(1+J$49/100))</f>
        <v>245</v>
      </c>
      <c r="K50" s="32">
        <f t="shared" ref="K50:O50" si="23">INT(J50*(1+K$49/100))</f>
        <v>246</v>
      </c>
      <c r="L50" s="32">
        <f t="shared" si="23"/>
        <v>247</v>
      </c>
      <c r="M50" s="32">
        <f t="shared" si="23"/>
        <v>248</v>
      </c>
      <c r="N50" s="32">
        <f t="shared" si="23"/>
        <v>249</v>
      </c>
      <c r="O50" s="32">
        <f t="shared" si="23"/>
        <v>250</v>
      </c>
    </row>
    <row r="51" spans="1:15">
      <c r="A51" s="1" t="s">
        <v>12</v>
      </c>
      <c r="B51" s="1" t="s">
        <v>16796</v>
      </c>
      <c r="C51" s="1" t="s">
        <v>16945</v>
      </c>
      <c r="D51" s="3" t="s">
        <v>16946</v>
      </c>
      <c r="E51" s="31">
        <v>3</v>
      </c>
      <c r="F51" s="31">
        <v>9</v>
      </c>
      <c r="G51" s="31">
        <v>4</v>
      </c>
      <c r="H51" s="31">
        <v>3</v>
      </c>
      <c r="I51" s="31">
        <v>3</v>
      </c>
      <c r="J51" s="32">
        <f>INT(I51*(1+J$48/100))</f>
        <v>3</v>
      </c>
      <c r="K51" s="32">
        <f>INT(J51*(1+K$48/100))</f>
        <v>3</v>
      </c>
      <c r="L51" s="32">
        <f t="shared" ref="L51:O51" si="24">INT(K51*(1+L$48/100))</f>
        <v>3</v>
      </c>
      <c r="M51" s="32">
        <f t="shared" si="24"/>
        <v>3</v>
      </c>
      <c r="N51" s="32">
        <f t="shared" si="24"/>
        <v>3</v>
      </c>
      <c r="O51" s="32">
        <f t="shared" si="24"/>
        <v>3</v>
      </c>
    </row>
    <row r="52" spans="1:15">
      <c r="A52" s="1" t="s">
        <v>12</v>
      </c>
      <c r="B52" s="1" t="s">
        <v>2</v>
      </c>
      <c r="C52" s="1" t="s">
        <v>16947</v>
      </c>
      <c r="D52" s="3" t="s">
        <v>16948</v>
      </c>
      <c r="E52" s="31">
        <v>8</v>
      </c>
      <c r="F52" s="31">
        <v>9</v>
      </c>
      <c r="G52" s="31">
        <v>9</v>
      </c>
      <c r="H52" s="31">
        <v>45</v>
      </c>
      <c r="I52" s="31">
        <v>45</v>
      </c>
      <c r="J52" s="32">
        <f>INT(I52*(1+J$48/100))</f>
        <v>45</v>
      </c>
      <c r="K52" s="32">
        <f t="shared" ref="K52:O52" si="25">INT(J52*(1+K$48/100))</f>
        <v>45</v>
      </c>
      <c r="L52" s="32">
        <f t="shared" si="25"/>
        <v>45</v>
      </c>
      <c r="M52" s="32">
        <f t="shared" si="25"/>
        <v>45</v>
      </c>
      <c r="N52" s="32">
        <f t="shared" si="25"/>
        <v>45</v>
      </c>
      <c r="O52" s="32">
        <f t="shared" si="25"/>
        <v>45</v>
      </c>
    </row>
    <row r="53" spans="1:15">
      <c r="A53" s="1" t="s">
        <v>12</v>
      </c>
      <c r="B53" s="1" t="s">
        <v>2</v>
      </c>
      <c r="C53" s="1" t="s">
        <v>16949</v>
      </c>
      <c r="D53" s="3" t="s">
        <v>16950</v>
      </c>
      <c r="E53" s="31">
        <v>28</v>
      </c>
      <c r="F53" s="31">
        <v>51</v>
      </c>
      <c r="G53" s="31">
        <v>19</v>
      </c>
      <c r="H53" s="31">
        <v>48</v>
      </c>
      <c r="I53" s="31">
        <v>48</v>
      </c>
      <c r="J53" s="32">
        <f t="shared" ref="J53:O62" si="26">INT(I53*(1+J$48/100))</f>
        <v>48</v>
      </c>
      <c r="K53" s="32">
        <f t="shared" si="26"/>
        <v>48</v>
      </c>
      <c r="L53" s="32">
        <f t="shared" si="26"/>
        <v>48</v>
      </c>
      <c r="M53" s="32">
        <f t="shared" si="26"/>
        <v>48</v>
      </c>
      <c r="N53" s="32">
        <f t="shared" si="26"/>
        <v>48</v>
      </c>
      <c r="O53" s="32">
        <f t="shared" si="26"/>
        <v>48</v>
      </c>
    </row>
    <row r="54" spans="1:15">
      <c r="A54" s="1" t="s">
        <v>12</v>
      </c>
      <c r="B54" s="1" t="s">
        <v>16695</v>
      </c>
      <c r="C54" s="1" t="s">
        <v>16951</v>
      </c>
      <c r="D54" s="3" t="s">
        <v>16952</v>
      </c>
      <c r="E54" s="31">
        <v>0</v>
      </c>
      <c r="F54" s="31">
        <v>0</v>
      </c>
      <c r="G54" s="31">
        <v>6</v>
      </c>
      <c r="H54" s="31">
        <v>2</v>
      </c>
      <c r="I54" s="31">
        <v>2</v>
      </c>
      <c r="J54" s="32">
        <f t="shared" si="26"/>
        <v>2</v>
      </c>
      <c r="K54" s="32">
        <f t="shared" si="26"/>
        <v>2</v>
      </c>
      <c r="L54" s="32">
        <f t="shared" si="26"/>
        <v>2</v>
      </c>
      <c r="M54" s="32">
        <f t="shared" si="26"/>
        <v>2</v>
      </c>
      <c r="N54" s="32">
        <f t="shared" si="26"/>
        <v>2</v>
      </c>
      <c r="O54" s="32">
        <f t="shared" si="26"/>
        <v>2</v>
      </c>
    </row>
    <row r="55" spans="1:15">
      <c r="A55" s="1" t="s">
        <v>12</v>
      </c>
      <c r="B55" s="1" t="s">
        <v>16695</v>
      </c>
      <c r="C55" s="1" t="s">
        <v>16953</v>
      </c>
      <c r="D55" s="3" t="s">
        <v>16954</v>
      </c>
      <c r="E55" s="31">
        <v>188</v>
      </c>
      <c r="F55" s="31">
        <v>42</v>
      </c>
      <c r="G55" s="31">
        <v>12</v>
      </c>
      <c r="H55" s="31">
        <v>59</v>
      </c>
      <c r="I55" s="31">
        <v>59</v>
      </c>
      <c r="J55" s="32">
        <f t="shared" si="26"/>
        <v>60</v>
      </c>
      <c r="K55" s="32">
        <f t="shared" si="26"/>
        <v>61</v>
      </c>
      <c r="L55" s="32">
        <f t="shared" si="26"/>
        <v>62</v>
      </c>
      <c r="M55" s="32">
        <f t="shared" si="26"/>
        <v>63</v>
      </c>
      <c r="N55" s="32">
        <f t="shared" si="26"/>
        <v>64</v>
      </c>
      <c r="O55" s="32">
        <f t="shared" si="26"/>
        <v>65</v>
      </c>
    </row>
    <row r="56" spans="1:15">
      <c r="A56" s="1" t="s">
        <v>12</v>
      </c>
      <c r="B56" s="1" t="s">
        <v>16796</v>
      </c>
      <c r="C56" s="1" t="s">
        <v>16955</v>
      </c>
      <c r="D56" s="3" t="s">
        <v>16956</v>
      </c>
      <c r="E56" s="31"/>
      <c r="F56" s="31"/>
      <c r="G56" s="31"/>
      <c r="H56" s="31"/>
      <c r="I56" s="31"/>
      <c r="J56" s="32">
        <f t="shared" si="26"/>
        <v>0</v>
      </c>
      <c r="K56" s="32">
        <f t="shared" si="26"/>
        <v>0</v>
      </c>
      <c r="L56" s="32">
        <f t="shared" si="26"/>
        <v>0</v>
      </c>
      <c r="M56" s="32">
        <f t="shared" si="26"/>
        <v>0</v>
      </c>
      <c r="N56" s="32">
        <f t="shared" si="26"/>
        <v>0</v>
      </c>
      <c r="O56" s="32">
        <f t="shared" si="26"/>
        <v>0</v>
      </c>
    </row>
    <row r="57" spans="1:15">
      <c r="A57" s="1" t="s">
        <v>12</v>
      </c>
      <c r="B57" s="1" t="s">
        <v>16793</v>
      </c>
      <c r="C57" s="1" t="s">
        <v>16957</v>
      </c>
      <c r="D57" s="3" t="s">
        <v>16958</v>
      </c>
      <c r="E57" s="31">
        <v>7</v>
      </c>
      <c r="F57" s="31">
        <v>22</v>
      </c>
      <c r="G57" s="31">
        <v>32</v>
      </c>
      <c r="H57" s="31">
        <v>75</v>
      </c>
      <c r="I57" s="31">
        <v>75</v>
      </c>
      <c r="J57" s="32">
        <f t="shared" si="26"/>
        <v>76</v>
      </c>
      <c r="K57" s="32">
        <f t="shared" si="26"/>
        <v>77</v>
      </c>
      <c r="L57" s="32">
        <f t="shared" si="26"/>
        <v>78</v>
      </c>
      <c r="M57" s="32">
        <f t="shared" si="26"/>
        <v>79</v>
      </c>
      <c r="N57" s="32">
        <f t="shared" si="26"/>
        <v>80</v>
      </c>
      <c r="O57" s="32">
        <f t="shared" si="26"/>
        <v>81</v>
      </c>
    </row>
    <row r="58" spans="1:15">
      <c r="A58" s="1" t="s">
        <v>12</v>
      </c>
      <c r="B58" s="1" t="s">
        <v>2</v>
      </c>
      <c r="C58" s="1" t="s">
        <v>16959</v>
      </c>
      <c r="D58" s="3" t="s">
        <v>16960</v>
      </c>
      <c r="E58" s="31">
        <v>1</v>
      </c>
      <c r="F58" s="31">
        <v>45</v>
      </c>
      <c r="G58" s="31">
        <v>80</v>
      </c>
      <c r="H58" s="31">
        <v>46</v>
      </c>
      <c r="I58" s="31">
        <v>46</v>
      </c>
      <c r="J58" s="32">
        <f t="shared" si="26"/>
        <v>46</v>
      </c>
      <c r="K58" s="32">
        <f t="shared" si="26"/>
        <v>46</v>
      </c>
      <c r="L58" s="32">
        <f t="shared" si="26"/>
        <v>46</v>
      </c>
      <c r="M58" s="32">
        <f t="shared" si="26"/>
        <v>46</v>
      </c>
      <c r="N58" s="32">
        <f t="shared" si="26"/>
        <v>46</v>
      </c>
      <c r="O58" s="32">
        <f t="shared" si="26"/>
        <v>46</v>
      </c>
    </row>
    <row r="59" spans="1:15">
      <c r="A59" s="1" t="s">
        <v>12</v>
      </c>
      <c r="B59" s="1" t="s">
        <v>2</v>
      </c>
      <c r="C59" s="1" t="s">
        <v>16961</v>
      </c>
      <c r="D59" s="3" t="s">
        <v>16962</v>
      </c>
      <c r="E59" s="31"/>
      <c r="F59" s="31"/>
      <c r="G59" s="31"/>
      <c r="H59" s="31"/>
      <c r="I59" s="31"/>
      <c r="J59" s="32">
        <f t="shared" si="26"/>
        <v>0</v>
      </c>
      <c r="K59" s="32">
        <f t="shared" si="26"/>
        <v>0</v>
      </c>
      <c r="L59" s="32">
        <f t="shared" si="26"/>
        <v>0</v>
      </c>
      <c r="M59" s="32">
        <f t="shared" si="26"/>
        <v>0</v>
      </c>
      <c r="N59" s="32">
        <f t="shared" si="26"/>
        <v>0</v>
      </c>
      <c r="O59" s="32">
        <f t="shared" si="26"/>
        <v>0</v>
      </c>
    </row>
    <row r="60" spans="1:15">
      <c r="A60" s="1" t="s">
        <v>12</v>
      </c>
      <c r="B60" s="1" t="s">
        <v>2</v>
      </c>
      <c r="C60" s="1" t="s">
        <v>16963</v>
      </c>
      <c r="D60" s="3" t="s">
        <v>16964</v>
      </c>
      <c r="E60" s="31"/>
      <c r="F60" s="31"/>
      <c r="G60" s="31"/>
      <c r="H60" s="31"/>
      <c r="I60" s="31"/>
      <c r="J60" s="32">
        <f t="shared" si="26"/>
        <v>0</v>
      </c>
      <c r="K60" s="32">
        <f t="shared" si="26"/>
        <v>0</v>
      </c>
      <c r="L60" s="32">
        <f t="shared" si="26"/>
        <v>0</v>
      </c>
      <c r="M60" s="32">
        <f t="shared" si="26"/>
        <v>0</v>
      </c>
      <c r="N60" s="32">
        <f t="shared" si="26"/>
        <v>0</v>
      </c>
      <c r="O60" s="32">
        <f t="shared" si="26"/>
        <v>0</v>
      </c>
    </row>
    <row r="61" spans="1:15">
      <c r="A61" s="1" t="s">
        <v>12</v>
      </c>
      <c r="B61" s="1" t="s">
        <v>16695</v>
      </c>
      <c r="C61" s="1" t="s">
        <v>16965</v>
      </c>
      <c r="D61" s="3" t="s">
        <v>16966</v>
      </c>
      <c r="E61" s="31"/>
      <c r="F61" s="31"/>
      <c r="G61" s="31"/>
      <c r="H61" s="31"/>
      <c r="I61" s="31"/>
      <c r="J61" s="32">
        <f t="shared" si="26"/>
        <v>0</v>
      </c>
      <c r="K61" s="32">
        <f t="shared" si="26"/>
        <v>0</v>
      </c>
      <c r="L61" s="32">
        <f t="shared" si="26"/>
        <v>0</v>
      </c>
      <c r="M61" s="32">
        <f t="shared" si="26"/>
        <v>0</v>
      </c>
      <c r="N61" s="32">
        <f t="shared" si="26"/>
        <v>0</v>
      </c>
      <c r="O61" s="32">
        <f t="shared" si="26"/>
        <v>0</v>
      </c>
    </row>
    <row r="62" spans="1:15">
      <c r="A62" s="1" t="s">
        <v>12</v>
      </c>
      <c r="B62" s="1" t="s">
        <v>2</v>
      </c>
      <c r="C62" s="1" t="s">
        <v>16967</v>
      </c>
      <c r="D62" s="3" t="s">
        <v>16968</v>
      </c>
      <c r="E62" s="31"/>
      <c r="F62" s="31"/>
      <c r="G62" s="31"/>
      <c r="H62" s="31"/>
      <c r="I62" s="31"/>
      <c r="J62" s="32">
        <f t="shared" si="26"/>
        <v>0</v>
      </c>
      <c r="K62" s="32">
        <f t="shared" si="26"/>
        <v>0</v>
      </c>
      <c r="L62" s="32">
        <f t="shared" si="26"/>
        <v>0</v>
      </c>
      <c r="M62" s="32">
        <f t="shared" si="26"/>
        <v>0</v>
      </c>
      <c r="N62" s="32">
        <f t="shared" si="26"/>
        <v>0</v>
      </c>
      <c r="O62" s="32">
        <f t="shared" si="26"/>
        <v>0</v>
      </c>
    </row>
    <row r="63" spans="1:15">
      <c r="A63" s="1" t="s">
        <v>16732</v>
      </c>
      <c r="B63" s="1" t="s">
        <v>2</v>
      </c>
      <c r="C63" s="1" t="s">
        <v>16969</v>
      </c>
      <c r="D63" s="8" t="s">
        <v>16970</v>
      </c>
      <c r="E63" s="30">
        <f>SUM(E50:E62)</f>
        <v>328</v>
      </c>
      <c r="F63" s="30">
        <f>SUM(F50:F62)</f>
        <v>320</v>
      </c>
      <c r="G63" s="30">
        <f t="shared" ref="G63:I63" si="27">SUM(G50:G62)</f>
        <v>361</v>
      </c>
      <c r="H63" s="30">
        <f t="shared" si="27"/>
        <v>522</v>
      </c>
      <c r="I63" s="30">
        <f t="shared" si="27"/>
        <v>522</v>
      </c>
      <c r="J63" s="30">
        <f>SUM(J50:J62)</f>
        <v>525</v>
      </c>
      <c r="K63" s="30">
        <f t="shared" ref="K63" si="28">SUM(K50:K62)</f>
        <v>528</v>
      </c>
      <c r="L63" s="30">
        <f t="shared" ref="L63" si="29">SUM(L50:L62)</f>
        <v>531</v>
      </c>
      <c r="M63" s="30">
        <f t="shared" ref="M63" si="30">SUM(M50:M62)</f>
        <v>534</v>
      </c>
      <c r="N63" s="30">
        <f>SUM(N50:N62)</f>
        <v>537</v>
      </c>
      <c r="O63" s="30">
        <f>SUM(O50:O62)</f>
        <v>540</v>
      </c>
    </row>
    <row r="64" spans="1:15">
      <c r="A64" s="1" t="s">
        <v>4</v>
      </c>
      <c r="B64" s="1" t="s">
        <v>16796</v>
      </c>
      <c r="C64" s="1" t="s">
        <v>16971</v>
      </c>
      <c r="D64" s="8" t="s">
        <v>16972</v>
      </c>
      <c r="E64" s="36">
        <f>감가상각추정!E9</f>
        <v>26</v>
      </c>
      <c r="F64" s="36">
        <f>감가상각추정!F9</f>
        <v>35</v>
      </c>
      <c r="G64" s="36">
        <f>감가상각추정!G9</f>
        <v>63</v>
      </c>
      <c r="H64" s="36">
        <f>감가상각추정!H9</f>
        <v>125</v>
      </c>
      <c r="I64" s="36">
        <f>감가상각추정!I9</f>
        <v>125</v>
      </c>
      <c r="J64" s="36">
        <f>감가상각추정!J9</f>
        <v>194</v>
      </c>
      <c r="K64" s="36">
        <f>감가상각추정!K9</f>
        <v>336</v>
      </c>
      <c r="L64" s="36">
        <f>감가상각추정!L9</f>
        <v>582</v>
      </c>
      <c r="M64" s="36">
        <f>감가상각추정!M9</f>
        <v>1008</v>
      </c>
      <c r="N64" s="36">
        <f>감가상각추정!N9</f>
        <v>1746</v>
      </c>
      <c r="O64" s="36">
        <f>감가상각추정!O9</f>
        <v>3022</v>
      </c>
    </row>
    <row r="65" spans="1:20">
      <c r="A65" s="1" t="s">
        <v>12</v>
      </c>
      <c r="B65" s="1" t="s">
        <v>2</v>
      </c>
      <c r="C65" s="1" t="s">
        <v>16973</v>
      </c>
      <c r="D65" s="8" t="s">
        <v>16974</v>
      </c>
      <c r="E65" s="36">
        <f>감가상각추정!E15</f>
        <v>0</v>
      </c>
      <c r="F65" s="36">
        <f>감가상각추정!F15</f>
        <v>21</v>
      </c>
      <c r="G65" s="36">
        <f>감가상각추정!G15</f>
        <v>23</v>
      </c>
      <c r="H65" s="36">
        <f>감가상각추정!H15</f>
        <v>15</v>
      </c>
      <c r="I65" s="36">
        <f>감가상각추정!I15</f>
        <v>15</v>
      </c>
      <c r="J65" s="36">
        <f>감가상각추정!J15</f>
        <v>250</v>
      </c>
      <c r="K65" s="36">
        <f>감가상각추정!K15</f>
        <v>1763</v>
      </c>
      <c r="L65" s="36">
        <f>감가상각추정!L15</f>
        <v>12432</v>
      </c>
      <c r="M65" s="36">
        <f>감가상각추정!M15</f>
        <v>87648</v>
      </c>
      <c r="N65" s="36">
        <f>감가상각추정!N15</f>
        <v>617941</v>
      </c>
      <c r="O65" s="36">
        <f>감가상각추정!O15</f>
        <v>4356604</v>
      </c>
    </row>
    <row r="66" spans="1:20">
      <c r="A66" s="1" t="s">
        <v>4</v>
      </c>
      <c r="B66" s="1" t="s">
        <v>2</v>
      </c>
      <c r="C66" s="1" t="s">
        <v>16975</v>
      </c>
      <c r="D66" s="8" t="s">
        <v>16976</v>
      </c>
      <c r="E66" s="31">
        <v>9</v>
      </c>
      <c r="F66" s="31"/>
      <c r="G66" s="31"/>
      <c r="H66" s="31"/>
      <c r="I66" s="31"/>
      <c r="J66" s="143">
        <f>IS추정!J24</f>
        <v>0</v>
      </c>
      <c r="K66" s="143">
        <f>IS추정!K24</f>
        <v>0</v>
      </c>
      <c r="L66" s="143">
        <f>IS추정!L24</f>
        <v>0</v>
      </c>
      <c r="M66" s="143">
        <f>IS추정!M24</f>
        <v>0</v>
      </c>
      <c r="N66" s="143">
        <f>IS추정!N24</f>
        <v>0</v>
      </c>
      <c r="O66" s="143">
        <f>IS추정!O24</f>
        <v>0</v>
      </c>
    </row>
    <row r="67" spans="1:20">
      <c r="A67" s="1" t="s">
        <v>16700</v>
      </c>
      <c r="B67" s="1" t="s">
        <v>2</v>
      </c>
      <c r="C67" s="1" t="s">
        <v>16977</v>
      </c>
      <c r="D67" s="8" t="s">
        <v>16978</v>
      </c>
      <c r="E67" s="30">
        <f>E29+E41+E47+E63+E64+E65+E66</f>
        <v>3595</v>
      </c>
      <c r="F67" s="30">
        <f>F29+F41+F47+F63+F64+F65+F66</f>
        <v>3529</v>
      </c>
      <c r="G67" s="30">
        <f t="shared" ref="G67:I67" si="31">G29+G41+G47+G63+G64+G65+G66</f>
        <v>4231</v>
      </c>
      <c r="H67" s="30">
        <f t="shared" si="31"/>
        <v>6057</v>
      </c>
      <c r="I67" s="30">
        <f t="shared" si="31"/>
        <v>6057</v>
      </c>
      <c r="J67" s="89">
        <f>J29+J41+J47+J63+J64+J65+J66</f>
        <v>5277</v>
      </c>
      <c r="K67" s="89">
        <f t="shared" ref="K67:O67" si="32">K29+K41+K47+K63+K64+K65+K66</f>
        <v>7079</v>
      </c>
      <c r="L67" s="89">
        <f t="shared" si="32"/>
        <v>18147</v>
      </c>
      <c r="M67" s="89">
        <f t="shared" si="32"/>
        <v>93944</v>
      </c>
      <c r="N67" s="89">
        <f t="shared" si="32"/>
        <v>625136</v>
      </c>
      <c r="O67" s="89">
        <f t="shared" si="32"/>
        <v>4365239</v>
      </c>
    </row>
    <row r="68" spans="1:20">
      <c r="A68" s="2" t="s">
        <v>12</v>
      </c>
      <c r="B68" s="2" t="s">
        <v>11</v>
      </c>
      <c r="C68" s="1" t="s">
        <v>16979</v>
      </c>
      <c r="D68" s="2" t="s">
        <v>16980</v>
      </c>
      <c r="E68" s="33">
        <f>IS추정!E17</f>
        <v>3594</v>
      </c>
      <c r="F68" s="33">
        <f>IS추정!F17</f>
        <v>3527</v>
      </c>
      <c r="G68" s="33">
        <f>IS추정!G17</f>
        <v>4229</v>
      </c>
      <c r="H68" s="33">
        <f>IS추정!H17</f>
        <v>6057</v>
      </c>
      <c r="O68" s="86"/>
    </row>
    <row r="69" spans="1:20">
      <c r="A69" s="2" t="s">
        <v>106</v>
      </c>
      <c r="B69" s="2" t="s">
        <v>11</v>
      </c>
      <c r="C69" s="1" t="s">
        <v>16981</v>
      </c>
      <c r="D69" s="2" t="s">
        <v>16982</v>
      </c>
      <c r="E69" s="45">
        <f>E67-E68</f>
        <v>1</v>
      </c>
      <c r="F69" s="45">
        <f>F67-F68</f>
        <v>2</v>
      </c>
      <c r="G69" s="45">
        <f>G67-G68</f>
        <v>2</v>
      </c>
      <c r="H69" s="45">
        <f>H67-H68</f>
        <v>0</v>
      </c>
      <c r="O69" s="86"/>
    </row>
    <row r="71" spans="1:20">
      <c r="L71" s="56" t="s">
        <v>0</v>
      </c>
    </row>
    <row r="72" spans="1:20" ht="17.25" thickBot="1">
      <c r="L72" s="57">
        <f ca="1">+민감도!B7</f>
        <v>-13305399948.490595</v>
      </c>
    </row>
    <row r="73" spans="1:20" ht="17.25" thickBot="1">
      <c r="A73" s="367">
        <f>ROW(C78)-ROW(C73)</f>
        <v>5</v>
      </c>
      <c r="B73" s="1"/>
      <c r="C73" s="1" t="s">
        <v>16990</v>
      </c>
      <c r="D73" s="1" t="s">
        <v>16991</v>
      </c>
      <c r="E73" s="1" t="s">
        <v>16476</v>
      </c>
      <c r="F73" s="1" t="s">
        <v>16478</v>
      </c>
      <c r="G73" s="1" t="s">
        <v>16480</v>
      </c>
      <c r="H73" s="1" t="s">
        <v>16483</v>
      </c>
      <c r="I73" s="1" t="s">
        <v>16829</v>
      </c>
      <c r="J73" s="360" t="s">
        <v>204</v>
      </c>
      <c r="L73" s="116" t="s">
        <v>27</v>
      </c>
      <c r="M73" s="14"/>
      <c r="N73" s="354" t="s">
        <v>28</v>
      </c>
      <c r="O73" s="354" t="s">
        <v>24</v>
      </c>
      <c r="P73" s="354" t="s">
        <v>25</v>
      </c>
      <c r="Q73" s="354" t="s">
        <v>209</v>
      </c>
      <c r="R73" s="354" t="s">
        <v>29</v>
      </c>
      <c r="S73" s="363" t="s">
        <v>208</v>
      </c>
      <c r="T73" s="354" t="s">
        <v>26</v>
      </c>
    </row>
    <row r="74" spans="1:20">
      <c r="A74" s="1" t="s">
        <v>12</v>
      </c>
      <c r="B74" s="1" t="s">
        <v>16992</v>
      </c>
      <c r="C74" s="1" t="s">
        <v>16993</v>
      </c>
      <c r="D74" s="2" t="s">
        <v>16994</v>
      </c>
      <c r="E74" s="28">
        <f>E3/E2*100</f>
        <v>77.591885127124229</v>
      </c>
      <c r="F74" s="28">
        <f>F3/F2*100</f>
        <v>78.961568109239067</v>
      </c>
      <c r="G74" s="28">
        <f t="shared" ref="G74:H74" si="33">G3/G2*100</f>
        <v>94.456289978678043</v>
      </c>
      <c r="H74" s="28">
        <f t="shared" si="33"/>
        <v>145.20438683948157</v>
      </c>
      <c r="I74" s="28">
        <f>(F74+G74*2+H74*3)/6</f>
        <v>117.24788476417331</v>
      </c>
      <c r="J74" s="356">
        <f>HLOOKUP($J$73,$N$73:$T$78,$M74,0)</f>
        <v>117.24788476417331</v>
      </c>
      <c r="K74" s="92">
        <f>(E74+F74*2+G74*3)/6</f>
        <v>86.480648546939406</v>
      </c>
      <c r="L74" s="159"/>
      <c r="M74" s="359">
        <v>2</v>
      </c>
      <c r="N74" s="353">
        <f>AVERAGE(E74:H74)</f>
        <v>99.053532513630728</v>
      </c>
      <c r="O74" s="353">
        <f>AVERAGE(F74:H74)</f>
        <v>106.20741497579957</v>
      </c>
      <c r="P74" s="353">
        <f>AVERAGE(G74:H74)</f>
        <v>119.83033840907981</v>
      </c>
      <c r="Q74" s="353">
        <f>AVERAGE(E74:G74)</f>
        <v>83.669914405013785</v>
      </c>
      <c r="R74" s="353">
        <f>(4*H74+3*G74+2*F74+E74)/10</f>
        <v>109.97014386395628</v>
      </c>
      <c r="S74" s="353">
        <f>(F74+G74*2+H74*3)/6</f>
        <v>117.24788476417331</v>
      </c>
      <c r="T74" s="364">
        <f>(2*H74+G74)/3</f>
        <v>128.28835455254708</v>
      </c>
    </row>
    <row r="75" spans="1:20">
      <c r="A75" s="1" t="s">
        <v>12</v>
      </c>
      <c r="B75" s="1" t="s">
        <v>16724</v>
      </c>
      <c r="C75" s="1" t="s">
        <v>16995</v>
      </c>
      <c r="D75" s="2" t="s">
        <v>16996</v>
      </c>
      <c r="E75" s="28">
        <f>E29/E2*100</f>
        <v>2.7203267026742193</v>
      </c>
      <c r="F75" s="28">
        <f>F29/F2*100</f>
        <v>4.8287633520537385</v>
      </c>
      <c r="G75" s="28">
        <f t="shared" ref="G75:H75" si="34">G29/G2*100</f>
        <v>11.489257011645071</v>
      </c>
      <c r="H75" s="28">
        <f t="shared" si="34"/>
        <v>57.34795613160518</v>
      </c>
      <c r="I75" s="28">
        <f t="shared" ref="I75:I78" si="35">(F75+G75*2+H75*3)/6</f>
        <v>33.308524295026572</v>
      </c>
      <c r="J75" s="357">
        <f t="shared" ref="J75:J78" si="36">HLOOKUP($J$73,$N$73:$T$78,$M75,0)</f>
        <v>33.308524295026572</v>
      </c>
      <c r="K75" s="92">
        <f t="shared" ref="K75:K78" si="37">(E75+F75*2+G75*3)/6</f>
        <v>7.8076040736194843</v>
      </c>
      <c r="L75" s="159"/>
      <c r="M75" s="359">
        <v>3</v>
      </c>
      <c r="N75" s="353">
        <f>AVERAGE(E75:H75)</f>
        <v>19.096575799494552</v>
      </c>
      <c r="O75" s="353">
        <f>AVERAGE(F75:H75)</f>
        <v>24.555325498434666</v>
      </c>
      <c r="P75" s="353">
        <f>AVERAGE(G75:H75)</f>
        <v>34.418606571625126</v>
      </c>
      <c r="Q75" s="353">
        <f>AVERAGE(E75:G75)</f>
        <v>6.3461156887910093</v>
      </c>
      <c r="R75" s="353">
        <f>(4*H75+3*G75+2*F75+E75)/10</f>
        <v>27.623744896813765</v>
      </c>
      <c r="S75" s="353">
        <f t="shared" ref="S75:S78" si="38">(F75+G75*2+H75*3)/6</f>
        <v>33.308524295026572</v>
      </c>
      <c r="T75" s="364">
        <f>(2*H75+G75)/3</f>
        <v>42.061723091618475</v>
      </c>
    </row>
    <row r="76" spans="1:20">
      <c r="A76" s="1" t="s">
        <v>12</v>
      </c>
      <c r="B76" s="1" t="s">
        <v>16711</v>
      </c>
      <c r="C76" s="1" t="s">
        <v>16997</v>
      </c>
      <c r="D76" s="2" t="s">
        <v>16998</v>
      </c>
      <c r="E76" s="28">
        <f>E40/E37*100</f>
        <v>190.64143007360673</v>
      </c>
      <c r="F76" s="28">
        <f>F40/F37*100</f>
        <v>27.645259938837917</v>
      </c>
      <c r="G76" s="28">
        <f t="shared" ref="G76:H76" si="39">G40/G37*100</f>
        <v>7.4787535410764869</v>
      </c>
      <c r="H76" s="28">
        <f t="shared" si="39"/>
        <v>15.251396648044693</v>
      </c>
      <c r="I76" s="28">
        <f t="shared" si="35"/>
        <v>14.726159494187494</v>
      </c>
      <c r="J76" s="357">
        <f t="shared" si="36"/>
        <v>14.726159494187494</v>
      </c>
      <c r="K76" s="92">
        <f t="shared" si="37"/>
        <v>44.728035095752006</v>
      </c>
      <c r="L76" s="159"/>
      <c r="M76" s="359">
        <v>4</v>
      </c>
      <c r="N76" s="353">
        <f>AVERAGE(E76:H76)</f>
        <v>60.254210050391457</v>
      </c>
      <c r="O76" s="353">
        <f>AVERAGE(F76:H76)</f>
        <v>16.791803375986365</v>
      </c>
      <c r="P76" s="353">
        <f>AVERAGE(G76:H76)</f>
        <v>11.36507509456059</v>
      </c>
      <c r="Q76" s="353">
        <f>AVERAGE(E76:G76)</f>
        <v>75.255147851173703</v>
      </c>
      <c r="R76" s="353">
        <f>(4*H76+3*G76+2*F76+E76)/10</f>
        <v>32.937379716669078</v>
      </c>
      <c r="S76" s="353">
        <f t="shared" si="38"/>
        <v>14.726159494187494</v>
      </c>
      <c r="T76" s="364">
        <f>(2*H76+G76)/3</f>
        <v>12.660515612388624</v>
      </c>
    </row>
    <row r="77" spans="1:20">
      <c r="A77" s="1" t="s">
        <v>12</v>
      </c>
      <c r="B77" s="1" t="s">
        <v>16992</v>
      </c>
      <c r="C77" s="1" t="s">
        <v>16999</v>
      </c>
      <c r="D77" s="2" t="s">
        <v>17000</v>
      </c>
      <c r="E77" s="28">
        <f>E47/E41*100</f>
        <v>1.9898697539797394</v>
      </c>
      <c r="F77" s="28">
        <f>F47/F41*100</f>
        <v>9.0560613320555809</v>
      </c>
      <c r="G77" s="28">
        <f t="shared" ref="G77:H77" si="40">G47/G41*100</f>
        <v>25.619399051133367</v>
      </c>
      <c r="H77" s="28">
        <f t="shared" si="40"/>
        <v>22.10373242850218</v>
      </c>
      <c r="I77" s="28">
        <f t="shared" si="35"/>
        <v>21.101009453304808</v>
      </c>
      <c r="J77" s="357">
        <f t="shared" si="36"/>
        <v>21.101009453304808</v>
      </c>
      <c r="K77" s="92">
        <f t="shared" si="37"/>
        <v>16.160031595248501</v>
      </c>
      <c r="L77" s="159"/>
      <c r="M77" s="359">
        <v>5</v>
      </c>
      <c r="N77" s="353">
        <f>AVERAGE(E77:H77)</f>
        <v>14.692265641417716</v>
      </c>
      <c r="O77" s="353">
        <f>AVERAGE(F77:H77)</f>
        <v>18.926397603897044</v>
      </c>
      <c r="P77" s="353">
        <f>AVERAGE(G77:H77)</f>
        <v>23.861565739817774</v>
      </c>
      <c r="Q77" s="353">
        <f>AVERAGE(E77:G77)</f>
        <v>12.221776712389563</v>
      </c>
      <c r="R77" s="353">
        <f>(4*H77+3*G77+2*F77+E77)/10</f>
        <v>18.537511928549971</v>
      </c>
      <c r="S77" s="353">
        <f t="shared" si="38"/>
        <v>21.101009453304808</v>
      </c>
      <c r="T77" s="364">
        <f>(2*H77+G77)/3</f>
        <v>23.275621302712576</v>
      </c>
    </row>
    <row r="78" spans="1:20" ht="17.25" thickBot="1">
      <c r="A78" s="1" t="s">
        <v>12</v>
      </c>
      <c r="B78" s="1" t="s">
        <v>16729</v>
      </c>
      <c r="C78" s="1" t="s">
        <v>17001</v>
      </c>
      <c r="D78" s="2" t="s">
        <v>17002</v>
      </c>
      <c r="E78" s="28">
        <f>IF(E66=0,0,E66/E2*100)</f>
        <v>5.9280727176920033E-2</v>
      </c>
      <c r="F78" s="28">
        <f>IF(F66=0,0,F66/F2*100)</f>
        <v>0</v>
      </c>
      <c r="G78" s="28">
        <f>IF(G66=0,0,G66/G2*100)</f>
        <v>0</v>
      </c>
      <c r="H78" s="28">
        <f>IF(H66=0,0,H66/H2*100)</f>
        <v>0</v>
      </c>
      <c r="I78" s="28">
        <f t="shared" si="35"/>
        <v>0</v>
      </c>
      <c r="J78" s="358">
        <f t="shared" si="36"/>
        <v>0</v>
      </c>
      <c r="K78" s="92">
        <f t="shared" si="37"/>
        <v>9.8801211961533388E-3</v>
      </c>
      <c r="L78" s="159"/>
      <c r="M78" s="359">
        <v>6</v>
      </c>
      <c r="N78" s="353">
        <f>AVERAGE(E78:H78)</f>
        <v>1.4820181794230008E-2</v>
      </c>
      <c r="O78" s="353">
        <f>AVERAGE(F78:H78)</f>
        <v>0</v>
      </c>
      <c r="P78" s="353">
        <f>AVERAGE(G78:H78)</f>
        <v>0</v>
      </c>
      <c r="Q78" s="353">
        <f>AVERAGE(E78:G78)</f>
        <v>1.9760242392306678E-2</v>
      </c>
      <c r="R78" s="353">
        <f>(4*H78+3*G78+2*F78+E78)/10</f>
        <v>5.9280727176920034E-3</v>
      </c>
      <c r="S78" s="353">
        <f t="shared" si="38"/>
        <v>0</v>
      </c>
      <c r="T78" s="364">
        <f>(2*H78+G78)/3</f>
        <v>0</v>
      </c>
    </row>
    <row r="79" spans="1:20" s="99" customFormat="1">
      <c r="A79" s="1"/>
      <c r="B79" s="1"/>
      <c r="E79" s="246">
        <f>E74+E75</f>
        <v>80.312211829798443</v>
      </c>
      <c r="F79" s="246">
        <f t="shared" ref="F79:S79" si="41">F74+F75</f>
        <v>83.790331461292809</v>
      </c>
      <c r="G79" s="246">
        <f t="shared" si="41"/>
        <v>105.94554699032311</v>
      </c>
      <c r="H79" s="246">
        <f t="shared" si="41"/>
        <v>202.55234297108674</v>
      </c>
      <c r="I79" s="246">
        <f t="shared" si="41"/>
        <v>150.55640905919989</v>
      </c>
      <c r="J79" s="246">
        <f t="shared" si="41"/>
        <v>150.55640905919989</v>
      </c>
      <c r="K79" s="246">
        <f t="shared" si="41"/>
        <v>94.288252620558893</v>
      </c>
      <c r="L79" s="246">
        <f t="shared" si="41"/>
        <v>0</v>
      </c>
      <c r="M79" s="246"/>
      <c r="N79" s="365">
        <f t="shared" si="41"/>
        <v>118.15010831312529</v>
      </c>
      <c r="O79" s="365">
        <f t="shared" si="41"/>
        <v>130.76274047423422</v>
      </c>
      <c r="P79" s="365">
        <f t="shared" si="41"/>
        <v>154.24894498070495</v>
      </c>
      <c r="Q79" s="365">
        <f t="shared" si="41"/>
        <v>90.016030093804801</v>
      </c>
      <c r="R79" s="365">
        <f t="shared" si="41"/>
        <v>137.59388876077006</v>
      </c>
      <c r="S79" s="366">
        <f t="shared" si="41"/>
        <v>150.55640905919989</v>
      </c>
      <c r="T79" s="365">
        <f>T74+T75</f>
        <v>170.35007764416554</v>
      </c>
    </row>
    <row r="81" spans="4:16">
      <c r="D81" s="160"/>
      <c r="E81" s="228" t="str">
        <f>E1</f>
        <v>20201231K</v>
      </c>
      <c r="F81" s="228" t="str">
        <f t="shared" ref="F81:O81" si="42">F1</f>
        <v>20211231K</v>
      </c>
      <c r="G81" s="228" t="str">
        <f t="shared" si="42"/>
        <v>20221231K</v>
      </c>
      <c r="H81" s="228" t="str">
        <f t="shared" si="42"/>
        <v>20231231K</v>
      </c>
      <c r="I81" s="228" t="str">
        <f t="shared" si="42"/>
        <v>20231231Y</v>
      </c>
      <c r="J81" s="228" t="str">
        <f t="shared" si="42"/>
        <v>20241231Z</v>
      </c>
      <c r="K81" s="228" t="str">
        <f t="shared" si="42"/>
        <v>20251231Z</v>
      </c>
      <c r="L81" s="228" t="str">
        <f t="shared" si="42"/>
        <v>20261231Z</v>
      </c>
      <c r="M81" s="228" t="str">
        <f t="shared" si="42"/>
        <v>20271231Z</v>
      </c>
      <c r="N81" s="228" t="str">
        <f t="shared" si="42"/>
        <v>20281231Z</v>
      </c>
      <c r="O81" s="228" t="str">
        <f t="shared" si="42"/>
        <v>20291231Z</v>
      </c>
    </row>
    <row r="82" spans="4:16">
      <c r="D82" s="157" t="s">
        <v>63</v>
      </c>
      <c r="E82" s="229"/>
      <c r="F82" s="229"/>
      <c r="G82" s="229"/>
      <c r="H82" s="230">
        <f>WACC!$E$18</f>
        <v>42743</v>
      </c>
      <c r="I82" s="230">
        <f>WACC!$E$18</f>
        <v>42743</v>
      </c>
      <c r="J82" s="230">
        <f>WACC!$E$18</f>
        <v>42743</v>
      </c>
      <c r="K82" s="230">
        <f>WACC!$E$18</f>
        <v>42743</v>
      </c>
      <c r="L82" s="230">
        <f>WACC!$E$18</f>
        <v>42743</v>
      </c>
      <c r="M82" s="230">
        <f>WACC!$E$18</f>
        <v>42743</v>
      </c>
      <c r="N82" s="230">
        <f>WACC!$E$18</f>
        <v>42743</v>
      </c>
      <c r="O82" s="230">
        <f>WACC!$E$18</f>
        <v>42743</v>
      </c>
    </row>
    <row r="83" spans="4:16">
      <c r="D83" s="157" t="s">
        <v>55</v>
      </c>
      <c r="E83" s="189" t="e">
        <f>IS추정!E36*1000000/E82</f>
        <v>#DIV/0!</v>
      </c>
      <c r="F83" s="189" t="e">
        <f>IS추정!F36*1000000/F82</f>
        <v>#DIV/0!</v>
      </c>
      <c r="G83" s="189" t="e">
        <f>IS추정!G36*1000000/G82</f>
        <v>#DIV/0!</v>
      </c>
      <c r="H83" s="220">
        <f>IS추정!H36*1000000/H82</f>
        <v>-233628.89829913669</v>
      </c>
      <c r="I83" s="189">
        <f>IS추정!I36*1000000/I82</f>
        <v>0</v>
      </c>
      <c r="J83" s="189">
        <f>IS추정!J36*1000000/J82</f>
        <v>0</v>
      </c>
      <c r="K83" s="189">
        <f>IS추정!K36*1000000/K82</f>
        <v>0</v>
      </c>
      <c r="L83" s="189">
        <f>IS추정!L36*1000000/L82</f>
        <v>0</v>
      </c>
      <c r="M83" s="189">
        <f>IS추정!M36*1000000/M82</f>
        <v>0</v>
      </c>
      <c r="N83" s="189">
        <f>IS추정!N36*1000000/N82</f>
        <v>0</v>
      </c>
      <c r="O83" s="189">
        <f>IS추정!O36*1000000/O82</f>
        <v>0</v>
      </c>
    </row>
    <row r="84" spans="4:16" s="99" customFormat="1">
      <c r="D84" s="157" t="s">
        <v>62</v>
      </c>
      <c r="E84" s="189" t="e">
        <f>IS추정!E14*1000000/E82</f>
        <v>#DIV/0!</v>
      </c>
      <c r="F84" s="189" t="e">
        <f>IS추정!F14*1000000/F82</f>
        <v>#DIV/0!</v>
      </c>
      <c r="G84" s="189" t="e">
        <f>IS추정!G14*1000000/G82</f>
        <v>#DIV/0!</v>
      </c>
      <c r="H84" s="220">
        <f>IS추정!H14*1000000/H82</f>
        <v>117329.15331165337</v>
      </c>
      <c r="I84" s="189">
        <f>IS추정!I14*1000000/I82</f>
        <v>117329.15331165337</v>
      </c>
      <c r="J84" s="189">
        <f>IS추정!J14*1000000/J82</f>
        <v>120230.21313431438</v>
      </c>
      <c r="K84" s="189">
        <f>IS추정!K14*1000000/K82</f>
        <v>122827.12958847062</v>
      </c>
      <c r="L84" s="189">
        <f>IS추정!L14*1000000/L82</f>
        <v>125470.83733008914</v>
      </c>
      <c r="M84" s="189">
        <f>IS추정!M14*1000000/M82</f>
        <v>128114.54507170765</v>
      </c>
      <c r="N84" s="189">
        <f>IS추정!N14*1000000/N82</f>
        <v>130781.64845705729</v>
      </c>
      <c r="O84" s="189">
        <f>IS추정!O14*1000000/O82</f>
        <v>133425.35619867581</v>
      </c>
    </row>
    <row r="85" spans="4:16">
      <c r="D85" s="157" t="s">
        <v>56</v>
      </c>
      <c r="E85" s="189" t="e">
        <f>BS추정!E36*1000000/E82</f>
        <v>#DIV/0!</v>
      </c>
      <c r="F85" s="189" t="e">
        <f>BS추정!F36*1000000/F82</f>
        <v>#DIV/0!</v>
      </c>
      <c r="G85" s="189" t="e">
        <f>BS추정!G36*1000000/G82</f>
        <v>#DIV/0!</v>
      </c>
      <c r="H85" s="189">
        <f>BS추정!H36*1000000/H82</f>
        <v>534941.39391245355</v>
      </c>
      <c r="I85" s="189">
        <f>BS추정!I36*1000000/I82</f>
        <v>534941.39391245355</v>
      </c>
      <c r="J85" s="189">
        <f>BS추정!J36*1000000/J82</f>
        <v>534917.99826872232</v>
      </c>
      <c r="K85" s="189">
        <f>BS추정!K36*1000000/K82</f>
        <v>534917.99826872232</v>
      </c>
      <c r="L85" s="189">
        <f>BS추정!L36*1000000/L82</f>
        <v>534917.99826872232</v>
      </c>
      <c r="M85" s="189">
        <f>BS추정!M36*1000000/M82</f>
        <v>534917.99826872232</v>
      </c>
      <c r="N85" s="189">
        <f>BS추정!N36*1000000/N82</f>
        <v>534917.99826872232</v>
      </c>
      <c r="O85" s="189">
        <f>BS추정!O36*1000000/O82</f>
        <v>534917.99826872232</v>
      </c>
    </row>
    <row r="86" spans="4:16">
      <c r="D86" s="157" t="s">
        <v>57</v>
      </c>
      <c r="E86" s="133">
        <f>IS추정!E17/IS추정!E14</f>
        <v>0.23672770385983402</v>
      </c>
      <c r="F86" s="133">
        <f>IS추정!F17/IS추정!F14</f>
        <v>0.19419667437506882</v>
      </c>
      <c r="G86" s="133">
        <f>IS추정!G17/IS추정!G14</f>
        <v>0.34680990651139904</v>
      </c>
      <c r="H86" s="133">
        <f>IS추정!H17/IS추정!H14</f>
        <v>1.2077766699900299</v>
      </c>
      <c r="I86" s="133">
        <f>IS추정!I17/IS추정!I14</f>
        <v>1.2077766699900299</v>
      </c>
      <c r="J86" s="133">
        <f>IS추정!J17/IS추정!J14</f>
        <v>1.026853473438412</v>
      </c>
      <c r="K86" s="133">
        <f>IS추정!K17/IS추정!K14</f>
        <v>1.3483809523809525</v>
      </c>
      <c r="L86" s="133">
        <f>IS추정!L17/IS추정!L14</f>
        <v>3.3837404437814658</v>
      </c>
      <c r="M86" s="133">
        <f>IS추정!M17/IS추정!M14</f>
        <v>17.155588020452885</v>
      </c>
      <c r="N86" s="133">
        <f>IS추정!N17/IS추정!N14</f>
        <v>111.83112701252236</v>
      </c>
      <c r="O86" s="133">
        <f>IS추정!O17/IS추정!O14</f>
        <v>765.42854637909875</v>
      </c>
    </row>
    <row r="87" spans="4:16">
      <c r="D87" s="157" t="s">
        <v>58</v>
      </c>
      <c r="E87" s="133">
        <f>IS추정!E25/IS추정!E14</f>
        <v>-1.2646555131076275E-2</v>
      </c>
      <c r="F87" s="133">
        <f>IS추정!F25/IS추정!F14</f>
        <v>1.6187644532540468E-2</v>
      </c>
      <c r="G87" s="133">
        <f>IS추정!G25/IS추정!G14</f>
        <v>-0.29137280629817941</v>
      </c>
      <c r="H87" s="133">
        <f>IS추정!H25/IS추정!H14</f>
        <v>-1.6596211365902294</v>
      </c>
      <c r="I87" s="133">
        <f>IS추정!I25/IS추정!I14</f>
        <v>-1.6598205383848454</v>
      </c>
      <c r="J87" s="133">
        <f>IS추정!J25/IS추정!J14</f>
        <v>-1.1992605565285075</v>
      </c>
      <c r="K87" s="133">
        <f>IS추정!K25/IS추정!K14</f>
        <v>-1.5207619047619048</v>
      </c>
      <c r="L87" s="133">
        <f>IS추정!L25/IS추정!L14</f>
        <v>-3.5562185344023867</v>
      </c>
      <c r="M87" s="133">
        <f>IS추정!M25/IS추정!M14</f>
        <v>-17.327976625273923</v>
      </c>
      <c r="N87" s="133">
        <f>IS추정!N25/IS추정!N14</f>
        <v>-112.00357781753131</v>
      </c>
      <c r="O87" s="133">
        <f>IS추정!O25/IS추정!O14</f>
        <v>-765.60091180080656</v>
      </c>
    </row>
    <row r="88" spans="4:16">
      <c r="D88" s="157" t="s">
        <v>59</v>
      </c>
      <c r="E88" s="133">
        <f>IS추정!E36/IS추정!E14</f>
        <v>-3.9520484784613362E-3</v>
      </c>
      <c r="F88" s="133">
        <f>IS추정!F36/IS추정!F14</f>
        <v>2.4446646845061117E-2</v>
      </c>
      <c r="G88" s="133">
        <f>IS추정!G36/IS추정!G14</f>
        <v>-0.27062489749056912</v>
      </c>
      <c r="H88" s="133">
        <f>IS추정!H36/IS추정!H14</f>
        <v>-1.9912263210368892</v>
      </c>
      <c r="I88" s="133">
        <f>IS추정!I36/IS추정!I14</f>
        <v>0</v>
      </c>
      <c r="J88" s="133">
        <f>IS추정!J36/IS추정!J14</f>
        <v>0</v>
      </c>
      <c r="K88" s="133">
        <f>IS추정!K36/IS추정!K14</f>
        <v>0</v>
      </c>
      <c r="L88" s="133">
        <f>IS추정!L36/IS추정!L14</f>
        <v>0</v>
      </c>
      <c r="M88" s="133">
        <f>IS추정!M36/IS추정!M14</f>
        <v>0</v>
      </c>
      <c r="N88" s="133">
        <f>IS추정!N36/IS추정!N14</f>
        <v>0</v>
      </c>
      <c r="O88" s="133">
        <f>IS추정!O36/IS추정!O14</f>
        <v>0</v>
      </c>
    </row>
    <row r="89" spans="4:16">
      <c r="D89" s="157" t="s">
        <v>60</v>
      </c>
      <c r="E89" s="133"/>
      <c r="F89" s="133">
        <f>IS추정!F36/AVERAGE(BS추정!E36:F36)</f>
        <v>5.3037090127217343E-2</v>
      </c>
      <c r="G89" s="133">
        <f>IS추정!G36/AVERAGE(BS추정!F36:G36)</f>
        <v>-0.15340275195239866</v>
      </c>
      <c r="H89" s="221">
        <f>IS추정!H36/AVERAGE(BS추정!G36:H36)</f>
        <v>-0.35846076530978532</v>
      </c>
      <c r="I89" s="133">
        <f>IS추정!I36/AVERAGE(BS추정!G36:I36)</f>
        <v>0</v>
      </c>
      <c r="J89" s="133">
        <f>IS추정!J36/AVERAGE(BS추정!I36:J36)</f>
        <v>0</v>
      </c>
      <c r="K89" s="133">
        <f>IS추정!K36/AVERAGE(BS추정!J36:K36)</f>
        <v>0</v>
      </c>
      <c r="L89" s="133">
        <f>IS추정!L36/AVERAGE(BS추정!K36:L36)</f>
        <v>0</v>
      </c>
      <c r="M89" s="133">
        <f>IS추정!M36/AVERAGE(BS추정!L36:M36)</f>
        <v>0</v>
      </c>
      <c r="N89" s="133">
        <f>IS추정!N36/AVERAGE(BS추정!M36:N36)</f>
        <v>0</v>
      </c>
      <c r="O89" s="133">
        <f>IS추정!O36/AVERAGE(BS추정!N36:O36)</f>
        <v>0</v>
      </c>
      <c r="P89" s="77"/>
    </row>
    <row r="90" spans="4:16">
      <c r="D90" s="157" t="s">
        <v>61</v>
      </c>
      <c r="E90" s="133"/>
      <c r="F90" s="133">
        <f>IS추정!F36/AVERAGE(BS추정!E37:F37)</f>
        <v>1.8135402838762381E-2</v>
      </c>
      <c r="G90" s="133">
        <f>IS추정!G36/AVERAGE(BS추정!F37:G37)</f>
        <v>-6.5127294256956778E-2</v>
      </c>
      <c r="H90" s="221">
        <f>IS추정!H36/AVERAGE(BS추정!G37:H37)</f>
        <v>-0.15826175156106373</v>
      </c>
      <c r="I90" s="133">
        <f>IS추정!I36/AVERAGE(BS추정!G37:I37)</f>
        <v>0</v>
      </c>
      <c r="J90" s="133">
        <f>IS추정!J36/AVERAGE(BS추정!I37:J37)</f>
        <v>0</v>
      </c>
      <c r="K90" s="133">
        <f>IS추정!K36/AVERAGE(BS추정!J37:K37)</f>
        <v>0</v>
      </c>
      <c r="L90" s="133">
        <f>IS추정!L36/AVERAGE(BS추정!K37:L37)</f>
        <v>0</v>
      </c>
      <c r="M90" s="133">
        <f>IS추정!M36/AVERAGE(BS추정!L37:M37)</f>
        <v>0</v>
      </c>
      <c r="N90" s="133">
        <f>IS추정!N36/AVERAGE(BS추정!M37:N37)</f>
        <v>0</v>
      </c>
      <c r="O90" s="133">
        <f>IS추정!O36/AVERAGE(BS추정!N37:O37)</f>
        <v>0</v>
      </c>
    </row>
    <row r="91" spans="4:16">
      <c r="D91" s="99"/>
      <c r="E91" s="99"/>
      <c r="F91" s="99"/>
      <c r="G91" s="99"/>
      <c r="H91" s="99"/>
      <c r="I91" s="99"/>
      <c r="J91" s="99"/>
      <c r="K91" s="99"/>
      <c r="L91" s="99"/>
    </row>
    <row r="93" spans="4:16" customFormat="1"/>
    <row r="94" spans="4:16" customFormat="1"/>
    <row r="95" spans="4:16" customFormat="1"/>
    <row r="96" spans="4:1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</sheetData>
  <sheetProtection selectLockedCells="1"/>
  <phoneticPr fontId="3" type="noConversion"/>
  <conditionalFormatting sqref="J73 N73:T73">
    <cfRule type="duplicateValues" dxfId="10" priority="1"/>
  </conditionalFormatting>
  <dataValidations count="2">
    <dataValidation type="list" allowBlank="1" showInputMessage="1" showErrorMessage="1" sqref="P32">
      <formula1>$U$32:$U$33</formula1>
    </dataValidation>
    <dataValidation type="list" allowBlank="1" showInputMessage="1" sqref="J73">
      <formula1>$N$73:$T$73</formula1>
    </dataValidation>
  </dataValidations>
  <pageMargins left="0.7" right="0.7" top="0.75" bottom="0.75" header="0.3" footer="0.3"/>
  <pageSetup paperSize="9" orientation="portrait" r:id="rId1"/>
  <ignoredErrors>
    <ignoredError sqref="F37:I37" formulaRange="1"/>
    <ignoredError sqref="F47:N47 J50:N65 F63:I65 F67:I67 F49:N49 G48:N48 E81:O82 E91:O92 E113:O113" unlockedFormula="1"/>
    <ignoredError sqref="E74:I77" evalError="1"/>
    <ignoredError sqref="N74:R77 N78:R78 K74:K78 J66:O67 J2:O4 E79:R79 E83:O90" evalError="1" unlocked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C00000"/>
  </sheetPr>
  <dimension ref="A1:X176"/>
  <sheetViews>
    <sheetView showGridLines="0" zoomScale="85" zoomScaleNormal="85" workbookViewId="0">
      <pane ySplit="1" topLeftCell="A8" activePane="bottomLeft" state="frozen"/>
      <selection activeCell="D26" sqref="D26"/>
      <selection pane="bottomLeft" activeCell="L62" sqref="L6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8" width="9.625" style="2" customWidth="1"/>
    <col min="9" max="9" width="9.625" style="11" customWidth="1"/>
    <col min="10" max="19" width="9.625" style="2" customWidth="1"/>
    <col min="20" max="22" width="9" style="2"/>
    <col min="23" max="23" width="9.75" style="2" customWidth="1"/>
    <col min="24" max="24" width="9" style="2"/>
    <col min="25" max="25" width="9.75" style="2" customWidth="1"/>
    <col min="26" max="16384" width="9" style="2"/>
  </cols>
  <sheetData>
    <row r="1" spans="1:15">
      <c r="A1" s="367">
        <f>ROW(C42)-ROW(C1)</f>
        <v>41</v>
      </c>
      <c r="B1" s="1"/>
      <c r="C1" s="1" t="s">
        <v>17003</v>
      </c>
      <c r="D1" s="1" t="s">
        <v>17004</v>
      </c>
      <c r="E1" s="1" t="s">
        <v>16983</v>
      </c>
      <c r="F1" s="1" t="s">
        <v>16802</v>
      </c>
      <c r="G1" s="1" t="s">
        <v>16988</v>
      </c>
      <c r="H1" s="1" t="s">
        <v>17097</v>
      </c>
      <c r="I1" s="1" t="s">
        <v>16807</v>
      </c>
      <c r="J1" s="1" t="s">
        <v>16808</v>
      </c>
      <c r="K1" s="1" t="s">
        <v>16809</v>
      </c>
      <c r="L1" s="1" t="s">
        <v>16810</v>
      </c>
      <c r="M1" s="1" t="s">
        <v>16811</v>
      </c>
      <c r="N1" s="1" t="s">
        <v>16812</v>
      </c>
      <c r="O1" s="1" t="s">
        <v>16813</v>
      </c>
    </row>
    <row r="2" spans="1:15">
      <c r="A2" s="1" t="s">
        <v>12</v>
      </c>
      <c r="B2" s="1" t="s">
        <v>16711</v>
      </c>
      <c r="C2" s="1" t="s">
        <v>17005</v>
      </c>
      <c r="D2" s="2" t="s">
        <v>17006</v>
      </c>
      <c r="F2" s="27">
        <v>0</v>
      </c>
      <c r="G2" s="27">
        <v>0</v>
      </c>
      <c r="H2" s="27">
        <v>0</v>
      </c>
      <c r="I2" s="346">
        <v>100</v>
      </c>
      <c r="J2" s="27">
        <v>0</v>
      </c>
      <c r="K2" s="27">
        <v>0</v>
      </c>
      <c r="L2" s="27">
        <v>0</v>
      </c>
      <c r="M2" s="27">
        <v>0</v>
      </c>
      <c r="N2" s="27">
        <v>0</v>
      </c>
      <c r="O2" s="27">
        <v>1</v>
      </c>
    </row>
    <row r="3" spans="1:15">
      <c r="A3" s="1" t="s">
        <v>16700</v>
      </c>
      <c r="B3" s="1" t="s">
        <v>16735</v>
      </c>
      <c r="C3" s="1" t="s">
        <v>17007</v>
      </c>
      <c r="D3" s="9" t="s">
        <v>17008</v>
      </c>
      <c r="E3" s="61"/>
      <c r="F3" s="46"/>
      <c r="G3" s="46"/>
      <c r="H3" s="67"/>
      <c r="I3" s="68" t="str">
        <f>IFERROR(HLOOKUP(MID(I1,1,8),성장률추정!$6:$9,4,0),"")</f>
        <v/>
      </c>
      <c r="J3" s="68">
        <f>IFERROR(HLOOKUP(MID(J1,1,8),성장률추정!$6:$9,4,0),"")</f>
        <v>2.4860000000000002</v>
      </c>
      <c r="K3" s="68">
        <f>IFERROR(HLOOKUP(MID(K1,1,8),성장률추정!$6:$9,4,0),"")</f>
        <v>2.1659999999999999</v>
      </c>
      <c r="L3" s="68">
        <f>IFERROR(HLOOKUP(MID(L1,1,8),성장률추정!$6:$9,4,0),"")</f>
        <v>2.1589999999999998</v>
      </c>
      <c r="M3" s="68">
        <f>IFERROR(HLOOKUP(MID(M1,1,8),성장률추정!$6:$9,4,0),"")</f>
        <v>2.117</v>
      </c>
      <c r="N3" s="68">
        <f>IFERROR(HLOOKUP(MID(N1,1,8),성장률추정!$6:$9,4,0),"")</f>
        <v>2.1</v>
      </c>
      <c r="O3" s="68">
        <f>IFERROR(HLOOKUP(MID(O1,1,8),성장률추정!$6:$9,4,0),"")</f>
        <v>2.0379999999999998</v>
      </c>
    </row>
    <row r="4" spans="1:15">
      <c r="A4" s="1" t="s">
        <v>12</v>
      </c>
      <c r="B4" s="1" t="s">
        <v>16724</v>
      </c>
      <c r="C4" s="1" t="s">
        <v>17009</v>
      </c>
      <c r="D4" s="2" t="s">
        <v>17010</v>
      </c>
      <c r="E4" s="27">
        <f>비용추정!E74</f>
        <v>77.591885127124229</v>
      </c>
      <c r="F4" s="27">
        <f>비용추정!F74</f>
        <v>78.961568109239067</v>
      </c>
      <c r="G4" s="27">
        <f>비용추정!G74</f>
        <v>94.456289978678043</v>
      </c>
      <c r="H4" s="27">
        <f>비용추정!H74</f>
        <v>145.20438683948157</v>
      </c>
      <c r="I4" s="27">
        <f>H4</f>
        <v>145.20438683948157</v>
      </c>
      <c r="J4" s="27">
        <f>비용추정!$J$74</f>
        <v>117.24788476417331</v>
      </c>
      <c r="K4" s="27">
        <f>비용추정!$J$74</f>
        <v>117.24788476417331</v>
      </c>
      <c r="L4" s="27">
        <f>비용추정!$J$74</f>
        <v>117.24788476417331</v>
      </c>
      <c r="M4" s="27">
        <f>비용추정!$J$74</f>
        <v>117.24788476417331</v>
      </c>
      <c r="N4" s="27">
        <f>비용추정!$J$74</f>
        <v>117.24788476417331</v>
      </c>
      <c r="O4" s="27">
        <f>비용추정!$J$74</f>
        <v>117.24788476417331</v>
      </c>
    </row>
    <row r="5" spans="1:15">
      <c r="A5" s="1" t="s">
        <v>12</v>
      </c>
      <c r="B5" s="1" t="s">
        <v>16729</v>
      </c>
      <c r="C5" s="1" t="s">
        <v>17011</v>
      </c>
      <c r="D5" s="2" t="s">
        <v>17012</v>
      </c>
      <c r="E5" s="27">
        <f>비용추정!E75</f>
        <v>2.7203267026742193</v>
      </c>
      <c r="F5" s="27">
        <f>비용추정!F75</f>
        <v>4.8287633520537385</v>
      </c>
      <c r="G5" s="27">
        <f>비용추정!G75</f>
        <v>11.489257011645071</v>
      </c>
      <c r="H5" s="27">
        <f>비용추정!H75</f>
        <v>57.34795613160518</v>
      </c>
      <c r="I5" s="27">
        <f>H5</f>
        <v>57.34795613160518</v>
      </c>
      <c r="J5" s="27">
        <f>비용추정!$J$75</f>
        <v>33.308524295026572</v>
      </c>
      <c r="K5" s="27">
        <f>비용추정!$J$75</f>
        <v>33.308524295026572</v>
      </c>
      <c r="L5" s="27">
        <f>비용추정!$J$75</f>
        <v>33.308524295026572</v>
      </c>
      <c r="M5" s="27">
        <f>비용추정!$J$75</f>
        <v>33.308524295026572</v>
      </c>
      <c r="N5" s="27">
        <f>비용추정!$J$75</f>
        <v>33.308524295026572</v>
      </c>
      <c r="O5" s="27">
        <f>비용추정!$J$75</f>
        <v>33.308524295026572</v>
      </c>
    </row>
    <row r="6" spans="1:15">
      <c r="A6" s="1" t="s">
        <v>12</v>
      </c>
      <c r="B6" s="1" t="s">
        <v>16735</v>
      </c>
      <c r="C6" s="1" t="s">
        <v>17013</v>
      </c>
      <c r="D6" s="2" t="s">
        <v>17014</v>
      </c>
      <c r="E6" s="27">
        <f>비용추정!E78</f>
        <v>5.9280727176920033E-2</v>
      </c>
      <c r="F6" s="27">
        <f>비용추정!F78</f>
        <v>0</v>
      </c>
      <c r="G6" s="27">
        <f>비용추정!G78</f>
        <v>0</v>
      </c>
      <c r="H6" s="27">
        <f>비용추정!H78</f>
        <v>0</v>
      </c>
      <c r="I6" s="27">
        <f>H6</f>
        <v>0</v>
      </c>
      <c r="J6" s="27">
        <f>비용추정!$J$78</f>
        <v>0</v>
      </c>
      <c r="K6" s="27">
        <f>비용추정!$J$78</f>
        <v>0</v>
      </c>
      <c r="L6" s="27">
        <f>비용추정!$J$78</f>
        <v>0</v>
      </c>
      <c r="M6" s="27">
        <f>비용추정!$J$78</f>
        <v>0</v>
      </c>
      <c r="N6" s="27">
        <f>비용추정!$J$78</f>
        <v>0</v>
      </c>
      <c r="O6" s="27">
        <f>비용추정!$J$78</f>
        <v>0</v>
      </c>
    </row>
    <row r="7" spans="1:15">
      <c r="A7" s="1" t="s">
        <v>12</v>
      </c>
      <c r="B7" s="1" t="s">
        <v>3</v>
      </c>
      <c r="C7" s="1" t="s">
        <v>17015</v>
      </c>
      <c r="D7" s="2" t="s">
        <v>17016</v>
      </c>
      <c r="E7" s="27">
        <f>E47</f>
        <v>0.48083256487946252</v>
      </c>
      <c r="F7" s="27">
        <f>F47</f>
        <v>0.51756414491796054</v>
      </c>
      <c r="G7" s="27">
        <f t="shared" ref="G7:H7" si="0">G47</f>
        <v>2.0419878628833854</v>
      </c>
      <c r="H7" s="27">
        <f t="shared" si="0"/>
        <v>5.4636091724825526</v>
      </c>
      <c r="I7" s="27">
        <f t="shared" ref="I7:I10" si="1">H7</f>
        <v>5.4636091724825526</v>
      </c>
      <c r="J7" s="27">
        <f>$J$47</f>
        <v>0</v>
      </c>
      <c r="K7" s="27">
        <f t="shared" ref="K7:O7" si="2">$J$47</f>
        <v>0</v>
      </c>
      <c r="L7" s="27">
        <f t="shared" si="2"/>
        <v>0</v>
      </c>
      <c r="M7" s="27">
        <f t="shared" si="2"/>
        <v>0</v>
      </c>
      <c r="N7" s="27">
        <f t="shared" si="2"/>
        <v>0</v>
      </c>
      <c r="O7" s="27">
        <f t="shared" si="2"/>
        <v>0</v>
      </c>
    </row>
    <row r="8" spans="1:15">
      <c r="A8" s="1" t="s">
        <v>12</v>
      </c>
      <c r="B8" s="1" t="s">
        <v>16724</v>
      </c>
      <c r="C8" s="1" t="s">
        <v>17017</v>
      </c>
      <c r="D8" s="2" t="s">
        <v>17018</v>
      </c>
      <c r="E8" s="27">
        <f t="shared" ref="E8" si="3">E48</f>
        <v>0.47619047619047622</v>
      </c>
      <c r="F8" s="27">
        <f t="shared" ref="F8:H10" si="4">F48</f>
        <v>8.8731144631765749E-2</v>
      </c>
      <c r="G8" s="27">
        <f t="shared" si="4"/>
        <v>0.77902405597432101</v>
      </c>
      <c r="H8" s="27">
        <f t="shared" si="4"/>
        <v>1.4684690866671242</v>
      </c>
      <c r="I8" s="27">
        <f t="shared" si="1"/>
        <v>1.4684690866671242</v>
      </c>
      <c r="J8" s="27">
        <f>$J$48</f>
        <v>0</v>
      </c>
      <c r="K8" s="27">
        <f t="shared" ref="K8:O8" si="5">$J$48</f>
        <v>0</v>
      </c>
      <c r="L8" s="27">
        <f t="shared" si="5"/>
        <v>0</v>
      </c>
      <c r="M8" s="27">
        <f t="shared" si="5"/>
        <v>0</v>
      </c>
      <c r="N8" s="27">
        <f t="shared" si="5"/>
        <v>0</v>
      </c>
      <c r="O8" s="27">
        <f t="shared" si="5"/>
        <v>0</v>
      </c>
    </row>
    <row r="9" spans="1:15">
      <c r="A9" s="1" t="s">
        <v>12</v>
      </c>
      <c r="B9" s="1" t="s">
        <v>16724</v>
      </c>
      <c r="C9" s="1" t="s">
        <v>17019</v>
      </c>
      <c r="D9" s="2" t="s">
        <v>17020</v>
      </c>
      <c r="E9" s="27">
        <f t="shared" ref="E9" si="6">E49</f>
        <v>0.65867474641022272</v>
      </c>
      <c r="F9" s="27">
        <f t="shared" si="4"/>
        <v>0.89747825129391035</v>
      </c>
      <c r="G9" s="27">
        <f t="shared" si="4"/>
        <v>2.2470067246186649</v>
      </c>
      <c r="H9" s="27">
        <f t="shared" si="4"/>
        <v>15.832502492522432</v>
      </c>
      <c r="I9" s="27">
        <f t="shared" si="1"/>
        <v>15.832502492522432</v>
      </c>
      <c r="J9" s="27">
        <f>$J$49</f>
        <v>0</v>
      </c>
      <c r="K9" s="27">
        <f t="shared" ref="K9:O9" si="7">$J$49</f>
        <v>0</v>
      </c>
      <c r="L9" s="27">
        <f t="shared" si="7"/>
        <v>0</v>
      </c>
      <c r="M9" s="27">
        <f t="shared" si="7"/>
        <v>0</v>
      </c>
      <c r="N9" s="27">
        <f t="shared" si="7"/>
        <v>0</v>
      </c>
      <c r="O9" s="27">
        <f t="shared" si="7"/>
        <v>0</v>
      </c>
    </row>
    <row r="10" spans="1:15">
      <c r="A10" s="1" t="s">
        <v>12</v>
      </c>
      <c r="B10" s="1" t="s">
        <v>16711</v>
      </c>
      <c r="C10" s="1" t="s">
        <v>17021</v>
      </c>
      <c r="D10" s="2" t="s">
        <v>17022</v>
      </c>
      <c r="E10" s="27">
        <f t="shared" ref="E10" si="8">E50</f>
        <v>1.2630249447426587</v>
      </c>
      <c r="F10" s="27">
        <f t="shared" si="4"/>
        <v>0.81931001245029911</v>
      </c>
      <c r="G10" s="27">
        <f t="shared" si="4"/>
        <v>1.0278137381821035</v>
      </c>
      <c r="H10" s="27">
        <f t="shared" si="4"/>
        <v>1.5132408575031526</v>
      </c>
      <c r="I10" s="27">
        <f t="shared" si="1"/>
        <v>1.5132408575031526</v>
      </c>
      <c r="J10" s="27">
        <f>$J$50</f>
        <v>0</v>
      </c>
      <c r="K10" s="27">
        <f t="shared" ref="K10:O10" si="9">$J$50</f>
        <v>0</v>
      </c>
      <c r="L10" s="27">
        <f t="shared" si="9"/>
        <v>0</v>
      </c>
      <c r="M10" s="27">
        <f t="shared" si="9"/>
        <v>0</v>
      </c>
      <c r="N10" s="27">
        <f t="shared" si="9"/>
        <v>0</v>
      </c>
      <c r="O10" s="27">
        <f t="shared" si="9"/>
        <v>0</v>
      </c>
    </row>
    <row r="11" spans="1:15">
      <c r="A11" s="1" t="s">
        <v>12</v>
      </c>
      <c r="B11" s="1" t="s">
        <v>16695</v>
      </c>
      <c r="C11" s="1" t="s">
        <v>17023</v>
      </c>
      <c r="D11" s="2" t="s">
        <v>17024</v>
      </c>
      <c r="E11" s="33">
        <f>NWC추정!E33</f>
        <v>2940</v>
      </c>
      <c r="F11" s="33">
        <f>NWC추정!F33</f>
        <v>15092</v>
      </c>
      <c r="G11" s="33">
        <f>NWC추정!G33</f>
        <v>12635</v>
      </c>
      <c r="H11" s="33">
        <f>NWC추정!H33</f>
        <v>1938</v>
      </c>
      <c r="I11" s="33">
        <f>NWC추정!I33</f>
        <v>1938</v>
      </c>
      <c r="J11" s="33">
        <f>NWC추정!J33</f>
        <v>3203</v>
      </c>
      <c r="K11" s="33">
        <f>NWC추정!K33</f>
        <v>3267</v>
      </c>
      <c r="L11" s="33">
        <f>NWC추정!L33</f>
        <v>3337</v>
      </c>
      <c r="M11" s="33">
        <f>NWC추정!M33</f>
        <v>3407</v>
      </c>
      <c r="N11" s="33">
        <f>NWC추정!N33</f>
        <v>3480</v>
      </c>
      <c r="O11" s="33">
        <f>NWC추정!O33</f>
        <v>3551</v>
      </c>
    </row>
    <row r="12" spans="1:15">
      <c r="A12" s="1" t="s">
        <v>12</v>
      </c>
      <c r="B12" s="1" t="s">
        <v>16701</v>
      </c>
      <c r="C12" s="1" t="s">
        <v>17025</v>
      </c>
      <c r="D12" s="2" t="s">
        <v>17026</v>
      </c>
      <c r="E12" s="33">
        <f>NWC추정!E41</f>
        <v>3167</v>
      </c>
      <c r="F12" s="33">
        <f>NWC추정!F41</f>
        <v>21732</v>
      </c>
      <c r="G12" s="33">
        <f>NWC추정!G41</f>
        <v>29250</v>
      </c>
      <c r="H12" s="33">
        <f>NWC추정!H41</f>
        <v>35776</v>
      </c>
      <c r="I12" s="33">
        <f>NWC추정!I41</f>
        <v>35776</v>
      </c>
      <c r="J12" s="33">
        <f>NWC추정!J41</f>
        <v>21891</v>
      </c>
      <c r="K12" s="33">
        <f>NWC추정!K41</f>
        <v>22368</v>
      </c>
      <c r="L12" s="33">
        <f>NWC추정!L41</f>
        <v>22845</v>
      </c>
      <c r="M12" s="33">
        <f>NWC추정!M41</f>
        <v>23322</v>
      </c>
      <c r="N12" s="33">
        <f>NWC추정!N41</f>
        <v>23799</v>
      </c>
      <c r="O12" s="33">
        <f>NWC추정!O41</f>
        <v>24276</v>
      </c>
    </row>
    <row r="13" spans="1:15">
      <c r="A13" s="1" t="s">
        <v>12</v>
      </c>
      <c r="B13" s="1" t="s">
        <v>16695</v>
      </c>
      <c r="C13" s="1" t="s">
        <v>17027</v>
      </c>
      <c r="D13" s="1" t="s">
        <v>17028</v>
      </c>
      <c r="E13" s="1"/>
      <c r="F13" s="1"/>
      <c r="G13" s="1"/>
      <c r="H13" s="1"/>
      <c r="I13" s="1"/>
      <c r="J13" s="1" t="str">
        <f t="shared" ref="J13:O13" si="10">LEFT(J1,4)</f>
        <v>2024</v>
      </c>
      <c r="K13" s="1" t="str">
        <f t="shared" si="10"/>
        <v>2025</v>
      </c>
      <c r="L13" s="1" t="str">
        <f t="shared" si="10"/>
        <v>2026</v>
      </c>
      <c r="M13" s="1" t="str">
        <f t="shared" si="10"/>
        <v>2027</v>
      </c>
      <c r="N13" s="1" t="str">
        <f t="shared" si="10"/>
        <v>2028</v>
      </c>
      <c r="O13" s="1" t="str">
        <f t="shared" si="10"/>
        <v>2029</v>
      </c>
    </row>
    <row r="14" spans="1:15">
      <c r="A14" s="1" t="s">
        <v>12</v>
      </c>
      <c r="B14" s="1" t="s">
        <v>2</v>
      </c>
      <c r="C14" s="1" t="s">
        <v>17029</v>
      </c>
      <c r="D14" s="2" t="s">
        <v>17030</v>
      </c>
      <c r="E14" s="42">
        <v>15182</v>
      </c>
      <c r="F14" s="42">
        <v>18162</v>
      </c>
      <c r="G14" s="42">
        <v>12194</v>
      </c>
      <c r="H14" s="42">
        <v>5015</v>
      </c>
      <c r="I14" s="50">
        <v>5015</v>
      </c>
      <c r="J14" s="32">
        <f>INT(I14*(1+J3/100))</f>
        <v>5139</v>
      </c>
      <c r="K14" s="32">
        <f t="shared" ref="K14:O14" si="11">INT(J14*(1+K3/100))</f>
        <v>5250</v>
      </c>
      <c r="L14" s="32">
        <f t="shared" si="11"/>
        <v>5363</v>
      </c>
      <c r="M14" s="32">
        <f t="shared" si="11"/>
        <v>5476</v>
      </c>
      <c r="N14" s="32">
        <f t="shared" si="11"/>
        <v>5590</v>
      </c>
      <c r="O14" s="32">
        <f t="shared" si="11"/>
        <v>5703</v>
      </c>
    </row>
    <row r="15" spans="1:15">
      <c r="A15" s="1" t="s">
        <v>12</v>
      </c>
      <c r="B15" s="1" t="s">
        <v>16346</v>
      </c>
      <c r="C15" s="1" t="s">
        <v>17031</v>
      </c>
      <c r="D15" s="2" t="s">
        <v>17032</v>
      </c>
      <c r="E15" s="42">
        <v>11780</v>
      </c>
      <c r="F15" s="42">
        <v>14341</v>
      </c>
      <c r="G15" s="42">
        <v>11518</v>
      </c>
      <c r="H15" s="42">
        <v>7282</v>
      </c>
      <c r="I15" s="217">
        <v>7282</v>
      </c>
      <c r="J15" s="32">
        <f>INT(J14*J4/100)</f>
        <v>6025</v>
      </c>
      <c r="K15" s="32">
        <f t="shared" ref="K15:N15" si="12">INT(K14*K4/100)</f>
        <v>6155</v>
      </c>
      <c r="L15" s="32">
        <f t="shared" si="12"/>
        <v>6288</v>
      </c>
      <c r="M15" s="32">
        <f t="shared" si="12"/>
        <v>6420</v>
      </c>
      <c r="N15" s="32">
        <f t="shared" si="12"/>
        <v>6554</v>
      </c>
      <c r="O15" s="32">
        <f t="shared" ref="O15" si="13">INT(O14*O4/100)</f>
        <v>6686</v>
      </c>
    </row>
    <row r="16" spans="1:15">
      <c r="A16" s="1" t="s">
        <v>16723</v>
      </c>
      <c r="B16" s="1" t="s">
        <v>2</v>
      </c>
      <c r="C16" s="1" t="s">
        <v>17033</v>
      </c>
      <c r="D16" s="8" t="s">
        <v>17034</v>
      </c>
      <c r="E16" s="49">
        <v>3402</v>
      </c>
      <c r="F16" s="49">
        <v>3821</v>
      </c>
      <c r="G16" s="49">
        <v>677</v>
      </c>
      <c r="H16" s="49">
        <v>-2266</v>
      </c>
      <c r="I16" s="65">
        <f t="shared" ref="I16" si="14">I14-I15</f>
        <v>-2267</v>
      </c>
      <c r="J16" s="30">
        <f>J14-J15</f>
        <v>-886</v>
      </c>
      <c r="K16" s="30">
        <f t="shared" ref="K16:N16" si="15">K14-K15</f>
        <v>-905</v>
      </c>
      <c r="L16" s="30">
        <f t="shared" si="15"/>
        <v>-925</v>
      </c>
      <c r="M16" s="30">
        <f t="shared" si="15"/>
        <v>-944</v>
      </c>
      <c r="N16" s="30">
        <f t="shared" si="15"/>
        <v>-964</v>
      </c>
      <c r="O16" s="30">
        <f t="shared" ref="O16" si="16">O14-O15</f>
        <v>-983</v>
      </c>
    </row>
    <row r="17" spans="1:24">
      <c r="A17" s="1" t="s">
        <v>16714</v>
      </c>
      <c r="B17" s="1" t="s">
        <v>16793</v>
      </c>
      <c r="C17" s="1" t="s">
        <v>17035</v>
      </c>
      <c r="D17" s="8" t="s">
        <v>17036</v>
      </c>
      <c r="E17" s="49">
        <v>3594</v>
      </c>
      <c r="F17" s="49">
        <v>3527</v>
      </c>
      <c r="G17" s="49">
        <v>4229</v>
      </c>
      <c r="H17" s="49">
        <v>6057</v>
      </c>
      <c r="I17" s="65">
        <f>SUM(I18:I24)</f>
        <v>6057</v>
      </c>
      <c r="J17" s="30">
        <f>SUM(J18:J24)</f>
        <v>5277</v>
      </c>
      <c r="K17" s="30">
        <f t="shared" ref="K17:N17" si="17">SUM(K18:K24)</f>
        <v>7079</v>
      </c>
      <c r="L17" s="30">
        <f t="shared" si="17"/>
        <v>18147</v>
      </c>
      <c r="M17" s="30">
        <f t="shared" si="17"/>
        <v>93944</v>
      </c>
      <c r="N17" s="30">
        <f t="shared" si="17"/>
        <v>625136</v>
      </c>
      <c r="O17" s="30">
        <f t="shared" ref="O17" si="18">SUM(O18:O24)</f>
        <v>4365239</v>
      </c>
    </row>
    <row r="18" spans="1:24">
      <c r="A18" s="1" t="s">
        <v>12</v>
      </c>
      <c r="B18" s="1" t="s">
        <v>16701</v>
      </c>
      <c r="C18" s="1" t="s">
        <v>17037</v>
      </c>
      <c r="D18" s="2" t="s">
        <v>17038</v>
      </c>
      <c r="E18" s="31"/>
      <c r="F18" s="33">
        <f>비용추정!F29</f>
        <v>877</v>
      </c>
      <c r="G18" s="33">
        <f>비용추정!G29</f>
        <v>1401</v>
      </c>
      <c r="H18" s="33">
        <f>비용추정!H29</f>
        <v>2876</v>
      </c>
      <c r="I18" s="33">
        <f>비용추정!I29 *I2/100</f>
        <v>2876</v>
      </c>
      <c r="J18" s="32">
        <f>INT(J14*J5/100)</f>
        <v>1711</v>
      </c>
      <c r="K18" s="32">
        <f t="shared" ref="K18:N18" si="19">INT(K14*K5/100)</f>
        <v>1748</v>
      </c>
      <c r="L18" s="32">
        <f t="shared" si="19"/>
        <v>1786</v>
      </c>
      <c r="M18" s="32">
        <f t="shared" si="19"/>
        <v>1823</v>
      </c>
      <c r="N18" s="32">
        <f t="shared" si="19"/>
        <v>1861</v>
      </c>
      <c r="O18" s="32">
        <f t="shared" ref="O18" si="20">INT(O14*O5/100)</f>
        <v>1899</v>
      </c>
    </row>
    <row r="19" spans="1:24">
      <c r="A19" s="1" t="s">
        <v>12</v>
      </c>
      <c r="B19" s="1" t="s">
        <v>16701</v>
      </c>
      <c r="C19" s="1" t="s">
        <v>17039</v>
      </c>
      <c r="D19" s="2" t="s">
        <v>17040</v>
      </c>
      <c r="E19" s="31"/>
      <c r="F19" s="33">
        <f>비용추정!F41</f>
        <v>2087</v>
      </c>
      <c r="G19" s="33">
        <f>비용추정!G41</f>
        <v>1897</v>
      </c>
      <c r="H19" s="33">
        <f>비용추정!H41</f>
        <v>2063</v>
      </c>
      <c r="I19" s="33">
        <f>비용추정!I41 *I2/100</f>
        <v>2063</v>
      </c>
      <c r="J19" s="24">
        <f>INT(비용추정!J41)</f>
        <v>2145</v>
      </c>
      <c r="K19" s="24">
        <f>INT(비용추정!K41)</f>
        <v>2233</v>
      </c>
      <c r="L19" s="24">
        <f>INT(비용추정!L41)</f>
        <v>2326</v>
      </c>
      <c r="M19" s="24">
        <f>INT(비용추정!M41)</f>
        <v>2421</v>
      </c>
      <c r="N19" s="24">
        <f>INT(비용추정!N41)</f>
        <v>2520</v>
      </c>
      <c r="O19" s="24">
        <f>INT(비용추정!O41)</f>
        <v>2621</v>
      </c>
    </row>
    <row r="20" spans="1:24">
      <c r="A20" s="1" t="s">
        <v>12</v>
      </c>
      <c r="B20" s="1" t="s">
        <v>16793</v>
      </c>
      <c r="C20" s="1" t="s">
        <v>17041</v>
      </c>
      <c r="D20" s="2" t="s">
        <v>17042</v>
      </c>
      <c r="E20" s="31"/>
      <c r="F20" s="33">
        <f>비용추정!F47</f>
        <v>189</v>
      </c>
      <c r="G20" s="33">
        <f>비용추정!G47</f>
        <v>486</v>
      </c>
      <c r="H20" s="33">
        <f>비용추정!H47</f>
        <v>456</v>
      </c>
      <c r="I20" s="33">
        <f>비용추정!I47 *I2/100</f>
        <v>456</v>
      </c>
      <c r="J20" s="24">
        <f>INT(비용추정!J47)</f>
        <v>452</v>
      </c>
      <c r="K20" s="24">
        <f>INT(비용추정!K47)</f>
        <v>471</v>
      </c>
      <c r="L20" s="24">
        <f>INT(비용추정!L47)</f>
        <v>490</v>
      </c>
      <c r="M20" s="24">
        <f>INT(비용추정!M47)</f>
        <v>510</v>
      </c>
      <c r="N20" s="24">
        <f>INT(비용추정!N47)</f>
        <v>531</v>
      </c>
      <c r="O20" s="24">
        <f>INT(비용추정!O47)</f>
        <v>553</v>
      </c>
    </row>
    <row r="21" spans="1:24">
      <c r="A21" s="1" t="s">
        <v>12</v>
      </c>
      <c r="B21" s="1" t="s">
        <v>16793</v>
      </c>
      <c r="C21" s="1" t="s">
        <v>17043</v>
      </c>
      <c r="D21" s="2" t="s">
        <v>17044</v>
      </c>
      <c r="E21" s="31"/>
      <c r="F21" s="33">
        <f>비용추정!F63</f>
        <v>320</v>
      </c>
      <c r="G21" s="33">
        <f>비용추정!G63</f>
        <v>361</v>
      </c>
      <c r="H21" s="33">
        <f>비용추정!H63</f>
        <v>522</v>
      </c>
      <c r="I21" s="33">
        <f>비용추정!I63 *I2/100</f>
        <v>522</v>
      </c>
      <c r="J21" s="24">
        <f>INT(비용추정!J63)</f>
        <v>525</v>
      </c>
      <c r="K21" s="24">
        <f>INT(비용추정!K63)</f>
        <v>528</v>
      </c>
      <c r="L21" s="24">
        <f>INT(비용추정!L63)</f>
        <v>531</v>
      </c>
      <c r="M21" s="24">
        <f>INT(비용추정!M63)</f>
        <v>534</v>
      </c>
      <c r="N21" s="24">
        <f>INT(비용추정!N63)</f>
        <v>537</v>
      </c>
      <c r="O21" s="24">
        <f>INT(비용추정!O63)</f>
        <v>540</v>
      </c>
    </row>
    <row r="22" spans="1:24">
      <c r="A22" s="1" t="s">
        <v>12</v>
      </c>
      <c r="B22" s="1" t="s">
        <v>16695</v>
      </c>
      <c r="C22" s="1" t="s">
        <v>17045</v>
      </c>
      <c r="D22" s="2" t="s">
        <v>17046</v>
      </c>
      <c r="E22" s="31"/>
      <c r="F22" s="33">
        <f>비용추정!F64</f>
        <v>35</v>
      </c>
      <c r="G22" s="33">
        <f>비용추정!G64</f>
        <v>63</v>
      </c>
      <c r="H22" s="33">
        <f>비용추정!H64</f>
        <v>125</v>
      </c>
      <c r="I22" s="33">
        <f>비용추정!I64 *I2/100</f>
        <v>125</v>
      </c>
      <c r="J22" s="24">
        <f>INT(비용추정!J64)</f>
        <v>194</v>
      </c>
      <c r="K22" s="24">
        <f>INT(비용추정!K64)</f>
        <v>336</v>
      </c>
      <c r="L22" s="24">
        <f>INT(비용추정!L64)</f>
        <v>582</v>
      </c>
      <c r="M22" s="24">
        <f>INT(비용추정!M64)</f>
        <v>1008</v>
      </c>
      <c r="N22" s="24">
        <f>INT(비용추정!N64)</f>
        <v>1746</v>
      </c>
      <c r="O22" s="24">
        <f>INT(비용추정!O64)</f>
        <v>3022</v>
      </c>
    </row>
    <row r="23" spans="1:24">
      <c r="A23" s="1" t="s">
        <v>12</v>
      </c>
      <c r="B23" s="1" t="s">
        <v>2</v>
      </c>
      <c r="C23" s="1" t="s">
        <v>17047</v>
      </c>
      <c r="D23" s="2" t="s">
        <v>17048</v>
      </c>
      <c r="E23" s="31"/>
      <c r="F23" s="33">
        <f>비용추정!F65</f>
        <v>21</v>
      </c>
      <c r="G23" s="33">
        <f>비용추정!G65</f>
        <v>23</v>
      </c>
      <c r="H23" s="33">
        <f>비용추정!H65</f>
        <v>15</v>
      </c>
      <c r="I23" s="33">
        <f>비용추정!I65 *I2/100</f>
        <v>15</v>
      </c>
      <c r="J23" s="24">
        <f>INT(비용추정!J65)</f>
        <v>250</v>
      </c>
      <c r="K23" s="24">
        <f>INT(비용추정!K65)</f>
        <v>1763</v>
      </c>
      <c r="L23" s="24">
        <f>INT(비용추정!L65)</f>
        <v>12432</v>
      </c>
      <c r="M23" s="24">
        <f>INT(비용추정!M65)</f>
        <v>87648</v>
      </c>
      <c r="N23" s="24">
        <f>INT(비용추정!N65)</f>
        <v>617941</v>
      </c>
      <c r="O23" s="24">
        <f>INT(비용추정!O65)</f>
        <v>4356604</v>
      </c>
    </row>
    <row r="24" spans="1:24">
      <c r="A24" s="1" t="s">
        <v>12</v>
      </c>
      <c r="B24" s="1" t="s">
        <v>16780</v>
      </c>
      <c r="C24" s="1" t="s">
        <v>17049</v>
      </c>
      <c r="D24" s="2" t="s">
        <v>17050</v>
      </c>
      <c r="E24" s="31"/>
      <c r="F24" s="33">
        <f>비용추정!F66</f>
        <v>0</v>
      </c>
      <c r="G24" s="33">
        <f>비용추정!G66</f>
        <v>0</v>
      </c>
      <c r="H24" s="33">
        <f>비용추정!H66</f>
        <v>0</v>
      </c>
      <c r="I24" s="33">
        <f>비용추정!I66 *I2/100</f>
        <v>0</v>
      </c>
      <c r="J24" s="32">
        <f>INT(J14*J6/100)</f>
        <v>0</v>
      </c>
      <c r="K24" s="32">
        <f t="shared" ref="K24:N24" si="21">INT(K14*K6/100)</f>
        <v>0</v>
      </c>
      <c r="L24" s="32">
        <f t="shared" si="21"/>
        <v>0</v>
      </c>
      <c r="M24" s="32">
        <f t="shared" si="21"/>
        <v>0</v>
      </c>
      <c r="N24" s="32">
        <f t="shared" si="21"/>
        <v>0</v>
      </c>
      <c r="O24" s="32">
        <f t="shared" ref="O24" si="22">INT(O14*O6/100)</f>
        <v>0</v>
      </c>
    </row>
    <row r="25" spans="1:24">
      <c r="A25" s="1" t="s">
        <v>4</v>
      </c>
      <c r="B25" s="1" t="s">
        <v>16793</v>
      </c>
      <c r="C25" s="1" t="s">
        <v>17051</v>
      </c>
      <c r="D25" s="8" t="s">
        <v>17052</v>
      </c>
      <c r="E25" s="29">
        <v>-192</v>
      </c>
      <c r="F25" s="43">
        <v>294</v>
      </c>
      <c r="G25" s="43">
        <v>-3553</v>
      </c>
      <c r="H25" s="43">
        <v>-8323</v>
      </c>
      <c r="I25" s="65">
        <f>I16-I17</f>
        <v>-8324</v>
      </c>
      <c r="J25" s="30">
        <f>J16-J17</f>
        <v>-6163</v>
      </c>
      <c r="K25" s="30">
        <f t="shared" ref="K25:N25" si="23">K16-K17</f>
        <v>-7984</v>
      </c>
      <c r="L25" s="30">
        <f t="shared" si="23"/>
        <v>-19072</v>
      </c>
      <c r="M25" s="30">
        <f t="shared" si="23"/>
        <v>-94888</v>
      </c>
      <c r="N25" s="30">
        <f t="shared" si="23"/>
        <v>-626100</v>
      </c>
      <c r="O25" s="30">
        <f t="shared" ref="O25" si="24">O16-O17</f>
        <v>-4366222</v>
      </c>
    </row>
    <row r="26" spans="1:24">
      <c r="A26" s="1" t="s">
        <v>4</v>
      </c>
      <c r="B26" s="1" t="s">
        <v>16793</v>
      </c>
      <c r="C26" s="1" t="s">
        <v>17053</v>
      </c>
      <c r="D26" s="8" t="s">
        <v>17054</v>
      </c>
      <c r="E26" s="29">
        <v>365</v>
      </c>
      <c r="F26" s="43">
        <v>570</v>
      </c>
      <c r="G26" s="43">
        <v>809</v>
      </c>
      <c r="H26" s="43">
        <v>397</v>
      </c>
      <c r="I26" s="260">
        <v>397</v>
      </c>
      <c r="J26" s="261">
        <f>SUM(J27)</f>
        <v>0</v>
      </c>
      <c r="K26" s="261">
        <f t="shared" ref="K26:O26" si="25">SUM(K27)</f>
        <v>0</v>
      </c>
      <c r="L26" s="261">
        <f t="shared" si="25"/>
        <v>0</v>
      </c>
      <c r="M26" s="261">
        <f t="shared" si="25"/>
        <v>0</v>
      </c>
      <c r="N26" s="261">
        <f t="shared" si="25"/>
        <v>0</v>
      </c>
      <c r="O26" s="261">
        <f t="shared" si="25"/>
        <v>0</v>
      </c>
    </row>
    <row r="27" spans="1:24">
      <c r="A27" s="1" t="s">
        <v>12</v>
      </c>
      <c r="B27" s="1" t="s">
        <v>2</v>
      </c>
      <c r="C27" s="1" t="s">
        <v>17055</v>
      </c>
      <c r="D27" s="2" t="s">
        <v>17056</v>
      </c>
      <c r="E27" s="31"/>
      <c r="F27" s="24">
        <f>F56</f>
        <v>94</v>
      </c>
      <c r="G27" s="24">
        <f t="shared" ref="G27:H27" si="26">G56</f>
        <v>249</v>
      </c>
      <c r="H27" s="24">
        <f t="shared" si="26"/>
        <v>274</v>
      </c>
      <c r="I27" s="262">
        <f>I56 *I2/100</f>
        <v>274</v>
      </c>
      <c r="J27" s="263">
        <f t="shared" ref="J27:O27" si="27">INT(J14*J7/100)</f>
        <v>0</v>
      </c>
      <c r="K27" s="263">
        <f t="shared" si="27"/>
        <v>0</v>
      </c>
      <c r="L27" s="263">
        <f t="shared" si="27"/>
        <v>0</v>
      </c>
      <c r="M27" s="263">
        <f t="shared" si="27"/>
        <v>0</v>
      </c>
      <c r="N27" s="263">
        <f t="shared" si="27"/>
        <v>0</v>
      </c>
      <c r="O27" s="263">
        <f t="shared" si="27"/>
        <v>0</v>
      </c>
    </row>
    <row r="28" spans="1:24">
      <c r="A28" s="1" t="s">
        <v>12</v>
      </c>
      <c r="B28" s="1" t="s">
        <v>2</v>
      </c>
      <c r="C28" s="1" t="s">
        <v>17057</v>
      </c>
      <c r="D28" s="2" t="s">
        <v>17058</v>
      </c>
      <c r="E28" s="31">
        <v>14</v>
      </c>
      <c r="F28" s="31">
        <v>8</v>
      </c>
      <c r="G28" s="31">
        <v>108</v>
      </c>
      <c r="H28" s="31">
        <v>107</v>
      </c>
      <c r="I28" s="264">
        <v>107</v>
      </c>
      <c r="J28" s="263">
        <f>INT(J11*J8/100)</f>
        <v>0</v>
      </c>
      <c r="K28" s="263">
        <f t="shared" ref="K28:N28" si="28">INT(K11*K8/100)</f>
        <v>0</v>
      </c>
      <c r="L28" s="263">
        <f t="shared" si="28"/>
        <v>0</v>
      </c>
      <c r="M28" s="263">
        <f t="shared" si="28"/>
        <v>0</v>
      </c>
      <c r="N28" s="263">
        <f t="shared" si="28"/>
        <v>0</v>
      </c>
      <c r="O28" s="263">
        <f t="shared" ref="O28" si="29">INT(O11*O8/100)</f>
        <v>0</v>
      </c>
    </row>
    <row r="29" spans="1:24">
      <c r="A29" s="1" t="s">
        <v>16714</v>
      </c>
      <c r="B29" s="1" t="s">
        <v>16346</v>
      </c>
      <c r="C29" s="1" t="s">
        <v>17059</v>
      </c>
      <c r="D29" s="8" t="s">
        <v>17060</v>
      </c>
      <c r="E29" s="29">
        <v>233</v>
      </c>
      <c r="F29" s="43">
        <v>290</v>
      </c>
      <c r="G29" s="43">
        <v>698</v>
      </c>
      <c r="H29" s="43">
        <v>2069</v>
      </c>
      <c r="I29" s="260">
        <v>2069</v>
      </c>
      <c r="J29" s="261">
        <f>SUM(J30)</f>
        <v>0</v>
      </c>
      <c r="K29" s="261">
        <f t="shared" ref="K29:O29" si="30">SUM(K30)</f>
        <v>0</v>
      </c>
      <c r="L29" s="261">
        <f t="shared" si="30"/>
        <v>0</v>
      </c>
      <c r="M29" s="261">
        <f t="shared" si="30"/>
        <v>0</v>
      </c>
      <c r="N29" s="261">
        <f t="shared" si="30"/>
        <v>0</v>
      </c>
      <c r="O29" s="261">
        <f t="shared" si="30"/>
        <v>0</v>
      </c>
    </row>
    <row r="30" spans="1:24">
      <c r="A30" s="1" t="s">
        <v>12</v>
      </c>
      <c r="B30" s="1" t="s">
        <v>2</v>
      </c>
      <c r="C30" s="1" t="s">
        <v>17061</v>
      </c>
      <c r="D30" s="2" t="s">
        <v>17062</v>
      </c>
      <c r="E30" s="31"/>
      <c r="F30" s="24">
        <f>F125</f>
        <v>163</v>
      </c>
      <c r="G30" s="24">
        <f t="shared" ref="G30:H30" si="31">G125</f>
        <v>274</v>
      </c>
      <c r="H30" s="24">
        <f t="shared" si="31"/>
        <v>794</v>
      </c>
      <c r="I30" s="262">
        <f>I125 *I2/100</f>
        <v>794</v>
      </c>
      <c r="J30" s="263">
        <f>INT(J14*J9/100)</f>
        <v>0</v>
      </c>
      <c r="K30" s="263">
        <f t="shared" ref="K30:N30" si="32">INT(K14*K9/100)</f>
        <v>0</v>
      </c>
      <c r="L30" s="263">
        <f t="shared" si="32"/>
        <v>0</v>
      </c>
      <c r="M30" s="263">
        <f t="shared" si="32"/>
        <v>0</v>
      </c>
      <c r="N30" s="263">
        <f t="shared" si="32"/>
        <v>0</v>
      </c>
      <c r="O30" s="263">
        <f t="shared" ref="O30" si="33">INT(O14*O9/100)</f>
        <v>0</v>
      </c>
    </row>
    <row r="31" spans="1:24">
      <c r="A31" s="1" t="s">
        <v>12</v>
      </c>
      <c r="B31" s="1" t="s">
        <v>16695</v>
      </c>
      <c r="C31" s="1" t="s">
        <v>17063</v>
      </c>
      <c r="D31" s="2" t="s">
        <v>17064</v>
      </c>
      <c r="E31" s="31">
        <v>40</v>
      </c>
      <c r="F31" s="42">
        <v>102</v>
      </c>
      <c r="G31" s="42">
        <v>262</v>
      </c>
      <c r="H31" s="42">
        <v>492</v>
      </c>
      <c r="I31" s="265">
        <v>492</v>
      </c>
      <c r="J31" s="263">
        <f>INT(J12*J10/100)</f>
        <v>0</v>
      </c>
      <c r="K31" s="263">
        <f t="shared" ref="K31:N31" si="34">INT(K12*K10/100)</f>
        <v>0</v>
      </c>
      <c r="L31" s="263">
        <f t="shared" si="34"/>
        <v>0</v>
      </c>
      <c r="M31" s="263">
        <f t="shared" si="34"/>
        <v>0</v>
      </c>
      <c r="N31" s="263">
        <f t="shared" si="34"/>
        <v>0</v>
      </c>
      <c r="O31" s="263">
        <f t="shared" ref="O31" si="35">INT(O12*O10/100)</f>
        <v>0</v>
      </c>
    </row>
    <row r="32" spans="1:24">
      <c r="A32" s="1" t="s">
        <v>16723</v>
      </c>
      <c r="B32" s="1" t="s">
        <v>16695</v>
      </c>
      <c r="C32" s="1" t="s">
        <v>17065</v>
      </c>
      <c r="D32" s="8" t="s">
        <v>17066</v>
      </c>
      <c r="E32" s="29">
        <v>-60</v>
      </c>
      <c r="F32" s="43">
        <v>575</v>
      </c>
      <c r="G32" s="43">
        <v>-3441</v>
      </c>
      <c r="H32" s="43">
        <v>-9995</v>
      </c>
      <c r="I32" s="65">
        <f>I25+I26-I29</f>
        <v>-9996</v>
      </c>
      <c r="J32" s="30">
        <f t="shared" ref="J32:N32" si="36">J25+J26-J29</f>
        <v>-6163</v>
      </c>
      <c r="K32" s="30">
        <f t="shared" si="36"/>
        <v>-7984</v>
      </c>
      <c r="L32" s="30">
        <f t="shared" si="36"/>
        <v>-19072</v>
      </c>
      <c r="M32" s="30">
        <f t="shared" si="36"/>
        <v>-94888</v>
      </c>
      <c r="N32" s="30">
        <f t="shared" si="36"/>
        <v>-626100</v>
      </c>
      <c r="O32" s="30">
        <f t="shared" ref="O32" si="37">O25+O26-O29</f>
        <v>-4366222</v>
      </c>
      <c r="R32" s="646" t="str">
        <f>민감도!I11</f>
        <v>과세표준</v>
      </c>
      <c r="S32" s="646" t="str">
        <f>민감도!J11</f>
        <v>세율(*)</v>
      </c>
      <c r="T32" s="646" t="str">
        <f>민감도!K11</f>
        <v>누진공제</v>
      </c>
      <c r="U32" s="646" t="str">
        <f>민감도!L11</f>
        <v>기준</v>
      </c>
      <c r="V32"/>
      <c r="W32"/>
      <c r="X32"/>
    </row>
    <row r="33" spans="1:24">
      <c r="A33" s="1" t="s">
        <v>12</v>
      </c>
      <c r="B33" s="1" t="s">
        <v>16729</v>
      </c>
      <c r="C33" s="1" t="s">
        <v>17067</v>
      </c>
      <c r="D33" s="2" t="s">
        <v>17068</v>
      </c>
      <c r="E33" s="31"/>
      <c r="F33" s="31"/>
      <c r="G33" s="31"/>
      <c r="H33" s="31"/>
      <c r="I33" s="249">
        <f>IF(I32&lt;=0,0,VLOOKUP(I32,법인세[],2))</f>
        <v>0</v>
      </c>
      <c r="J33" s="249">
        <f>IF(J32&lt;=0,0,VLOOKUP(J32,법인세[],2))</f>
        <v>0</v>
      </c>
      <c r="K33" s="249">
        <f>IF(K32&lt;=0,0,VLOOKUP(K32,법인세[],2))</f>
        <v>0</v>
      </c>
      <c r="L33" s="249">
        <f>IF(L32&lt;=0,0,VLOOKUP(L32,법인세[],2))</f>
        <v>0</v>
      </c>
      <c r="M33" s="249">
        <f>IF(M32&lt;=0,0,VLOOKUP(M32,법인세[],2))</f>
        <v>0</v>
      </c>
      <c r="N33" s="249">
        <f>IF(N32&lt;=0,0,VLOOKUP(N32,법인세[],2))</f>
        <v>0</v>
      </c>
      <c r="O33" s="249">
        <f>IF(O32&lt;=0,0,VLOOKUP(O32,법인세[],2))</f>
        <v>0</v>
      </c>
      <c r="R33" s="647">
        <f>민감도!I12</f>
        <v>0</v>
      </c>
      <c r="S33" s="648">
        <f>민감도!J12</f>
        <v>9.9</v>
      </c>
      <c r="T33" s="649">
        <f>민감도!K12</f>
        <v>0</v>
      </c>
      <c r="U33" s="650" t="str">
        <f>민감도!L12</f>
        <v>2억미만</v>
      </c>
      <c r="V33"/>
      <c r="W33"/>
      <c r="X33"/>
    </row>
    <row r="34" spans="1:24">
      <c r="A34" s="1" t="s">
        <v>12</v>
      </c>
      <c r="B34" s="1" t="s">
        <v>2</v>
      </c>
      <c r="C34" s="1" t="s">
        <v>17069</v>
      </c>
      <c r="D34" s="2" t="s">
        <v>17070</v>
      </c>
      <c r="E34" s="31">
        <v>1</v>
      </c>
      <c r="F34" s="31">
        <v>130</v>
      </c>
      <c r="G34" s="31">
        <v>-141</v>
      </c>
      <c r="H34" s="31">
        <v>-8</v>
      </c>
      <c r="I34" s="105">
        <f>IF(I33=0,I32,I32*I33/100-VLOOKUP(I32,법인세[],3))</f>
        <v>-9996</v>
      </c>
      <c r="J34" s="496">
        <f>IF(J33=0,J32,J32*J33/100-VLOOKUP(J32,법인세[],3))</f>
        <v>-6163</v>
      </c>
      <c r="K34" s="496">
        <f>IF(K33=0,K32,K32*K33/100-VLOOKUP(K32,법인세[],3))</f>
        <v>-7984</v>
      </c>
      <c r="L34" s="496">
        <f>IF(L33=0,L32,L32*L33/100-VLOOKUP(L32,법인세[],3))</f>
        <v>-19072</v>
      </c>
      <c r="M34" s="496">
        <f>IF(M33=0,M32,M32*M33/100-VLOOKUP(M32,법인세[],3))</f>
        <v>-94888</v>
      </c>
      <c r="N34" s="496">
        <f>IF(N33=0,N32,N32*N33/100-VLOOKUP(N32,법인세[],3))</f>
        <v>-626100</v>
      </c>
      <c r="O34" s="496">
        <f>IF(O33=0,O32,O32*O33/100-VLOOKUP(O32,법인세[],3))</f>
        <v>-4366222</v>
      </c>
      <c r="R34" s="647">
        <f>민감도!I13</f>
        <v>200</v>
      </c>
      <c r="S34" s="648">
        <f>민감도!J13</f>
        <v>20.900000000000002</v>
      </c>
      <c r="T34" s="647">
        <f>민감도!K13</f>
        <v>22</v>
      </c>
      <c r="U34" s="650" t="str">
        <f>민감도!L13</f>
        <v>2~200</v>
      </c>
      <c r="V34"/>
      <c r="W34"/>
      <c r="X34"/>
    </row>
    <row r="35" spans="1:24">
      <c r="A35" s="1" t="s">
        <v>12</v>
      </c>
      <c r="B35" s="1" t="s">
        <v>16346</v>
      </c>
      <c r="C35" s="1" t="s">
        <v>17071</v>
      </c>
      <c r="D35" s="2" t="s">
        <v>17072</v>
      </c>
      <c r="E35" s="31">
        <v>-60</v>
      </c>
      <c r="F35" s="31">
        <v>444</v>
      </c>
      <c r="G35" s="31">
        <v>-3300</v>
      </c>
      <c r="H35" s="31">
        <v>-9986</v>
      </c>
      <c r="I35" s="32">
        <f>I32-I34</f>
        <v>0</v>
      </c>
      <c r="J35" s="32">
        <f>J32-J34</f>
        <v>0</v>
      </c>
      <c r="K35" s="32">
        <f t="shared" ref="K35:N35" si="38">K32-K34</f>
        <v>0</v>
      </c>
      <c r="L35" s="32">
        <f t="shared" si="38"/>
        <v>0</v>
      </c>
      <c r="M35" s="32">
        <f t="shared" si="38"/>
        <v>0</v>
      </c>
      <c r="N35" s="32">
        <f t="shared" si="38"/>
        <v>0</v>
      </c>
      <c r="O35" s="32">
        <f t="shared" ref="O35" si="39">O32-O34</f>
        <v>0</v>
      </c>
      <c r="R35" s="647">
        <f>민감도!I14</f>
        <v>20000</v>
      </c>
      <c r="S35" s="648">
        <f>민감도!J14</f>
        <v>23.1</v>
      </c>
      <c r="T35" s="647">
        <f>민감도!K14</f>
        <v>462</v>
      </c>
      <c r="U35" s="650" t="str">
        <f>민감도!L14</f>
        <v>200~3000</v>
      </c>
      <c r="V35"/>
      <c r="W35"/>
      <c r="X35"/>
    </row>
    <row r="36" spans="1:24">
      <c r="A36" s="1" t="s">
        <v>16714</v>
      </c>
      <c r="B36" s="1" t="s">
        <v>16695</v>
      </c>
      <c r="C36" s="1" t="s">
        <v>17073</v>
      </c>
      <c r="D36" s="8" t="s">
        <v>17074</v>
      </c>
      <c r="E36" s="29">
        <v>-60</v>
      </c>
      <c r="F36" s="29">
        <v>444</v>
      </c>
      <c r="G36" s="29">
        <v>-3300</v>
      </c>
      <c r="H36" s="29">
        <v>-9986</v>
      </c>
      <c r="I36" s="36">
        <f>I35</f>
        <v>0</v>
      </c>
      <c r="J36" s="36">
        <f>J35</f>
        <v>0</v>
      </c>
      <c r="K36" s="36">
        <f t="shared" ref="K36:N36" si="40">K35</f>
        <v>0</v>
      </c>
      <c r="L36" s="36">
        <f t="shared" si="40"/>
        <v>0</v>
      </c>
      <c r="M36" s="36">
        <f t="shared" si="40"/>
        <v>0</v>
      </c>
      <c r="N36" s="36">
        <f t="shared" si="40"/>
        <v>0</v>
      </c>
      <c r="O36" s="36">
        <f t="shared" ref="O36" si="41">O35</f>
        <v>0</v>
      </c>
      <c r="R36" s="647">
        <f>민감도!I15</f>
        <v>300000</v>
      </c>
      <c r="S36" s="648">
        <f>민감도!J15</f>
        <v>26.400000000000002</v>
      </c>
      <c r="T36" s="647">
        <f>민감도!K15</f>
        <v>10362</v>
      </c>
      <c r="U36" s="650" t="str">
        <f>민감도!L15</f>
        <v>3000억초과</v>
      </c>
      <c r="V36"/>
      <c r="W36"/>
      <c r="X36"/>
    </row>
    <row r="37" spans="1:24">
      <c r="A37" s="1" t="s">
        <v>16714</v>
      </c>
      <c r="B37" s="1" t="s">
        <v>16873</v>
      </c>
      <c r="C37" s="1" t="s">
        <v>17075</v>
      </c>
      <c r="D37" s="2" t="s">
        <v>17076</v>
      </c>
      <c r="E37" s="45">
        <f>E26-E55</f>
        <v>1</v>
      </c>
      <c r="F37" s="45">
        <f>F26-F55</f>
        <v>1</v>
      </c>
      <c r="G37" s="45">
        <f>G26-G55</f>
        <v>1</v>
      </c>
      <c r="H37" s="45">
        <f>H26-H55</f>
        <v>8</v>
      </c>
      <c r="I37" s="2"/>
      <c r="O37" s="86"/>
      <c r="R37" s="205"/>
      <c r="S37" s="651" t="s">
        <v>709</v>
      </c>
      <c r="T37" s="205"/>
      <c r="U37" s="205"/>
      <c r="V37"/>
      <c r="W37"/>
      <c r="X37"/>
    </row>
    <row r="38" spans="1:24">
      <c r="A38" s="1" t="s">
        <v>4</v>
      </c>
      <c r="B38" s="1" t="s">
        <v>16701</v>
      </c>
      <c r="C38" s="1" t="s">
        <v>17077</v>
      </c>
      <c r="D38" s="2" t="s">
        <v>17078</v>
      </c>
      <c r="E38" s="45">
        <f>E29-E124</f>
        <v>1</v>
      </c>
      <c r="F38" s="45">
        <f>F29-F124</f>
        <v>0</v>
      </c>
      <c r="G38" s="45">
        <f>G29-G124</f>
        <v>1</v>
      </c>
      <c r="H38" s="45">
        <f>H29-H124</f>
        <v>1</v>
      </c>
      <c r="I38" s="2"/>
      <c r="O38" s="86"/>
    </row>
    <row r="39" spans="1:24" s="205" customFormat="1">
      <c r="A39" s="1" t="s">
        <v>17079</v>
      </c>
      <c r="B39" s="1" t="s">
        <v>17080</v>
      </c>
      <c r="C39" s="1" t="s">
        <v>17081</v>
      </c>
      <c r="D39" s="205" t="s">
        <v>17082</v>
      </c>
      <c r="E39" s="499"/>
      <c r="F39" s="499"/>
      <c r="G39" s="499"/>
      <c r="H39" s="499"/>
      <c r="J39" s="266">
        <f>(IS추정!J14/IS추정!I14-1)*100</f>
        <v>2.4725822532402741</v>
      </c>
      <c r="K39" s="266">
        <f>(IS추정!K14/IS추정!J14-1)*100</f>
        <v>2.1599532983070713</v>
      </c>
      <c r="L39" s="266">
        <f>(IS추정!L14/IS추정!K14-1)*100</f>
        <v>2.1523809523809501</v>
      </c>
      <c r="M39" s="266">
        <f>(IS추정!M14/IS추정!L14-1)*100</f>
        <v>2.1070296475853123</v>
      </c>
      <c r="N39" s="266">
        <f>(IS추정!N14/IS추정!M14-1)*100</f>
        <v>2.0818115412710059</v>
      </c>
      <c r="O39" s="266">
        <f>(IS추정!O14/IS추정!N14-1)*100</f>
        <v>2.0214669051878298</v>
      </c>
    </row>
    <row r="40" spans="1:24" s="205" customFormat="1">
      <c r="A40" s="1" t="s">
        <v>17083</v>
      </c>
      <c r="B40" s="1" t="s">
        <v>17084</v>
      </c>
      <c r="C40" s="1" t="s">
        <v>17085</v>
      </c>
      <c r="D40" s="205" t="s">
        <v>17086</v>
      </c>
      <c r="E40" s="499"/>
      <c r="F40" s="499"/>
      <c r="G40" s="499"/>
      <c r="H40" s="499"/>
      <c r="J40" s="266">
        <f>J15/J14*100</f>
        <v>117.24070830900955</v>
      </c>
      <c r="K40" s="266">
        <f t="shared" ref="K40:O40" si="42">K15/K14*100</f>
        <v>117.23809523809523</v>
      </c>
      <c r="L40" s="266">
        <f t="shared" si="42"/>
        <v>117.24780906209212</v>
      </c>
      <c r="M40" s="266">
        <f t="shared" si="42"/>
        <v>117.23886048210372</v>
      </c>
      <c r="N40" s="266">
        <f t="shared" si="42"/>
        <v>117.24508050089446</v>
      </c>
      <c r="O40" s="266">
        <f t="shared" si="42"/>
        <v>117.23654217078729</v>
      </c>
    </row>
    <row r="41" spans="1:24" s="205" customFormat="1">
      <c r="A41" s="1" t="s">
        <v>17087</v>
      </c>
      <c r="B41" s="1" t="s">
        <v>17088</v>
      </c>
      <c r="C41" s="1" t="s">
        <v>17089</v>
      </c>
      <c r="D41" s="205" t="s">
        <v>17090</v>
      </c>
      <c r="E41" s="499"/>
      <c r="F41" s="499"/>
      <c r="G41" s="499"/>
      <c r="H41" s="499"/>
      <c r="J41" s="266">
        <f>(IS추정!J17/IS추정!J14)*100</f>
        <v>102.6853473438412</v>
      </c>
      <c r="K41" s="266">
        <f>(IS추정!K17/IS추정!K14)*100</f>
        <v>134.83809523809524</v>
      </c>
      <c r="L41" s="266">
        <f>(IS추정!L17/IS추정!L14)*100</f>
        <v>338.37404437814655</v>
      </c>
      <c r="M41" s="266">
        <f>(IS추정!M17/IS추정!M14)*100</f>
        <v>1715.5588020452885</v>
      </c>
      <c r="N41" s="266">
        <f>(IS추정!N17/IS추정!N14)*100</f>
        <v>11183.112701252236</v>
      </c>
      <c r="O41" s="266">
        <f>(IS추정!O17/IS추정!O14)*100</f>
        <v>76542.85463790987</v>
      </c>
    </row>
    <row r="42" spans="1:24" s="205" customFormat="1" ht="17.25" thickBot="1">
      <c r="A42" s="1" t="s">
        <v>17091</v>
      </c>
      <c r="B42" s="1" t="s">
        <v>17092</v>
      </c>
      <c r="C42" s="1" t="s">
        <v>17093</v>
      </c>
      <c r="D42" s="205" t="s">
        <v>17094</v>
      </c>
      <c r="E42" s="499"/>
      <c r="F42" s="499"/>
      <c r="G42" s="499"/>
      <c r="H42" s="499"/>
      <c r="J42" s="266">
        <f>J52*100</f>
        <v>-119.92605565285075</v>
      </c>
      <c r="K42" s="266">
        <f t="shared" ref="K42:O42" si="43">K52*100</f>
        <v>-152.07619047619048</v>
      </c>
      <c r="L42" s="266">
        <f t="shared" si="43"/>
        <v>-355.62185344023868</v>
      </c>
      <c r="M42" s="266">
        <f t="shared" si="43"/>
        <v>-1732.7976625273923</v>
      </c>
      <c r="N42" s="266">
        <f t="shared" si="43"/>
        <v>-11200.357781753131</v>
      </c>
      <c r="O42" s="266">
        <f t="shared" si="43"/>
        <v>-76560.09118008065</v>
      </c>
    </row>
    <row r="43" spans="1:24">
      <c r="D43" s="161" t="s">
        <v>67</v>
      </c>
      <c r="E43" s="162"/>
      <c r="F43" s="162">
        <f t="shared" ref="F43:O43" si="44">F28/F27</f>
        <v>8.5106382978723402E-2</v>
      </c>
      <c r="G43" s="162">
        <f t="shared" si="44"/>
        <v>0.43373493975903615</v>
      </c>
      <c r="H43" s="162">
        <f t="shared" si="44"/>
        <v>0.39051094890510951</v>
      </c>
      <c r="I43" s="162">
        <f t="shared" si="44"/>
        <v>0.39051094890510951</v>
      </c>
      <c r="J43" s="162" t="e">
        <f t="shared" si="44"/>
        <v>#DIV/0!</v>
      </c>
      <c r="K43" s="162" t="e">
        <f t="shared" si="44"/>
        <v>#DIV/0!</v>
      </c>
      <c r="L43" s="162" t="e">
        <f t="shared" si="44"/>
        <v>#DIV/0!</v>
      </c>
      <c r="M43" s="162" t="e">
        <f t="shared" si="44"/>
        <v>#DIV/0!</v>
      </c>
      <c r="N43" s="162" t="e">
        <f t="shared" si="44"/>
        <v>#DIV/0!</v>
      </c>
      <c r="O43" s="162" t="e">
        <f t="shared" si="44"/>
        <v>#DIV/0!</v>
      </c>
      <c r="P43" s="163" t="e">
        <f>IF(AND(I43&lt;=1,J43&lt;=1,K43&lt;=1,L43&lt;=1,M43&lt;=1,N43&lt;=1,O43&lt;=1),"이상없음","이자수익초과")</f>
        <v>#DIV/0!</v>
      </c>
      <c r="Q43" s="56" t="s">
        <v>0</v>
      </c>
    </row>
    <row r="44" spans="1:24" ht="17.25" thickBot="1">
      <c r="D44" s="164" t="s">
        <v>68</v>
      </c>
      <c r="E44" s="165"/>
      <c r="F44" s="165">
        <f t="shared" ref="F44:O44" si="45">F31/F30</f>
        <v>0.62576687116564422</v>
      </c>
      <c r="G44" s="165">
        <f t="shared" si="45"/>
        <v>0.95620437956204385</v>
      </c>
      <c r="H44" s="165">
        <f t="shared" si="45"/>
        <v>0.61964735516372793</v>
      </c>
      <c r="I44" s="165">
        <f t="shared" si="45"/>
        <v>0.61964735516372793</v>
      </c>
      <c r="J44" s="165" t="e">
        <f t="shared" si="45"/>
        <v>#DIV/0!</v>
      </c>
      <c r="K44" s="165" t="e">
        <f t="shared" si="45"/>
        <v>#DIV/0!</v>
      </c>
      <c r="L44" s="165" t="e">
        <f t="shared" si="45"/>
        <v>#DIV/0!</v>
      </c>
      <c r="M44" s="165" t="e">
        <f t="shared" si="45"/>
        <v>#DIV/0!</v>
      </c>
      <c r="N44" s="165" t="e">
        <f t="shared" si="45"/>
        <v>#DIV/0!</v>
      </c>
      <c r="O44" s="165" t="e">
        <f t="shared" si="45"/>
        <v>#DIV/0!</v>
      </c>
      <c r="P44" s="166" t="e">
        <f>IF(AND(I44&lt;=1,J44&lt;=1,K44&lt;=1,L44&lt;=1,M44&lt;=1,N44&lt;=1,O44&lt;=1),"이상없음","이자비용초과")</f>
        <v>#DIV/0!</v>
      </c>
      <c r="Q44" s="57">
        <f ca="1">+민감도!B7</f>
        <v>-13305399948.490595</v>
      </c>
    </row>
    <row r="45" spans="1:24">
      <c r="I45" s="2"/>
    </row>
    <row r="46" spans="1:24">
      <c r="A46" s="367">
        <f>ROW(C50)-ROW(C46)</f>
        <v>4</v>
      </c>
      <c r="B46" s="1"/>
      <c r="C46" s="1" t="s">
        <v>17098</v>
      </c>
      <c r="D46" s="1" t="s">
        <v>17099</v>
      </c>
      <c r="E46" s="1" t="s">
        <v>16476</v>
      </c>
      <c r="F46" s="1" t="s">
        <v>16478</v>
      </c>
      <c r="G46" s="1" t="s">
        <v>16480</v>
      </c>
      <c r="H46" s="1" t="s">
        <v>16483</v>
      </c>
      <c r="I46" s="1" t="s">
        <v>16829</v>
      </c>
      <c r="J46" s="1" t="s">
        <v>17108</v>
      </c>
      <c r="K46" s="1"/>
      <c r="L46" s="116" t="s">
        <v>23</v>
      </c>
      <c r="N46" s="126" t="s">
        <v>30</v>
      </c>
      <c r="O46" s="126" t="s">
        <v>31</v>
      </c>
      <c r="P46" s="126" t="s">
        <v>32</v>
      </c>
      <c r="Q46" s="126" t="s">
        <v>31</v>
      </c>
      <c r="R46" s="126" t="s">
        <v>33</v>
      </c>
      <c r="S46" s="126" t="s">
        <v>34</v>
      </c>
    </row>
    <row r="47" spans="1:24">
      <c r="A47" s="1" t="s">
        <v>12</v>
      </c>
      <c r="B47" s="1" t="s">
        <v>16735</v>
      </c>
      <c r="C47" s="1" t="s">
        <v>17100</v>
      </c>
      <c r="D47" s="2" t="s">
        <v>17101</v>
      </c>
      <c r="E47" s="87">
        <f>IF(E14=0,0,E56/E14*100)</f>
        <v>0.48083256487946252</v>
      </c>
      <c r="F47" s="28">
        <f>IF(F14=0,0,F56/F14*100)</f>
        <v>0.51756414491796054</v>
      </c>
      <c r="G47" s="87">
        <f>IF(G14=0,0,G56/G14*100)</f>
        <v>2.0419878628833854</v>
      </c>
      <c r="H47" s="87">
        <f>IF(H14=0,0,H56/H14*100)</f>
        <v>5.4636091724825526</v>
      </c>
      <c r="I47" s="28">
        <f>(F47+G47*2+H47*3)/6</f>
        <v>3.4987278980220649</v>
      </c>
      <c r="J47" s="498">
        <v>0</v>
      </c>
      <c r="K47" s="92">
        <f>(E47+F47*2+G47*3)/6</f>
        <v>1.2736540738942568</v>
      </c>
      <c r="L47" s="159"/>
      <c r="N47" s="117">
        <f>AVERAGE(E47:H47)</f>
        <v>2.1259984362908404</v>
      </c>
      <c r="O47" s="117">
        <f>AVERAGE(F47:H47)</f>
        <v>2.6743870600946327</v>
      </c>
      <c r="P47" s="117">
        <f>AVERAGE(G47:H47)</f>
        <v>3.7527985176829688</v>
      </c>
      <c r="Q47" s="117">
        <f>AVERAGE(E47:G47)</f>
        <v>1.0134615242269363</v>
      </c>
      <c r="R47" s="117">
        <f>(4*H47+3*G47+2*F47+E47)/10</f>
        <v>2.9496361133295754</v>
      </c>
      <c r="S47" s="117">
        <f>(2*H47+G47)/3</f>
        <v>4.323068735949497</v>
      </c>
    </row>
    <row r="48" spans="1:24">
      <c r="A48" s="1" t="s">
        <v>12</v>
      </c>
      <c r="B48" s="1" t="s">
        <v>16711</v>
      </c>
      <c r="C48" s="1" t="s">
        <v>17102</v>
      </c>
      <c r="D48" s="2" t="s">
        <v>17103</v>
      </c>
      <c r="E48" s="87">
        <f>IF((E11)=0,0,(E28/E11)*100)</f>
        <v>0.47619047619047622</v>
      </c>
      <c r="F48" s="28">
        <f>IF((E11+F11)=0,0,(F28/((E11+F11)/2))*100)</f>
        <v>8.8731144631765749E-2</v>
      </c>
      <c r="G48" s="87">
        <f>IF((F11+G11)=0,0,(G28/((F11+G11)/2))*100)</f>
        <v>0.77902405597432101</v>
      </c>
      <c r="H48" s="87">
        <f>IF((G11+H11)=0,0,(I28/((G11+H11)/2))*100)</f>
        <v>1.4684690866671242</v>
      </c>
      <c r="I48" s="28">
        <f t="shared" ref="I48:I50" si="46">(F48+G48*2+H48*3)/6</f>
        <v>1.0086977527636301</v>
      </c>
      <c r="J48" s="498">
        <v>0</v>
      </c>
      <c r="K48" s="92">
        <f t="shared" ref="K48:K50" si="47">(E48+F48*2+G48*3)/6</f>
        <v>0.49845415556282852</v>
      </c>
      <c r="L48" s="159"/>
      <c r="N48" s="117">
        <f>AVERAGE(E48:H48)</f>
        <v>0.70310369086592184</v>
      </c>
      <c r="O48" s="117">
        <f>AVERAGE(F48:H48)</f>
        <v>0.77874142909107036</v>
      </c>
      <c r="P48" s="117">
        <f>AVERAGE(G48:H48)</f>
        <v>1.1237465713207226</v>
      </c>
      <c r="Q48" s="117">
        <f>AVERAGE(E48:G48)</f>
        <v>0.44798189226552099</v>
      </c>
      <c r="R48" s="117">
        <f>(4*H48+3*G48+2*F48+E48)/10</f>
        <v>0.88646012800454665</v>
      </c>
      <c r="S48" s="117">
        <f>(2*H48+G48)/3</f>
        <v>1.2386540764361897</v>
      </c>
    </row>
    <row r="49" spans="1:19">
      <c r="A49" s="1" t="s">
        <v>12</v>
      </c>
      <c r="B49" s="1" t="s">
        <v>3</v>
      </c>
      <c r="C49" s="1" t="s">
        <v>17104</v>
      </c>
      <c r="D49" s="2" t="s">
        <v>17105</v>
      </c>
      <c r="E49" s="87">
        <f>IF(E125=0,0,E125/E14*100)</f>
        <v>0.65867474641022272</v>
      </c>
      <c r="F49" s="28">
        <f>IF(F125=0,0,F125/F14*100)</f>
        <v>0.89747825129391035</v>
      </c>
      <c r="G49" s="87">
        <f>IF(G125=0,0,G125/G14*100)</f>
        <v>2.2470067246186649</v>
      </c>
      <c r="H49" s="87">
        <f>IF(H125=0,0,H125/H14*100)</f>
        <v>15.832502492522432</v>
      </c>
      <c r="I49" s="28">
        <f t="shared" si="46"/>
        <v>8.8148331963497562</v>
      </c>
      <c r="J49" s="498">
        <v>0</v>
      </c>
      <c r="K49" s="92">
        <f t="shared" si="47"/>
        <v>1.5324419038090065</v>
      </c>
      <c r="L49" s="159"/>
      <c r="N49" s="117">
        <f>AVERAGE(E49:H49)</f>
        <v>4.9089155537113074</v>
      </c>
      <c r="O49" s="117">
        <f>AVERAGE(F49:H49)</f>
        <v>6.3256624894783355</v>
      </c>
      <c r="P49" s="117">
        <f>AVERAGE(G49:H49)</f>
        <v>9.0397546085705489</v>
      </c>
      <c r="Q49" s="117">
        <f>AVERAGE(E49:G49)</f>
        <v>1.2677199074409327</v>
      </c>
      <c r="R49" s="117">
        <f>(4*H49+3*G49+2*F49+E49)/10</f>
        <v>7.252466139294377</v>
      </c>
      <c r="S49" s="117">
        <f>(2*H49+G49)/3</f>
        <v>11.304003903221178</v>
      </c>
    </row>
    <row r="50" spans="1:19">
      <c r="A50" s="1" t="s">
        <v>12</v>
      </c>
      <c r="B50" s="1" t="s">
        <v>16711</v>
      </c>
      <c r="C50" s="1" t="s">
        <v>17106</v>
      </c>
      <c r="D50" s="2" t="s">
        <v>17107</v>
      </c>
      <c r="E50" s="87">
        <f>IF((E12)=0,0,(E31/E12)*100)</f>
        <v>1.2630249447426587</v>
      </c>
      <c r="F50" s="28">
        <f>IF((E12+F12)=0,0,(F31/((E12+F12)/2))*100)</f>
        <v>0.81931001245029911</v>
      </c>
      <c r="G50" s="87">
        <f>IF((F12+G12)=0,0,(G31/((F12+G12)/2))*100)</f>
        <v>1.0278137381821035</v>
      </c>
      <c r="H50" s="87">
        <f>IF((G12+H12)=0,0,(I31/((G12+H12)/2))*100)</f>
        <v>1.5132408575031526</v>
      </c>
      <c r="I50" s="28">
        <f t="shared" si="46"/>
        <v>1.2357766768873273</v>
      </c>
      <c r="J50" s="498">
        <v>0</v>
      </c>
      <c r="K50" s="92">
        <f t="shared" si="47"/>
        <v>0.99751436403159455</v>
      </c>
      <c r="L50" s="159"/>
      <c r="N50" s="117">
        <f>AVERAGE(E50:H50)</f>
        <v>1.1558473882195535</v>
      </c>
      <c r="O50" s="117">
        <f>AVERAGE(F50:H50)</f>
        <v>1.1201215360451851</v>
      </c>
      <c r="P50" s="117">
        <f>AVERAGE(G50:H50)</f>
        <v>1.2705272978426281</v>
      </c>
      <c r="Q50" s="117">
        <f>AVERAGE(E50:G50)</f>
        <v>1.0367162317916871</v>
      </c>
      <c r="R50" s="117">
        <f>(4*H50+3*G50+2*F50+E50)/10</f>
        <v>1.2038049614202178</v>
      </c>
      <c r="S50" s="117">
        <f>(2*H50+G50)/3</f>
        <v>1.3514318177294697</v>
      </c>
    </row>
    <row r="51" spans="1:19" ht="17.25" thickBot="1">
      <c r="D51" s="205"/>
      <c r="E51" s="231">
        <f>E47-E49</f>
        <v>-0.1778421815307602</v>
      </c>
      <c r="F51" s="231">
        <f t="shared" ref="F51:S51" si="48">F47-F49</f>
        <v>-0.3799141063759498</v>
      </c>
      <c r="G51" s="231">
        <f t="shared" si="48"/>
        <v>-0.2050188617352795</v>
      </c>
      <c r="H51" s="231">
        <f t="shared" si="48"/>
        <v>-10.368893320039879</v>
      </c>
      <c r="I51" s="231">
        <f t="shared" si="48"/>
        <v>-5.3161052983276917</v>
      </c>
      <c r="J51" s="231">
        <v>-5.3161052983276917</v>
      </c>
      <c r="K51" s="231">
        <f t="shared" si="48"/>
        <v>-0.25878782991474969</v>
      </c>
      <c r="L51" s="231">
        <f t="shared" si="48"/>
        <v>0</v>
      </c>
      <c r="M51" s="231"/>
      <c r="N51" s="231">
        <f t="shared" si="48"/>
        <v>-2.782917117420467</v>
      </c>
      <c r="O51" s="231">
        <f t="shared" si="48"/>
        <v>-3.6512754293837029</v>
      </c>
      <c r="P51" s="231">
        <f t="shared" si="48"/>
        <v>-5.2869560908875801</v>
      </c>
      <c r="Q51" s="231">
        <f t="shared" si="48"/>
        <v>-0.25425838321399641</v>
      </c>
      <c r="R51" s="231">
        <f t="shared" si="48"/>
        <v>-4.302830025964802</v>
      </c>
      <c r="S51" s="231">
        <f t="shared" si="48"/>
        <v>-6.9809351672716806</v>
      </c>
    </row>
    <row r="52" spans="1:19" ht="17.25" thickBot="1">
      <c r="D52" s="232" t="s">
        <v>81</v>
      </c>
      <c r="E52" s="233">
        <f t="shared" ref="E52:O52" si="49">IFERROR(E25/E14,"")</f>
        <v>-1.2646555131076275E-2</v>
      </c>
      <c r="F52" s="233">
        <f t="shared" si="49"/>
        <v>1.6187644532540468E-2</v>
      </c>
      <c r="G52" s="233">
        <f t="shared" si="49"/>
        <v>-0.29137280629817941</v>
      </c>
      <c r="H52" s="233">
        <f t="shared" si="49"/>
        <v>-1.6596211365902294</v>
      </c>
      <c r="I52" s="233">
        <f t="shared" si="49"/>
        <v>-1.6598205383848454</v>
      </c>
      <c r="J52" s="247">
        <f t="shared" si="49"/>
        <v>-1.1992605565285075</v>
      </c>
      <c r="K52" s="248">
        <f t="shared" si="49"/>
        <v>-1.5207619047619048</v>
      </c>
      <c r="L52" s="248">
        <f t="shared" si="49"/>
        <v>-3.5562185344023867</v>
      </c>
      <c r="M52" s="248">
        <f t="shared" si="49"/>
        <v>-17.327976625273923</v>
      </c>
      <c r="N52" s="248">
        <f t="shared" si="49"/>
        <v>-112.00357781753131</v>
      </c>
      <c r="O52" s="325">
        <f t="shared" si="49"/>
        <v>-765.60091180080656</v>
      </c>
      <c r="P52" s="205"/>
      <c r="Q52" s="205"/>
      <c r="R52" s="205"/>
      <c r="S52" s="205"/>
    </row>
    <row r="53" spans="1:19">
      <c r="D53" s="232" t="s">
        <v>85</v>
      </c>
      <c r="E53" s="233">
        <f t="shared" ref="E53:O53" si="50">IFERROR(E36/E14,"")</f>
        <v>-3.9520484784613362E-3</v>
      </c>
      <c r="F53" s="233">
        <f t="shared" si="50"/>
        <v>2.4446646845061117E-2</v>
      </c>
      <c r="G53" s="233">
        <f t="shared" si="50"/>
        <v>-0.27062489749056912</v>
      </c>
      <c r="H53" s="233">
        <f t="shared" si="50"/>
        <v>-1.9912263210368892</v>
      </c>
      <c r="I53" s="233">
        <f t="shared" si="50"/>
        <v>0</v>
      </c>
      <c r="J53" s="233">
        <f t="shared" si="50"/>
        <v>0</v>
      </c>
      <c r="K53" s="233">
        <f t="shared" si="50"/>
        <v>0</v>
      </c>
      <c r="L53" s="233">
        <f t="shared" si="50"/>
        <v>0</v>
      </c>
      <c r="M53" s="233">
        <f t="shared" si="50"/>
        <v>0</v>
      </c>
      <c r="N53" s="233">
        <f t="shared" si="50"/>
        <v>0</v>
      </c>
      <c r="O53" s="233">
        <f t="shared" si="50"/>
        <v>0</v>
      </c>
      <c r="P53" s="205"/>
      <c r="Q53" s="205"/>
      <c r="R53" s="205"/>
      <c r="S53" s="205"/>
    </row>
    <row r="54" spans="1:19">
      <c r="A54" s="1">
        <v>65</v>
      </c>
      <c r="B54" s="1"/>
      <c r="C54" s="1" t="s">
        <v>17109</v>
      </c>
      <c r="D54" s="1" t="s">
        <v>17110</v>
      </c>
      <c r="E54" s="1" t="s">
        <v>17095</v>
      </c>
      <c r="F54" s="1" t="s">
        <v>16802</v>
      </c>
      <c r="G54" s="1" t="s">
        <v>16804</v>
      </c>
      <c r="H54" s="1" t="s">
        <v>16806</v>
      </c>
      <c r="I54" s="10" t="s">
        <v>17241</v>
      </c>
      <c r="J54" s="1" t="s">
        <v>17242</v>
      </c>
    </row>
    <row r="55" spans="1:19">
      <c r="A55" s="1" t="s">
        <v>12</v>
      </c>
      <c r="B55" s="1" t="s">
        <v>16695</v>
      </c>
      <c r="C55" s="1" t="s">
        <v>17111</v>
      </c>
      <c r="D55" s="2" t="s">
        <v>17112</v>
      </c>
      <c r="E55" s="32">
        <f>SUM(E57:E119)</f>
        <v>364</v>
      </c>
      <c r="F55" s="32">
        <f>SUM(F57:F119)</f>
        <v>569</v>
      </c>
      <c r="G55" s="32">
        <f t="shared" ref="G55:I55" si="51">SUM(G57:G119)</f>
        <v>808</v>
      </c>
      <c r="H55" s="32">
        <f t="shared" si="51"/>
        <v>389</v>
      </c>
      <c r="I55" s="39">
        <f t="shared" si="51"/>
        <v>389</v>
      </c>
      <c r="J55" s="2">
        <v>0</v>
      </c>
    </row>
    <row r="56" spans="1:19">
      <c r="A56" s="1" t="s">
        <v>4</v>
      </c>
      <c r="B56" s="1" t="s">
        <v>2</v>
      </c>
      <c r="C56" s="1" t="s">
        <v>17113</v>
      </c>
      <c r="D56" s="2" t="s">
        <v>17114</v>
      </c>
      <c r="E56" s="40">
        <f>SUMIF($J$57:$J$119,0,E57:E119)</f>
        <v>73</v>
      </c>
      <c r="F56" s="40">
        <f>SUMIF($J$57:$J$119,0,F57:F119)</f>
        <v>94</v>
      </c>
      <c r="G56" s="40">
        <f t="shared" ref="G56:I56" si="52">SUMIF($J$57:$J$119,0,G57:G119)</f>
        <v>249</v>
      </c>
      <c r="H56" s="40">
        <f t="shared" si="52"/>
        <v>274</v>
      </c>
      <c r="I56" s="41">
        <f t="shared" si="52"/>
        <v>274</v>
      </c>
      <c r="J56" s="2">
        <v>0</v>
      </c>
    </row>
    <row r="57" spans="1:19">
      <c r="A57" s="1" t="s">
        <v>12</v>
      </c>
      <c r="B57" s="1" t="s">
        <v>2</v>
      </c>
      <c r="C57" s="1" t="s">
        <v>17115</v>
      </c>
      <c r="D57" s="2" t="s">
        <v>17116</v>
      </c>
      <c r="E57" s="31">
        <v>14</v>
      </c>
      <c r="F57" s="31">
        <v>8</v>
      </c>
      <c r="G57" s="31">
        <v>108</v>
      </c>
      <c r="H57" s="31">
        <v>107</v>
      </c>
      <c r="I57" s="42">
        <v>107</v>
      </c>
      <c r="J57" s="2">
        <v>0</v>
      </c>
    </row>
    <row r="58" spans="1:19">
      <c r="A58" s="1" t="s">
        <v>12</v>
      </c>
      <c r="B58" s="1" t="s">
        <v>2</v>
      </c>
      <c r="C58" s="1" t="s">
        <v>17117</v>
      </c>
      <c r="D58" s="2" t="s">
        <v>17118</v>
      </c>
      <c r="E58" s="31"/>
      <c r="F58" s="31"/>
      <c r="G58" s="31"/>
      <c r="H58" s="31"/>
      <c r="I58" s="42"/>
      <c r="J58" s="2">
        <v>1</v>
      </c>
    </row>
    <row r="59" spans="1:19">
      <c r="A59" s="1" t="s">
        <v>12</v>
      </c>
      <c r="B59" s="1" t="s">
        <v>2</v>
      </c>
      <c r="C59" s="1" t="s">
        <v>17119</v>
      </c>
      <c r="D59" s="2" t="s">
        <v>17120</v>
      </c>
      <c r="E59" s="18"/>
      <c r="F59" s="18"/>
      <c r="G59" s="18"/>
      <c r="H59" s="18"/>
      <c r="I59" s="50"/>
      <c r="J59" s="2">
        <v>0</v>
      </c>
    </row>
    <row r="60" spans="1:19">
      <c r="A60" s="1" t="s">
        <v>12</v>
      </c>
      <c r="B60" s="1" t="s">
        <v>16780</v>
      </c>
      <c r="C60" s="1" t="s">
        <v>17121</v>
      </c>
      <c r="D60" s="2" t="s">
        <v>17122</v>
      </c>
      <c r="E60" s="31"/>
      <c r="F60" s="31"/>
      <c r="G60" s="31"/>
      <c r="H60" s="31"/>
      <c r="I60" s="42"/>
      <c r="J60" s="2">
        <v>1</v>
      </c>
    </row>
    <row r="61" spans="1:19">
      <c r="A61" s="1" t="s">
        <v>12</v>
      </c>
      <c r="B61" s="1" t="s">
        <v>11</v>
      </c>
      <c r="C61" s="1" t="s">
        <v>17123</v>
      </c>
      <c r="D61" s="2" t="s">
        <v>17124</v>
      </c>
      <c r="E61" s="31"/>
      <c r="F61" s="31"/>
      <c r="G61" s="31"/>
      <c r="H61" s="31"/>
      <c r="I61" s="42"/>
      <c r="J61" s="2">
        <v>1</v>
      </c>
    </row>
    <row r="62" spans="1:19">
      <c r="A62" s="1" t="s">
        <v>12</v>
      </c>
      <c r="B62" s="1" t="s">
        <v>2</v>
      </c>
      <c r="C62" s="1" t="s">
        <v>17125</v>
      </c>
      <c r="D62" s="2" t="s">
        <v>17126</v>
      </c>
      <c r="E62" s="31"/>
      <c r="F62" s="31"/>
      <c r="G62" s="31"/>
      <c r="H62" s="31"/>
      <c r="I62" s="42"/>
      <c r="J62" s="2">
        <v>1</v>
      </c>
    </row>
    <row r="63" spans="1:19">
      <c r="A63" s="1" t="s">
        <v>12</v>
      </c>
      <c r="B63" s="1" t="s">
        <v>16346</v>
      </c>
      <c r="C63" s="1" t="s">
        <v>17127</v>
      </c>
      <c r="D63" s="2" t="s">
        <v>17128</v>
      </c>
      <c r="E63" s="31"/>
      <c r="F63" s="31"/>
      <c r="G63" s="31"/>
      <c r="H63" s="31"/>
      <c r="I63" s="42"/>
      <c r="J63" s="2">
        <v>1</v>
      </c>
    </row>
    <row r="64" spans="1:19">
      <c r="A64" s="1" t="s">
        <v>12</v>
      </c>
      <c r="B64" s="1" t="s">
        <v>2</v>
      </c>
      <c r="C64" s="1" t="s">
        <v>17129</v>
      </c>
      <c r="D64" s="2" t="s">
        <v>17130</v>
      </c>
      <c r="E64" s="31"/>
      <c r="F64" s="31"/>
      <c r="G64" s="31"/>
      <c r="H64" s="31"/>
      <c r="I64" s="42"/>
      <c r="J64" s="2">
        <v>1</v>
      </c>
    </row>
    <row r="65" spans="1:10">
      <c r="A65" s="1" t="s">
        <v>12</v>
      </c>
      <c r="B65" s="1" t="s">
        <v>2</v>
      </c>
      <c r="C65" s="1" t="s">
        <v>17131</v>
      </c>
      <c r="D65" s="2" t="s">
        <v>17132</v>
      </c>
      <c r="E65" s="31"/>
      <c r="F65" s="31"/>
      <c r="G65" s="31"/>
      <c r="H65" s="31"/>
      <c r="I65" s="42"/>
      <c r="J65" s="2">
        <v>1</v>
      </c>
    </row>
    <row r="66" spans="1:10">
      <c r="A66" s="1" t="s">
        <v>12</v>
      </c>
      <c r="B66" s="1" t="s">
        <v>16780</v>
      </c>
      <c r="C66" s="1" t="s">
        <v>17133</v>
      </c>
      <c r="D66" s="2" t="s">
        <v>17134</v>
      </c>
      <c r="E66" s="31"/>
      <c r="F66" s="31"/>
      <c r="G66" s="31"/>
      <c r="H66" s="31"/>
      <c r="I66" s="42"/>
      <c r="J66" s="2">
        <v>0</v>
      </c>
    </row>
    <row r="67" spans="1:10">
      <c r="A67" s="1" t="s">
        <v>12</v>
      </c>
      <c r="B67" s="1" t="s">
        <v>16780</v>
      </c>
      <c r="C67" s="1" t="s">
        <v>17135</v>
      </c>
      <c r="D67" s="2" t="s">
        <v>17136</v>
      </c>
      <c r="E67" s="31"/>
      <c r="F67" s="31"/>
      <c r="G67" s="31"/>
      <c r="H67" s="31"/>
      <c r="I67" s="42"/>
      <c r="J67" s="2">
        <v>1</v>
      </c>
    </row>
    <row r="68" spans="1:10">
      <c r="A68" s="1" t="s">
        <v>12</v>
      </c>
      <c r="B68" s="1" t="s">
        <v>16793</v>
      </c>
      <c r="C68" s="1" t="s">
        <v>17137</v>
      </c>
      <c r="D68" s="2" t="s">
        <v>17138</v>
      </c>
      <c r="E68" s="31"/>
      <c r="F68" s="31"/>
      <c r="G68" s="31"/>
      <c r="H68" s="31"/>
      <c r="I68" s="42"/>
      <c r="J68" s="2">
        <v>1</v>
      </c>
    </row>
    <row r="69" spans="1:10">
      <c r="A69" s="1" t="s">
        <v>12</v>
      </c>
      <c r="B69" s="1" t="s">
        <v>16793</v>
      </c>
      <c r="C69" s="1" t="s">
        <v>17139</v>
      </c>
      <c r="D69" s="2" t="s">
        <v>17140</v>
      </c>
      <c r="E69" s="31"/>
      <c r="F69" s="31"/>
      <c r="G69" s="31"/>
      <c r="H69" s="31"/>
      <c r="I69" s="42"/>
      <c r="J69" s="2">
        <v>0</v>
      </c>
    </row>
    <row r="70" spans="1:10">
      <c r="A70" s="1" t="s">
        <v>12</v>
      </c>
      <c r="B70" s="1" t="s">
        <v>2</v>
      </c>
      <c r="C70" s="1" t="s">
        <v>17141</v>
      </c>
      <c r="D70" s="2" t="s">
        <v>17142</v>
      </c>
      <c r="E70" s="31"/>
      <c r="F70" s="31"/>
      <c r="G70" s="31"/>
      <c r="H70" s="31"/>
      <c r="I70" s="42"/>
      <c r="J70" s="2">
        <v>1</v>
      </c>
    </row>
    <row r="71" spans="1:10">
      <c r="A71" s="1" t="s">
        <v>12</v>
      </c>
      <c r="B71" s="1" t="s">
        <v>16695</v>
      </c>
      <c r="C71" s="1" t="s">
        <v>17143</v>
      </c>
      <c r="D71" s="2" t="s">
        <v>17144</v>
      </c>
      <c r="E71" s="18"/>
      <c r="F71" s="18"/>
      <c r="G71" s="18"/>
      <c r="H71" s="18"/>
      <c r="I71" s="50"/>
      <c r="J71" s="2">
        <v>0</v>
      </c>
    </row>
    <row r="72" spans="1:10">
      <c r="A72" s="1" t="s">
        <v>12</v>
      </c>
      <c r="B72" s="1" t="s">
        <v>16701</v>
      </c>
      <c r="C72" s="1" t="s">
        <v>17145</v>
      </c>
      <c r="D72" s="2" t="s">
        <v>17146</v>
      </c>
      <c r="E72" s="18"/>
      <c r="F72" s="18"/>
      <c r="G72" s="18"/>
      <c r="H72" s="18"/>
      <c r="I72" s="50"/>
      <c r="J72" s="2">
        <v>0</v>
      </c>
    </row>
    <row r="73" spans="1:10">
      <c r="A73" s="1" t="s">
        <v>12</v>
      </c>
      <c r="B73" s="1" t="s">
        <v>16701</v>
      </c>
      <c r="C73" s="1" t="s">
        <v>17147</v>
      </c>
      <c r="D73" s="2" t="s">
        <v>17148</v>
      </c>
      <c r="E73" s="18"/>
      <c r="F73" s="18"/>
      <c r="G73" s="18"/>
      <c r="H73" s="18"/>
      <c r="I73" s="50"/>
      <c r="J73" s="2">
        <v>1</v>
      </c>
    </row>
    <row r="74" spans="1:10">
      <c r="A74" s="1" t="s">
        <v>12</v>
      </c>
      <c r="B74" s="1" t="s">
        <v>2</v>
      </c>
      <c r="C74" s="1" t="s">
        <v>17149</v>
      </c>
      <c r="D74" s="2" t="s">
        <v>17150</v>
      </c>
      <c r="E74" s="18"/>
      <c r="F74" s="18"/>
      <c r="G74" s="18"/>
      <c r="H74" s="18"/>
      <c r="I74" s="50"/>
      <c r="J74" s="2">
        <v>1</v>
      </c>
    </row>
    <row r="75" spans="1:10">
      <c r="A75" s="1" t="s">
        <v>12</v>
      </c>
      <c r="B75" s="1" t="s">
        <v>16793</v>
      </c>
      <c r="C75" s="1" t="s">
        <v>17151</v>
      </c>
      <c r="D75" s="2" t="s">
        <v>17152</v>
      </c>
      <c r="E75" s="18">
        <v>210</v>
      </c>
      <c r="F75" s="18">
        <v>227</v>
      </c>
      <c r="G75" s="18"/>
      <c r="H75" s="18"/>
      <c r="I75" s="50"/>
      <c r="J75" s="2">
        <v>1</v>
      </c>
    </row>
    <row r="76" spans="1:10">
      <c r="A76" s="1" t="s">
        <v>12</v>
      </c>
      <c r="B76" s="1" t="s">
        <v>2</v>
      </c>
      <c r="C76" s="1" t="s">
        <v>17153</v>
      </c>
      <c r="D76" s="2" t="s">
        <v>17154</v>
      </c>
      <c r="E76" s="18">
        <v>80</v>
      </c>
      <c r="F76" s="18">
        <v>167</v>
      </c>
      <c r="G76" s="18">
        <v>496</v>
      </c>
      <c r="H76" s="18">
        <v>79</v>
      </c>
      <c r="I76" s="50">
        <v>79</v>
      </c>
      <c r="J76" s="2">
        <v>1</v>
      </c>
    </row>
    <row r="77" spans="1:10">
      <c r="A77" s="1" t="s">
        <v>12</v>
      </c>
      <c r="B77" s="1" t="s">
        <v>2</v>
      </c>
      <c r="C77" s="1" t="s">
        <v>17155</v>
      </c>
      <c r="D77" s="2" t="s">
        <v>17156</v>
      </c>
      <c r="E77" s="18">
        <v>1</v>
      </c>
      <c r="F77" s="18">
        <v>81</v>
      </c>
      <c r="G77" s="18">
        <v>40</v>
      </c>
      <c r="H77" s="18">
        <v>25</v>
      </c>
      <c r="I77" s="50">
        <v>25</v>
      </c>
      <c r="J77" s="2">
        <v>1</v>
      </c>
    </row>
    <row r="78" spans="1:10">
      <c r="A78" s="1" t="s">
        <v>12</v>
      </c>
      <c r="B78" s="1" t="s">
        <v>16793</v>
      </c>
      <c r="C78" s="1" t="s">
        <v>17157</v>
      </c>
      <c r="D78" s="2" t="s">
        <v>17158</v>
      </c>
      <c r="E78" s="18"/>
      <c r="F78" s="18"/>
      <c r="G78" s="18"/>
      <c r="H78" s="18"/>
      <c r="I78" s="50"/>
      <c r="J78" s="3">
        <v>1</v>
      </c>
    </row>
    <row r="79" spans="1:10">
      <c r="A79" s="1" t="s">
        <v>12</v>
      </c>
      <c r="B79" s="1" t="s">
        <v>2</v>
      </c>
      <c r="C79" s="1" t="s">
        <v>17159</v>
      </c>
      <c r="D79" s="2" t="s">
        <v>17160</v>
      </c>
      <c r="E79" s="18"/>
      <c r="F79" s="18"/>
      <c r="G79" s="18"/>
      <c r="H79" s="18"/>
      <c r="I79" s="50"/>
      <c r="J79" s="3">
        <v>1</v>
      </c>
    </row>
    <row r="80" spans="1:10">
      <c r="A80" s="1" t="s">
        <v>12</v>
      </c>
      <c r="B80" s="1" t="s">
        <v>16701</v>
      </c>
      <c r="C80" s="1" t="s">
        <v>17161</v>
      </c>
      <c r="D80" s="2" t="s">
        <v>17162</v>
      </c>
      <c r="E80" s="18"/>
      <c r="F80" s="18"/>
      <c r="G80" s="18"/>
      <c r="H80" s="18"/>
      <c r="I80" s="50"/>
      <c r="J80" s="3">
        <v>1</v>
      </c>
    </row>
    <row r="81" spans="1:10">
      <c r="A81" s="1" t="s">
        <v>12</v>
      </c>
      <c r="B81" s="1" t="s">
        <v>16695</v>
      </c>
      <c r="C81" s="1" t="s">
        <v>17163</v>
      </c>
      <c r="D81" s="2" t="s">
        <v>17164</v>
      </c>
      <c r="E81" s="18"/>
      <c r="F81" s="18"/>
      <c r="G81" s="18"/>
      <c r="H81" s="18"/>
      <c r="I81" s="50"/>
      <c r="J81" s="3">
        <v>1</v>
      </c>
    </row>
    <row r="82" spans="1:10">
      <c r="A82" s="1" t="s">
        <v>12</v>
      </c>
      <c r="B82" s="1" t="s">
        <v>16701</v>
      </c>
      <c r="C82" s="1" t="s">
        <v>17165</v>
      </c>
      <c r="D82" s="2" t="s">
        <v>17166</v>
      </c>
      <c r="E82" s="18"/>
      <c r="F82" s="18"/>
      <c r="G82" s="18"/>
      <c r="H82" s="18"/>
      <c r="I82" s="50"/>
      <c r="J82" s="2">
        <v>1</v>
      </c>
    </row>
    <row r="83" spans="1:10">
      <c r="A83" s="1" t="s">
        <v>12</v>
      </c>
      <c r="B83" s="1" t="s">
        <v>16793</v>
      </c>
      <c r="C83" s="1" t="s">
        <v>17167</v>
      </c>
      <c r="D83" s="2" t="s">
        <v>17168</v>
      </c>
      <c r="E83" s="18"/>
      <c r="F83" s="18"/>
      <c r="G83" s="18"/>
      <c r="H83" s="18"/>
      <c r="I83" s="50"/>
      <c r="J83" s="2">
        <v>1</v>
      </c>
    </row>
    <row r="84" spans="1:10">
      <c r="A84" s="1" t="s">
        <v>12</v>
      </c>
      <c r="B84" s="1" t="s">
        <v>2</v>
      </c>
      <c r="C84" s="1" t="s">
        <v>17169</v>
      </c>
      <c r="D84" s="2" t="s">
        <v>17170</v>
      </c>
      <c r="E84" s="18"/>
      <c r="F84" s="18"/>
      <c r="G84" s="18">
        <v>11</v>
      </c>
      <c r="H84" s="18"/>
      <c r="I84" s="50"/>
      <c r="J84" s="2">
        <v>1</v>
      </c>
    </row>
    <row r="85" spans="1:10">
      <c r="A85" s="1" t="s">
        <v>12</v>
      </c>
      <c r="B85" s="1" t="s">
        <v>16793</v>
      </c>
      <c r="C85" s="1" t="s">
        <v>17171</v>
      </c>
      <c r="D85" s="2" t="s">
        <v>17172</v>
      </c>
      <c r="E85" s="18"/>
      <c r="F85" s="18"/>
      <c r="G85" s="18"/>
      <c r="H85" s="18"/>
      <c r="I85" s="50"/>
      <c r="J85" s="2">
        <v>1</v>
      </c>
    </row>
    <row r="86" spans="1:10">
      <c r="A86" s="1" t="s">
        <v>12</v>
      </c>
      <c r="B86" s="1" t="s">
        <v>16695</v>
      </c>
      <c r="C86" s="1" t="s">
        <v>17173</v>
      </c>
      <c r="D86" s="2" t="s">
        <v>17174</v>
      </c>
      <c r="E86" s="31"/>
      <c r="F86" s="31"/>
      <c r="G86" s="31"/>
      <c r="H86" s="31"/>
      <c r="I86" s="42"/>
      <c r="J86" s="2">
        <v>1</v>
      </c>
    </row>
    <row r="87" spans="1:10">
      <c r="A87" s="1" t="s">
        <v>12</v>
      </c>
      <c r="B87" s="1" t="s">
        <v>2</v>
      </c>
      <c r="C87" s="1" t="s">
        <v>17175</v>
      </c>
      <c r="D87" s="2" t="s">
        <v>17176</v>
      </c>
      <c r="E87" s="31"/>
      <c r="F87" s="31"/>
      <c r="G87" s="31"/>
      <c r="H87" s="31"/>
      <c r="I87" s="42"/>
      <c r="J87" s="2">
        <v>1</v>
      </c>
    </row>
    <row r="88" spans="1:10">
      <c r="A88" s="1" t="s">
        <v>12</v>
      </c>
      <c r="B88" s="1" t="s">
        <v>16695</v>
      </c>
      <c r="C88" s="1" t="s">
        <v>17177</v>
      </c>
      <c r="D88" s="2" t="s">
        <v>17178</v>
      </c>
      <c r="E88" s="31"/>
      <c r="F88" s="31"/>
      <c r="G88" s="31"/>
      <c r="H88" s="31"/>
      <c r="I88" s="42"/>
      <c r="J88" s="2">
        <v>1</v>
      </c>
    </row>
    <row r="89" spans="1:10">
      <c r="A89" s="1" t="s">
        <v>12</v>
      </c>
      <c r="B89" s="1" t="s">
        <v>16701</v>
      </c>
      <c r="C89" s="1" t="s">
        <v>17179</v>
      </c>
      <c r="D89" s="2" t="s">
        <v>17180</v>
      </c>
      <c r="E89" s="31"/>
      <c r="F89" s="31"/>
      <c r="G89" s="31"/>
      <c r="H89" s="31"/>
      <c r="I89" s="42"/>
      <c r="J89" s="2">
        <v>1</v>
      </c>
    </row>
    <row r="90" spans="1:10">
      <c r="A90" s="1" t="s">
        <v>12</v>
      </c>
      <c r="B90" s="1" t="s">
        <v>16780</v>
      </c>
      <c r="C90" s="1" t="s">
        <v>17181</v>
      </c>
      <c r="D90" s="2" t="s">
        <v>17182</v>
      </c>
      <c r="E90" s="31"/>
      <c r="F90" s="31"/>
      <c r="G90" s="31"/>
      <c r="H90" s="31"/>
      <c r="I90" s="42"/>
      <c r="J90" s="2">
        <v>1</v>
      </c>
    </row>
    <row r="91" spans="1:10">
      <c r="A91" s="1" t="s">
        <v>12</v>
      </c>
      <c r="B91" s="1" t="s">
        <v>16873</v>
      </c>
      <c r="C91" s="1" t="s">
        <v>17183</v>
      </c>
      <c r="D91" s="2" t="s">
        <v>17184</v>
      </c>
      <c r="E91" s="31"/>
      <c r="F91" s="31"/>
      <c r="G91" s="31"/>
      <c r="H91" s="31"/>
      <c r="I91" s="42"/>
      <c r="J91" s="2">
        <v>1</v>
      </c>
    </row>
    <row r="92" spans="1:10">
      <c r="A92" s="1" t="s">
        <v>12</v>
      </c>
      <c r="B92" s="1" t="s">
        <v>16695</v>
      </c>
      <c r="C92" s="1" t="s">
        <v>17185</v>
      </c>
      <c r="D92" s="2" t="s">
        <v>17186</v>
      </c>
      <c r="E92" s="31"/>
      <c r="F92" s="31"/>
      <c r="G92" s="31"/>
      <c r="H92" s="31"/>
      <c r="I92" s="42"/>
      <c r="J92" s="2">
        <v>1</v>
      </c>
    </row>
    <row r="93" spans="1:10">
      <c r="A93" s="1" t="s">
        <v>12</v>
      </c>
      <c r="B93" s="1" t="s">
        <v>2</v>
      </c>
      <c r="C93" s="1" t="s">
        <v>17187</v>
      </c>
      <c r="D93" s="2" t="s">
        <v>17188</v>
      </c>
      <c r="E93" s="31"/>
      <c r="F93" s="31"/>
      <c r="G93" s="31"/>
      <c r="H93" s="31"/>
      <c r="I93" s="42"/>
      <c r="J93" s="2">
        <v>1</v>
      </c>
    </row>
    <row r="94" spans="1:10">
      <c r="A94" s="1" t="s">
        <v>12</v>
      </c>
      <c r="B94" s="1" t="s">
        <v>2</v>
      </c>
      <c r="C94" s="1" t="s">
        <v>17189</v>
      </c>
      <c r="D94" s="2" t="s">
        <v>17190</v>
      </c>
      <c r="E94" s="31"/>
      <c r="F94" s="31"/>
      <c r="G94" s="31">
        <v>6</v>
      </c>
      <c r="H94" s="31">
        <v>11</v>
      </c>
      <c r="I94" s="42">
        <v>11</v>
      </c>
      <c r="J94" s="2">
        <v>1</v>
      </c>
    </row>
    <row r="95" spans="1:10">
      <c r="A95" s="1" t="s">
        <v>12</v>
      </c>
      <c r="B95" s="1" t="s">
        <v>2</v>
      </c>
      <c r="C95" s="1" t="s">
        <v>17191</v>
      </c>
      <c r="D95" s="2" t="s">
        <v>17192</v>
      </c>
      <c r="E95" s="31"/>
      <c r="F95" s="31"/>
      <c r="G95" s="31"/>
      <c r="H95" s="31"/>
      <c r="I95" s="42"/>
      <c r="J95" s="2">
        <v>1</v>
      </c>
    </row>
    <row r="96" spans="1:10">
      <c r="A96" s="1" t="s">
        <v>12</v>
      </c>
      <c r="B96" s="1" t="s">
        <v>16796</v>
      </c>
      <c r="C96" s="1" t="s">
        <v>17193</v>
      </c>
      <c r="D96" s="2" t="s">
        <v>17194</v>
      </c>
      <c r="E96" s="31"/>
      <c r="F96" s="31"/>
      <c r="G96" s="31"/>
      <c r="H96" s="31"/>
      <c r="I96" s="42"/>
      <c r="J96" s="2">
        <v>1</v>
      </c>
    </row>
    <row r="97" spans="1:10">
      <c r="A97" s="1" t="s">
        <v>12</v>
      </c>
      <c r="B97" s="1" t="s">
        <v>16695</v>
      </c>
      <c r="C97" s="1" t="s">
        <v>17195</v>
      </c>
      <c r="D97" s="2" t="s">
        <v>17196</v>
      </c>
      <c r="E97" s="31"/>
      <c r="F97" s="31"/>
      <c r="G97" s="31"/>
      <c r="H97" s="31"/>
      <c r="I97" s="42"/>
      <c r="J97" s="2">
        <v>1</v>
      </c>
    </row>
    <row r="98" spans="1:10">
      <c r="A98" s="1" t="s">
        <v>12</v>
      </c>
      <c r="B98" s="1" t="s">
        <v>2</v>
      </c>
      <c r="C98" s="1" t="s">
        <v>17197</v>
      </c>
      <c r="D98" s="2" t="s">
        <v>17198</v>
      </c>
      <c r="E98" s="31"/>
      <c r="F98" s="31"/>
      <c r="G98" s="31">
        <v>6</v>
      </c>
      <c r="H98" s="31"/>
      <c r="I98" s="42"/>
      <c r="J98" s="2">
        <v>1</v>
      </c>
    </row>
    <row r="99" spans="1:10">
      <c r="A99" s="1" t="s">
        <v>12</v>
      </c>
      <c r="B99" s="1" t="s">
        <v>2</v>
      </c>
      <c r="C99" s="1" t="s">
        <v>17199</v>
      </c>
      <c r="D99" s="2" t="s">
        <v>17200</v>
      </c>
      <c r="E99" s="31"/>
      <c r="F99" s="31"/>
      <c r="G99" s="31"/>
      <c r="H99" s="31"/>
      <c r="I99" s="42"/>
      <c r="J99" s="2">
        <v>1</v>
      </c>
    </row>
    <row r="100" spans="1:10">
      <c r="A100" s="1" t="s">
        <v>12</v>
      </c>
      <c r="B100" s="1" t="s">
        <v>16780</v>
      </c>
      <c r="C100" s="1" t="s">
        <v>17201</v>
      </c>
      <c r="D100" s="2" t="s">
        <v>17202</v>
      </c>
      <c r="E100" s="31"/>
      <c r="F100" s="31"/>
      <c r="G100" s="31"/>
      <c r="H100" s="31"/>
      <c r="I100" s="42"/>
      <c r="J100" s="2">
        <v>1</v>
      </c>
    </row>
    <row r="101" spans="1:10">
      <c r="A101" s="1" t="s">
        <v>12</v>
      </c>
      <c r="B101" s="1" t="s">
        <v>16701</v>
      </c>
      <c r="C101" s="1" t="s">
        <v>17203</v>
      </c>
      <c r="D101" s="2" t="s">
        <v>17204</v>
      </c>
      <c r="E101" s="31"/>
      <c r="F101" s="31"/>
      <c r="G101" s="31"/>
      <c r="H101" s="31"/>
      <c r="I101" s="42"/>
      <c r="J101" s="2">
        <v>1</v>
      </c>
    </row>
    <row r="102" spans="1:10">
      <c r="A102" s="1" t="s">
        <v>12</v>
      </c>
      <c r="B102" s="1" t="s">
        <v>16780</v>
      </c>
      <c r="C102" s="1" t="s">
        <v>17205</v>
      </c>
      <c r="D102" s="2" t="s">
        <v>17206</v>
      </c>
      <c r="E102" s="31"/>
      <c r="F102" s="31"/>
      <c r="G102" s="31"/>
      <c r="H102" s="31"/>
      <c r="I102" s="42"/>
      <c r="J102" s="2">
        <v>1</v>
      </c>
    </row>
    <row r="103" spans="1:10">
      <c r="A103" s="1" t="s">
        <v>12</v>
      </c>
      <c r="B103" s="1" t="s">
        <v>16793</v>
      </c>
      <c r="C103" s="1" t="s">
        <v>17207</v>
      </c>
      <c r="D103" s="2" t="s">
        <v>17208</v>
      </c>
      <c r="E103" s="31"/>
      <c r="F103" s="31"/>
      <c r="G103" s="31"/>
      <c r="H103" s="31"/>
      <c r="I103" s="42"/>
      <c r="J103" s="2">
        <v>1</v>
      </c>
    </row>
    <row r="104" spans="1:10">
      <c r="A104" s="1" t="s">
        <v>12</v>
      </c>
      <c r="B104" s="1" t="s">
        <v>16796</v>
      </c>
      <c r="C104" s="1" t="s">
        <v>17209</v>
      </c>
      <c r="D104" s="2" t="s">
        <v>17210</v>
      </c>
      <c r="E104" s="31"/>
      <c r="F104" s="31"/>
      <c r="G104" s="31"/>
      <c r="H104" s="31"/>
      <c r="I104" s="42"/>
      <c r="J104" s="2">
        <v>1</v>
      </c>
    </row>
    <row r="105" spans="1:10">
      <c r="A105" s="1" t="s">
        <v>12</v>
      </c>
      <c r="B105" s="1" t="s">
        <v>16701</v>
      </c>
      <c r="C105" s="1" t="s">
        <v>17211</v>
      </c>
      <c r="D105" s="2" t="s">
        <v>17212</v>
      </c>
      <c r="E105" s="31"/>
      <c r="F105" s="31"/>
      <c r="G105" s="31"/>
      <c r="H105" s="31"/>
      <c r="I105" s="42"/>
      <c r="J105" s="2">
        <v>1</v>
      </c>
    </row>
    <row r="106" spans="1:10">
      <c r="A106" s="1" t="s">
        <v>12</v>
      </c>
      <c r="B106" s="1" t="s">
        <v>16695</v>
      </c>
      <c r="C106" s="1" t="s">
        <v>17213</v>
      </c>
      <c r="D106" s="2" t="s">
        <v>17214</v>
      </c>
      <c r="E106" s="31"/>
      <c r="F106" s="31"/>
      <c r="G106" s="31"/>
      <c r="H106" s="31"/>
      <c r="I106" s="42"/>
      <c r="J106" s="2">
        <v>1</v>
      </c>
    </row>
    <row r="107" spans="1:10">
      <c r="A107" s="1" t="s">
        <v>12</v>
      </c>
      <c r="B107" s="1" t="s">
        <v>16695</v>
      </c>
      <c r="C107" s="1" t="s">
        <v>17215</v>
      </c>
      <c r="D107" s="2" t="s">
        <v>17216</v>
      </c>
      <c r="E107" s="31"/>
      <c r="F107" s="31"/>
      <c r="G107" s="31"/>
      <c r="H107" s="31"/>
      <c r="I107" s="42"/>
      <c r="J107" s="2">
        <v>1</v>
      </c>
    </row>
    <row r="108" spans="1:10">
      <c r="A108" s="1" t="s">
        <v>12</v>
      </c>
      <c r="B108" s="1" t="s">
        <v>16701</v>
      </c>
      <c r="C108" s="1" t="s">
        <v>17217</v>
      </c>
      <c r="D108" s="2" t="s">
        <v>17218</v>
      </c>
      <c r="E108" s="31"/>
      <c r="F108" s="31"/>
      <c r="G108" s="31"/>
      <c r="H108" s="31"/>
      <c r="I108" s="42"/>
      <c r="J108" s="2">
        <v>1</v>
      </c>
    </row>
    <row r="109" spans="1:10">
      <c r="A109" s="1" t="s">
        <v>12</v>
      </c>
      <c r="B109" s="1" t="s">
        <v>16695</v>
      </c>
      <c r="C109" s="1" t="s">
        <v>17219</v>
      </c>
      <c r="D109" s="2" t="s">
        <v>17220</v>
      </c>
      <c r="E109" s="31"/>
      <c r="F109" s="31"/>
      <c r="G109" s="31"/>
      <c r="H109" s="31"/>
      <c r="I109" s="42"/>
      <c r="J109" s="2">
        <v>1</v>
      </c>
    </row>
    <row r="110" spans="1:10">
      <c r="A110" s="1" t="s">
        <v>12</v>
      </c>
      <c r="B110" s="1" t="s">
        <v>16695</v>
      </c>
      <c r="C110" s="1" t="s">
        <v>17221</v>
      </c>
      <c r="D110" s="2" t="s">
        <v>17222</v>
      </c>
      <c r="E110" s="31"/>
      <c r="F110" s="31"/>
      <c r="G110" s="31"/>
      <c r="H110" s="31"/>
      <c r="I110" s="42"/>
      <c r="J110" s="2">
        <v>1</v>
      </c>
    </row>
    <row r="111" spans="1:10">
      <c r="A111" s="1" t="s">
        <v>12</v>
      </c>
      <c r="B111" s="1" t="s">
        <v>2</v>
      </c>
      <c r="C111" s="1" t="s">
        <v>17223</v>
      </c>
      <c r="D111" s="2" t="s">
        <v>17224</v>
      </c>
      <c r="E111" s="31"/>
      <c r="F111" s="31"/>
      <c r="G111" s="31"/>
      <c r="H111" s="31"/>
      <c r="I111" s="42"/>
      <c r="J111" s="2">
        <v>1</v>
      </c>
    </row>
    <row r="112" spans="1:10">
      <c r="A112" s="1" t="s">
        <v>12</v>
      </c>
      <c r="B112" s="1" t="s">
        <v>2</v>
      </c>
      <c r="C112" s="1" t="s">
        <v>17225</v>
      </c>
      <c r="D112" s="2" t="s">
        <v>17226</v>
      </c>
      <c r="E112" s="31"/>
      <c r="F112" s="31"/>
      <c r="G112" s="31"/>
      <c r="H112" s="31"/>
      <c r="I112" s="42"/>
      <c r="J112" s="2">
        <v>1</v>
      </c>
    </row>
    <row r="113" spans="1:10">
      <c r="A113" s="1" t="s">
        <v>12</v>
      </c>
      <c r="B113" s="1" t="s">
        <v>2</v>
      </c>
      <c r="C113" s="1" t="s">
        <v>17227</v>
      </c>
      <c r="D113" s="2" t="s">
        <v>17228</v>
      </c>
      <c r="E113" s="31"/>
      <c r="F113" s="31"/>
      <c r="G113" s="31"/>
      <c r="H113" s="31"/>
      <c r="I113" s="42"/>
      <c r="J113" s="2">
        <v>1</v>
      </c>
    </row>
    <row r="114" spans="1:10">
      <c r="A114" s="1" t="s">
        <v>12</v>
      </c>
      <c r="B114" s="1" t="s">
        <v>16701</v>
      </c>
      <c r="C114" s="1" t="s">
        <v>17229</v>
      </c>
      <c r="D114" s="2" t="s">
        <v>17230</v>
      </c>
      <c r="E114" s="31"/>
      <c r="F114" s="31"/>
      <c r="G114" s="31"/>
      <c r="H114" s="31"/>
      <c r="I114" s="42"/>
      <c r="J114" s="2">
        <v>1</v>
      </c>
    </row>
    <row r="115" spans="1:10">
      <c r="A115" s="1" t="s">
        <v>12</v>
      </c>
      <c r="B115" s="1" t="s">
        <v>16695</v>
      </c>
      <c r="C115" s="1" t="s">
        <v>17231</v>
      </c>
      <c r="D115" s="2" t="s">
        <v>17232</v>
      </c>
      <c r="E115" s="31"/>
      <c r="F115" s="31"/>
      <c r="G115" s="31"/>
      <c r="H115" s="31"/>
      <c r="I115" s="42"/>
      <c r="J115" s="2">
        <v>1</v>
      </c>
    </row>
    <row r="116" spans="1:10">
      <c r="A116" s="1" t="s">
        <v>12</v>
      </c>
      <c r="B116" s="1" t="s">
        <v>2</v>
      </c>
      <c r="C116" s="1" t="s">
        <v>17233</v>
      </c>
      <c r="D116" s="2" t="s">
        <v>17234</v>
      </c>
      <c r="E116" s="31"/>
      <c r="F116" s="31"/>
      <c r="G116" s="31"/>
      <c r="H116" s="31"/>
      <c r="I116" s="42"/>
      <c r="J116" s="2">
        <v>1</v>
      </c>
    </row>
    <row r="117" spans="1:10">
      <c r="A117" s="1" t="s">
        <v>12</v>
      </c>
      <c r="B117" s="1" t="s">
        <v>2</v>
      </c>
      <c r="C117" s="1" t="s">
        <v>17235</v>
      </c>
      <c r="D117" s="2" t="s">
        <v>17236</v>
      </c>
      <c r="E117" s="31"/>
      <c r="F117" s="31"/>
      <c r="G117" s="31"/>
      <c r="H117" s="31"/>
      <c r="I117" s="42"/>
      <c r="J117" s="2">
        <v>1</v>
      </c>
    </row>
    <row r="118" spans="1:10">
      <c r="A118" s="1" t="s">
        <v>12</v>
      </c>
      <c r="B118" s="1" t="s">
        <v>2</v>
      </c>
      <c r="C118" s="1" t="s">
        <v>17237</v>
      </c>
      <c r="D118" s="2" t="s">
        <v>17238</v>
      </c>
      <c r="E118" s="31"/>
      <c r="F118" s="31"/>
      <c r="G118" s="31"/>
      <c r="H118" s="31"/>
      <c r="I118" s="42"/>
      <c r="J118" s="2">
        <v>1</v>
      </c>
    </row>
    <row r="119" spans="1:10">
      <c r="A119" s="1" t="s">
        <v>12</v>
      </c>
      <c r="B119" s="1" t="s">
        <v>2</v>
      </c>
      <c r="C119" s="1" t="s">
        <v>17239</v>
      </c>
      <c r="D119" s="2" t="s">
        <v>17240</v>
      </c>
      <c r="E119" s="18">
        <v>59</v>
      </c>
      <c r="F119" s="18">
        <v>86</v>
      </c>
      <c r="G119" s="18">
        <v>141</v>
      </c>
      <c r="H119" s="18">
        <v>167</v>
      </c>
      <c r="I119" s="50">
        <v>167</v>
      </c>
      <c r="J119" s="2">
        <v>0</v>
      </c>
    </row>
    <row r="123" spans="1:10">
      <c r="A123" s="1">
        <v>53</v>
      </c>
      <c r="B123" s="1"/>
      <c r="C123" s="1" t="s">
        <v>17243</v>
      </c>
      <c r="D123" s="1" t="s">
        <v>17244</v>
      </c>
      <c r="E123" s="1" t="s">
        <v>17352</v>
      </c>
      <c r="F123" s="1" t="s">
        <v>16801</v>
      </c>
      <c r="G123" s="1" t="s">
        <v>17096</v>
      </c>
      <c r="H123" s="1" t="s">
        <v>16989</v>
      </c>
      <c r="I123" s="10" t="s">
        <v>17353</v>
      </c>
      <c r="J123" s="1" t="s">
        <v>17242</v>
      </c>
    </row>
    <row r="124" spans="1:10">
      <c r="A124" s="1" t="s">
        <v>12</v>
      </c>
      <c r="B124" s="1" t="s">
        <v>16701</v>
      </c>
      <c r="C124" s="1" t="s">
        <v>17245</v>
      </c>
      <c r="D124" s="2" t="s">
        <v>17246</v>
      </c>
      <c r="E124" s="32">
        <f>SUM(E126:E176)</f>
        <v>232</v>
      </c>
      <c r="F124" s="32">
        <f>SUM(F126:F176)</f>
        <v>290</v>
      </c>
      <c r="G124" s="32">
        <f t="shared" ref="G124:I124" si="53">SUM(G126:G176)</f>
        <v>697</v>
      </c>
      <c r="H124" s="32">
        <f t="shared" si="53"/>
        <v>2068</v>
      </c>
      <c r="I124" s="39">
        <f t="shared" si="53"/>
        <v>2068</v>
      </c>
      <c r="J124" s="2">
        <v>0</v>
      </c>
    </row>
    <row r="125" spans="1:10">
      <c r="A125" s="1" t="s">
        <v>16700</v>
      </c>
      <c r="B125" s="1" t="s">
        <v>16796</v>
      </c>
      <c r="C125" s="1" t="s">
        <v>17247</v>
      </c>
      <c r="D125" s="2" t="s">
        <v>17248</v>
      </c>
      <c r="E125" s="40">
        <f>SUMIF($J$126:$J$176,0,E126:E176)</f>
        <v>100</v>
      </c>
      <c r="F125" s="40">
        <f>SUMIF($J$126:$J$176,0,F126:F176)</f>
        <v>163</v>
      </c>
      <c r="G125" s="40">
        <f t="shared" ref="G125:I125" si="54">SUMIF($J$126:$J$176,0,G126:G176)</f>
        <v>274</v>
      </c>
      <c r="H125" s="40">
        <f t="shared" si="54"/>
        <v>794</v>
      </c>
      <c r="I125" s="41">
        <f t="shared" si="54"/>
        <v>794</v>
      </c>
      <c r="J125" s="2">
        <v>0</v>
      </c>
    </row>
    <row r="126" spans="1:10">
      <c r="A126" s="1" t="s">
        <v>12</v>
      </c>
      <c r="B126" s="1" t="s">
        <v>2</v>
      </c>
      <c r="C126" s="1" t="s">
        <v>17249</v>
      </c>
      <c r="D126" s="2" t="s">
        <v>17250</v>
      </c>
      <c r="E126" s="31">
        <v>40</v>
      </c>
      <c r="F126" s="31">
        <v>102</v>
      </c>
      <c r="G126" s="31">
        <v>262</v>
      </c>
      <c r="H126" s="31">
        <v>492</v>
      </c>
      <c r="I126" s="42">
        <v>492</v>
      </c>
      <c r="J126" s="2">
        <v>0</v>
      </c>
    </row>
    <row r="127" spans="1:10">
      <c r="A127" s="1" t="s">
        <v>12</v>
      </c>
      <c r="B127" s="1" t="s">
        <v>16780</v>
      </c>
      <c r="C127" s="1" t="s">
        <v>17251</v>
      </c>
      <c r="D127" s="2" t="s">
        <v>17252</v>
      </c>
      <c r="E127" s="31"/>
      <c r="F127" s="31"/>
      <c r="G127" s="31"/>
      <c r="H127" s="31"/>
      <c r="I127" s="42"/>
      <c r="J127" s="2">
        <v>0</v>
      </c>
    </row>
    <row r="128" spans="1:10">
      <c r="A128" s="1" t="s">
        <v>12</v>
      </c>
      <c r="B128" s="1" t="s">
        <v>16780</v>
      </c>
      <c r="C128" s="1" t="s">
        <v>17253</v>
      </c>
      <c r="D128" s="2" t="s">
        <v>17254</v>
      </c>
      <c r="E128" s="31"/>
      <c r="F128" s="31"/>
      <c r="G128" s="31"/>
      <c r="H128" s="31"/>
      <c r="I128" s="42"/>
      <c r="J128" s="2">
        <v>1</v>
      </c>
    </row>
    <row r="129" spans="1:10">
      <c r="A129" s="1" t="s">
        <v>12</v>
      </c>
      <c r="B129" s="1" t="s">
        <v>2</v>
      </c>
      <c r="C129" s="1" t="s">
        <v>17255</v>
      </c>
      <c r="D129" s="2" t="s">
        <v>17256</v>
      </c>
      <c r="E129" s="31"/>
      <c r="F129" s="31"/>
      <c r="G129" s="31"/>
      <c r="H129" s="31"/>
      <c r="I129" s="42"/>
      <c r="J129" s="2">
        <v>1</v>
      </c>
    </row>
    <row r="130" spans="1:10">
      <c r="A130" s="1" t="s">
        <v>12</v>
      </c>
      <c r="B130" s="1" t="s">
        <v>2</v>
      </c>
      <c r="C130" s="1" t="s">
        <v>17257</v>
      </c>
      <c r="D130" s="2" t="s">
        <v>17258</v>
      </c>
      <c r="E130" s="31"/>
      <c r="F130" s="31"/>
      <c r="G130" s="31"/>
      <c r="H130" s="31"/>
      <c r="I130" s="42"/>
      <c r="J130" s="2">
        <v>1</v>
      </c>
    </row>
    <row r="131" spans="1:10">
      <c r="A131" s="1" t="s">
        <v>12</v>
      </c>
      <c r="B131" s="1" t="s">
        <v>16793</v>
      </c>
      <c r="C131" s="1" t="s">
        <v>17259</v>
      </c>
      <c r="D131" s="2" t="s">
        <v>17260</v>
      </c>
      <c r="E131" s="31"/>
      <c r="F131" s="31"/>
      <c r="G131" s="31"/>
      <c r="H131" s="31"/>
      <c r="I131" s="42"/>
      <c r="J131" s="2">
        <v>1</v>
      </c>
    </row>
    <row r="132" spans="1:10">
      <c r="A132" s="1" t="s">
        <v>12</v>
      </c>
      <c r="B132" s="1" t="s">
        <v>2</v>
      </c>
      <c r="C132" s="1" t="s">
        <v>17261</v>
      </c>
      <c r="D132" s="2" t="s">
        <v>17262</v>
      </c>
      <c r="E132" s="31"/>
      <c r="F132" s="31"/>
      <c r="G132" s="31"/>
      <c r="H132" s="31"/>
      <c r="I132" s="42"/>
      <c r="J132" s="2">
        <v>1</v>
      </c>
    </row>
    <row r="133" spans="1:10">
      <c r="A133" s="1" t="s">
        <v>12</v>
      </c>
      <c r="B133" s="1" t="s">
        <v>2</v>
      </c>
      <c r="C133" s="1" t="s">
        <v>17263</v>
      </c>
      <c r="D133" s="2" t="s">
        <v>17264</v>
      </c>
      <c r="E133" s="31"/>
      <c r="F133" s="31"/>
      <c r="G133" s="31"/>
      <c r="H133" s="31"/>
      <c r="I133" s="42"/>
      <c r="J133" s="2">
        <v>1</v>
      </c>
    </row>
    <row r="134" spans="1:10">
      <c r="A134" s="1" t="s">
        <v>12</v>
      </c>
      <c r="B134" s="1" t="s">
        <v>16873</v>
      </c>
      <c r="C134" s="1" t="s">
        <v>17265</v>
      </c>
      <c r="D134" s="2" t="s">
        <v>17266</v>
      </c>
      <c r="E134" s="55"/>
      <c r="F134" s="55"/>
      <c r="G134" s="55"/>
      <c r="H134" s="55"/>
      <c r="I134" s="50"/>
      <c r="J134" s="2">
        <v>0</v>
      </c>
    </row>
    <row r="135" spans="1:10">
      <c r="A135" s="1" t="s">
        <v>12</v>
      </c>
      <c r="B135" s="1" t="s">
        <v>2</v>
      </c>
      <c r="C135" s="1" t="s">
        <v>17267</v>
      </c>
      <c r="D135" s="2" t="s">
        <v>17268</v>
      </c>
      <c r="E135" s="55"/>
      <c r="F135" s="55"/>
      <c r="G135" s="55"/>
      <c r="H135" s="55"/>
      <c r="I135" s="50"/>
      <c r="J135" s="2">
        <v>1</v>
      </c>
    </row>
    <row r="136" spans="1:10">
      <c r="A136" s="1" t="s">
        <v>12</v>
      </c>
      <c r="B136" s="1" t="s">
        <v>2</v>
      </c>
      <c r="C136" s="1" t="s">
        <v>17269</v>
      </c>
      <c r="D136" s="2" t="s">
        <v>17270</v>
      </c>
      <c r="E136" s="55"/>
      <c r="F136" s="55"/>
      <c r="G136" s="55"/>
      <c r="H136" s="55"/>
      <c r="I136" s="50"/>
      <c r="J136" s="2">
        <v>1</v>
      </c>
    </row>
    <row r="137" spans="1:10">
      <c r="A137" s="1" t="s">
        <v>12</v>
      </c>
      <c r="B137" s="1" t="s">
        <v>2</v>
      </c>
      <c r="C137" s="1" t="s">
        <v>17271</v>
      </c>
      <c r="D137" s="2" t="s">
        <v>17272</v>
      </c>
      <c r="E137" s="55">
        <v>60</v>
      </c>
      <c r="F137" s="55">
        <v>27</v>
      </c>
      <c r="G137" s="55">
        <v>1</v>
      </c>
      <c r="H137" s="55">
        <v>3</v>
      </c>
      <c r="I137" s="50">
        <v>3</v>
      </c>
      <c r="J137" s="2">
        <v>0</v>
      </c>
    </row>
    <row r="138" spans="1:10">
      <c r="A138" s="1" t="s">
        <v>12</v>
      </c>
      <c r="B138" s="1" t="s">
        <v>2</v>
      </c>
      <c r="C138" s="1" t="s">
        <v>17273</v>
      </c>
      <c r="D138" s="2" t="s">
        <v>17274</v>
      </c>
      <c r="E138" s="55">
        <v>132</v>
      </c>
      <c r="F138" s="55">
        <v>104</v>
      </c>
      <c r="G138" s="55">
        <v>74</v>
      </c>
      <c r="H138" s="55">
        <v>116</v>
      </c>
      <c r="I138" s="50">
        <v>116</v>
      </c>
      <c r="J138" s="2">
        <v>1</v>
      </c>
    </row>
    <row r="139" spans="1:10">
      <c r="A139" s="1" t="s">
        <v>12</v>
      </c>
      <c r="B139" s="1" t="s">
        <v>16695</v>
      </c>
      <c r="C139" s="1" t="s">
        <v>17275</v>
      </c>
      <c r="D139" s="2" t="s">
        <v>17276</v>
      </c>
      <c r="E139" s="55"/>
      <c r="F139" s="55"/>
      <c r="G139" s="55"/>
      <c r="H139" s="55"/>
      <c r="I139" s="50"/>
      <c r="J139" s="3">
        <v>1</v>
      </c>
    </row>
    <row r="140" spans="1:10">
      <c r="A140" s="1" t="s">
        <v>12</v>
      </c>
      <c r="B140" s="1" t="s">
        <v>2</v>
      </c>
      <c r="C140" s="1" t="s">
        <v>17277</v>
      </c>
      <c r="D140" s="2" t="s">
        <v>17278</v>
      </c>
      <c r="E140" s="55"/>
      <c r="F140" s="55"/>
      <c r="G140" s="55"/>
      <c r="H140" s="55"/>
      <c r="I140" s="50"/>
      <c r="J140" s="3">
        <v>1</v>
      </c>
    </row>
    <row r="141" spans="1:10">
      <c r="A141" s="1" t="s">
        <v>12</v>
      </c>
      <c r="B141" s="1" t="s">
        <v>16346</v>
      </c>
      <c r="C141" s="1" t="s">
        <v>17279</v>
      </c>
      <c r="D141" s="2" t="s">
        <v>17280</v>
      </c>
      <c r="E141" s="55"/>
      <c r="F141" s="55"/>
      <c r="G141" s="55"/>
      <c r="H141" s="55"/>
      <c r="I141" s="50"/>
      <c r="J141" s="3">
        <v>1</v>
      </c>
    </row>
    <row r="142" spans="1:10">
      <c r="A142" s="1" t="s">
        <v>12</v>
      </c>
      <c r="B142" s="1" t="s">
        <v>16780</v>
      </c>
      <c r="C142" s="1" t="s">
        <v>17281</v>
      </c>
      <c r="D142" s="2" t="s">
        <v>17282</v>
      </c>
      <c r="E142" s="55"/>
      <c r="F142" s="55"/>
      <c r="G142" s="55"/>
      <c r="H142" s="55"/>
      <c r="I142" s="50"/>
      <c r="J142" s="2">
        <v>1</v>
      </c>
    </row>
    <row r="143" spans="1:10">
      <c r="A143" s="1" t="s">
        <v>12</v>
      </c>
      <c r="B143" s="1" t="s">
        <v>2</v>
      </c>
      <c r="C143" s="1" t="s">
        <v>17283</v>
      </c>
      <c r="D143" s="2" t="s">
        <v>17284</v>
      </c>
      <c r="E143" s="55"/>
      <c r="F143" s="55">
        <v>14</v>
      </c>
      <c r="G143" s="55">
        <v>105</v>
      </c>
      <c r="H143" s="55">
        <v>5</v>
      </c>
      <c r="I143" s="50">
        <v>5</v>
      </c>
      <c r="J143" s="2">
        <v>1</v>
      </c>
    </row>
    <row r="144" spans="1:10">
      <c r="A144" s="1" t="s">
        <v>12</v>
      </c>
      <c r="B144" s="1" t="s">
        <v>2</v>
      </c>
      <c r="C144" s="1" t="s">
        <v>17285</v>
      </c>
      <c r="D144" s="2" t="s">
        <v>17286</v>
      </c>
      <c r="E144" s="55"/>
      <c r="F144" s="55"/>
      <c r="G144" s="55"/>
      <c r="H144" s="55"/>
      <c r="I144" s="50"/>
      <c r="J144" s="2">
        <v>1</v>
      </c>
    </row>
    <row r="145" spans="1:10">
      <c r="A145" s="1" t="s">
        <v>12</v>
      </c>
      <c r="B145" s="1" t="s">
        <v>16780</v>
      </c>
      <c r="C145" s="1" t="s">
        <v>17287</v>
      </c>
      <c r="D145" s="2" t="s">
        <v>17288</v>
      </c>
      <c r="E145" s="55"/>
      <c r="F145" s="55"/>
      <c r="G145" s="55"/>
      <c r="H145" s="55"/>
      <c r="I145" s="50"/>
      <c r="J145" s="2">
        <v>0</v>
      </c>
    </row>
    <row r="146" spans="1:10">
      <c r="A146" s="1" t="s">
        <v>12</v>
      </c>
      <c r="B146" s="1" t="s">
        <v>16701</v>
      </c>
      <c r="C146" s="1" t="s">
        <v>17289</v>
      </c>
      <c r="D146" s="2" t="s">
        <v>17290</v>
      </c>
      <c r="E146" s="55"/>
      <c r="F146" s="55"/>
      <c r="G146" s="55"/>
      <c r="H146" s="55"/>
      <c r="I146" s="50"/>
      <c r="J146" s="2">
        <v>1</v>
      </c>
    </row>
    <row r="147" spans="1:10">
      <c r="A147" s="1" t="s">
        <v>12</v>
      </c>
      <c r="B147" s="1" t="s">
        <v>16695</v>
      </c>
      <c r="C147" s="1" t="s">
        <v>17291</v>
      </c>
      <c r="D147" s="2" t="s">
        <v>17292</v>
      </c>
      <c r="E147" s="55"/>
      <c r="F147" s="55"/>
      <c r="G147" s="55"/>
      <c r="H147" s="55"/>
      <c r="I147" s="50"/>
      <c r="J147" s="2">
        <v>1</v>
      </c>
    </row>
    <row r="148" spans="1:10">
      <c r="A148" s="1" t="s">
        <v>12</v>
      </c>
      <c r="B148" s="1" t="s">
        <v>2</v>
      </c>
      <c r="C148" s="1" t="s">
        <v>17293</v>
      </c>
      <c r="D148" s="2" t="s">
        <v>17294</v>
      </c>
      <c r="E148" s="55"/>
      <c r="F148" s="55"/>
      <c r="G148" s="55"/>
      <c r="H148" s="55"/>
      <c r="I148" s="50"/>
      <c r="J148" s="2">
        <v>1</v>
      </c>
    </row>
    <row r="149" spans="1:10">
      <c r="A149" s="1" t="s">
        <v>12</v>
      </c>
      <c r="B149" s="1" t="s">
        <v>16796</v>
      </c>
      <c r="C149" s="1" t="s">
        <v>17295</v>
      </c>
      <c r="D149" s="2" t="s">
        <v>17296</v>
      </c>
      <c r="E149" s="55"/>
      <c r="F149" s="55">
        <v>8</v>
      </c>
      <c r="G149" s="55">
        <v>10</v>
      </c>
      <c r="H149" s="55"/>
      <c r="I149" s="50"/>
      <c r="J149" s="2">
        <v>1</v>
      </c>
    </row>
    <row r="150" spans="1:10">
      <c r="A150" s="1" t="s">
        <v>12</v>
      </c>
      <c r="B150" s="1" t="s">
        <v>2</v>
      </c>
      <c r="C150" s="1" t="s">
        <v>17297</v>
      </c>
      <c r="D150" s="2" t="s">
        <v>17298</v>
      </c>
      <c r="E150" s="55"/>
      <c r="F150" s="55"/>
      <c r="G150" s="55"/>
      <c r="H150" s="55"/>
      <c r="I150" s="50"/>
      <c r="J150" s="2">
        <v>1</v>
      </c>
    </row>
    <row r="151" spans="1:10">
      <c r="A151" s="1" t="s">
        <v>12</v>
      </c>
      <c r="B151" s="1" t="s">
        <v>16695</v>
      </c>
      <c r="C151" s="1" t="s">
        <v>17299</v>
      </c>
      <c r="D151" s="2" t="s">
        <v>17300</v>
      </c>
      <c r="E151" s="55"/>
      <c r="F151" s="55"/>
      <c r="G151" s="55"/>
      <c r="H151" s="55"/>
      <c r="I151" s="50"/>
      <c r="J151" s="2">
        <v>1</v>
      </c>
    </row>
    <row r="152" spans="1:10">
      <c r="A152" s="1" t="s">
        <v>12</v>
      </c>
      <c r="B152" s="1" t="s">
        <v>16695</v>
      </c>
      <c r="C152" s="1" t="s">
        <v>17301</v>
      </c>
      <c r="D152" s="2" t="s">
        <v>17302</v>
      </c>
      <c r="E152" s="55"/>
      <c r="F152" s="55"/>
      <c r="G152" s="55"/>
      <c r="H152" s="55"/>
      <c r="I152" s="50"/>
      <c r="J152" s="2">
        <v>1</v>
      </c>
    </row>
    <row r="153" spans="1:10">
      <c r="A153" s="1" t="s">
        <v>12</v>
      </c>
      <c r="B153" s="1" t="s">
        <v>16695</v>
      </c>
      <c r="C153" s="1" t="s">
        <v>17303</v>
      </c>
      <c r="D153" s="2" t="s">
        <v>17304</v>
      </c>
      <c r="E153" s="55"/>
      <c r="F153" s="55"/>
      <c r="G153" s="55"/>
      <c r="H153" s="55"/>
      <c r="I153" s="50"/>
      <c r="J153" s="2">
        <v>1</v>
      </c>
    </row>
    <row r="154" spans="1:10">
      <c r="A154" s="1" t="s">
        <v>12</v>
      </c>
      <c r="B154" s="1" t="s">
        <v>16793</v>
      </c>
      <c r="C154" s="1" t="s">
        <v>17305</v>
      </c>
      <c r="D154" s="2" t="s">
        <v>17306</v>
      </c>
      <c r="E154" s="55"/>
      <c r="F154" s="55"/>
      <c r="G154" s="55"/>
      <c r="H154" s="55"/>
      <c r="I154" s="50"/>
      <c r="J154" s="2">
        <v>1</v>
      </c>
    </row>
    <row r="155" spans="1:10">
      <c r="A155" s="1" t="s">
        <v>12</v>
      </c>
      <c r="B155" s="1" t="s">
        <v>2</v>
      </c>
      <c r="C155" s="1" t="s">
        <v>17307</v>
      </c>
      <c r="D155" s="2" t="s">
        <v>17308</v>
      </c>
      <c r="E155" s="55"/>
      <c r="F155" s="55"/>
      <c r="G155" s="55"/>
      <c r="H155" s="55"/>
      <c r="I155" s="50"/>
      <c r="J155" s="2">
        <v>1</v>
      </c>
    </row>
    <row r="156" spans="1:10">
      <c r="A156" s="1" t="s">
        <v>12</v>
      </c>
      <c r="B156" s="1" t="s">
        <v>2</v>
      </c>
      <c r="C156" s="1" t="s">
        <v>17309</v>
      </c>
      <c r="D156" s="2" t="s">
        <v>17310</v>
      </c>
      <c r="E156" s="55"/>
      <c r="F156" s="55"/>
      <c r="G156" s="55"/>
      <c r="H156" s="55"/>
      <c r="I156" s="50"/>
      <c r="J156" s="2">
        <v>1</v>
      </c>
    </row>
    <row r="157" spans="1:10">
      <c r="A157" s="1" t="s">
        <v>12</v>
      </c>
      <c r="B157" s="1" t="s">
        <v>16695</v>
      </c>
      <c r="C157" s="1" t="s">
        <v>17311</v>
      </c>
      <c r="D157" s="2" t="s">
        <v>17312</v>
      </c>
      <c r="E157" s="55"/>
      <c r="F157" s="55"/>
      <c r="G157" s="55">
        <v>167</v>
      </c>
      <c r="H157" s="55"/>
      <c r="I157" s="50"/>
      <c r="J157" s="2">
        <v>1</v>
      </c>
    </row>
    <row r="158" spans="1:10">
      <c r="A158" s="1" t="s">
        <v>12</v>
      </c>
      <c r="B158" s="1" t="s">
        <v>2</v>
      </c>
      <c r="C158" s="1" t="s">
        <v>17313</v>
      </c>
      <c r="D158" s="2" t="s">
        <v>17314</v>
      </c>
      <c r="E158" s="55"/>
      <c r="F158" s="55"/>
      <c r="G158" s="55"/>
      <c r="H158" s="55"/>
      <c r="I158" s="50"/>
      <c r="J158" s="2">
        <v>1</v>
      </c>
    </row>
    <row r="159" spans="1:10">
      <c r="A159" s="1" t="s">
        <v>12</v>
      </c>
      <c r="B159" s="1" t="s">
        <v>16793</v>
      </c>
      <c r="C159" s="1" t="s">
        <v>17315</v>
      </c>
      <c r="D159" s="2" t="s">
        <v>17316</v>
      </c>
      <c r="E159" s="55"/>
      <c r="F159" s="55"/>
      <c r="G159" s="55"/>
      <c r="H159" s="55"/>
      <c r="I159" s="50"/>
      <c r="J159" s="2">
        <v>1</v>
      </c>
    </row>
    <row r="160" spans="1:10">
      <c r="A160" s="1" t="s">
        <v>12</v>
      </c>
      <c r="B160" s="1" t="s">
        <v>16701</v>
      </c>
      <c r="C160" s="1" t="s">
        <v>17317</v>
      </c>
      <c r="D160" s="2" t="s">
        <v>17318</v>
      </c>
      <c r="E160" s="55"/>
      <c r="F160" s="55"/>
      <c r="G160" s="55"/>
      <c r="H160" s="55"/>
      <c r="I160" s="50"/>
      <c r="J160" s="2">
        <v>1</v>
      </c>
    </row>
    <row r="161" spans="1:10">
      <c r="A161" s="1" t="s">
        <v>12</v>
      </c>
      <c r="B161" s="1" t="s">
        <v>16796</v>
      </c>
      <c r="C161" s="1" t="s">
        <v>17319</v>
      </c>
      <c r="D161" s="2" t="s">
        <v>17320</v>
      </c>
      <c r="E161" s="55"/>
      <c r="F161" s="55"/>
      <c r="G161" s="55">
        <v>22</v>
      </c>
      <c r="H161" s="55">
        <v>424</v>
      </c>
      <c r="I161" s="50">
        <v>424</v>
      </c>
      <c r="J161" s="2">
        <v>1</v>
      </c>
    </row>
    <row r="162" spans="1:10">
      <c r="A162" s="1" t="s">
        <v>12</v>
      </c>
      <c r="B162" s="1" t="s">
        <v>17321</v>
      </c>
      <c r="C162" s="1" t="s">
        <v>17322</v>
      </c>
      <c r="D162" s="2" t="s">
        <v>17323</v>
      </c>
      <c r="E162" s="55"/>
      <c r="F162" s="55"/>
      <c r="G162" s="55"/>
      <c r="H162" s="55"/>
      <c r="I162" s="50"/>
      <c r="J162" s="2">
        <v>1</v>
      </c>
    </row>
    <row r="163" spans="1:10">
      <c r="A163" s="1" t="s">
        <v>12</v>
      </c>
      <c r="B163" s="1" t="s">
        <v>16701</v>
      </c>
      <c r="C163" s="1" t="s">
        <v>17324</v>
      </c>
      <c r="D163" s="2" t="s">
        <v>17325</v>
      </c>
      <c r="E163" s="55"/>
      <c r="F163" s="55"/>
      <c r="G163" s="55"/>
      <c r="H163" s="55"/>
      <c r="I163" s="50"/>
      <c r="J163" s="2">
        <v>1</v>
      </c>
    </row>
    <row r="164" spans="1:10">
      <c r="A164" s="1" t="s">
        <v>12</v>
      </c>
      <c r="B164" s="1" t="s">
        <v>17321</v>
      </c>
      <c r="C164" s="1" t="s">
        <v>17326</v>
      </c>
      <c r="D164" s="2" t="s">
        <v>17327</v>
      </c>
      <c r="E164" s="55"/>
      <c r="F164" s="55"/>
      <c r="G164" s="55"/>
      <c r="H164" s="55"/>
      <c r="I164" s="50"/>
      <c r="J164" s="2">
        <v>1</v>
      </c>
    </row>
    <row r="165" spans="1:10">
      <c r="A165" s="1" t="s">
        <v>12</v>
      </c>
      <c r="B165" s="1" t="s">
        <v>2</v>
      </c>
      <c r="C165" s="1" t="s">
        <v>17328</v>
      </c>
      <c r="D165" s="2" t="s">
        <v>17329</v>
      </c>
      <c r="E165" s="55">
        <v>0</v>
      </c>
      <c r="F165" s="55"/>
      <c r="G165" s="55"/>
      <c r="H165" s="55">
        <v>729</v>
      </c>
      <c r="I165" s="50">
        <v>729</v>
      </c>
      <c r="J165" s="2">
        <v>1</v>
      </c>
    </row>
    <row r="166" spans="1:10">
      <c r="A166" s="1" t="s">
        <v>12</v>
      </c>
      <c r="B166" s="1" t="s">
        <v>16695</v>
      </c>
      <c r="C166" s="1" t="s">
        <v>17330</v>
      </c>
      <c r="D166" s="2" t="s">
        <v>17331</v>
      </c>
      <c r="E166" s="55"/>
      <c r="F166" s="55"/>
      <c r="G166" s="55"/>
      <c r="H166" s="55"/>
      <c r="I166" s="50"/>
      <c r="J166" s="2">
        <v>1</v>
      </c>
    </row>
    <row r="167" spans="1:10">
      <c r="A167" s="1" t="s">
        <v>12</v>
      </c>
      <c r="B167" s="1" t="s">
        <v>2</v>
      </c>
      <c r="C167" s="1" t="s">
        <v>17332</v>
      </c>
      <c r="D167" s="2" t="s">
        <v>17333</v>
      </c>
      <c r="E167" s="55"/>
      <c r="F167" s="55"/>
      <c r="G167" s="55"/>
      <c r="H167" s="55"/>
      <c r="I167" s="50"/>
      <c r="J167" s="2">
        <v>1</v>
      </c>
    </row>
    <row r="168" spans="1:10">
      <c r="A168" s="1" t="s">
        <v>12</v>
      </c>
      <c r="B168" s="1" t="s">
        <v>2</v>
      </c>
      <c r="C168" s="1" t="s">
        <v>17334</v>
      </c>
      <c r="D168" s="2" t="s">
        <v>17335</v>
      </c>
      <c r="E168" s="55"/>
      <c r="F168" s="55"/>
      <c r="G168" s="55"/>
      <c r="H168" s="55"/>
      <c r="I168" s="50"/>
      <c r="J168" s="2">
        <v>1</v>
      </c>
    </row>
    <row r="169" spans="1:10">
      <c r="A169" s="1" t="s">
        <v>12</v>
      </c>
      <c r="B169" s="1" t="s">
        <v>16695</v>
      </c>
      <c r="C169" s="1" t="s">
        <v>17336</v>
      </c>
      <c r="D169" s="2" t="s">
        <v>17337</v>
      </c>
      <c r="E169" s="55"/>
      <c r="F169" s="55"/>
      <c r="G169" s="55"/>
      <c r="H169" s="55"/>
      <c r="I169" s="50"/>
      <c r="J169" s="2">
        <v>1</v>
      </c>
    </row>
    <row r="170" spans="1:10">
      <c r="A170" s="1" t="s">
        <v>12</v>
      </c>
      <c r="B170" s="1" t="s">
        <v>16701</v>
      </c>
      <c r="C170" s="1" t="s">
        <v>17338</v>
      </c>
      <c r="D170" s="2" t="s">
        <v>17339</v>
      </c>
      <c r="E170" s="55"/>
      <c r="F170" s="55"/>
      <c r="G170" s="55"/>
      <c r="H170" s="55"/>
      <c r="I170" s="50"/>
      <c r="J170" s="2">
        <v>1</v>
      </c>
    </row>
    <row r="171" spans="1:10">
      <c r="A171" s="1" t="s">
        <v>12</v>
      </c>
      <c r="B171" s="1" t="s">
        <v>16695</v>
      </c>
      <c r="C171" s="1" t="s">
        <v>17340</v>
      </c>
      <c r="D171" s="2" t="s">
        <v>17341</v>
      </c>
      <c r="E171" s="55"/>
      <c r="F171" s="55"/>
      <c r="G171" s="55"/>
      <c r="H171" s="55"/>
      <c r="I171" s="50"/>
      <c r="J171" s="2">
        <v>1</v>
      </c>
    </row>
    <row r="172" spans="1:10">
      <c r="A172" s="1" t="s">
        <v>12</v>
      </c>
      <c r="B172" s="1" t="s">
        <v>16695</v>
      </c>
      <c r="C172" s="1" t="s">
        <v>17342</v>
      </c>
      <c r="D172" s="2" t="s">
        <v>17343</v>
      </c>
      <c r="E172" s="55"/>
      <c r="F172" s="55"/>
      <c r="G172" s="55"/>
      <c r="H172" s="55"/>
      <c r="I172" s="50"/>
      <c r="J172" s="2">
        <v>1</v>
      </c>
    </row>
    <row r="173" spans="1:10">
      <c r="A173" s="1" t="s">
        <v>12</v>
      </c>
      <c r="B173" s="1" t="s">
        <v>2</v>
      </c>
      <c r="C173" s="1" t="s">
        <v>17344</v>
      </c>
      <c r="D173" s="2" t="s">
        <v>17345</v>
      </c>
      <c r="E173" s="55"/>
      <c r="F173" s="55">
        <v>1</v>
      </c>
      <c r="G173" s="55">
        <v>45</v>
      </c>
      <c r="H173" s="55"/>
      <c r="I173" s="50"/>
      <c r="J173" s="2">
        <v>1</v>
      </c>
    </row>
    <row r="174" spans="1:10">
      <c r="A174" s="1" t="s">
        <v>12</v>
      </c>
      <c r="B174" s="1" t="s">
        <v>16701</v>
      </c>
      <c r="C174" s="1" t="s">
        <v>17346</v>
      </c>
      <c r="D174" s="2" t="s">
        <v>17347</v>
      </c>
      <c r="E174" s="55"/>
      <c r="F174" s="55"/>
      <c r="G174" s="55"/>
      <c r="H174" s="55"/>
      <c r="I174" s="50"/>
      <c r="J174" s="2">
        <v>1</v>
      </c>
    </row>
    <row r="175" spans="1:10">
      <c r="A175" s="1" t="s">
        <v>12</v>
      </c>
      <c r="B175" s="1" t="s">
        <v>16780</v>
      </c>
      <c r="C175" s="1" t="s">
        <v>17348</v>
      </c>
      <c r="D175" s="2" t="s">
        <v>17349</v>
      </c>
      <c r="E175" s="55"/>
      <c r="F175" s="55"/>
      <c r="G175" s="55"/>
      <c r="H175" s="55"/>
      <c r="I175" s="50"/>
      <c r="J175" s="2">
        <v>1</v>
      </c>
    </row>
    <row r="176" spans="1:10">
      <c r="A176" s="1" t="s">
        <v>12</v>
      </c>
      <c r="B176" s="1" t="s">
        <v>16780</v>
      </c>
      <c r="C176" s="1" t="s">
        <v>17350</v>
      </c>
      <c r="D176" s="2" t="s">
        <v>17351</v>
      </c>
      <c r="E176" s="55">
        <v>0</v>
      </c>
      <c r="F176" s="55">
        <v>34</v>
      </c>
      <c r="G176" s="55">
        <v>11</v>
      </c>
      <c r="H176" s="55">
        <v>299</v>
      </c>
      <c r="I176" s="50">
        <v>299</v>
      </c>
      <c r="J176" s="2">
        <v>0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F24:H24 F19:G19 F20:H20 F21:H21 F22:H22 F23:H23 F18:G18 I17:J17 E18 H18:J18 J35:N36 I25 J16 I27 I30 I32 I36:I37 N47:S50 D51 D52:D53 Q53:S53 Q52:S52 E51:I51 K51:S51" unlockedFormula="1"/>
    <ignoredError sqref="F43:P44 P53 P52" evalError="1" unlocked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C00000"/>
  </sheetPr>
  <dimension ref="A1:T74"/>
  <sheetViews>
    <sheetView showGridLines="0" zoomScale="85" zoomScaleNormal="85" workbookViewId="0">
      <pane ySplit="1" topLeftCell="A20" activePane="bottomLeft" state="frozen"/>
      <selection activeCell="D26" sqref="D26"/>
      <selection pane="bottomLeft" activeCell="E32" sqref="E32"/>
    </sheetView>
  </sheetViews>
  <sheetFormatPr defaultColWidth="9" defaultRowHeight="16.5"/>
  <cols>
    <col min="1" max="2" width="9" style="2" hidden="1" customWidth="1"/>
    <col min="3" max="3" width="9" style="2"/>
    <col min="4" max="4" width="30" style="2" customWidth="1"/>
    <col min="5" max="19" width="9.625" style="2" customWidth="1"/>
    <col min="20" max="16384" width="9" style="2"/>
  </cols>
  <sheetData>
    <row r="1" spans="1:15">
      <c r="A1" s="367">
        <f>ROW(C41)-ROW(C1)</f>
        <v>40</v>
      </c>
      <c r="B1" s="1"/>
      <c r="C1" s="1" t="s">
        <v>17354</v>
      </c>
      <c r="D1" s="1" t="s">
        <v>17355</v>
      </c>
      <c r="E1" s="1" t="s">
        <v>16800</v>
      </c>
      <c r="F1" s="1" t="s">
        <v>16985</v>
      </c>
      <c r="G1" s="1" t="s">
        <v>16986</v>
      </c>
      <c r="H1" s="1" t="s">
        <v>16755</v>
      </c>
      <c r="I1" s="1" t="s">
        <v>16807</v>
      </c>
      <c r="J1" s="1" t="s">
        <v>16808</v>
      </c>
      <c r="K1" s="1" t="s">
        <v>16809</v>
      </c>
      <c r="L1" s="1" t="s">
        <v>16810</v>
      </c>
      <c r="M1" s="1" t="s">
        <v>16811</v>
      </c>
      <c r="N1" s="1" t="s">
        <v>16812</v>
      </c>
      <c r="O1" s="1" t="s">
        <v>16813</v>
      </c>
    </row>
    <row r="2" spans="1:15">
      <c r="A2" s="1" t="s">
        <v>12</v>
      </c>
      <c r="B2" s="1" t="s">
        <v>2</v>
      </c>
      <c r="C2" s="1" t="s">
        <v>17356</v>
      </c>
      <c r="D2" s="2" t="s">
        <v>17357</v>
      </c>
      <c r="E2" s="24">
        <f>IS추정!E14</f>
        <v>15182</v>
      </c>
      <c r="F2" s="24">
        <f>IS추정!F14</f>
        <v>18162</v>
      </c>
      <c r="G2" s="24">
        <f>IS추정!G14</f>
        <v>12194</v>
      </c>
      <c r="H2" s="24">
        <f>IS추정!H14</f>
        <v>5015</v>
      </c>
      <c r="I2" s="24">
        <f>IS추정!I14</f>
        <v>5015</v>
      </c>
      <c r="J2" s="24">
        <f>IS추정!J14</f>
        <v>5139</v>
      </c>
      <c r="K2" s="24">
        <f>IS추정!K14</f>
        <v>5250</v>
      </c>
      <c r="L2" s="24">
        <f>IS추정!L14</f>
        <v>5363</v>
      </c>
      <c r="M2" s="24">
        <f>IS추정!M14</f>
        <v>5476</v>
      </c>
      <c r="N2" s="24">
        <f>IS추정!N14</f>
        <v>5590</v>
      </c>
      <c r="O2" s="24">
        <f>IS추정!O14</f>
        <v>5703</v>
      </c>
    </row>
    <row r="3" spans="1:15">
      <c r="A3" s="1" t="s">
        <v>12</v>
      </c>
      <c r="B3" s="1" t="s">
        <v>2</v>
      </c>
      <c r="C3" s="1" t="s">
        <v>17358</v>
      </c>
      <c r="D3" s="2" t="s">
        <v>17359</v>
      </c>
      <c r="E3" s="24">
        <f>IS추정!E15</f>
        <v>11780</v>
      </c>
      <c r="F3" s="24">
        <f>IS추정!F15</f>
        <v>14341</v>
      </c>
      <c r="G3" s="24">
        <f>IS추정!G15</f>
        <v>11518</v>
      </c>
      <c r="H3" s="24">
        <f>IS추정!H15</f>
        <v>7282</v>
      </c>
      <c r="I3" s="24">
        <f>IS추정!I15</f>
        <v>7282</v>
      </c>
      <c r="J3" s="24">
        <f>IS추정!J15</f>
        <v>6025</v>
      </c>
      <c r="K3" s="24">
        <f>IS추정!K15</f>
        <v>6155</v>
      </c>
      <c r="L3" s="24">
        <f>IS추정!L15</f>
        <v>6288</v>
      </c>
      <c r="M3" s="24">
        <f>IS추정!M15</f>
        <v>6420</v>
      </c>
      <c r="N3" s="24">
        <f>IS추정!N15</f>
        <v>6554</v>
      </c>
      <c r="O3" s="24">
        <f>IS추정!O15</f>
        <v>6686</v>
      </c>
    </row>
    <row r="4" spans="1:15">
      <c r="A4" s="1" t="s">
        <v>4</v>
      </c>
      <c r="B4" s="1" t="s">
        <v>3</v>
      </c>
      <c r="C4" s="1" t="s">
        <v>17360</v>
      </c>
      <c r="D4" s="8" t="s">
        <v>17361</v>
      </c>
      <c r="E4" s="38">
        <f>IS추정!E3</f>
        <v>0</v>
      </c>
      <c r="F4" s="38">
        <f>IS추정!F3</f>
        <v>0</v>
      </c>
      <c r="G4" s="38">
        <f>IS추정!G3</f>
        <v>0</v>
      </c>
      <c r="H4" s="38">
        <f>IS추정!H3</f>
        <v>0</v>
      </c>
      <c r="I4" s="38">
        <f>H4</f>
        <v>0</v>
      </c>
      <c r="J4" s="38">
        <f>IS추정!J3</f>
        <v>2.4860000000000002</v>
      </c>
      <c r="K4" s="38">
        <f>IS추정!K3</f>
        <v>2.1659999999999999</v>
      </c>
      <c r="L4" s="38">
        <f>IS추정!L3</f>
        <v>2.1589999999999998</v>
      </c>
      <c r="M4" s="38">
        <f>IS추정!M3</f>
        <v>2.117</v>
      </c>
      <c r="N4" s="38">
        <f>IS추정!N3</f>
        <v>2.1</v>
      </c>
      <c r="O4" s="38">
        <f>IS추정!O3</f>
        <v>2.0379999999999998</v>
      </c>
    </row>
    <row r="5" spans="1:15">
      <c r="A5" s="1" t="s">
        <v>12</v>
      </c>
      <c r="B5" s="1" t="s">
        <v>16711</v>
      </c>
      <c r="C5" s="1" t="s">
        <v>17362</v>
      </c>
      <c r="D5" s="2" t="s">
        <v>17363</v>
      </c>
      <c r="E5" s="27">
        <f t="shared" ref="E5:F7" si="0">E46</f>
        <v>6.2094069529652351</v>
      </c>
      <c r="F5" s="27">
        <f t="shared" si="0"/>
        <v>5.2430715935334877</v>
      </c>
      <c r="G5" s="27">
        <f t="shared" ref="G5:H5" si="1">G46</f>
        <v>4.6990366088631985</v>
      </c>
      <c r="H5" s="27">
        <f t="shared" si="1"/>
        <v>6.3885350318471339</v>
      </c>
      <c r="I5" s="27">
        <f t="shared" ref="I5:I11" si="2">H5</f>
        <v>6.3885350318471339</v>
      </c>
      <c r="J5" s="27">
        <f>$J$46</f>
        <v>5.6344583178002141</v>
      </c>
      <c r="K5" s="27">
        <f t="shared" ref="K5:O5" si="3">$J$46</f>
        <v>5.6344583178002141</v>
      </c>
      <c r="L5" s="27">
        <f t="shared" si="3"/>
        <v>5.6344583178002141</v>
      </c>
      <c r="M5" s="27">
        <f t="shared" si="3"/>
        <v>5.6344583178002141</v>
      </c>
      <c r="N5" s="27">
        <f t="shared" si="3"/>
        <v>5.6344583178002141</v>
      </c>
      <c r="O5" s="27">
        <f t="shared" si="3"/>
        <v>5.6344583178002141</v>
      </c>
    </row>
    <row r="6" spans="1:15">
      <c r="A6" s="1" t="s">
        <v>12</v>
      </c>
      <c r="B6" s="1" t="s">
        <v>16711</v>
      </c>
      <c r="C6" s="1" t="s">
        <v>17364</v>
      </c>
      <c r="D6" s="2" t="s">
        <v>17365</v>
      </c>
      <c r="E6" s="27">
        <f t="shared" si="0"/>
        <v>4.6598101265822782</v>
      </c>
      <c r="F6" s="27">
        <f t="shared" si="0"/>
        <v>4.1513967289043281</v>
      </c>
      <c r="G6" s="27">
        <f t="shared" ref="G6:H6" si="4">G47</f>
        <v>2.2522487289792728</v>
      </c>
      <c r="H6" s="27">
        <f t="shared" si="4"/>
        <v>1.3439143674448648</v>
      </c>
      <c r="I6" s="27">
        <f t="shared" si="2"/>
        <v>1.3439143674448648</v>
      </c>
      <c r="J6" s="27">
        <f>$J$47</f>
        <v>2.1146062148662446</v>
      </c>
      <c r="K6" s="27">
        <f t="shared" ref="K6:O6" si="5">$J$47</f>
        <v>2.1146062148662446</v>
      </c>
      <c r="L6" s="27">
        <f t="shared" si="5"/>
        <v>2.1146062148662446</v>
      </c>
      <c r="M6" s="27">
        <f t="shared" si="5"/>
        <v>2.1146062148662446</v>
      </c>
      <c r="N6" s="27">
        <f t="shared" si="5"/>
        <v>2.1146062148662446</v>
      </c>
      <c r="O6" s="27">
        <f t="shared" si="5"/>
        <v>2.1146062148662446</v>
      </c>
    </row>
    <row r="7" spans="1:15">
      <c r="A7" s="1" t="s">
        <v>12</v>
      </c>
      <c r="B7" s="1" t="s">
        <v>3</v>
      </c>
      <c r="C7" s="1" t="s">
        <v>17366</v>
      </c>
      <c r="D7" s="2" t="s">
        <v>17367</v>
      </c>
      <c r="E7" s="27">
        <f t="shared" si="0"/>
        <v>6.7701149425287355</v>
      </c>
      <c r="F7" s="27">
        <f t="shared" si="0"/>
        <v>4.889532901466076</v>
      </c>
      <c r="G7" s="27">
        <f t="shared" ref="G7:H7" si="6">G48</f>
        <v>4.7185579680458831</v>
      </c>
      <c r="H7" s="27">
        <f t="shared" si="6"/>
        <v>11.802269043760131</v>
      </c>
      <c r="I7" s="27">
        <f t="shared" si="2"/>
        <v>11.802269043760131</v>
      </c>
      <c r="J7" s="27">
        <f>$J$48</f>
        <v>8.2889093281397042</v>
      </c>
      <c r="K7" s="27">
        <f t="shared" ref="K7:O7" si="7">$J$48</f>
        <v>8.2889093281397042</v>
      </c>
      <c r="L7" s="27">
        <f t="shared" si="7"/>
        <v>8.2889093281397042</v>
      </c>
      <c r="M7" s="27">
        <f t="shared" si="7"/>
        <v>8.2889093281397042</v>
      </c>
      <c r="N7" s="27">
        <f t="shared" si="7"/>
        <v>8.2889093281397042</v>
      </c>
      <c r="O7" s="27">
        <f t="shared" si="7"/>
        <v>8.2889093281397042</v>
      </c>
    </row>
    <row r="8" spans="1:15">
      <c r="A8" s="1" t="s">
        <v>12</v>
      </c>
      <c r="B8" s="1" t="s">
        <v>16735</v>
      </c>
      <c r="C8" s="1" t="s">
        <v>17368</v>
      </c>
      <c r="D8" s="2" t="s">
        <v>17369</v>
      </c>
      <c r="E8" s="27">
        <f t="shared" ref="E8" si="8">E49</f>
        <v>83.265306122448976</v>
      </c>
      <c r="F8" s="27">
        <f t="shared" ref="F8:H8" si="9">F49</f>
        <v>29.836999734958919</v>
      </c>
      <c r="G8" s="27">
        <f t="shared" si="9"/>
        <v>6.9885239414325282</v>
      </c>
      <c r="H8" s="27">
        <f t="shared" si="9"/>
        <v>53.76676986584107</v>
      </c>
      <c r="I8" s="27">
        <f t="shared" ref="I8:I9" si="10">H8</f>
        <v>53.76676986584107</v>
      </c>
      <c r="J8" s="27">
        <f>$J$49</f>
        <v>34.185726202557866</v>
      </c>
      <c r="K8" s="27">
        <f t="shared" ref="K8:O8" si="11">$J$49</f>
        <v>34.185726202557866</v>
      </c>
      <c r="L8" s="27">
        <f t="shared" si="11"/>
        <v>34.185726202557866</v>
      </c>
      <c r="M8" s="27">
        <f t="shared" si="11"/>
        <v>34.185726202557866</v>
      </c>
      <c r="N8" s="27">
        <f t="shared" si="11"/>
        <v>34.185726202557866</v>
      </c>
      <c r="O8" s="27">
        <f t="shared" si="11"/>
        <v>34.185726202557866</v>
      </c>
    </row>
    <row r="9" spans="1:15">
      <c r="A9" s="1" t="s">
        <v>12</v>
      </c>
      <c r="B9" s="1" t="s">
        <v>16724</v>
      </c>
      <c r="C9" s="1" t="s">
        <v>17370</v>
      </c>
      <c r="D9" s="2" t="s">
        <v>17371</v>
      </c>
      <c r="E9" s="27">
        <f t="shared" ref="E9" si="12">E50</f>
        <v>54.941585096305658</v>
      </c>
      <c r="F9" s="27">
        <f t="shared" ref="F9:H9" si="13">F50</f>
        <v>20.775814467145224</v>
      </c>
      <c r="G9" s="27">
        <f t="shared" si="13"/>
        <v>4.252991452991453</v>
      </c>
      <c r="H9" s="27">
        <f t="shared" si="13"/>
        <v>3.2396019677996422</v>
      </c>
      <c r="I9" s="27">
        <f t="shared" si="10"/>
        <v>3.2396019677996422</v>
      </c>
      <c r="J9" s="27">
        <f>$J$50</f>
        <v>6.5001005460878432</v>
      </c>
      <c r="K9" s="27">
        <f t="shared" ref="K9:O9" si="14">$J$50</f>
        <v>6.5001005460878432</v>
      </c>
      <c r="L9" s="27">
        <f t="shared" si="14"/>
        <v>6.5001005460878432</v>
      </c>
      <c r="M9" s="27">
        <f t="shared" si="14"/>
        <v>6.5001005460878432</v>
      </c>
      <c r="N9" s="27">
        <f t="shared" si="14"/>
        <v>6.5001005460878432</v>
      </c>
      <c r="O9" s="27">
        <f t="shared" si="14"/>
        <v>6.5001005460878432</v>
      </c>
    </row>
    <row r="10" spans="1:15">
      <c r="A10" s="1" t="s">
        <v>12</v>
      </c>
      <c r="B10" s="1" t="s">
        <v>3</v>
      </c>
      <c r="C10" s="1" t="s">
        <v>17372</v>
      </c>
      <c r="D10" s="2" t="s">
        <v>17373</v>
      </c>
      <c r="E10" s="27">
        <f>E51</f>
        <v>0</v>
      </c>
      <c r="F10" s="27">
        <f>F51</f>
        <v>0</v>
      </c>
      <c r="G10" s="27">
        <f t="shared" ref="G10:H10" si="15">G51</f>
        <v>0</v>
      </c>
      <c r="H10" s="27">
        <f t="shared" si="15"/>
        <v>0</v>
      </c>
      <c r="I10" s="27">
        <f t="shared" si="2"/>
        <v>0</v>
      </c>
      <c r="J10" s="27">
        <f>$J$51</f>
        <v>0</v>
      </c>
      <c r="K10" s="27">
        <f t="shared" ref="K10:O10" si="16">$J$51</f>
        <v>0</v>
      </c>
      <c r="L10" s="27">
        <f t="shared" si="16"/>
        <v>0</v>
      </c>
      <c r="M10" s="27">
        <f t="shared" si="16"/>
        <v>0</v>
      </c>
      <c r="N10" s="27">
        <f t="shared" si="16"/>
        <v>0</v>
      </c>
      <c r="O10" s="27">
        <f t="shared" si="16"/>
        <v>0</v>
      </c>
    </row>
    <row r="11" spans="1:15">
      <c r="A11" s="1" t="s">
        <v>12</v>
      </c>
      <c r="B11" s="1" t="s">
        <v>16735</v>
      </c>
      <c r="C11" s="1" t="s">
        <v>17374</v>
      </c>
      <c r="D11" s="2" t="s">
        <v>17375</v>
      </c>
      <c r="E11" s="27">
        <f>E52</f>
        <v>0</v>
      </c>
      <c r="F11" s="27">
        <f>F52</f>
        <v>0</v>
      </c>
      <c r="G11" s="27">
        <f t="shared" ref="G11:H11" si="17">G52</f>
        <v>0</v>
      </c>
      <c r="H11" s="27">
        <f t="shared" si="17"/>
        <v>0</v>
      </c>
      <c r="I11" s="27">
        <f t="shared" si="2"/>
        <v>0</v>
      </c>
      <c r="J11" s="27">
        <f>$J$52</f>
        <v>0</v>
      </c>
      <c r="K11" s="27">
        <f t="shared" ref="K11:O11" si="18">$J$52</f>
        <v>0</v>
      </c>
      <c r="L11" s="27">
        <f t="shared" si="18"/>
        <v>0</v>
      </c>
      <c r="M11" s="27">
        <f t="shared" si="18"/>
        <v>0</v>
      </c>
      <c r="N11" s="27">
        <f t="shared" si="18"/>
        <v>0</v>
      </c>
      <c r="O11" s="27">
        <f t="shared" si="18"/>
        <v>0</v>
      </c>
    </row>
    <row r="12" spans="1:15">
      <c r="A12" s="1" t="s">
        <v>12</v>
      </c>
      <c r="B12" s="1"/>
      <c r="C12" s="1" t="s">
        <v>17376</v>
      </c>
      <c r="D12" s="1" t="s">
        <v>17377</v>
      </c>
      <c r="E12" s="37"/>
      <c r="F12" s="37"/>
      <c r="G12" s="37"/>
      <c r="H12" s="37"/>
      <c r="I12" s="37"/>
      <c r="J12" s="37" t="str">
        <f t="shared" ref="J12:O12" si="19">LEFT(J1,4)</f>
        <v>2024</v>
      </c>
      <c r="K12" s="37" t="str">
        <f t="shared" si="19"/>
        <v>2025</v>
      </c>
      <c r="L12" s="37" t="str">
        <f t="shared" si="19"/>
        <v>2026</v>
      </c>
      <c r="M12" s="37" t="str">
        <f t="shared" si="19"/>
        <v>2027</v>
      </c>
      <c r="N12" s="37" t="str">
        <f t="shared" si="19"/>
        <v>2028</v>
      </c>
      <c r="O12" s="37" t="str">
        <f t="shared" si="19"/>
        <v>2029</v>
      </c>
    </row>
    <row r="13" spans="1:15">
      <c r="A13" s="1" t="s">
        <v>12</v>
      </c>
      <c r="B13" s="1" t="s">
        <v>16695</v>
      </c>
      <c r="C13" s="1" t="s">
        <v>17378</v>
      </c>
      <c r="D13" s="3" t="s">
        <v>17379</v>
      </c>
      <c r="E13" s="31">
        <v>2445</v>
      </c>
      <c r="F13" s="31">
        <v>4483</v>
      </c>
      <c r="G13" s="31">
        <v>707</v>
      </c>
      <c r="H13" s="31">
        <v>863</v>
      </c>
      <c r="I13" s="491">
        <f>VALUE(IFERROR(I2/(J46),"0"))</f>
        <v>890.05894038771396</v>
      </c>
      <c r="J13" s="32">
        <f>IFERROR(INT(J2/J5),0)</f>
        <v>912</v>
      </c>
      <c r="K13" s="105">
        <f t="shared" ref="K13:O13" si="20">IFERROR(INT(K2/K5),0)</f>
        <v>931</v>
      </c>
      <c r="L13" s="105">
        <f t="shared" si="20"/>
        <v>951</v>
      </c>
      <c r="M13" s="105">
        <f t="shared" si="20"/>
        <v>971</v>
      </c>
      <c r="N13" s="105">
        <f t="shared" si="20"/>
        <v>992</v>
      </c>
      <c r="O13" s="105">
        <f t="shared" si="20"/>
        <v>1012</v>
      </c>
    </row>
    <row r="14" spans="1:15">
      <c r="A14" s="1" t="s">
        <v>12</v>
      </c>
      <c r="B14" s="1" t="s">
        <v>16793</v>
      </c>
      <c r="C14" s="1" t="s">
        <v>17380</v>
      </c>
      <c r="D14" s="2" t="s">
        <v>17381</v>
      </c>
      <c r="E14" s="352">
        <v>3</v>
      </c>
      <c r="F14" s="352">
        <v>20</v>
      </c>
      <c r="G14" s="352">
        <v>176</v>
      </c>
      <c r="H14" s="352">
        <v>179</v>
      </c>
      <c r="I14" s="352">
        <v>179</v>
      </c>
      <c r="J14" s="352">
        <f>IFERROR(INT(I14*(1+J4/100)),0)</f>
        <v>183</v>
      </c>
      <c r="K14" s="352">
        <f t="shared" ref="K14:O14" si="21">IFERROR(INT(J14*(1+K4/100)),0)</f>
        <v>186</v>
      </c>
      <c r="L14" s="352">
        <f t="shared" si="21"/>
        <v>190</v>
      </c>
      <c r="M14" s="352">
        <f t="shared" si="21"/>
        <v>194</v>
      </c>
      <c r="N14" s="352">
        <f t="shared" si="21"/>
        <v>198</v>
      </c>
      <c r="O14" s="352">
        <f t="shared" si="21"/>
        <v>202</v>
      </c>
    </row>
    <row r="15" spans="1:15">
      <c r="A15" s="1" t="s">
        <v>12</v>
      </c>
      <c r="B15" s="1" t="s">
        <v>16932</v>
      </c>
      <c r="C15" s="1" t="s">
        <v>17382</v>
      </c>
      <c r="D15" s="2" t="s">
        <v>17383</v>
      </c>
      <c r="E15" s="31">
        <v>2528</v>
      </c>
      <c r="F15" s="31">
        <v>4381</v>
      </c>
      <c r="G15" s="31">
        <v>5847</v>
      </c>
      <c r="H15" s="31">
        <v>4990</v>
      </c>
      <c r="I15" s="491">
        <f>VALUE(IFERROR(I3/(J47),"0"))</f>
        <v>3443.6671701830828</v>
      </c>
      <c r="J15" s="32">
        <f>IFERROR(INT(J3/J6),0)</f>
        <v>2849</v>
      </c>
      <c r="K15" s="105">
        <f t="shared" ref="K15:O15" si="22">IFERROR(INT(K3/K6),0)</f>
        <v>2910</v>
      </c>
      <c r="L15" s="105">
        <f t="shared" si="22"/>
        <v>2973</v>
      </c>
      <c r="M15" s="105">
        <f t="shared" si="22"/>
        <v>3036</v>
      </c>
      <c r="N15" s="105">
        <f t="shared" si="22"/>
        <v>3099</v>
      </c>
      <c r="O15" s="105">
        <f t="shared" si="22"/>
        <v>3161</v>
      </c>
    </row>
    <row r="16" spans="1:15">
      <c r="A16" s="1" t="s">
        <v>12</v>
      </c>
      <c r="B16" s="1" t="s">
        <v>11</v>
      </c>
      <c r="C16" s="1" t="s">
        <v>17384</v>
      </c>
      <c r="D16" s="3" t="s">
        <v>17385</v>
      </c>
      <c r="E16" s="352"/>
      <c r="F16" s="352"/>
      <c r="G16" s="352"/>
      <c r="H16" s="352"/>
      <c r="I16" s="352"/>
      <c r="J16" s="352">
        <f>IFERROR(INT(I16*(1+J4/100)),0)</f>
        <v>0</v>
      </c>
      <c r="K16" s="352">
        <f t="shared" ref="K16:O16" si="23">IFERROR(INT(J16*(1+K4/100)),0)</f>
        <v>0</v>
      </c>
      <c r="L16" s="352">
        <f t="shared" si="23"/>
        <v>0</v>
      </c>
      <c r="M16" s="352">
        <f t="shared" si="23"/>
        <v>0</v>
      </c>
      <c r="N16" s="352">
        <f t="shared" si="23"/>
        <v>0</v>
      </c>
      <c r="O16" s="352">
        <f t="shared" si="23"/>
        <v>0</v>
      </c>
    </row>
    <row r="17" spans="1:15">
      <c r="A17" s="1" t="s">
        <v>4</v>
      </c>
      <c r="B17" s="1" t="s">
        <v>17386</v>
      </c>
      <c r="C17" s="1" t="s">
        <v>17387</v>
      </c>
      <c r="D17" s="8" t="s">
        <v>17388</v>
      </c>
      <c r="E17" s="30">
        <f>E13+E15</f>
        <v>4973</v>
      </c>
      <c r="F17" s="104">
        <f t="shared" ref="F17:O17" si="24">F13+F15</f>
        <v>8864</v>
      </c>
      <c r="G17" s="104">
        <f t="shared" si="24"/>
        <v>6554</v>
      </c>
      <c r="H17" s="104">
        <f t="shared" si="24"/>
        <v>5853</v>
      </c>
      <c r="I17" s="104">
        <f t="shared" si="24"/>
        <v>4333.7261105707967</v>
      </c>
      <c r="J17" s="104">
        <f t="shared" si="24"/>
        <v>3761</v>
      </c>
      <c r="K17" s="104">
        <f t="shared" si="24"/>
        <v>3841</v>
      </c>
      <c r="L17" s="104">
        <f t="shared" si="24"/>
        <v>3924</v>
      </c>
      <c r="M17" s="104">
        <f t="shared" si="24"/>
        <v>4007</v>
      </c>
      <c r="N17" s="104">
        <f t="shared" si="24"/>
        <v>4091</v>
      </c>
      <c r="O17" s="104">
        <f t="shared" si="24"/>
        <v>4173</v>
      </c>
    </row>
    <row r="18" spans="1:15">
      <c r="A18" s="1" t="s">
        <v>12</v>
      </c>
      <c r="B18" s="1" t="s">
        <v>16926</v>
      </c>
      <c r="C18" s="1" t="s">
        <v>17389</v>
      </c>
      <c r="D18" s="3" t="s">
        <v>17390</v>
      </c>
      <c r="E18" s="31">
        <v>1740</v>
      </c>
      <c r="F18" s="31">
        <v>4126</v>
      </c>
      <c r="G18" s="31">
        <v>756</v>
      </c>
      <c r="H18" s="31">
        <v>478</v>
      </c>
      <c r="I18" s="491">
        <f>VALUE(IFERROR(I3/(J48),"0"))</f>
        <v>878.52330285223582</v>
      </c>
      <c r="J18" s="32">
        <f>IFERROR(INT(J3/J7),0)</f>
        <v>726</v>
      </c>
      <c r="K18" s="496">
        <f t="shared" ref="K18:O18" si="25">IFERROR(INT(K3/K7),0)</f>
        <v>742</v>
      </c>
      <c r="L18" s="496">
        <f t="shared" si="25"/>
        <v>758</v>
      </c>
      <c r="M18" s="496">
        <f t="shared" si="25"/>
        <v>774</v>
      </c>
      <c r="N18" s="496">
        <f t="shared" si="25"/>
        <v>790</v>
      </c>
      <c r="O18" s="496">
        <f t="shared" si="25"/>
        <v>806</v>
      </c>
    </row>
    <row r="19" spans="1:15">
      <c r="A19" s="1" t="s">
        <v>12</v>
      </c>
      <c r="B19" s="1" t="s">
        <v>2</v>
      </c>
      <c r="C19" s="1" t="s">
        <v>17391</v>
      </c>
      <c r="D19" s="2" t="s">
        <v>17392</v>
      </c>
      <c r="E19" s="352"/>
      <c r="F19" s="352">
        <v>389</v>
      </c>
      <c r="G19" s="352">
        <v>488</v>
      </c>
      <c r="H19" s="352">
        <v>681</v>
      </c>
      <c r="I19" s="352">
        <v>681</v>
      </c>
      <c r="J19" s="352">
        <f>IFERROR(INT(I19*(1+J4/100)),0)</f>
        <v>697</v>
      </c>
      <c r="K19" s="352">
        <f t="shared" ref="K19:O19" si="26">IFERROR(INT(J19*(1+K4/100)),0)</f>
        <v>712</v>
      </c>
      <c r="L19" s="352">
        <f t="shared" si="26"/>
        <v>727</v>
      </c>
      <c r="M19" s="352">
        <f t="shared" si="26"/>
        <v>742</v>
      </c>
      <c r="N19" s="352">
        <f t="shared" si="26"/>
        <v>757</v>
      </c>
      <c r="O19" s="352">
        <f t="shared" si="26"/>
        <v>772</v>
      </c>
    </row>
    <row r="20" spans="1:15">
      <c r="A20" s="1" t="s">
        <v>12</v>
      </c>
      <c r="B20" s="1" t="s">
        <v>11</v>
      </c>
      <c r="C20" s="1" t="s">
        <v>17393</v>
      </c>
      <c r="D20" s="3" t="s">
        <v>17394</v>
      </c>
      <c r="E20" s="352"/>
      <c r="F20" s="352"/>
      <c r="G20" s="352"/>
      <c r="H20" s="352"/>
      <c r="I20" s="352"/>
      <c r="J20" s="352">
        <f>IFERROR(INT(I20*(1+J4/100)),0)</f>
        <v>0</v>
      </c>
      <c r="K20" s="352">
        <f t="shared" ref="K20:O20" si="27">IFERROR(INT(J20*(1+K4/100)),0)</f>
        <v>0</v>
      </c>
      <c r="L20" s="352">
        <f t="shared" si="27"/>
        <v>0</v>
      </c>
      <c r="M20" s="352">
        <f t="shared" si="27"/>
        <v>0</v>
      </c>
      <c r="N20" s="352">
        <f t="shared" si="27"/>
        <v>0</v>
      </c>
      <c r="O20" s="352">
        <f t="shared" si="27"/>
        <v>0</v>
      </c>
    </row>
    <row r="21" spans="1:15">
      <c r="A21" s="1" t="s">
        <v>4</v>
      </c>
      <c r="B21" s="1" t="s">
        <v>2</v>
      </c>
      <c r="C21" s="1" t="s">
        <v>17395</v>
      </c>
      <c r="D21" s="8" t="s">
        <v>17396</v>
      </c>
      <c r="E21" s="30">
        <f>E18</f>
        <v>1740</v>
      </c>
      <c r="F21" s="104">
        <f t="shared" ref="F21:O21" si="28">F18</f>
        <v>4126</v>
      </c>
      <c r="G21" s="104">
        <f t="shared" si="28"/>
        <v>756</v>
      </c>
      <c r="H21" s="104">
        <f t="shared" si="28"/>
        <v>478</v>
      </c>
      <c r="I21" s="104">
        <f t="shared" si="28"/>
        <v>878.52330285223582</v>
      </c>
      <c r="J21" s="104">
        <f t="shared" si="28"/>
        <v>726</v>
      </c>
      <c r="K21" s="104">
        <f t="shared" si="28"/>
        <v>742</v>
      </c>
      <c r="L21" s="104">
        <f t="shared" si="28"/>
        <v>758</v>
      </c>
      <c r="M21" s="104">
        <f t="shared" si="28"/>
        <v>774</v>
      </c>
      <c r="N21" s="104">
        <f t="shared" si="28"/>
        <v>790</v>
      </c>
      <c r="O21" s="104">
        <f t="shared" si="28"/>
        <v>806</v>
      </c>
    </row>
    <row r="22" spans="1:15">
      <c r="A22" s="1" t="s">
        <v>16714</v>
      </c>
      <c r="B22" s="1" t="s">
        <v>2</v>
      </c>
      <c r="C22" s="1" t="s">
        <v>17397</v>
      </c>
      <c r="D22" s="8" t="s">
        <v>17398</v>
      </c>
      <c r="E22" s="30">
        <f>E17-E21</f>
        <v>3233</v>
      </c>
      <c r="F22" s="30">
        <f t="shared" ref="F22:N22" si="29">F17-F21</f>
        <v>4738</v>
      </c>
      <c r="G22" s="30">
        <f t="shared" si="29"/>
        <v>5798</v>
      </c>
      <c r="H22" s="30">
        <f t="shared" si="29"/>
        <v>5375</v>
      </c>
      <c r="I22" s="30">
        <f t="shared" si="29"/>
        <v>3455.202807718561</v>
      </c>
      <c r="J22" s="30">
        <f t="shared" si="29"/>
        <v>3035</v>
      </c>
      <c r="K22" s="30">
        <f t="shared" si="29"/>
        <v>3099</v>
      </c>
      <c r="L22" s="30">
        <f t="shared" si="29"/>
        <v>3166</v>
      </c>
      <c r="M22" s="30">
        <f t="shared" si="29"/>
        <v>3233</v>
      </c>
      <c r="N22" s="30">
        <f t="shared" si="29"/>
        <v>3301</v>
      </c>
      <c r="O22" s="30">
        <f t="shared" ref="O22" si="30">O17-O21</f>
        <v>3367</v>
      </c>
    </row>
    <row r="23" spans="1:15">
      <c r="A23" s="1" t="s">
        <v>4</v>
      </c>
      <c r="B23" s="1" t="s">
        <v>2</v>
      </c>
      <c r="C23" s="1" t="s">
        <v>17399</v>
      </c>
      <c r="D23" s="8" t="s">
        <v>17400</v>
      </c>
      <c r="E23" s="29"/>
      <c r="F23" s="30">
        <f>F22-E22</f>
        <v>1505</v>
      </c>
      <c r="G23" s="30">
        <f t="shared" ref="G23:O23" si="31">G22-F22</f>
        <v>1060</v>
      </c>
      <c r="H23" s="30">
        <f t="shared" si="31"/>
        <v>-423</v>
      </c>
      <c r="I23" s="30">
        <f>I22-G22</f>
        <v>-2342.797192281439</v>
      </c>
      <c r="J23" s="30">
        <f t="shared" si="31"/>
        <v>-420.20280771856096</v>
      </c>
      <c r="K23" s="30">
        <f t="shared" si="31"/>
        <v>64</v>
      </c>
      <c r="L23" s="30">
        <f t="shared" si="31"/>
        <v>67</v>
      </c>
      <c r="M23" s="30">
        <f t="shared" si="31"/>
        <v>67</v>
      </c>
      <c r="N23" s="30">
        <f t="shared" si="31"/>
        <v>68</v>
      </c>
      <c r="O23" s="30">
        <f t="shared" si="31"/>
        <v>66</v>
      </c>
    </row>
    <row r="24" spans="1:15">
      <c r="A24" s="1" t="s">
        <v>12</v>
      </c>
      <c r="B24" s="1"/>
      <c r="C24" s="1" t="s">
        <v>17401</v>
      </c>
      <c r="D24" s="1" t="s">
        <v>17402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</row>
    <row r="25" spans="1:15">
      <c r="A25" s="1" t="s">
        <v>12</v>
      </c>
      <c r="B25" s="1" t="s">
        <v>16780</v>
      </c>
      <c r="C25" s="1" t="s">
        <v>17403</v>
      </c>
      <c r="D25" s="2" t="s">
        <v>17404</v>
      </c>
      <c r="E25" s="31">
        <v>2746</v>
      </c>
      <c r="F25" s="31">
        <v>14835</v>
      </c>
      <c r="G25" s="31">
        <v>10624</v>
      </c>
      <c r="H25" s="31">
        <v>1938</v>
      </c>
      <c r="I25" s="31">
        <v>1938</v>
      </c>
      <c r="J25" s="32">
        <f>IFERROR($I$25/$I$33*J33,0)</f>
        <v>3203</v>
      </c>
      <c r="K25" s="105">
        <f t="shared" ref="K25:O25" si="32">IFERROR($I$25/$I$33*K33,0)</f>
        <v>3267</v>
      </c>
      <c r="L25" s="105">
        <f t="shared" si="32"/>
        <v>3337</v>
      </c>
      <c r="M25" s="105">
        <f t="shared" si="32"/>
        <v>3407</v>
      </c>
      <c r="N25" s="105">
        <f t="shared" si="32"/>
        <v>3480</v>
      </c>
      <c r="O25" s="105">
        <f t="shared" si="32"/>
        <v>3551</v>
      </c>
    </row>
    <row r="26" spans="1:15">
      <c r="A26" s="1" t="s">
        <v>12</v>
      </c>
      <c r="B26" s="1" t="s">
        <v>16780</v>
      </c>
      <c r="C26" s="1" t="s">
        <v>17405</v>
      </c>
      <c r="D26" s="2" t="s">
        <v>17406</v>
      </c>
      <c r="E26" s="31"/>
      <c r="F26" s="31"/>
      <c r="G26" s="31"/>
      <c r="H26" s="31"/>
      <c r="I26" s="31"/>
      <c r="J26" s="105">
        <f>IFERROR($I$26/$I$33*J33,0)</f>
        <v>0</v>
      </c>
      <c r="K26" s="105">
        <f t="shared" ref="K26:O26" si="33">IFERROR($I$26/$I$33*K33,0)</f>
        <v>0</v>
      </c>
      <c r="L26" s="105">
        <f t="shared" si="33"/>
        <v>0</v>
      </c>
      <c r="M26" s="105">
        <f t="shared" si="33"/>
        <v>0</v>
      </c>
      <c r="N26" s="105">
        <f t="shared" si="33"/>
        <v>0</v>
      </c>
      <c r="O26" s="105">
        <f t="shared" si="33"/>
        <v>0</v>
      </c>
    </row>
    <row r="27" spans="1:15">
      <c r="A27" s="1" t="s">
        <v>12</v>
      </c>
      <c r="B27" s="1" t="s">
        <v>11</v>
      </c>
      <c r="C27" s="1" t="s">
        <v>17407</v>
      </c>
      <c r="D27" s="3" t="s">
        <v>17408</v>
      </c>
      <c r="E27" s="18"/>
      <c r="F27" s="18"/>
      <c r="G27" s="18"/>
      <c r="H27" s="18"/>
      <c r="I27" s="18"/>
      <c r="J27" s="32">
        <f>IFERROR($I$27/$I$33*J33,0)</f>
        <v>0</v>
      </c>
      <c r="K27" s="105">
        <f t="shared" ref="K27:O27" si="34">IFERROR($I$27/$I$33*K33,0)</f>
        <v>0</v>
      </c>
      <c r="L27" s="105">
        <f t="shared" si="34"/>
        <v>0</v>
      </c>
      <c r="M27" s="105">
        <f t="shared" si="34"/>
        <v>0</v>
      </c>
      <c r="N27" s="105">
        <f t="shared" si="34"/>
        <v>0</v>
      </c>
      <c r="O27" s="105">
        <f t="shared" si="34"/>
        <v>0</v>
      </c>
    </row>
    <row r="28" spans="1:15">
      <c r="A28" s="1" t="s">
        <v>12</v>
      </c>
      <c r="B28" s="1" t="s">
        <v>2</v>
      </c>
      <c r="C28" s="1" t="s">
        <v>17409</v>
      </c>
      <c r="D28" s="2" t="s">
        <v>17410</v>
      </c>
      <c r="E28" s="31"/>
      <c r="F28" s="31"/>
      <c r="G28" s="31"/>
      <c r="H28" s="31"/>
      <c r="I28" s="31"/>
      <c r="J28" s="32">
        <f>IFERROR($I$28/$I$33*J33,0)</f>
        <v>0</v>
      </c>
      <c r="K28" s="105">
        <f t="shared" ref="K28:O28" si="35">IFERROR($I$28/$I$33*K33,0)</f>
        <v>0</v>
      </c>
      <c r="L28" s="105">
        <f t="shared" si="35"/>
        <v>0</v>
      </c>
      <c r="M28" s="105">
        <f t="shared" si="35"/>
        <v>0</v>
      </c>
      <c r="N28" s="105">
        <f t="shared" si="35"/>
        <v>0</v>
      </c>
      <c r="O28" s="105">
        <f t="shared" si="35"/>
        <v>0</v>
      </c>
    </row>
    <row r="29" spans="1:15">
      <c r="A29" s="1" t="s">
        <v>12</v>
      </c>
      <c r="B29" s="1" t="s">
        <v>2</v>
      </c>
      <c r="C29" s="1" t="s">
        <v>17411</v>
      </c>
      <c r="D29" s="2" t="s">
        <v>17412</v>
      </c>
      <c r="E29" s="31">
        <v>194</v>
      </c>
      <c r="F29" s="31">
        <v>90</v>
      </c>
      <c r="G29" s="31">
        <v>2011</v>
      </c>
      <c r="H29" s="31"/>
      <c r="I29" s="31"/>
      <c r="J29" s="32">
        <f>IFERROR($I$29/$I$33*J33,0)</f>
        <v>0</v>
      </c>
      <c r="K29" s="105">
        <f t="shared" ref="K29:O29" si="36">IFERROR($I$29/$I$33*K33,0)</f>
        <v>0</v>
      </c>
      <c r="L29" s="105">
        <f t="shared" si="36"/>
        <v>0</v>
      </c>
      <c r="M29" s="105">
        <f t="shared" si="36"/>
        <v>0</v>
      </c>
      <c r="N29" s="105">
        <f t="shared" si="36"/>
        <v>0</v>
      </c>
      <c r="O29" s="105">
        <f t="shared" si="36"/>
        <v>0</v>
      </c>
    </row>
    <row r="30" spans="1:15">
      <c r="A30" s="1" t="s">
        <v>12</v>
      </c>
      <c r="B30" s="1" t="s">
        <v>11</v>
      </c>
      <c r="C30" s="1" t="s">
        <v>17413</v>
      </c>
      <c r="D30" s="3" t="s">
        <v>17414</v>
      </c>
      <c r="E30" s="18"/>
      <c r="F30" s="18">
        <v>167</v>
      </c>
      <c r="G30" s="18"/>
      <c r="H30" s="18"/>
      <c r="I30" s="18"/>
      <c r="J30" s="32">
        <f>IFERROR($I$30/$I$33*J33,0)</f>
        <v>0</v>
      </c>
      <c r="K30" s="105">
        <f t="shared" ref="K30:O30" si="37">IFERROR($I$30/$I$33*K33,0)</f>
        <v>0</v>
      </c>
      <c r="L30" s="105">
        <f t="shared" si="37"/>
        <v>0</v>
      </c>
      <c r="M30" s="105">
        <f t="shared" si="37"/>
        <v>0</v>
      </c>
      <c r="N30" s="105">
        <f t="shared" si="37"/>
        <v>0</v>
      </c>
      <c r="O30" s="105">
        <f t="shared" si="37"/>
        <v>0</v>
      </c>
    </row>
    <row r="31" spans="1:15">
      <c r="A31" s="1" t="s">
        <v>12</v>
      </c>
      <c r="B31" s="1" t="s">
        <v>2</v>
      </c>
      <c r="C31" s="1" t="s">
        <v>17415</v>
      </c>
      <c r="D31" s="2" t="s">
        <v>17416</v>
      </c>
      <c r="E31" s="31"/>
      <c r="F31" s="31"/>
      <c r="G31" s="31"/>
      <c r="H31" s="31"/>
      <c r="I31" s="31"/>
      <c r="J31" s="32">
        <f>IFERROR($I$31/$I$33*J33,0)</f>
        <v>0</v>
      </c>
      <c r="K31" s="105">
        <f t="shared" ref="K31:O31" si="38">IFERROR($I$31/$I$33*K33,0)</f>
        <v>0</v>
      </c>
      <c r="L31" s="105">
        <f t="shared" si="38"/>
        <v>0</v>
      </c>
      <c r="M31" s="105">
        <f t="shared" si="38"/>
        <v>0</v>
      </c>
      <c r="N31" s="105">
        <f t="shared" si="38"/>
        <v>0</v>
      </c>
      <c r="O31" s="105">
        <f t="shared" si="38"/>
        <v>0</v>
      </c>
    </row>
    <row r="32" spans="1:15">
      <c r="A32" s="1" t="s">
        <v>12</v>
      </c>
      <c r="B32" s="1" t="s">
        <v>11</v>
      </c>
      <c r="C32" s="1" t="s">
        <v>17417</v>
      </c>
      <c r="D32" s="3" t="s">
        <v>17418</v>
      </c>
      <c r="E32" s="18"/>
      <c r="F32" s="18"/>
      <c r="G32" s="18"/>
      <c r="H32" s="18"/>
      <c r="I32" s="18"/>
      <c r="J32" s="32">
        <f>IFERROR($I$32/$I$33*J33,0)</f>
        <v>0</v>
      </c>
      <c r="K32" s="105">
        <f t="shared" ref="K32:O32" si="39">IFERROR($I$32/$I$33*K33,0)</f>
        <v>0</v>
      </c>
      <c r="L32" s="105">
        <f t="shared" si="39"/>
        <v>0</v>
      </c>
      <c r="M32" s="105">
        <f t="shared" si="39"/>
        <v>0</v>
      </c>
      <c r="N32" s="105">
        <f t="shared" si="39"/>
        <v>0</v>
      </c>
      <c r="O32" s="105">
        <f t="shared" si="39"/>
        <v>0</v>
      </c>
    </row>
    <row r="33" spans="1:20">
      <c r="A33" s="1" t="s">
        <v>16700</v>
      </c>
      <c r="B33" s="1" t="s">
        <v>16793</v>
      </c>
      <c r="C33" s="1" t="s">
        <v>17419</v>
      </c>
      <c r="D33" s="8" t="s">
        <v>17420</v>
      </c>
      <c r="E33" s="30">
        <f>SUM(E25:E32)</f>
        <v>2940</v>
      </c>
      <c r="F33" s="30">
        <f t="shared" ref="F33:I33" si="40">SUM(F25:F32)</f>
        <v>15092</v>
      </c>
      <c r="G33" s="30">
        <f t="shared" si="40"/>
        <v>12635</v>
      </c>
      <c r="H33" s="30">
        <f t="shared" si="40"/>
        <v>1938</v>
      </c>
      <c r="I33" s="30">
        <f t="shared" si="40"/>
        <v>1938</v>
      </c>
      <c r="J33" s="30">
        <f>IFERROR(INT((J13+J14)/(J8/100)),0)</f>
        <v>3203</v>
      </c>
      <c r="K33" s="104">
        <f t="shared" ref="K33:O33" si="41">IFERROR(INT((K13+K14)/(K8/100)),0)</f>
        <v>3267</v>
      </c>
      <c r="L33" s="104">
        <f t="shared" si="41"/>
        <v>3337</v>
      </c>
      <c r="M33" s="104">
        <f t="shared" si="41"/>
        <v>3407</v>
      </c>
      <c r="N33" s="104">
        <f t="shared" si="41"/>
        <v>3480</v>
      </c>
      <c r="O33" s="104">
        <f t="shared" si="41"/>
        <v>3551</v>
      </c>
    </row>
    <row r="34" spans="1:20">
      <c r="A34" s="1" t="s">
        <v>12</v>
      </c>
      <c r="B34" s="1" t="s">
        <v>16695</v>
      </c>
      <c r="C34" s="1" t="s">
        <v>17421</v>
      </c>
      <c r="D34" s="2" t="s">
        <v>17422</v>
      </c>
      <c r="E34" s="31">
        <v>2000</v>
      </c>
      <c r="F34" s="31">
        <v>2700</v>
      </c>
      <c r="G34" s="31">
        <v>2863</v>
      </c>
      <c r="H34" s="31">
        <v>5900</v>
      </c>
      <c r="I34" s="31">
        <v>5900</v>
      </c>
      <c r="J34" s="32">
        <f t="shared" ref="J34:O34" si="42">IFERROR($I$34/$I$41*J41,0)</f>
        <v>3610.1548524150271</v>
      </c>
      <c r="K34" s="105">
        <f t="shared" si="42"/>
        <v>3688.819320214669</v>
      </c>
      <c r="L34" s="105">
        <f t="shared" si="42"/>
        <v>3767.4837880143114</v>
      </c>
      <c r="M34" s="105">
        <f t="shared" si="42"/>
        <v>3846.1482558139537</v>
      </c>
      <c r="N34" s="105">
        <f t="shared" si="42"/>
        <v>3924.8127236135956</v>
      </c>
      <c r="O34" s="105">
        <f t="shared" si="42"/>
        <v>4003.477191413238</v>
      </c>
    </row>
    <row r="35" spans="1:20">
      <c r="A35" s="1" t="s">
        <v>12</v>
      </c>
      <c r="B35" s="1" t="s">
        <v>2</v>
      </c>
      <c r="C35" s="1" t="s">
        <v>17423</v>
      </c>
      <c r="D35" s="2" t="s">
        <v>17424</v>
      </c>
      <c r="E35" s="31"/>
      <c r="F35" s="31">
        <v>2411</v>
      </c>
      <c r="G35" s="31">
        <v>3012</v>
      </c>
      <c r="H35" s="31">
        <v>16417</v>
      </c>
      <c r="I35" s="31">
        <v>16417</v>
      </c>
      <c r="J35" s="32">
        <f>IFERROR($I$35/$I$41*J41,0)</f>
        <v>10045.40884950805</v>
      </c>
      <c r="K35" s="105">
        <f t="shared" ref="K35:O35" si="43">IFERROR($I$35/$I$41*K41,0)</f>
        <v>10264.296064400716</v>
      </c>
      <c r="L35" s="105">
        <f t="shared" si="43"/>
        <v>10483.183279293382</v>
      </c>
      <c r="M35" s="105">
        <f t="shared" si="43"/>
        <v>10702.070494186048</v>
      </c>
      <c r="N35" s="105">
        <f t="shared" si="43"/>
        <v>10920.957709078713</v>
      </c>
      <c r="O35" s="105">
        <f t="shared" si="43"/>
        <v>11139.844923971377</v>
      </c>
    </row>
    <row r="36" spans="1:20">
      <c r="A36" s="1" t="s">
        <v>12</v>
      </c>
      <c r="B36" s="1" t="s">
        <v>2</v>
      </c>
      <c r="C36" s="1" t="s">
        <v>17425</v>
      </c>
      <c r="D36" s="2" t="s">
        <v>17426</v>
      </c>
      <c r="E36" s="31"/>
      <c r="F36" s="31">
        <v>11885</v>
      </c>
      <c r="G36" s="31">
        <v>12861</v>
      </c>
      <c r="H36" s="31"/>
      <c r="I36" s="31"/>
      <c r="J36" s="32">
        <f>IFERROR($I$36/$I$41*J41,0)</f>
        <v>0</v>
      </c>
      <c r="K36" s="105">
        <f t="shared" ref="K36:O36" si="44">IFERROR($I$36/$I$41*K41,0)</f>
        <v>0</v>
      </c>
      <c r="L36" s="105">
        <f t="shared" si="44"/>
        <v>0</v>
      </c>
      <c r="M36" s="105">
        <f t="shared" si="44"/>
        <v>0</v>
      </c>
      <c r="N36" s="105">
        <f t="shared" si="44"/>
        <v>0</v>
      </c>
      <c r="O36" s="105">
        <f t="shared" si="44"/>
        <v>0</v>
      </c>
    </row>
    <row r="37" spans="1:20">
      <c r="A37" s="1" t="s">
        <v>12</v>
      </c>
      <c r="B37" s="1" t="s">
        <v>16695</v>
      </c>
      <c r="C37" s="1" t="s">
        <v>17427</v>
      </c>
      <c r="D37" s="2" t="s">
        <v>17428</v>
      </c>
      <c r="E37" s="31">
        <v>1167</v>
      </c>
      <c r="F37" s="31">
        <v>4736</v>
      </c>
      <c r="G37" s="31">
        <v>10514</v>
      </c>
      <c r="H37" s="31">
        <v>13459</v>
      </c>
      <c r="I37" s="31">
        <v>13459</v>
      </c>
      <c r="J37" s="32">
        <f>IFERROR($I$37/$I$41*J41,0)</f>
        <v>8235.4362980769238</v>
      </c>
      <c r="K37" s="105">
        <f t="shared" ref="K37:O37" si="45">IFERROR($I$37/$I$41*K41,0)</f>
        <v>8414.8846153846152</v>
      </c>
      <c r="L37" s="105">
        <f t="shared" si="45"/>
        <v>8594.3329326923067</v>
      </c>
      <c r="M37" s="105">
        <f t="shared" si="45"/>
        <v>8773.78125</v>
      </c>
      <c r="N37" s="105">
        <f t="shared" si="45"/>
        <v>8953.2295673076915</v>
      </c>
      <c r="O37" s="105">
        <f t="shared" si="45"/>
        <v>9132.6778846153848</v>
      </c>
    </row>
    <row r="38" spans="1:20">
      <c r="A38" s="1" t="s">
        <v>12</v>
      </c>
      <c r="B38" s="1" t="s">
        <v>11</v>
      </c>
      <c r="C38" s="1" t="s">
        <v>17429</v>
      </c>
      <c r="D38" s="3" t="s">
        <v>17430</v>
      </c>
      <c r="E38" s="18"/>
      <c r="F38" s="18"/>
      <c r="G38" s="18"/>
      <c r="H38" s="18"/>
      <c r="I38" s="18"/>
      <c r="J38" s="32">
        <f>IFERROR($I$38/$I$41*J41,0)</f>
        <v>0</v>
      </c>
      <c r="K38" s="105">
        <f t="shared" ref="K38:O38" si="46">IFERROR($I$38/$I$41*K41,0)</f>
        <v>0</v>
      </c>
      <c r="L38" s="105">
        <f t="shared" si="46"/>
        <v>0</v>
      </c>
      <c r="M38" s="105">
        <f t="shared" si="46"/>
        <v>0</v>
      </c>
      <c r="N38" s="105">
        <f t="shared" si="46"/>
        <v>0</v>
      </c>
      <c r="O38" s="105">
        <f t="shared" si="46"/>
        <v>0</v>
      </c>
    </row>
    <row r="39" spans="1:20">
      <c r="A39" s="1" t="s">
        <v>12</v>
      </c>
      <c r="B39" s="1" t="s">
        <v>11</v>
      </c>
      <c r="C39" s="1" t="s">
        <v>17431</v>
      </c>
      <c r="D39" s="3" t="s">
        <v>17432</v>
      </c>
      <c r="E39" s="18"/>
      <c r="F39" s="18"/>
      <c r="G39" s="18"/>
      <c r="H39" s="18"/>
      <c r="I39" s="18"/>
      <c r="J39" s="32">
        <f>IFERROR($I$39/$I$41*J41,0)</f>
        <v>0</v>
      </c>
      <c r="K39" s="105">
        <f t="shared" ref="K39:O39" si="47">IFERROR($I$39/$I$41*K41,0)</f>
        <v>0</v>
      </c>
      <c r="L39" s="105">
        <f t="shared" si="47"/>
        <v>0</v>
      </c>
      <c r="M39" s="105">
        <f t="shared" si="47"/>
        <v>0</v>
      </c>
      <c r="N39" s="105">
        <f t="shared" si="47"/>
        <v>0</v>
      </c>
      <c r="O39" s="105">
        <f t="shared" si="47"/>
        <v>0</v>
      </c>
    </row>
    <row r="40" spans="1:20">
      <c r="A40" s="1" t="s">
        <v>12</v>
      </c>
      <c r="B40" s="1" t="s">
        <v>11</v>
      </c>
      <c r="C40" s="1" t="s">
        <v>17433</v>
      </c>
      <c r="D40" s="3" t="s">
        <v>17434</v>
      </c>
      <c r="E40" s="18"/>
      <c r="F40" s="18"/>
      <c r="G40" s="18"/>
      <c r="H40" s="18"/>
      <c r="I40" s="18"/>
      <c r="J40" s="32">
        <f>IFERROR($I$40/$I$41*J41,0)</f>
        <v>0</v>
      </c>
      <c r="K40" s="105">
        <f t="shared" ref="K40:O40" si="48">IFERROR($I$40/$I$41*K41,0)</f>
        <v>0</v>
      </c>
      <c r="L40" s="105">
        <f t="shared" si="48"/>
        <v>0</v>
      </c>
      <c r="M40" s="105">
        <f t="shared" si="48"/>
        <v>0</v>
      </c>
      <c r="N40" s="105">
        <f t="shared" si="48"/>
        <v>0</v>
      </c>
      <c r="O40" s="105">
        <f t="shared" si="48"/>
        <v>0</v>
      </c>
    </row>
    <row r="41" spans="1:20" ht="17.25" thickBot="1">
      <c r="A41" s="1" t="s">
        <v>4</v>
      </c>
      <c r="B41" s="1" t="s">
        <v>2</v>
      </c>
      <c r="C41" s="1" t="s">
        <v>17435</v>
      </c>
      <c r="D41" s="8" t="s">
        <v>17436</v>
      </c>
      <c r="E41" s="30">
        <f>SUM(E34:E40)</f>
        <v>3167</v>
      </c>
      <c r="F41" s="30">
        <f>SUM(F34:F40)</f>
        <v>21732</v>
      </c>
      <c r="G41" s="30">
        <f>SUM(G34:G40)</f>
        <v>29250</v>
      </c>
      <c r="H41" s="30">
        <f>SUM(H34:H40)</f>
        <v>35776</v>
      </c>
      <c r="I41" s="30">
        <f>SUM(I34:I40)</f>
        <v>35776</v>
      </c>
      <c r="J41" s="30">
        <f t="shared" ref="J41:O41" si="49">IFERROR(INT((J18+J19)/(J9/100)),0)</f>
        <v>21891</v>
      </c>
      <c r="K41" s="104">
        <f t="shared" si="49"/>
        <v>22368</v>
      </c>
      <c r="L41" s="104">
        <f t="shared" si="49"/>
        <v>22845</v>
      </c>
      <c r="M41" s="104">
        <f t="shared" si="49"/>
        <v>23322</v>
      </c>
      <c r="N41" s="104">
        <f t="shared" si="49"/>
        <v>23799</v>
      </c>
      <c r="O41" s="104">
        <f t="shared" si="49"/>
        <v>24276</v>
      </c>
    </row>
    <row r="42" spans="1:20">
      <c r="D42" s="161" t="s">
        <v>71</v>
      </c>
      <c r="E42" s="196">
        <f>100*(IS추정!E28/E33)</f>
        <v>0.47619047619047622</v>
      </c>
      <c r="F42" s="196">
        <f>100*(IS추정!F28/F33)</f>
        <v>5.3008216273522389E-2</v>
      </c>
      <c r="G42" s="196">
        <f>100*(IS추정!G28/G33)</f>
        <v>0.85476850019786299</v>
      </c>
      <c r="H42" s="196">
        <f>100*(IS추정!H28/H33)</f>
        <v>5.5211558307533544</v>
      </c>
      <c r="I42" s="196">
        <f>100*(IS추정!I28/I33)</f>
        <v>5.5211558307533544</v>
      </c>
      <c r="J42" s="196">
        <f>100*(IS추정!J28/J33)</f>
        <v>0</v>
      </c>
      <c r="K42" s="196">
        <f>100*(IS추정!K28/K33)</f>
        <v>0</v>
      </c>
      <c r="L42" s="196">
        <f>100*(IS추정!L28/L33)</f>
        <v>0</v>
      </c>
      <c r="M42" s="196">
        <f>100*(IS추정!M28/M33)</f>
        <v>0</v>
      </c>
      <c r="N42" s="196">
        <f>100*(IS추정!N28/N33)</f>
        <v>0</v>
      </c>
      <c r="O42" s="197">
        <f>100*(IS추정!O28/O33)</f>
        <v>0</v>
      </c>
      <c r="Q42" s="56" t="s">
        <v>0</v>
      </c>
    </row>
    <row r="43" spans="1:20" ht="17.25" thickBot="1">
      <c r="D43" s="164" t="s">
        <v>72</v>
      </c>
      <c r="E43" s="200">
        <f>100*(IS추정!E31/E41)</f>
        <v>1.2630249447426587</v>
      </c>
      <c r="F43" s="200">
        <f>100*(IS추정!F31/F41)</f>
        <v>0.46935394809497516</v>
      </c>
      <c r="G43" s="200">
        <f>100*(IS추정!G31/G41)</f>
        <v>0.89572649572649576</v>
      </c>
      <c r="H43" s="200">
        <f>100*(IS추정!H31/H41)</f>
        <v>1.3752236135957066</v>
      </c>
      <c r="I43" s="200">
        <f>100*(IS추정!I31/I41)</f>
        <v>1.3752236135957066</v>
      </c>
      <c r="J43" s="200">
        <f>100*(IS추정!J31/J41)</f>
        <v>0</v>
      </c>
      <c r="K43" s="200">
        <f>100*(IS추정!K31/K41)</f>
        <v>0</v>
      </c>
      <c r="L43" s="200">
        <f>100*(IS추정!L31/L41)</f>
        <v>0</v>
      </c>
      <c r="M43" s="200">
        <f>100*(IS추정!M31/M41)</f>
        <v>0</v>
      </c>
      <c r="N43" s="200">
        <f>100*(IS추정!N31/N41)</f>
        <v>0</v>
      </c>
      <c r="O43" s="203">
        <f>100*(IS추정!O31/O41)</f>
        <v>0</v>
      </c>
      <c r="Q43" s="57">
        <f ca="1">+민감도!B7</f>
        <v>-13305399948.490595</v>
      </c>
    </row>
    <row r="44" spans="1:20" ht="17.25" thickBot="1">
      <c r="E44" s="246">
        <f t="shared" ref="E44:O44" si="50">E22/E2</f>
        <v>0.21294954551442496</v>
      </c>
      <c r="F44" s="246">
        <f t="shared" si="50"/>
        <v>0.26087435304481887</v>
      </c>
      <c r="G44" s="246">
        <f t="shared" si="50"/>
        <v>0.47547974413646055</v>
      </c>
      <c r="H44" s="246">
        <f t="shared" si="50"/>
        <v>1.0717846460618146</v>
      </c>
      <c r="I44" s="246">
        <f t="shared" si="50"/>
        <v>0.68897364062184663</v>
      </c>
      <c r="J44" s="246">
        <f t="shared" si="50"/>
        <v>0.59058182525783232</v>
      </c>
      <c r="K44" s="246">
        <f t="shared" si="50"/>
        <v>0.5902857142857143</v>
      </c>
      <c r="L44" s="246">
        <f t="shared" si="50"/>
        <v>0.59034122692522839</v>
      </c>
      <c r="M44" s="246">
        <f t="shared" si="50"/>
        <v>0.59039444850255662</v>
      </c>
      <c r="N44" s="246">
        <f t="shared" si="50"/>
        <v>0.59051878354203935</v>
      </c>
      <c r="O44" s="246">
        <f t="shared" si="50"/>
        <v>0.59039102226898121</v>
      </c>
    </row>
    <row r="45" spans="1:20">
      <c r="A45" s="367">
        <f>ROW(C52)-ROW(C45)</f>
        <v>7</v>
      </c>
      <c r="B45" s="1"/>
      <c r="C45" s="1" t="s">
        <v>17437</v>
      </c>
      <c r="D45" s="1" t="s">
        <v>17438</v>
      </c>
      <c r="E45" s="1" t="s">
        <v>16476</v>
      </c>
      <c r="F45" s="1" t="s">
        <v>16478</v>
      </c>
      <c r="G45" s="1" t="s">
        <v>16480</v>
      </c>
      <c r="H45" s="1" t="s">
        <v>16483</v>
      </c>
      <c r="I45" s="1" t="s">
        <v>16829</v>
      </c>
      <c r="J45" s="360" t="s">
        <v>204</v>
      </c>
      <c r="K45" s="120"/>
      <c r="L45" s="116" t="s">
        <v>23</v>
      </c>
      <c r="M45" s="14"/>
      <c r="N45" s="354" t="s">
        <v>30</v>
      </c>
      <c r="O45" s="354" t="s">
        <v>31</v>
      </c>
      <c r="P45" s="354" t="s">
        <v>206</v>
      </c>
      <c r="Q45" s="354" t="s">
        <v>207</v>
      </c>
      <c r="R45" s="354" t="s">
        <v>33</v>
      </c>
      <c r="S45" s="354" t="s">
        <v>205</v>
      </c>
      <c r="T45" s="354" t="s">
        <v>34</v>
      </c>
    </row>
    <row r="46" spans="1:20">
      <c r="A46" s="1" t="s">
        <v>12</v>
      </c>
      <c r="B46" s="1" t="s">
        <v>16992</v>
      </c>
      <c r="C46" s="1" t="s">
        <v>17439</v>
      </c>
      <c r="D46" s="2" t="s">
        <v>17440</v>
      </c>
      <c r="E46" s="28">
        <f>IF(E13=0,0,E2/E13)</f>
        <v>6.2094069529652351</v>
      </c>
      <c r="F46" s="28">
        <f>IF(F13=0,0,F2/AVERAGE(E13:F13))</f>
        <v>5.2430715935334877</v>
      </c>
      <c r="G46" s="87">
        <f>IF(G13=0,0,G2/AVERAGE(F13:G13))</f>
        <v>4.6990366088631985</v>
      </c>
      <c r="H46" s="87">
        <f>IF(H13=0,0,I2/AVERAGE(G13:H13))</f>
        <v>6.3885350318471339</v>
      </c>
      <c r="I46" s="28">
        <f>(F46+G46*2+H46*3)/6</f>
        <v>5.6344583178002141</v>
      </c>
      <c r="J46" s="357">
        <f>HLOOKUP($J$45,$N$45:$T$50,$M46,0)</f>
        <v>5.6344583178002141</v>
      </c>
      <c r="K46" s="92">
        <f>(E46+F46*2+G46*3)/6</f>
        <v>5.1321099944369672</v>
      </c>
      <c r="L46" s="159"/>
      <c r="M46" s="359">
        <v>2</v>
      </c>
      <c r="N46" s="353">
        <f>AVERAGE(E46:H46)</f>
        <v>5.6350125468022636</v>
      </c>
      <c r="O46" s="353">
        <f>AVERAGE(F46:H46)</f>
        <v>5.4435477447479395</v>
      </c>
      <c r="P46" s="353">
        <f>AVERAGE(G46:H46)</f>
        <v>5.5437858203551666</v>
      </c>
      <c r="Q46" s="353">
        <f>AVERAGE(E46:G46)</f>
        <v>5.3838383851206402</v>
      </c>
      <c r="R46" s="353">
        <f>(4*H46+3*G46+2*F46+E46)/10</f>
        <v>5.634680009401035</v>
      </c>
      <c r="S46" s="353">
        <f>(F46+G46*2+H46*3)/6</f>
        <v>5.6344583178002141</v>
      </c>
      <c r="T46" s="353">
        <f>(2*H46+G46)/3</f>
        <v>5.8253688908524888</v>
      </c>
    </row>
    <row r="47" spans="1:20">
      <c r="A47" s="1" t="s">
        <v>12</v>
      </c>
      <c r="B47" s="1" t="s">
        <v>3</v>
      </c>
      <c r="C47" s="1" t="s">
        <v>17441</v>
      </c>
      <c r="D47" s="2" t="s">
        <v>17442</v>
      </c>
      <c r="E47" s="28">
        <f>IF(E15=0,0,E3/E15)</f>
        <v>4.6598101265822782</v>
      </c>
      <c r="F47" s="28">
        <f>IF(F15=0,0,F3/AVERAGE(E15:F15))</f>
        <v>4.1513967289043281</v>
      </c>
      <c r="G47" s="87">
        <f>IF(G15=0,0,G3/AVERAGE(F15:G15))</f>
        <v>2.2522487289792728</v>
      </c>
      <c r="H47" s="87">
        <f>IF(H15=0,0,I3/AVERAGE(G15:H15))</f>
        <v>1.3439143674448648</v>
      </c>
      <c r="I47" s="28">
        <f t="shared" ref="I47:I50" si="51">(F47+G47*2+H47*3)/6</f>
        <v>2.1146062148662446</v>
      </c>
      <c r="J47" s="357">
        <f>HLOOKUP($J$45,$N$45:$T$50,$M47,0)</f>
        <v>2.1146062148662446</v>
      </c>
      <c r="K47" s="92">
        <f t="shared" ref="K47:K50" si="52">(E47+F47*2+G47*3)/6</f>
        <v>3.2865582952214587</v>
      </c>
      <c r="L47" s="159"/>
      <c r="M47" s="359">
        <v>3</v>
      </c>
      <c r="N47" s="353">
        <f>AVERAGE(E47:H47)</f>
        <v>3.1018424879776862</v>
      </c>
      <c r="O47" s="353">
        <f>AVERAGE(F47:H47)</f>
        <v>2.5825199417761548</v>
      </c>
      <c r="P47" s="353">
        <f>AVERAGE(G47:H47)</f>
        <v>1.7980815482120689</v>
      </c>
      <c r="Q47" s="353">
        <f>AVERAGE(E47:G47)</f>
        <v>3.6878185281552933</v>
      </c>
      <c r="R47" s="353">
        <f>(4*H47+3*G47+2*F47+E47)/10</f>
        <v>2.5095007241108211</v>
      </c>
      <c r="S47" s="353">
        <f t="shared" ref="S47:S50" si="53">(F47+G47*2+H47*3)/6</f>
        <v>2.1146062148662446</v>
      </c>
      <c r="T47" s="353">
        <f>(2*H47+G47)/3</f>
        <v>1.6466924879563341</v>
      </c>
    </row>
    <row r="48" spans="1:20">
      <c r="A48" s="1" t="s">
        <v>12</v>
      </c>
      <c r="B48" s="1" t="s">
        <v>16711</v>
      </c>
      <c r="C48" s="1" t="s">
        <v>17443</v>
      </c>
      <c r="D48" s="2" t="s">
        <v>17444</v>
      </c>
      <c r="E48" s="28">
        <f>IF(E18=0,0,E3/E18)</f>
        <v>6.7701149425287355</v>
      </c>
      <c r="F48" s="87">
        <f>IF(F18=0,0,F3/AVERAGE(E18:F18))</f>
        <v>4.889532901466076</v>
      </c>
      <c r="G48" s="87">
        <f>IF(G18=0,0,G3/AVERAGE(F18:G18))</f>
        <v>4.7185579680458831</v>
      </c>
      <c r="H48" s="87">
        <f>IF(H18=0,0,I3/AVERAGE(G18:H18))</f>
        <v>11.802269043760131</v>
      </c>
      <c r="I48" s="28">
        <f t="shared" si="51"/>
        <v>8.2889093281397042</v>
      </c>
      <c r="J48" s="357">
        <f>HLOOKUP($J$45,$N$45:$T$50,$M48,0)</f>
        <v>8.2889093281397042</v>
      </c>
      <c r="K48" s="92">
        <f t="shared" si="52"/>
        <v>5.1174757749330899</v>
      </c>
      <c r="L48" s="159"/>
      <c r="M48" s="359">
        <v>4</v>
      </c>
      <c r="N48" s="353">
        <f>AVERAGE(E48:H48)</f>
        <v>7.0451187139502061</v>
      </c>
      <c r="O48" s="353">
        <f>AVERAGE(F48:H48)</f>
        <v>7.1367866377573632</v>
      </c>
      <c r="P48" s="353">
        <f>AVERAGE(G48:H48)</f>
        <v>8.2604135059030064</v>
      </c>
      <c r="Q48" s="353">
        <f>AVERAGE(E48:G48)</f>
        <v>5.4594019373468976</v>
      </c>
      <c r="R48" s="353">
        <f>(4*H48+3*G48+2*F48+E48)/10</f>
        <v>7.7913930824639053</v>
      </c>
      <c r="S48" s="353">
        <f t="shared" si="53"/>
        <v>8.2889093281397042</v>
      </c>
      <c r="T48" s="353">
        <f>(2*H48+G48)/3</f>
        <v>9.4410320185220478</v>
      </c>
    </row>
    <row r="49" spans="1:20">
      <c r="A49" s="1" t="s">
        <v>12</v>
      </c>
      <c r="B49" s="1" t="s">
        <v>16711</v>
      </c>
      <c r="C49" s="1" t="s">
        <v>17445</v>
      </c>
      <c r="D49" s="2" t="s">
        <v>17446</v>
      </c>
      <c r="E49" s="28">
        <f>IF(E33=0,0,(E13+E14)/E33*100)</f>
        <v>83.265306122448976</v>
      </c>
      <c r="F49" s="28">
        <f>IF(F33=0,0,(F13+F14)/F33*100)</f>
        <v>29.836999734958919</v>
      </c>
      <c r="G49" s="28">
        <f>IF(G33=0,0,(G13+G14)/G33*100)</f>
        <v>6.9885239414325282</v>
      </c>
      <c r="H49" s="28">
        <f>IF(H33=0,0,(H13+H14)/H33*100)</f>
        <v>53.76676986584107</v>
      </c>
      <c r="I49" s="28">
        <f t="shared" si="51"/>
        <v>34.185726202557866</v>
      </c>
      <c r="J49" s="361">
        <f t="shared" ref="J49:J50" si="54">HLOOKUP($J$45,$N$45:$T$50,$M49,0)</f>
        <v>34.185726202557866</v>
      </c>
      <c r="K49" s="92">
        <f t="shared" si="52"/>
        <v>27.317479569444071</v>
      </c>
      <c r="L49" s="159"/>
      <c r="M49" s="359">
        <v>5</v>
      </c>
      <c r="N49" s="353">
        <f>AVERAGE(E49:H49)</f>
        <v>43.464399916170379</v>
      </c>
      <c r="O49" s="353">
        <f>AVERAGE(F49:H49)</f>
        <v>30.197431180744172</v>
      </c>
      <c r="P49" s="353">
        <f>AVERAGE(G49:H49)</f>
        <v>30.377646903636798</v>
      </c>
      <c r="Q49" s="353">
        <f>AVERAGE(E49:G49)</f>
        <v>40.03027659961348</v>
      </c>
      <c r="R49" s="353">
        <f>(4*H49+3*G49+2*F49+E49)/10</f>
        <v>37.897195688002867</v>
      </c>
      <c r="S49" s="353">
        <f t="shared" si="53"/>
        <v>34.185726202557866</v>
      </c>
      <c r="T49" s="353">
        <f>(2*H49+G49)/3</f>
        <v>38.174021224371558</v>
      </c>
    </row>
    <row r="50" spans="1:20" ht="17.25" thickBot="1">
      <c r="A50" s="1" t="s">
        <v>12</v>
      </c>
      <c r="B50" s="1" t="s">
        <v>3</v>
      </c>
      <c r="C50" s="1" t="s">
        <v>17447</v>
      </c>
      <c r="D50" s="2" t="s">
        <v>17448</v>
      </c>
      <c r="E50" s="28">
        <f>IF(E41=0,0,(E18+E19)/E41*100)</f>
        <v>54.941585096305658</v>
      </c>
      <c r="F50" s="28">
        <f>IF(F41=0,0,(F18+F19)/F41*100)</f>
        <v>20.775814467145224</v>
      </c>
      <c r="G50" s="28">
        <f>IF(G41=0,0,(G18+G19)/G41*100)</f>
        <v>4.252991452991453</v>
      </c>
      <c r="H50" s="28">
        <f>IF(H41=0,0,(H18+H19)/H41*100)</f>
        <v>3.2396019677996422</v>
      </c>
      <c r="I50" s="28">
        <f t="shared" si="51"/>
        <v>6.5001005460878432</v>
      </c>
      <c r="J50" s="362">
        <f t="shared" si="54"/>
        <v>6.5001005460878432</v>
      </c>
      <c r="K50" s="92">
        <f t="shared" si="52"/>
        <v>18.208698064928409</v>
      </c>
      <c r="L50" s="159"/>
      <c r="M50" s="359">
        <v>6</v>
      </c>
      <c r="N50" s="353">
        <f>AVERAGE(E50:H50)</f>
        <v>20.802498246060495</v>
      </c>
      <c r="O50" s="353">
        <f>AVERAGE(F50:H50)</f>
        <v>9.4228026293121072</v>
      </c>
      <c r="P50" s="353">
        <f>AVERAGE(G50:H50)</f>
        <v>3.7462967103955478</v>
      </c>
      <c r="Q50" s="353">
        <f>AVERAGE(E50:G50)</f>
        <v>26.656797005480779</v>
      </c>
      <c r="R50" s="353">
        <f>(4*H50+3*G50+2*F50+E50)/10</f>
        <v>12.221059626076904</v>
      </c>
      <c r="S50" s="353">
        <f t="shared" si="53"/>
        <v>6.5001005460878432</v>
      </c>
      <c r="T50" s="353">
        <f>(2*H50+G50)/3</f>
        <v>3.5773984628635791</v>
      </c>
    </row>
    <row r="51" spans="1:20">
      <c r="A51" s="1" t="s">
        <v>12</v>
      </c>
      <c r="B51" s="1" t="s">
        <v>3</v>
      </c>
      <c r="C51" s="1" t="s">
        <v>17449</v>
      </c>
      <c r="D51" s="2" t="s">
        <v>17450</v>
      </c>
      <c r="E51" s="99"/>
      <c r="F51" s="99"/>
      <c r="G51" s="99"/>
      <c r="H51" s="99"/>
      <c r="I51" s="99"/>
      <c r="J51" s="99"/>
      <c r="K51" s="99"/>
    </row>
    <row r="52" spans="1:20">
      <c r="A52" s="1" t="s">
        <v>12</v>
      </c>
      <c r="B52" s="1" t="s">
        <v>16724</v>
      </c>
      <c r="C52" s="1" t="s">
        <v>17451</v>
      </c>
      <c r="D52" s="2" t="s">
        <v>17452</v>
      </c>
      <c r="E52" s="99"/>
      <c r="F52" s="99"/>
      <c r="G52" s="99"/>
      <c r="H52" s="99"/>
      <c r="I52" s="99"/>
      <c r="J52" s="99"/>
      <c r="K52" s="99"/>
    </row>
    <row r="53" spans="1:20">
      <c r="D53" s="96" t="s">
        <v>449</v>
      </c>
      <c r="E53" s="433">
        <f t="shared" ref="E53:I53" si="55">IFERROR(E22/E2,"")</f>
        <v>0.21294954551442496</v>
      </c>
      <c r="F53" s="433">
        <f t="shared" si="55"/>
        <v>0.26087435304481887</v>
      </c>
      <c r="G53" s="433">
        <f t="shared" si="55"/>
        <v>0.47547974413646055</v>
      </c>
      <c r="H53" s="433">
        <f t="shared" si="55"/>
        <v>1.0717846460618146</v>
      </c>
      <c r="I53" s="433">
        <f t="shared" si="55"/>
        <v>0.68897364062184663</v>
      </c>
      <c r="K53" s="99"/>
    </row>
    <row r="54" spans="1:20">
      <c r="K54" s="99"/>
    </row>
    <row r="55" spans="1:20" customFormat="1">
      <c r="E55" s="351" t="str">
        <f t="shared" ref="E55:G55" si="56">LEFT(E1,4)&amp;"년"</f>
        <v>2020년</v>
      </c>
      <c r="F55" s="351" t="str">
        <f t="shared" si="56"/>
        <v>2021년</v>
      </c>
      <c r="G55" s="351" t="str">
        <f t="shared" si="56"/>
        <v>2022년</v>
      </c>
      <c r="H55" s="351" t="str">
        <f>LEFT(H1,4)&amp;"년"</f>
        <v>2023년</v>
      </c>
    </row>
    <row r="56" spans="1:20" customFormat="1">
      <c r="E56" s="326">
        <f>IF(E13=0,0,E2/E13)</f>
        <v>6.2094069529652351</v>
      </c>
      <c r="F56" s="326">
        <f>IF(F13=0,0,F2/F13)</f>
        <v>4.0513049297345525</v>
      </c>
      <c r="G56" s="326">
        <f>IF(G13=0,0,G2/G13)</f>
        <v>17.247524752475247</v>
      </c>
      <c r="H56" s="327">
        <f>IF(H13=0,0,I2/H13)</f>
        <v>5.8111239860950175</v>
      </c>
    </row>
    <row r="57" spans="1:20" customFormat="1">
      <c r="E57" s="326">
        <f>IF(E15=0,0,E3/E15)</f>
        <v>4.6598101265822782</v>
      </c>
      <c r="F57" s="326">
        <f>IF(F15=0,0,F3/F15)</f>
        <v>3.2734535494179413</v>
      </c>
      <c r="G57" s="326">
        <f>IF(G15=0,0,G3/G15)</f>
        <v>1.9698990935522491</v>
      </c>
      <c r="H57" s="327">
        <f>IF(H15=0,0,I3/H15)</f>
        <v>1.459318637274549</v>
      </c>
    </row>
    <row r="58" spans="1:20" customFormat="1">
      <c r="E58" s="326">
        <f>IF(E18=0,0,E2/E18)</f>
        <v>8.7252873563218394</v>
      </c>
      <c r="F58" s="326">
        <f>IF(F18=0,0,F2/F18)</f>
        <v>4.4018419777023752</v>
      </c>
      <c r="G58" s="326">
        <f>IF(G18=0,0,G2/G18)</f>
        <v>16.12962962962963</v>
      </c>
      <c r="H58" s="327">
        <f>IF(H18=0,0,I2/H18)</f>
        <v>10.49163179916318</v>
      </c>
    </row>
    <row r="59" spans="1:20" customFormat="1"/>
    <row r="60" spans="1:20" customFormat="1"/>
    <row r="61" spans="1:20" customFormat="1"/>
    <row r="62" spans="1:20" customFormat="1"/>
    <row r="63" spans="1:20" customFormat="1"/>
    <row r="64" spans="1:20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</sheetData>
  <sheetProtection selectLockedCells="1"/>
  <phoneticPr fontId="3" type="noConversion"/>
  <conditionalFormatting sqref="E55:H55">
    <cfRule type="duplicateValues" dxfId="9" priority="2"/>
  </conditionalFormatting>
  <conditionalFormatting sqref="J45 N45:T45">
    <cfRule type="duplicateValues" dxfId="8" priority="1"/>
  </conditionalFormatting>
  <dataValidations disablePrompts="1" count="1">
    <dataValidation type="list" allowBlank="1" showInputMessage="1" sqref="J45">
      <formula1>$N$45:$T$45</formula1>
    </dataValidation>
  </dataValidations>
  <pageMargins left="0.7" right="0.7" top="0.75" bottom="0.75" header="0.3" footer="0.3"/>
  <pageSetup paperSize="9" orientation="portrait" r:id="rId1"/>
  <ignoredErrors>
    <ignoredError sqref="J53:J54 N46:R50 F75:J75 S46:T50" unlockedFormula="1"/>
    <ignoredError sqref="J22:O23" evalError="1"/>
    <ignoredError sqref="E42:O43 D44 E44:O44" evalError="1" unlocked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C00000"/>
  </sheetPr>
  <dimension ref="A1:S64"/>
  <sheetViews>
    <sheetView showGridLines="0" zoomScale="85" zoomScaleNormal="85" workbookViewId="0">
      <pane ySplit="1" topLeftCell="A14" activePane="bottomLeft" state="frozen"/>
      <selection activeCell="C1" sqref="C1"/>
      <selection pane="bottomLeft" activeCell="I34" sqref="I34:I35"/>
    </sheetView>
  </sheetViews>
  <sheetFormatPr defaultColWidth="9" defaultRowHeight="16.5"/>
  <cols>
    <col min="1" max="2" width="9" style="2" hidden="1" customWidth="1"/>
    <col min="3" max="3" width="9" style="2"/>
    <col min="4" max="4" width="29.5" style="2" customWidth="1"/>
    <col min="5" max="19" width="9.625" style="2" customWidth="1"/>
    <col min="20" max="16384" width="9" style="2"/>
  </cols>
  <sheetData>
    <row r="1" spans="1:15">
      <c r="A1" s="367">
        <f>ROW(C37)-ROW(C1)</f>
        <v>36</v>
      </c>
      <c r="B1" s="1"/>
      <c r="C1" s="1" t="s">
        <v>17453</v>
      </c>
      <c r="D1" s="1" t="s">
        <v>17454</v>
      </c>
      <c r="E1" s="1" t="s">
        <v>16799</v>
      </c>
      <c r="F1" s="1" t="s">
        <v>16801</v>
      </c>
      <c r="G1" s="1" t="s">
        <v>16987</v>
      </c>
      <c r="H1" s="1" t="s">
        <v>16989</v>
      </c>
      <c r="I1" s="1" t="s">
        <v>16807</v>
      </c>
      <c r="J1" s="1" t="s">
        <v>16808</v>
      </c>
      <c r="K1" s="1" t="s">
        <v>16809</v>
      </c>
      <c r="L1" s="1" t="s">
        <v>16810</v>
      </c>
      <c r="M1" s="1" t="s">
        <v>16811</v>
      </c>
      <c r="N1" s="1" t="s">
        <v>16812</v>
      </c>
      <c r="O1" s="1" t="s">
        <v>16813</v>
      </c>
    </row>
    <row r="2" spans="1:15">
      <c r="A2" s="1" t="s">
        <v>12</v>
      </c>
      <c r="B2" s="1" t="s">
        <v>16701</v>
      </c>
      <c r="C2" s="1" t="s">
        <v>17455</v>
      </c>
      <c r="D2" s="2" t="s">
        <v>17456</v>
      </c>
      <c r="E2" s="24">
        <f>NWC추정!E13</f>
        <v>2445</v>
      </c>
      <c r="F2" s="24">
        <f>NWC추정!F13</f>
        <v>4483</v>
      </c>
      <c r="G2" s="24">
        <f>NWC추정!G13</f>
        <v>707</v>
      </c>
      <c r="H2" s="24">
        <f>NWC추정!H13</f>
        <v>863</v>
      </c>
      <c r="I2" s="24">
        <f>NWC추정!I13</f>
        <v>890.05894038771396</v>
      </c>
      <c r="J2" s="24">
        <f>NWC추정!J13</f>
        <v>912</v>
      </c>
      <c r="K2" s="24">
        <f>NWC추정!K13</f>
        <v>931</v>
      </c>
      <c r="L2" s="24">
        <f>NWC추정!L13</f>
        <v>951</v>
      </c>
      <c r="M2" s="24">
        <f>NWC추정!M13</f>
        <v>971</v>
      </c>
      <c r="N2" s="24">
        <f>NWC추정!N13</f>
        <v>992</v>
      </c>
      <c r="O2" s="24">
        <f>NWC추정!O13</f>
        <v>1012</v>
      </c>
    </row>
    <row r="3" spans="1:15">
      <c r="A3" s="1" t="s">
        <v>12</v>
      </c>
      <c r="B3" s="1" t="s">
        <v>2</v>
      </c>
      <c r="C3" s="1" t="s">
        <v>17457</v>
      </c>
      <c r="D3" s="2" t="s">
        <v>17458</v>
      </c>
      <c r="E3" s="24">
        <f>NWC추정!E14</f>
        <v>3</v>
      </c>
      <c r="F3" s="24">
        <f>NWC추정!F14</f>
        <v>20</v>
      </c>
      <c r="G3" s="24">
        <f>NWC추정!G14</f>
        <v>176</v>
      </c>
      <c r="H3" s="24">
        <f>NWC추정!H14</f>
        <v>179</v>
      </c>
      <c r="I3" s="24">
        <f>NWC추정!I14</f>
        <v>179</v>
      </c>
      <c r="J3" s="24">
        <f>NWC추정!J14</f>
        <v>183</v>
      </c>
      <c r="K3" s="24">
        <f>NWC추정!K14</f>
        <v>186</v>
      </c>
      <c r="L3" s="24">
        <f>NWC추정!L14</f>
        <v>190</v>
      </c>
      <c r="M3" s="24">
        <f>NWC추정!M14</f>
        <v>194</v>
      </c>
      <c r="N3" s="24">
        <f>NWC추정!N14</f>
        <v>198</v>
      </c>
      <c r="O3" s="24">
        <f>NWC추정!O14</f>
        <v>202</v>
      </c>
    </row>
    <row r="4" spans="1:15">
      <c r="A4" s="1" t="s">
        <v>12</v>
      </c>
      <c r="B4" s="1" t="s">
        <v>17459</v>
      </c>
      <c r="C4" s="1" t="s">
        <v>17460</v>
      </c>
      <c r="D4" s="2" t="s">
        <v>17461</v>
      </c>
      <c r="E4" s="24">
        <f>NWC추정!E15</f>
        <v>2528</v>
      </c>
      <c r="F4" s="24">
        <f>NWC추정!F15</f>
        <v>4381</v>
      </c>
      <c r="G4" s="24">
        <f>NWC추정!G15</f>
        <v>5847</v>
      </c>
      <c r="H4" s="24">
        <f>NWC추정!H15</f>
        <v>4990</v>
      </c>
      <c r="I4" s="24">
        <f>NWC추정!I15</f>
        <v>3443.6671701830828</v>
      </c>
      <c r="J4" s="24">
        <f>NWC추정!J15</f>
        <v>2849</v>
      </c>
      <c r="K4" s="24">
        <f>NWC추정!K15</f>
        <v>2910</v>
      </c>
      <c r="L4" s="24">
        <f>NWC추정!L15</f>
        <v>2973</v>
      </c>
      <c r="M4" s="24">
        <f>NWC추정!M15</f>
        <v>3036</v>
      </c>
      <c r="N4" s="24">
        <f>NWC추정!N15</f>
        <v>3099</v>
      </c>
      <c r="O4" s="24">
        <f>NWC추정!O15</f>
        <v>3161</v>
      </c>
    </row>
    <row r="5" spans="1:15">
      <c r="A5" s="1" t="s">
        <v>12</v>
      </c>
      <c r="B5" s="1" t="s">
        <v>11</v>
      </c>
      <c r="C5" s="1" t="s">
        <v>17462</v>
      </c>
      <c r="D5" s="18" t="s">
        <v>17463</v>
      </c>
      <c r="E5" s="24">
        <f>NWC추정!E16</f>
        <v>0</v>
      </c>
      <c r="F5" s="24">
        <f>NWC추정!F16</f>
        <v>0</v>
      </c>
      <c r="G5" s="24">
        <f>NWC추정!G16</f>
        <v>0</v>
      </c>
      <c r="H5" s="24">
        <f>NWC추정!H16</f>
        <v>0</v>
      </c>
      <c r="I5" s="24">
        <f>NWC추정!I16</f>
        <v>0</v>
      </c>
      <c r="J5" s="24">
        <f>NWC추정!J16</f>
        <v>0</v>
      </c>
      <c r="K5" s="24">
        <f>NWC추정!K16</f>
        <v>0</v>
      </c>
      <c r="L5" s="24">
        <f>NWC추정!L16</f>
        <v>0</v>
      </c>
      <c r="M5" s="24">
        <f>NWC추정!M16</f>
        <v>0</v>
      </c>
      <c r="N5" s="24">
        <f>NWC추정!N16</f>
        <v>0</v>
      </c>
      <c r="O5" s="24">
        <f>NWC추정!O16</f>
        <v>0</v>
      </c>
    </row>
    <row r="6" spans="1:15">
      <c r="A6" s="1" t="s">
        <v>12</v>
      </c>
      <c r="B6" s="1" t="s">
        <v>2</v>
      </c>
      <c r="C6" s="1" t="s">
        <v>17464</v>
      </c>
      <c r="D6" s="2" t="s">
        <v>17465</v>
      </c>
      <c r="E6" s="24">
        <f>NWC추정!E18</f>
        <v>1740</v>
      </c>
      <c r="F6" s="24">
        <f>NWC추정!F18</f>
        <v>4126</v>
      </c>
      <c r="G6" s="24">
        <f>NWC추정!G18</f>
        <v>756</v>
      </c>
      <c r="H6" s="24">
        <f>NWC추정!H18</f>
        <v>478</v>
      </c>
      <c r="I6" s="24">
        <f>NWC추정!I18</f>
        <v>878.52330285223582</v>
      </c>
      <c r="J6" s="24">
        <f>NWC추정!J18</f>
        <v>726</v>
      </c>
      <c r="K6" s="24">
        <f>NWC추정!K18</f>
        <v>742</v>
      </c>
      <c r="L6" s="24">
        <f>NWC추정!L18</f>
        <v>758</v>
      </c>
      <c r="M6" s="24">
        <f>NWC추정!M18</f>
        <v>774</v>
      </c>
      <c r="N6" s="24">
        <f>NWC추정!N18</f>
        <v>790</v>
      </c>
      <c r="O6" s="24">
        <f>NWC추정!O18</f>
        <v>806</v>
      </c>
    </row>
    <row r="7" spans="1:15">
      <c r="A7" s="1" t="s">
        <v>12</v>
      </c>
      <c r="B7" s="1" t="s">
        <v>2</v>
      </c>
      <c r="C7" s="1" t="s">
        <v>17466</v>
      </c>
      <c r="D7" s="2" t="s">
        <v>17467</v>
      </c>
      <c r="E7" s="24">
        <f>NWC추정!E19</f>
        <v>0</v>
      </c>
      <c r="F7" s="24">
        <f>NWC추정!F19</f>
        <v>389</v>
      </c>
      <c r="G7" s="24">
        <f>NWC추정!G19</f>
        <v>488</v>
      </c>
      <c r="H7" s="24">
        <f>NWC추정!H19</f>
        <v>681</v>
      </c>
      <c r="I7" s="24">
        <f>NWC추정!I19</f>
        <v>681</v>
      </c>
      <c r="J7" s="24">
        <f>NWC추정!J19</f>
        <v>697</v>
      </c>
      <c r="K7" s="24">
        <f>NWC추정!K19</f>
        <v>712</v>
      </c>
      <c r="L7" s="24">
        <f>NWC추정!L19</f>
        <v>727</v>
      </c>
      <c r="M7" s="24">
        <f>NWC추정!M19</f>
        <v>742</v>
      </c>
      <c r="N7" s="24">
        <f>NWC추정!N19</f>
        <v>757</v>
      </c>
      <c r="O7" s="24">
        <f>NWC추정!O19</f>
        <v>772</v>
      </c>
    </row>
    <row r="8" spans="1:15">
      <c r="A8" s="1" t="s">
        <v>12</v>
      </c>
      <c r="B8" s="1" t="s">
        <v>11</v>
      </c>
      <c r="C8" s="1" t="s">
        <v>17468</v>
      </c>
      <c r="D8" s="18" t="s">
        <v>17469</v>
      </c>
      <c r="E8" s="24">
        <f>NWC추정!E20</f>
        <v>0</v>
      </c>
      <c r="F8" s="24">
        <f>NWC추정!F20</f>
        <v>0</v>
      </c>
      <c r="G8" s="24">
        <f>NWC추정!G20</f>
        <v>0</v>
      </c>
      <c r="H8" s="24">
        <f>NWC추정!H20</f>
        <v>0</v>
      </c>
      <c r="I8" s="24">
        <f>NWC추정!I20</f>
        <v>0</v>
      </c>
      <c r="J8" s="24">
        <f>NWC추정!J20</f>
        <v>0</v>
      </c>
      <c r="K8" s="24">
        <f>NWC추정!K20</f>
        <v>0</v>
      </c>
      <c r="L8" s="24">
        <f>NWC추정!L20</f>
        <v>0</v>
      </c>
      <c r="M8" s="24">
        <f>NWC추정!M20</f>
        <v>0</v>
      </c>
      <c r="N8" s="24">
        <f>NWC추정!N20</f>
        <v>0</v>
      </c>
      <c r="O8" s="24">
        <f>NWC추정!O20</f>
        <v>0</v>
      </c>
    </row>
    <row r="9" spans="1:15">
      <c r="A9" s="1" t="s">
        <v>12</v>
      </c>
      <c r="B9" s="1" t="s">
        <v>16695</v>
      </c>
      <c r="C9" s="1" t="s">
        <v>17470</v>
      </c>
      <c r="D9" s="2" t="s">
        <v>17471</v>
      </c>
      <c r="E9" s="24">
        <f>IS추정!E36</f>
        <v>-60</v>
      </c>
      <c r="F9" s="24">
        <f>IS추정!F36</f>
        <v>444</v>
      </c>
      <c r="G9" s="24">
        <f>IS추정!G36</f>
        <v>-3300</v>
      </c>
      <c r="H9" s="24">
        <f>IS추정!H36</f>
        <v>-9986</v>
      </c>
      <c r="I9" s="24">
        <f>IS추정!I36</f>
        <v>0</v>
      </c>
      <c r="J9" s="24">
        <f>IS추정!J36</f>
        <v>0</v>
      </c>
      <c r="K9" s="24">
        <f>IS추정!K36</f>
        <v>0</v>
      </c>
      <c r="L9" s="24">
        <f>IS추정!L36</f>
        <v>0</v>
      </c>
      <c r="M9" s="24">
        <f>IS추정!M36</f>
        <v>0</v>
      </c>
      <c r="N9" s="24">
        <f>IS추정!N36</f>
        <v>0</v>
      </c>
      <c r="O9" s="24">
        <f>IS추정!O36</f>
        <v>0</v>
      </c>
    </row>
    <row r="10" spans="1:15">
      <c r="A10" s="1" t="s">
        <v>12</v>
      </c>
      <c r="B10" s="1" t="s">
        <v>16729</v>
      </c>
      <c r="C10" s="1" t="s">
        <v>17472</v>
      </c>
      <c r="D10" s="2" t="s">
        <v>17473</v>
      </c>
      <c r="E10" s="27">
        <f>E42</f>
        <v>42.879663688912245</v>
      </c>
      <c r="F10" s="27">
        <f>F42</f>
        <v>22.790768296386275</v>
      </c>
      <c r="G10" s="27">
        <f t="shared" ref="G10:H10" si="0">G42</f>
        <v>6.5204548811106182</v>
      </c>
      <c r="H10" s="27">
        <f t="shared" si="0"/>
        <v>24.709509129713066</v>
      </c>
      <c r="I10" s="27">
        <f t="shared" ref="I10" si="1">H10</f>
        <v>24.709509129713066</v>
      </c>
      <c r="J10" s="27">
        <f>$J$42</f>
        <v>18.326700907957783</v>
      </c>
      <c r="K10" s="27">
        <f t="shared" ref="K10:O10" si="2">$J$42</f>
        <v>18.326700907957783</v>
      </c>
      <c r="L10" s="27">
        <f t="shared" si="2"/>
        <v>18.326700907957783</v>
      </c>
      <c r="M10" s="27">
        <f t="shared" si="2"/>
        <v>18.326700907957783</v>
      </c>
      <c r="N10" s="27">
        <f t="shared" si="2"/>
        <v>18.326700907957783</v>
      </c>
      <c r="O10" s="27">
        <f t="shared" si="2"/>
        <v>18.326700907957783</v>
      </c>
    </row>
    <row r="11" spans="1:15">
      <c r="A11" s="1" t="s">
        <v>12</v>
      </c>
      <c r="B11" s="1" t="s">
        <v>3</v>
      </c>
      <c r="C11" s="1" t="s">
        <v>17474</v>
      </c>
      <c r="D11" s="2" t="s">
        <v>17475</v>
      </c>
      <c r="E11" s="27">
        <f>E45</f>
        <v>2.6158038147138964</v>
      </c>
      <c r="F11" s="27">
        <f>F45</f>
        <v>1.3393202756057909</v>
      </c>
      <c r="G11" s="27">
        <f t="shared" ref="G11:H11" si="3">G45</f>
        <v>3.938165456408429</v>
      </c>
      <c r="H11" s="27">
        <f t="shared" si="3"/>
        <v>0.61473077069024396</v>
      </c>
      <c r="I11" s="27">
        <f>H11</f>
        <v>0.61473077069024396</v>
      </c>
      <c r="J11" s="27">
        <f>$J$45</f>
        <v>1.8433072500822301</v>
      </c>
      <c r="K11" s="27">
        <f t="shared" ref="K11:O11" si="4">$J$45</f>
        <v>1.8433072500822301</v>
      </c>
      <c r="L11" s="27">
        <f t="shared" si="4"/>
        <v>1.8433072500822301</v>
      </c>
      <c r="M11" s="27">
        <f t="shared" si="4"/>
        <v>1.8433072500822301</v>
      </c>
      <c r="N11" s="27">
        <f t="shared" si="4"/>
        <v>1.8433072500822301</v>
      </c>
      <c r="O11" s="27">
        <f t="shared" si="4"/>
        <v>1.8433072500822301</v>
      </c>
    </row>
    <row r="12" spans="1:15">
      <c r="A12" s="1" t="s">
        <v>12</v>
      </c>
      <c r="B12" s="1" t="s">
        <v>17476</v>
      </c>
      <c r="C12" s="1" t="s">
        <v>17477</v>
      </c>
      <c r="D12" s="2" t="s">
        <v>17478</v>
      </c>
      <c r="E12" s="27">
        <f>E43</f>
        <v>41.71661472069048</v>
      </c>
      <c r="F12" s="27">
        <f>F43</f>
        <v>43.992984507453961</v>
      </c>
      <c r="G12" s="27">
        <f t="shared" ref="G12:H12" si="5">G43</f>
        <v>15.965092402464066</v>
      </c>
      <c r="H12" s="27">
        <f t="shared" si="5"/>
        <v>4.6447320963411212</v>
      </c>
      <c r="I12" s="27">
        <f>H12</f>
        <v>4.6447320963411212</v>
      </c>
      <c r="J12" s="27">
        <f>$J$43</f>
        <v>14.976227600234244</v>
      </c>
      <c r="K12" s="27">
        <f t="shared" ref="K12:O12" si="6">$J$43</f>
        <v>14.976227600234244</v>
      </c>
      <c r="L12" s="27">
        <f t="shared" si="6"/>
        <v>14.976227600234244</v>
      </c>
      <c r="M12" s="27">
        <f t="shared" si="6"/>
        <v>14.976227600234244</v>
      </c>
      <c r="N12" s="27">
        <f t="shared" si="6"/>
        <v>14.976227600234244</v>
      </c>
      <c r="O12" s="27">
        <f t="shared" si="6"/>
        <v>14.976227600234244</v>
      </c>
    </row>
    <row r="13" spans="1:15">
      <c r="A13" s="1" t="s">
        <v>12</v>
      </c>
      <c r="B13" s="1" t="s">
        <v>3</v>
      </c>
      <c r="C13" s="1" t="s">
        <v>17479</v>
      </c>
      <c r="D13" s="2" t="s">
        <v>17480</v>
      </c>
      <c r="E13" s="27">
        <f>E44</f>
        <v>32.596478081678534</v>
      </c>
      <c r="F13" s="27">
        <f>F44</f>
        <v>16.794375836929028</v>
      </c>
      <c r="G13" s="27">
        <f t="shared" ref="G13:H13" si="7">G44</f>
        <v>3.9578759823104575</v>
      </c>
      <c r="H13" s="27">
        <f t="shared" si="7"/>
        <v>2.9681417742265928</v>
      </c>
      <c r="I13" s="27">
        <f>H13</f>
        <v>2.9681417742265928</v>
      </c>
      <c r="J13" s="27">
        <f>$J$44</f>
        <v>5.602425520704954</v>
      </c>
      <c r="K13" s="27">
        <f t="shared" ref="K13:O13" si="8">$J$44</f>
        <v>5.602425520704954</v>
      </c>
      <c r="L13" s="27">
        <f t="shared" si="8"/>
        <v>5.602425520704954</v>
      </c>
      <c r="M13" s="27">
        <f t="shared" si="8"/>
        <v>5.602425520704954</v>
      </c>
      <c r="N13" s="27">
        <f t="shared" si="8"/>
        <v>5.602425520704954</v>
      </c>
      <c r="O13" s="27">
        <f t="shared" si="8"/>
        <v>5.602425520704954</v>
      </c>
    </row>
    <row r="14" spans="1:15">
      <c r="A14" s="1" t="s">
        <v>12</v>
      </c>
      <c r="B14" s="1"/>
      <c r="C14" s="1" t="s">
        <v>17481</v>
      </c>
      <c r="D14" s="1" t="s">
        <v>17482</v>
      </c>
      <c r="E14" s="1"/>
      <c r="F14" s="1"/>
      <c r="G14" s="1"/>
      <c r="H14" s="1"/>
      <c r="I14" s="1"/>
      <c r="J14" s="1" t="str">
        <f t="shared" ref="J14:O14" si="9">LEFT(J1,4)</f>
        <v>2024</v>
      </c>
      <c r="K14" s="1" t="str">
        <f t="shared" si="9"/>
        <v>2025</v>
      </c>
      <c r="L14" s="1" t="str">
        <f t="shared" si="9"/>
        <v>2026</v>
      </c>
      <c r="M14" s="1" t="str">
        <f t="shared" si="9"/>
        <v>2027</v>
      </c>
      <c r="N14" s="1" t="str">
        <f t="shared" si="9"/>
        <v>2028</v>
      </c>
      <c r="O14" s="1" t="str">
        <f t="shared" si="9"/>
        <v>2029</v>
      </c>
    </row>
    <row r="15" spans="1:15">
      <c r="A15" s="1" t="s">
        <v>12</v>
      </c>
      <c r="B15" s="1" t="s">
        <v>16695</v>
      </c>
      <c r="C15" s="1" t="s">
        <v>17483</v>
      </c>
      <c r="D15" s="2" t="s">
        <v>17484</v>
      </c>
      <c r="E15" s="31">
        <v>5709</v>
      </c>
      <c r="F15" s="31">
        <v>19758</v>
      </c>
      <c r="G15" s="31">
        <v>13542</v>
      </c>
      <c r="H15" s="31">
        <v>4217</v>
      </c>
      <c r="I15" s="31">
        <v>4217</v>
      </c>
      <c r="J15" s="32">
        <f>INT((J2+J3+J5)/(J10/100))</f>
        <v>5974</v>
      </c>
      <c r="K15" s="32">
        <f t="shared" ref="K15:N15" si="10">INT((K2+K3+K5)/(K10/100))</f>
        <v>6094</v>
      </c>
      <c r="L15" s="32">
        <f t="shared" si="10"/>
        <v>6225</v>
      </c>
      <c r="M15" s="32">
        <f t="shared" si="10"/>
        <v>6356</v>
      </c>
      <c r="N15" s="32">
        <f t="shared" si="10"/>
        <v>6493</v>
      </c>
      <c r="O15" s="32">
        <f t="shared" ref="O15" si="11">INT((O2+O3+O5)/(O10/100))</f>
        <v>6624</v>
      </c>
    </row>
    <row r="16" spans="1:15">
      <c r="A16" s="1" t="s">
        <v>12</v>
      </c>
      <c r="B16" s="1" t="s">
        <v>2</v>
      </c>
      <c r="C16" s="1" t="s">
        <v>17485</v>
      </c>
      <c r="D16" s="2" t="s">
        <v>17486</v>
      </c>
      <c r="E16" s="31">
        <v>2528</v>
      </c>
      <c r="F16" s="31">
        <v>4381</v>
      </c>
      <c r="G16" s="31">
        <v>5847</v>
      </c>
      <c r="H16" s="31">
        <v>4990</v>
      </c>
      <c r="I16" s="31">
        <v>4990</v>
      </c>
      <c r="J16" s="24">
        <f>J4</f>
        <v>2849</v>
      </c>
      <c r="K16" s="24">
        <f t="shared" ref="K16:N16" si="12">K4</f>
        <v>2910</v>
      </c>
      <c r="L16" s="24">
        <f t="shared" si="12"/>
        <v>2973</v>
      </c>
      <c r="M16" s="24">
        <f t="shared" si="12"/>
        <v>3036</v>
      </c>
      <c r="N16" s="24">
        <f t="shared" si="12"/>
        <v>3099</v>
      </c>
      <c r="O16" s="24">
        <f t="shared" ref="O16" si="13">O4</f>
        <v>3161</v>
      </c>
    </row>
    <row r="17" spans="1:16">
      <c r="A17" s="1" t="s">
        <v>17487</v>
      </c>
      <c r="B17" s="1" t="s">
        <v>2</v>
      </c>
      <c r="C17" s="1" t="s">
        <v>17488</v>
      </c>
      <c r="D17" s="8" t="s">
        <v>17489</v>
      </c>
      <c r="E17" s="29">
        <v>8237</v>
      </c>
      <c r="F17" s="29">
        <v>24139</v>
      </c>
      <c r="G17" s="29">
        <v>19389</v>
      </c>
      <c r="H17" s="29">
        <v>9207</v>
      </c>
      <c r="I17" s="29">
        <v>9207</v>
      </c>
      <c r="J17" s="30">
        <f>J15+J16</f>
        <v>8823</v>
      </c>
      <c r="K17" s="30">
        <f t="shared" ref="K17:N17" si="14">K15+K16</f>
        <v>9004</v>
      </c>
      <c r="L17" s="30">
        <f t="shared" si="14"/>
        <v>9198</v>
      </c>
      <c r="M17" s="30">
        <f t="shared" si="14"/>
        <v>9392</v>
      </c>
      <c r="N17" s="30">
        <f t="shared" si="14"/>
        <v>9592</v>
      </c>
      <c r="O17" s="30">
        <f t="shared" ref="O17" si="15">O15+O16</f>
        <v>9785</v>
      </c>
    </row>
    <row r="18" spans="1:16">
      <c r="A18" s="1" t="s">
        <v>12</v>
      </c>
      <c r="B18" s="1" t="s">
        <v>2</v>
      </c>
      <c r="C18" s="1" t="s">
        <v>17490</v>
      </c>
      <c r="D18" s="2" t="s">
        <v>17491</v>
      </c>
      <c r="E18" s="31">
        <v>194</v>
      </c>
      <c r="F18" s="31">
        <v>257</v>
      </c>
      <c r="G18" s="31">
        <v>11112</v>
      </c>
      <c r="H18" s="31">
        <v>8371</v>
      </c>
      <c r="I18" s="31">
        <v>8371</v>
      </c>
      <c r="J18" s="32">
        <f>J26-J19-J23-J25</f>
        <v>-59793.000379432429</v>
      </c>
      <c r="K18" s="32">
        <f t="shared" ref="K18:N18" si="16">K26-K19-K23-K25</f>
        <v>-265127.87591547525</v>
      </c>
      <c r="L18" s="32">
        <f t="shared" si="16"/>
        <v>-1405886.4933885031</v>
      </c>
      <c r="M18" s="32">
        <f t="shared" si="16"/>
        <v>-8915591.1108615305</v>
      </c>
      <c r="N18" s="32">
        <f t="shared" si="16"/>
        <v>-60936532.636169195</v>
      </c>
      <c r="O18" s="32">
        <f t="shared" ref="O18" si="17">O26-O19-O23-O25</f>
        <v>-426093481.2720753</v>
      </c>
      <c r="P18" s="222" t="str">
        <f>IF(AND(J18&gt;=0,K18&gt;=0,L18&gt;=0,M18&gt;=0,N18&gt;=0,O18&gt;=0),"문제없음","문제")</f>
        <v>문제</v>
      </c>
    </row>
    <row r="19" spans="1:16">
      <c r="A19" s="1" t="s">
        <v>12</v>
      </c>
      <c r="B19" s="1" t="s">
        <v>2</v>
      </c>
      <c r="C19" s="1" t="s">
        <v>17492</v>
      </c>
      <c r="D19" s="2" t="s">
        <v>17493</v>
      </c>
      <c r="E19" s="31">
        <v>3315</v>
      </c>
      <c r="F19" s="31">
        <v>11973</v>
      </c>
      <c r="G19" s="31">
        <v>30426</v>
      </c>
      <c r="H19" s="31">
        <v>40541</v>
      </c>
      <c r="I19" s="32">
        <f>I20+I21</f>
        <v>40541</v>
      </c>
      <c r="J19" s="32">
        <f>J20+J21</f>
        <v>74110</v>
      </c>
      <c r="K19" s="32">
        <f t="shared" ref="K19:N19" si="18">K20+K21</f>
        <v>132220</v>
      </c>
      <c r="L19" s="32">
        <f t="shared" si="18"/>
        <v>232793</v>
      </c>
      <c r="M19" s="32">
        <f t="shared" si="18"/>
        <v>406889</v>
      </c>
      <c r="N19" s="32">
        <f t="shared" si="18"/>
        <v>708223</v>
      </c>
      <c r="O19" s="32">
        <f t="shared" ref="O19" si="19">O20+O21</f>
        <v>1229822</v>
      </c>
    </row>
    <row r="20" spans="1:16">
      <c r="A20" s="1" t="s">
        <v>12</v>
      </c>
      <c r="B20" s="1" t="s">
        <v>2</v>
      </c>
      <c r="C20" s="1" t="s">
        <v>17494</v>
      </c>
      <c r="D20" s="2" t="s">
        <v>17495</v>
      </c>
      <c r="E20" s="31">
        <v>476</v>
      </c>
      <c r="F20" s="31">
        <v>476</v>
      </c>
      <c r="G20" s="31">
        <v>476</v>
      </c>
      <c r="H20" s="31">
        <v>476</v>
      </c>
      <c r="I20" s="31">
        <v>476</v>
      </c>
      <c r="J20" s="24">
        <f>I20</f>
        <v>476</v>
      </c>
      <c r="K20" s="24">
        <f t="shared" ref="K20:O20" si="20">J20</f>
        <v>476</v>
      </c>
      <c r="L20" s="24">
        <f t="shared" si="20"/>
        <v>476</v>
      </c>
      <c r="M20" s="24">
        <f t="shared" si="20"/>
        <v>476</v>
      </c>
      <c r="N20" s="24">
        <f t="shared" si="20"/>
        <v>476</v>
      </c>
      <c r="O20" s="24">
        <f t="shared" si="20"/>
        <v>476</v>
      </c>
    </row>
    <row r="21" spans="1:16">
      <c r="A21" s="1" t="s">
        <v>12</v>
      </c>
      <c r="B21" s="1" t="s">
        <v>2</v>
      </c>
      <c r="C21" s="1" t="s">
        <v>17496</v>
      </c>
      <c r="D21" s="2" t="s">
        <v>17497</v>
      </c>
      <c r="E21" s="24">
        <f>감가상각추정!E10</f>
        <v>2839</v>
      </c>
      <c r="F21" s="24">
        <f>감가상각추정!F10</f>
        <v>11497</v>
      </c>
      <c r="G21" s="24">
        <f>감가상각추정!G10</f>
        <v>29950</v>
      </c>
      <c r="H21" s="24">
        <f>감가상각추정!H10</f>
        <v>40065</v>
      </c>
      <c r="I21" s="24">
        <f>감가상각추정!I10</f>
        <v>40065</v>
      </c>
      <c r="J21" s="24">
        <f>감가상각추정!J10</f>
        <v>73634</v>
      </c>
      <c r="K21" s="24">
        <f>감가상각추정!K10</f>
        <v>131744</v>
      </c>
      <c r="L21" s="24">
        <f>감가상각추정!L10</f>
        <v>232317</v>
      </c>
      <c r="M21" s="24">
        <f>감가상각추정!M10</f>
        <v>406413</v>
      </c>
      <c r="N21" s="24">
        <f>감가상각추정!N10</f>
        <v>707747</v>
      </c>
      <c r="O21" s="24">
        <f>감가상각추정!O10</f>
        <v>1229346</v>
      </c>
    </row>
    <row r="22" spans="1:16">
      <c r="A22" s="1" t="s">
        <v>12</v>
      </c>
      <c r="B22" s="1" t="s">
        <v>2</v>
      </c>
      <c r="C22" s="1" t="s">
        <v>17498</v>
      </c>
      <c r="D22" s="2" t="s">
        <v>17499</v>
      </c>
      <c r="E22" s="24">
        <f>감가상각추정!E8</f>
        <v>0</v>
      </c>
      <c r="F22" s="24">
        <f>감가상각추정!F8</f>
        <v>825</v>
      </c>
      <c r="G22" s="24">
        <f>감가상각추정!G8</f>
        <v>573</v>
      </c>
      <c r="H22" s="24">
        <f>감가상각추정!H8</f>
        <v>1160</v>
      </c>
      <c r="I22" s="24">
        <f>감가상각추정!I8</f>
        <v>1160</v>
      </c>
      <c r="J22" s="24">
        <f>감가상각추정!J8</f>
        <v>1993</v>
      </c>
      <c r="K22" s="24">
        <f>감가상각추정!K8</f>
        <v>3450</v>
      </c>
      <c r="L22" s="24">
        <f>감가상각추정!L8</f>
        <v>5971</v>
      </c>
      <c r="M22" s="24">
        <f>감가상각추정!M8</f>
        <v>10336</v>
      </c>
      <c r="N22" s="24">
        <f>감가상각추정!N8</f>
        <v>17890</v>
      </c>
      <c r="O22" s="24">
        <f>감가상각추정!O8</f>
        <v>30967</v>
      </c>
    </row>
    <row r="23" spans="1:16">
      <c r="A23" s="1" t="s">
        <v>12</v>
      </c>
      <c r="B23" s="1" t="s">
        <v>16780</v>
      </c>
      <c r="C23" s="1" t="s">
        <v>17500</v>
      </c>
      <c r="D23" s="2" t="s">
        <v>17501</v>
      </c>
      <c r="E23" s="24">
        <f>감가상각추정!E16</f>
        <v>65</v>
      </c>
      <c r="F23" s="24">
        <f>감가상각추정!F16</f>
        <v>515</v>
      </c>
      <c r="G23" s="24">
        <f>감가상각추정!G16</f>
        <v>1589</v>
      </c>
      <c r="H23" s="24">
        <f>감가상각추정!H16</f>
        <v>3471</v>
      </c>
      <c r="I23" s="24">
        <f>감가상각추정!I16</f>
        <v>3471</v>
      </c>
      <c r="J23" s="24">
        <f>감가상각추정!J16</f>
        <v>24396</v>
      </c>
      <c r="K23" s="24">
        <f>감가상각추정!K16</f>
        <v>171987</v>
      </c>
      <c r="L23" s="24">
        <f>감가상각추정!L16</f>
        <v>1212525</v>
      </c>
      <c r="M23" s="24">
        <f>감가상각추정!M16</f>
        <v>8548486</v>
      </c>
      <c r="N23" s="24">
        <f>감가상각추정!N16</f>
        <v>60268441</v>
      </c>
      <c r="O23" s="24">
        <f>감가상각추정!O16</f>
        <v>424904144</v>
      </c>
    </row>
    <row r="24" spans="1:16">
      <c r="A24" s="1" t="s">
        <v>12</v>
      </c>
      <c r="B24" s="1" t="s">
        <v>2</v>
      </c>
      <c r="C24" s="1" t="s">
        <v>17502</v>
      </c>
      <c r="D24" s="2" t="s">
        <v>17503</v>
      </c>
      <c r="E24" s="24">
        <f>감가상각추정!E14</f>
        <v>0</v>
      </c>
      <c r="F24" s="24">
        <f>감가상각추정!F14</f>
        <v>21</v>
      </c>
      <c r="G24" s="24">
        <f>감가상각추정!G14</f>
        <v>27</v>
      </c>
      <c r="H24" s="24">
        <f>감가상각추정!H14</f>
        <v>15</v>
      </c>
      <c r="I24" s="24">
        <f>감가상각추정!I14</f>
        <v>15</v>
      </c>
      <c r="J24" s="24">
        <f>감가상각추정!J14</f>
        <v>263</v>
      </c>
      <c r="K24" s="24">
        <f>감가상각추정!K14</f>
        <v>1855</v>
      </c>
      <c r="L24" s="24">
        <f>감가상각추정!L14</f>
        <v>13078</v>
      </c>
      <c r="M24" s="24">
        <f>감가상각추정!M14</f>
        <v>92202</v>
      </c>
      <c r="N24" s="24">
        <f>감가상각추정!N14</f>
        <v>650042</v>
      </c>
      <c r="O24" s="24">
        <f>감가상각추정!O14</f>
        <v>4582922</v>
      </c>
    </row>
    <row r="25" spans="1:16">
      <c r="A25" s="1" t="s">
        <v>12</v>
      </c>
      <c r="B25" s="1" t="s">
        <v>2</v>
      </c>
      <c r="C25" s="1" t="s">
        <v>17504</v>
      </c>
      <c r="D25" s="2" t="s">
        <v>17505</v>
      </c>
      <c r="E25" s="31">
        <v>96</v>
      </c>
      <c r="F25" s="31">
        <v>173</v>
      </c>
      <c r="G25" s="31">
        <v>1768</v>
      </c>
      <c r="H25" s="31">
        <v>324</v>
      </c>
      <c r="I25" s="31">
        <v>324</v>
      </c>
      <c r="J25" s="32">
        <f>J26*(J11/100)</f>
        <v>727.0003794324316</v>
      </c>
      <c r="K25" s="32">
        <f t="shared" ref="K25:N25" si="21">K26*(K11/100)</f>
        <v>733.87591547523834</v>
      </c>
      <c r="L25" s="32">
        <f t="shared" si="21"/>
        <v>740.49338850303354</v>
      </c>
      <c r="M25" s="32">
        <f t="shared" si="21"/>
        <v>747.11086153082874</v>
      </c>
      <c r="N25" s="32">
        <f t="shared" si="21"/>
        <v>753.63616919611979</v>
      </c>
      <c r="O25" s="32">
        <f t="shared" ref="O25" si="22">O26*(O11/100)</f>
        <v>760.27207529641589</v>
      </c>
    </row>
    <row r="26" spans="1:16">
      <c r="A26" s="1" t="s">
        <v>4</v>
      </c>
      <c r="B26" s="1" t="s">
        <v>16780</v>
      </c>
      <c r="C26" s="1" t="s">
        <v>17506</v>
      </c>
      <c r="D26" s="8" t="s">
        <v>17507</v>
      </c>
      <c r="E26" s="29">
        <v>3670</v>
      </c>
      <c r="F26" s="29">
        <v>12917</v>
      </c>
      <c r="G26" s="29">
        <v>44894</v>
      </c>
      <c r="H26" s="29">
        <v>52706</v>
      </c>
      <c r="I26" s="29">
        <v>52706</v>
      </c>
      <c r="J26" s="30">
        <f>J27-J17</f>
        <v>39440</v>
      </c>
      <c r="K26" s="30">
        <f t="shared" ref="K26:N26" si="23">K27-K17</f>
        <v>39813</v>
      </c>
      <c r="L26" s="30">
        <f t="shared" si="23"/>
        <v>40172</v>
      </c>
      <c r="M26" s="30">
        <f t="shared" si="23"/>
        <v>40531</v>
      </c>
      <c r="N26" s="30">
        <f t="shared" si="23"/>
        <v>40885</v>
      </c>
      <c r="O26" s="30">
        <f t="shared" ref="O26" si="24">O27-O17</f>
        <v>41245</v>
      </c>
    </row>
    <row r="27" spans="1:16">
      <c r="A27" s="1" t="s">
        <v>17487</v>
      </c>
      <c r="B27" s="1" t="s">
        <v>16796</v>
      </c>
      <c r="C27" s="1" t="s">
        <v>17508</v>
      </c>
      <c r="D27" s="8" t="s">
        <v>17509</v>
      </c>
      <c r="E27" s="29">
        <v>11908</v>
      </c>
      <c r="F27" s="29">
        <v>37057</v>
      </c>
      <c r="G27" s="29">
        <v>64283</v>
      </c>
      <c r="H27" s="29">
        <v>61913</v>
      </c>
      <c r="I27" s="29">
        <v>61913</v>
      </c>
      <c r="J27" s="36">
        <f>J37</f>
        <v>48263</v>
      </c>
      <c r="K27" s="36">
        <f t="shared" ref="K27:N27" si="25">K37</f>
        <v>48817</v>
      </c>
      <c r="L27" s="36">
        <f t="shared" si="25"/>
        <v>49370</v>
      </c>
      <c r="M27" s="36">
        <f t="shared" si="25"/>
        <v>49923</v>
      </c>
      <c r="N27" s="36">
        <f t="shared" si="25"/>
        <v>50477</v>
      </c>
      <c r="O27" s="36">
        <f t="shared" ref="O27" si="26">O37</f>
        <v>51030</v>
      </c>
    </row>
    <row r="28" spans="1:16">
      <c r="A28" s="1" t="s">
        <v>12</v>
      </c>
      <c r="B28" s="1" t="s">
        <v>2</v>
      </c>
      <c r="C28" s="1" t="s">
        <v>17510</v>
      </c>
      <c r="D28" s="2" t="s">
        <v>17511</v>
      </c>
      <c r="E28" s="31">
        <v>4171</v>
      </c>
      <c r="F28" s="31">
        <v>10263</v>
      </c>
      <c r="G28" s="31">
        <v>7792</v>
      </c>
      <c r="H28" s="31">
        <v>24953</v>
      </c>
      <c r="I28" s="31">
        <v>24953</v>
      </c>
      <c r="J28" s="32">
        <f>INT((J6+J7+J8)/(J12/100))</f>
        <v>9501</v>
      </c>
      <c r="K28" s="32">
        <f t="shared" ref="K28:N28" si="27">INT((K6+K7+K8)/(K12/100))</f>
        <v>9708</v>
      </c>
      <c r="L28" s="32">
        <f t="shared" si="27"/>
        <v>9915</v>
      </c>
      <c r="M28" s="32">
        <f t="shared" si="27"/>
        <v>10122</v>
      </c>
      <c r="N28" s="32">
        <f t="shared" si="27"/>
        <v>10329</v>
      </c>
      <c r="O28" s="32">
        <f t="shared" ref="O28" si="28">INT((O6+O7+O8)/(O12/100))</f>
        <v>10536</v>
      </c>
    </row>
    <row r="29" spans="1:16">
      <c r="A29" s="1" t="s">
        <v>12</v>
      </c>
      <c r="B29" s="1" t="s">
        <v>16695</v>
      </c>
      <c r="C29" s="1" t="s">
        <v>17512</v>
      </c>
      <c r="D29" s="2" t="s">
        <v>17513</v>
      </c>
      <c r="E29" s="31">
        <v>1167</v>
      </c>
      <c r="F29" s="31">
        <v>16621</v>
      </c>
      <c r="G29" s="31">
        <v>23640</v>
      </c>
      <c r="H29" s="31">
        <v>14095</v>
      </c>
      <c r="I29" s="31">
        <v>14095</v>
      </c>
      <c r="J29" s="32">
        <f>J30-J28</f>
        <v>15898</v>
      </c>
      <c r="K29" s="32">
        <f t="shared" ref="K29:N29" si="29">K30-K28</f>
        <v>16245</v>
      </c>
      <c r="L29" s="32">
        <f t="shared" si="29"/>
        <v>16591</v>
      </c>
      <c r="M29" s="32">
        <f t="shared" si="29"/>
        <v>16937</v>
      </c>
      <c r="N29" s="32">
        <f t="shared" si="29"/>
        <v>17284</v>
      </c>
      <c r="O29" s="32">
        <f t="shared" ref="O29" si="30">O30-O28</f>
        <v>17630</v>
      </c>
    </row>
    <row r="30" spans="1:16">
      <c r="A30" s="1" t="s">
        <v>16700</v>
      </c>
      <c r="B30" s="1" t="s">
        <v>2</v>
      </c>
      <c r="C30" s="1" t="s">
        <v>17514</v>
      </c>
      <c r="D30" s="8" t="s">
        <v>17515</v>
      </c>
      <c r="E30" s="29">
        <v>5338</v>
      </c>
      <c r="F30" s="29">
        <v>26884</v>
      </c>
      <c r="G30" s="29">
        <v>31431</v>
      </c>
      <c r="H30" s="29">
        <v>39048</v>
      </c>
      <c r="I30" s="29">
        <v>39048</v>
      </c>
      <c r="J30" s="30">
        <f>INT((J6+J7+J8)/(J13/100))</f>
        <v>25399</v>
      </c>
      <c r="K30" s="30">
        <f t="shared" ref="K30:N30" si="31">INT((K6+K7+K8)/(K13/100))</f>
        <v>25953</v>
      </c>
      <c r="L30" s="30">
        <f t="shared" si="31"/>
        <v>26506</v>
      </c>
      <c r="M30" s="30">
        <f t="shared" si="31"/>
        <v>27059</v>
      </c>
      <c r="N30" s="30">
        <f t="shared" si="31"/>
        <v>27613</v>
      </c>
      <c r="O30" s="30">
        <f t="shared" ref="O30" si="32">INT((O6+O7+O8)/(O13/100))</f>
        <v>28166</v>
      </c>
    </row>
    <row r="31" spans="1:16">
      <c r="A31" s="1" t="s">
        <v>12</v>
      </c>
      <c r="B31" s="1" t="s">
        <v>2</v>
      </c>
      <c r="C31" s="1" t="s">
        <v>17516</v>
      </c>
      <c r="D31" s="2" t="s">
        <v>17517</v>
      </c>
      <c r="E31" s="31">
        <v>300</v>
      </c>
      <c r="F31" s="31">
        <v>368</v>
      </c>
      <c r="G31" s="31">
        <v>753</v>
      </c>
      <c r="H31" s="31">
        <v>753</v>
      </c>
      <c r="I31" s="31">
        <v>753</v>
      </c>
      <c r="J31" s="24">
        <f>I31</f>
        <v>753</v>
      </c>
      <c r="K31" s="24">
        <f t="shared" ref="K31:O31" si="33">J31</f>
        <v>753</v>
      </c>
      <c r="L31" s="24">
        <f t="shared" si="33"/>
        <v>753</v>
      </c>
      <c r="M31" s="24">
        <f t="shared" si="33"/>
        <v>753</v>
      </c>
      <c r="N31" s="24">
        <f t="shared" si="33"/>
        <v>753</v>
      </c>
      <c r="O31" s="24">
        <f t="shared" si="33"/>
        <v>753</v>
      </c>
    </row>
    <row r="32" spans="1:16">
      <c r="A32" s="1" t="s">
        <v>12</v>
      </c>
      <c r="B32" s="1" t="s">
        <v>16695</v>
      </c>
      <c r="C32" s="1" t="s">
        <v>17518</v>
      </c>
      <c r="D32" s="2" t="s">
        <v>17519</v>
      </c>
      <c r="E32" s="31"/>
      <c r="F32" s="31">
        <v>3090</v>
      </c>
      <c r="G32" s="31">
        <v>28683</v>
      </c>
      <c r="H32" s="31">
        <v>28683</v>
      </c>
      <c r="I32" s="31">
        <v>28683</v>
      </c>
      <c r="J32" s="24">
        <f>I32</f>
        <v>28683</v>
      </c>
      <c r="K32" s="24">
        <f>J32</f>
        <v>28683</v>
      </c>
      <c r="L32" s="24">
        <f t="shared" ref="L32:O32" si="34">K32</f>
        <v>28683</v>
      </c>
      <c r="M32" s="24">
        <f t="shared" si="34"/>
        <v>28683</v>
      </c>
      <c r="N32" s="24">
        <f t="shared" si="34"/>
        <v>28683</v>
      </c>
      <c r="O32" s="24">
        <f t="shared" si="34"/>
        <v>28683</v>
      </c>
    </row>
    <row r="33" spans="1:19">
      <c r="A33" s="1" t="s">
        <v>12</v>
      </c>
      <c r="B33" s="1" t="s">
        <v>16695</v>
      </c>
      <c r="C33" s="1" t="s">
        <v>17520</v>
      </c>
      <c r="D33" s="2" t="s">
        <v>17521</v>
      </c>
      <c r="E33" s="31"/>
      <c r="F33" s="31"/>
      <c r="G33" s="31"/>
      <c r="H33" s="31"/>
      <c r="I33" s="31"/>
      <c r="J33" s="24">
        <f>I33</f>
        <v>0</v>
      </c>
      <c r="K33" s="24">
        <f t="shared" ref="K33:O33" si="35">J33</f>
        <v>0</v>
      </c>
      <c r="L33" s="24">
        <f t="shared" si="35"/>
        <v>0</v>
      </c>
      <c r="M33" s="24">
        <f t="shared" si="35"/>
        <v>0</v>
      </c>
      <c r="N33" s="24">
        <f t="shared" si="35"/>
        <v>0</v>
      </c>
      <c r="O33" s="24">
        <f t="shared" si="35"/>
        <v>0</v>
      </c>
    </row>
    <row r="34" spans="1:19">
      <c r="A34" s="1" t="s">
        <v>12</v>
      </c>
      <c r="B34" s="1" t="s">
        <v>16701</v>
      </c>
      <c r="C34" s="1" t="s">
        <v>17522</v>
      </c>
      <c r="D34" s="2" t="s">
        <v>17523</v>
      </c>
      <c r="E34" s="31"/>
      <c r="F34" s="31"/>
      <c r="G34" s="42"/>
      <c r="H34" s="42"/>
      <c r="I34" s="42"/>
      <c r="J34" s="33">
        <f>I34</f>
        <v>0</v>
      </c>
      <c r="K34" s="33">
        <f t="shared" ref="K34:O34" si="36">J34</f>
        <v>0</v>
      </c>
      <c r="L34" s="33">
        <f t="shared" si="36"/>
        <v>0</v>
      </c>
      <c r="M34" s="33">
        <f t="shared" si="36"/>
        <v>0</v>
      </c>
      <c r="N34" s="33">
        <f t="shared" si="36"/>
        <v>0</v>
      </c>
      <c r="O34" s="33">
        <f t="shared" si="36"/>
        <v>0</v>
      </c>
    </row>
    <row r="35" spans="1:19">
      <c r="A35" s="1" t="s">
        <v>12</v>
      </c>
      <c r="B35" s="1" t="s">
        <v>2</v>
      </c>
      <c r="C35" s="1" t="s">
        <v>17524</v>
      </c>
      <c r="D35" s="2" t="s">
        <v>17525</v>
      </c>
      <c r="E35" s="31">
        <v>6270</v>
      </c>
      <c r="F35" s="31">
        <v>6714</v>
      </c>
      <c r="G35" s="31">
        <v>3415</v>
      </c>
      <c r="H35" s="31">
        <v>-6572</v>
      </c>
      <c r="I35" s="31">
        <v>-6572</v>
      </c>
      <c r="J35" s="32">
        <f>I35+J9</f>
        <v>-6572</v>
      </c>
      <c r="K35" s="32">
        <f>J35+K9</f>
        <v>-6572</v>
      </c>
      <c r="L35" s="32">
        <f t="shared" ref="L35:O35" si="37">K35+L9</f>
        <v>-6572</v>
      </c>
      <c r="M35" s="32">
        <f t="shared" si="37"/>
        <v>-6572</v>
      </c>
      <c r="N35" s="32">
        <f t="shared" si="37"/>
        <v>-6572</v>
      </c>
      <c r="O35" s="32">
        <f t="shared" si="37"/>
        <v>-6572</v>
      </c>
    </row>
    <row r="36" spans="1:19">
      <c r="A36" s="1" t="s">
        <v>17487</v>
      </c>
      <c r="B36" s="1" t="s">
        <v>16793</v>
      </c>
      <c r="C36" s="1" t="s">
        <v>17526</v>
      </c>
      <c r="D36" s="8" t="s">
        <v>17527</v>
      </c>
      <c r="E36" s="29">
        <v>6570</v>
      </c>
      <c r="F36" s="29">
        <v>10173</v>
      </c>
      <c r="G36" s="29">
        <v>32851</v>
      </c>
      <c r="H36" s="29">
        <v>22865</v>
      </c>
      <c r="I36" s="29">
        <v>22865</v>
      </c>
      <c r="J36" s="30">
        <f>SUM(J31:J35)</f>
        <v>22864</v>
      </c>
      <c r="K36" s="30">
        <f t="shared" ref="K36:N36" si="38">SUM(K31:K35)</f>
        <v>22864</v>
      </c>
      <c r="L36" s="30">
        <f t="shared" si="38"/>
        <v>22864</v>
      </c>
      <c r="M36" s="30">
        <f t="shared" si="38"/>
        <v>22864</v>
      </c>
      <c r="N36" s="30">
        <f t="shared" si="38"/>
        <v>22864</v>
      </c>
      <c r="O36" s="30">
        <f t="shared" ref="O36" si="39">SUM(O31:O35)</f>
        <v>22864</v>
      </c>
    </row>
    <row r="37" spans="1:19" ht="17.25" thickBot="1">
      <c r="A37" s="1" t="s">
        <v>4</v>
      </c>
      <c r="B37" s="1" t="s">
        <v>16695</v>
      </c>
      <c r="C37" s="1" t="s">
        <v>17528</v>
      </c>
      <c r="D37" s="8" t="s">
        <v>17529</v>
      </c>
      <c r="E37" s="29">
        <v>11908</v>
      </c>
      <c r="F37" s="29">
        <v>37057</v>
      </c>
      <c r="G37" s="29">
        <v>64283</v>
      </c>
      <c r="H37" s="29">
        <v>61913</v>
      </c>
      <c r="I37" s="29">
        <v>61913</v>
      </c>
      <c r="J37" s="30">
        <f>J30+J36</f>
        <v>48263</v>
      </c>
      <c r="K37" s="30">
        <f t="shared" ref="K37:N37" si="40">K30+K36</f>
        <v>48817</v>
      </c>
      <c r="L37" s="30">
        <f t="shared" si="40"/>
        <v>49370</v>
      </c>
      <c r="M37" s="30">
        <f t="shared" si="40"/>
        <v>49923</v>
      </c>
      <c r="N37" s="30">
        <f t="shared" si="40"/>
        <v>50477</v>
      </c>
      <c r="O37" s="30">
        <f t="shared" ref="O37" si="41">O30+O36</f>
        <v>51030</v>
      </c>
    </row>
    <row r="38" spans="1:19">
      <c r="D38" s="184" t="s">
        <v>74</v>
      </c>
      <c r="E38" s="196">
        <f>100*(E30/E36)</f>
        <v>81.248097412480973</v>
      </c>
      <c r="F38" s="196">
        <f t="shared" ref="F38:O38" si="42">100*(F30/F36)</f>
        <v>264.26816081785114</v>
      </c>
      <c r="G38" s="196">
        <f t="shared" si="42"/>
        <v>95.677452741164643</v>
      </c>
      <c r="H38" s="196">
        <f t="shared" si="42"/>
        <v>170.77629564837088</v>
      </c>
      <c r="I38" s="196">
        <f t="shared" si="42"/>
        <v>170.77629564837088</v>
      </c>
      <c r="J38" s="196">
        <f t="shared" si="42"/>
        <v>111.08729881035688</v>
      </c>
      <c r="K38" s="196">
        <f t="shared" si="42"/>
        <v>113.51032190342897</v>
      </c>
      <c r="L38" s="196">
        <f t="shared" si="42"/>
        <v>115.92897130860742</v>
      </c>
      <c r="M38" s="196">
        <f t="shared" si="42"/>
        <v>118.34762071378586</v>
      </c>
      <c r="N38" s="196">
        <f t="shared" si="42"/>
        <v>120.77064380685793</v>
      </c>
      <c r="O38" s="197">
        <f t="shared" si="42"/>
        <v>123.1892932120364</v>
      </c>
      <c r="Q38" s="56" t="s">
        <v>0</v>
      </c>
    </row>
    <row r="39" spans="1:19">
      <c r="D39" s="185" t="s">
        <v>75</v>
      </c>
      <c r="E39" s="198">
        <f>100*(E17/E28)</f>
        <v>197.4826180771997</v>
      </c>
      <c r="F39" s="198">
        <f t="shared" ref="F39:O39" si="43">100*(F17/F28)</f>
        <v>235.20413134561045</v>
      </c>
      <c r="G39" s="198">
        <f t="shared" si="43"/>
        <v>248.83213552361397</v>
      </c>
      <c r="H39" s="198">
        <f t="shared" si="43"/>
        <v>36.8973670500541</v>
      </c>
      <c r="I39" s="198">
        <f t="shared" si="43"/>
        <v>36.8973670500541</v>
      </c>
      <c r="J39" s="198">
        <f t="shared" si="43"/>
        <v>92.863909062203973</v>
      </c>
      <c r="K39" s="198">
        <f t="shared" si="43"/>
        <v>92.748248866913883</v>
      </c>
      <c r="L39" s="198">
        <f t="shared" si="43"/>
        <v>92.768532526475028</v>
      </c>
      <c r="M39" s="198">
        <f t="shared" si="43"/>
        <v>92.787986563920171</v>
      </c>
      <c r="N39" s="198">
        <f t="shared" si="43"/>
        <v>92.864749733759325</v>
      </c>
      <c r="O39" s="199">
        <f t="shared" si="43"/>
        <v>92.872057706909644</v>
      </c>
      <c r="Q39" s="57">
        <f ca="1">+민감도!B7</f>
        <v>-13305399948.490595</v>
      </c>
    </row>
    <row r="40" spans="1:19" ht="17.25" thickBot="1">
      <c r="D40" s="186" t="s">
        <v>76</v>
      </c>
      <c r="E40" s="200">
        <f>100*((E36-(E31+E32))/(E31+E32))</f>
        <v>2090</v>
      </c>
      <c r="F40" s="200">
        <f t="shared" ref="F40:O40" si="44">100*((F36-(F31+F32))/(F31+F32))</f>
        <v>194.18739155581261</v>
      </c>
      <c r="G40" s="200">
        <f t="shared" si="44"/>
        <v>11.601440413099606</v>
      </c>
      <c r="H40" s="200">
        <f t="shared" si="44"/>
        <v>-22.323005843185214</v>
      </c>
      <c r="I40" s="200">
        <f t="shared" si="44"/>
        <v>-22.323005843185214</v>
      </c>
      <c r="J40" s="200">
        <f t="shared" si="44"/>
        <v>-22.326403043891833</v>
      </c>
      <c r="K40" s="200">
        <f t="shared" si="44"/>
        <v>-22.326403043891833</v>
      </c>
      <c r="L40" s="200">
        <f t="shared" si="44"/>
        <v>-22.326403043891833</v>
      </c>
      <c r="M40" s="200">
        <f t="shared" si="44"/>
        <v>-22.326403043891833</v>
      </c>
      <c r="N40" s="198">
        <f t="shared" si="44"/>
        <v>-22.326403043891833</v>
      </c>
      <c r="O40" s="199">
        <f t="shared" si="44"/>
        <v>-22.326403043891833</v>
      </c>
    </row>
    <row r="41" spans="1:19">
      <c r="A41" s="367">
        <f>ROW(C45)-ROW(C41)</f>
        <v>4</v>
      </c>
      <c r="B41" s="1"/>
      <c r="C41" s="1" t="s">
        <v>17530</v>
      </c>
      <c r="D41" s="1" t="s">
        <v>17531</v>
      </c>
      <c r="E41" s="1" t="s">
        <v>16476</v>
      </c>
      <c r="F41" s="1" t="s">
        <v>16478</v>
      </c>
      <c r="G41" s="1" t="s">
        <v>16480</v>
      </c>
      <c r="H41" s="1" t="s">
        <v>16483</v>
      </c>
      <c r="I41" s="1" t="s">
        <v>16829</v>
      </c>
      <c r="J41" s="367"/>
      <c r="K41" s="120"/>
      <c r="L41" s="116" t="s">
        <v>23</v>
      </c>
      <c r="N41" s="126" t="s">
        <v>30</v>
      </c>
      <c r="O41" s="126" t="s">
        <v>31</v>
      </c>
      <c r="P41" s="126" t="s">
        <v>32</v>
      </c>
      <c r="Q41" s="126" t="s">
        <v>31</v>
      </c>
      <c r="R41" s="126" t="s">
        <v>33</v>
      </c>
      <c r="S41" s="126" t="s">
        <v>34</v>
      </c>
    </row>
    <row r="42" spans="1:19">
      <c r="A42" s="1" t="s">
        <v>12</v>
      </c>
      <c r="B42" s="1" t="s">
        <v>17532</v>
      </c>
      <c r="C42" s="1" t="s">
        <v>17533</v>
      </c>
      <c r="D42" s="2" t="s">
        <v>17534</v>
      </c>
      <c r="E42" s="28">
        <f>IF((E2+E3+E5)=0,0,(E2+E3+E5)/E15*100)</f>
        <v>42.879663688912245</v>
      </c>
      <c r="F42" s="28">
        <f>IF((F2+F3+F5)=0,0,(F2+F3+F5)/F15*100)</f>
        <v>22.790768296386275</v>
      </c>
      <c r="G42" s="28">
        <f>IF((G2+G3+G5)=0,0,(G2+G3+G5)/G15*100)</f>
        <v>6.5204548811106182</v>
      </c>
      <c r="H42" s="28">
        <f>IF((H2+H3+H5)=0,0,(H2+H3+H5)/H15*100)</f>
        <v>24.709509129713066</v>
      </c>
      <c r="I42" s="28">
        <f>(F42+G42*2+H42*3)/6</f>
        <v>18.326700907957783</v>
      </c>
      <c r="J42" s="368">
        <f>I42</f>
        <v>18.326700907957783</v>
      </c>
      <c r="K42" s="92">
        <f>(E42+F42*2+G42*3)/6</f>
        <v>18.00376082083611</v>
      </c>
      <c r="L42" s="159"/>
      <c r="N42" s="117">
        <f>AVERAGE(E42:H42)</f>
        <v>24.225098999030553</v>
      </c>
      <c r="O42" s="117">
        <f>AVERAGE(F42:H42)</f>
        <v>18.006910769069986</v>
      </c>
      <c r="P42" s="117">
        <f>AVERAGE(G42:H42)</f>
        <v>15.614982005411843</v>
      </c>
      <c r="Q42" s="117">
        <f>AVERAGE(E42:G42)</f>
        <v>24.063628955469714</v>
      </c>
      <c r="R42" s="117">
        <f>(4*H42+3*G42+2*F42+E42)/10</f>
        <v>20.686060144386893</v>
      </c>
      <c r="S42" s="158">
        <f>(2*H42+G42)/3</f>
        <v>18.646491046845583</v>
      </c>
    </row>
    <row r="43" spans="1:19">
      <c r="A43" s="1" t="s">
        <v>12</v>
      </c>
      <c r="B43" s="1" t="s">
        <v>17532</v>
      </c>
      <c r="C43" s="1" t="s">
        <v>17535</v>
      </c>
      <c r="D43" s="2" t="s">
        <v>17536</v>
      </c>
      <c r="E43" s="28">
        <f>IF((E6+E7+E8)=0,0,(E6+E7+E8)/E28*100)</f>
        <v>41.71661472069048</v>
      </c>
      <c r="F43" s="28">
        <f>IF((F6+F7+F8)=0,0,(F6+F7+F8)/F28*100)</f>
        <v>43.992984507453961</v>
      </c>
      <c r="G43" s="28">
        <f>IF((G6+G7+G8)=0,0,(G6+G7+G8)/G28*100)</f>
        <v>15.965092402464066</v>
      </c>
      <c r="H43" s="28">
        <f>IF((H6+H7+H8)=0,0,(H6+H7+H8)/H28*100)</f>
        <v>4.6447320963411212</v>
      </c>
      <c r="I43" s="28">
        <f t="shared" ref="I43:I45" si="45">(F43+G43*2+H43*3)/6</f>
        <v>14.976227600234244</v>
      </c>
      <c r="J43" s="368">
        <f>I43</f>
        <v>14.976227600234244</v>
      </c>
      <c r="K43" s="92">
        <f t="shared" ref="K43:K45" si="46">(E43+F43*2+G43*3)/6</f>
        <v>29.599643490498437</v>
      </c>
      <c r="L43" s="159"/>
      <c r="N43" s="117">
        <f>AVERAGE(E43:H43)</f>
        <v>26.579855931737406</v>
      </c>
      <c r="O43" s="117">
        <f>AVERAGE(F43:H43)</f>
        <v>21.534269668753051</v>
      </c>
      <c r="P43" s="117">
        <f>AVERAGE(G43:H43)</f>
        <v>10.304912249402594</v>
      </c>
      <c r="Q43" s="117">
        <f>AVERAGE(E43:G43)</f>
        <v>33.891563876869505</v>
      </c>
      <c r="R43" s="117">
        <f>(4*H43+3*G43+2*F43+E43)/10</f>
        <v>19.61767893283551</v>
      </c>
      <c r="S43" s="158">
        <f>(2*H43+G43)/3</f>
        <v>8.4181855317154355</v>
      </c>
    </row>
    <row r="44" spans="1:19">
      <c r="A44" s="1" t="s">
        <v>12</v>
      </c>
      <c r="B44" s="1" t="s">
        <v>16992</v>
      </c>
      <c r="C44" s="1" t="s">
        <v>17537</v>
      </c>
      <c r="D44" s="2" t="s">
        <v>17538</v>
      </c>
      <c r="E44" s="28">
        <f>IF((E6+E7+E8)=0,0,(E6+E7+E8)/E30*100)</f>
        <v>32.596478081678534</v>
      </c>
      <c r="F44" s="28">
        <f>IF((F6+F7+F8)=0,0,(F6+F7+F8)/F30*100)</f>
        <v>16.794375836929028</v>
      </c>
      <c r="G44" s="28">
        <f>IF((G6+G7+G8)=0,0,(G6+G7+G8)/G30*100)</f>
        <v>3.9578759823104575</v>
      </c>
      <c r="H44" s="28">
        <f>IF((H6+H7+H8)=0,0,(H6+H7+H8)/H30*100)</f>
        <v>2.9681417742265928</v>
      </c>
      <c r="I44" s="28">
        <f t="shared" si="45"/>
        <v>5.602425520704954</v>
      </c>
      <c r="J44" s="368">
        <f>I44</f>
        <v>5.602425520704954</v>
      </c>
      <c r="K44" s="92">
        <f t="shared" si="46"/>
        <v>13.009809617077996</v>
      </c>
      <c r="L44" s="159"/>
      <c r="N44" s="117">
        <f>AVERAGE(E44:H44)</f>
        <v>14.079217918786153</v>
      </c>
      <c r="O44" s="117">
        <f>AVERAGE(F44:H44)</f>
        <v>7.9067978644886923</v>
      </c>
      <c r="P44" s="117">
        <f>AVERAGE(G44:H44)</f>
        <v>3.4630088782685249</v>
      </c>
      <c r="Q44" s="117">
        <f>AVERAGE(E44:G44)</f>
        <v>17.782909966972671</v>
      </c>
      <c r="R44" s="117">
        <f>(4*H44+3*G44+2*F44+E44)/10</f>
        <v>8.9931424799374327</v>
      </c>
      <c r="S44" s="158">
        <f>(2*H44+G44)/3</f>
        <v>3.2980531769212145</v>
      </c>
    </row>
    <row r="45" spans="1:19">
      <c r="A45" s="1" t="s">
        <v>12</v>
      </c>
      <c r="B45" s="1" t="s">
        <v>3</v>
      </c>
      <c r="C45" s="1" t="s">
        <v>17539</v>
      </c>
      <c r="D45" s="2" t="s">
        <v>17540</v>
      </c>
      <c r="E45" s="28">
        <f>IF(E25=0,0,E25/E26*100)</f>
        <v>2.6158038147138964</v>
      </c>
      <c r="F45" s="28">
        <f>IF(F25=0,0,F25/F26*100)</f>
        <v>1.3393202756057909</v>
      </c>
      <c r="G45" s="28">
        <f>IF(G25=0,0,G25/G26*100)</f>
        <v>3.938165456408429</v>
      </c>
      <c r="H45" s="28">
        <f>IF(H25=0,0,H25/H26*100)</f>
        <v>0.61473077069024396</v>
      </c>
      <c r="I45" s="28">
        <f t="shared" si="45"/>
        <v>1.8433072500822301</v>
      </c>
      <c r="J45" s="368">
        <f>I45</f>
        <v>1.8433072500822301</v>
      </c>
      <c r="K45" s="92">
        <f t="shared" si="46"/>
        <v>2.8514901225251279</v>
      </c>
      <c r="L45" s="159"/>
      <c r="N45" s="117">
        <f>AVERAGE(E45:H45)</f>
        <v>2.12700507935459</v>
      </c>
      <c r="O45" s="117">
        <f>AVERAGE(F45:H45)</f>
        <v>1.9640721675681547</v>
      </c>
      <c r="P45" s="117">
        <f>AVERAGE(G45:H45)</f>
        <v>2.2764481135493364</v>
      </c>
      <c r="Q45" s="117">
        <f>AVERAGE(E45:G45)</f>
        <v>2.6310965155760386</v>
      </c>
      <c r="R45" s="117">
        <f>(4*H45+3*G45+2*F45+E45)/10</f>
        <v>1.9567863817911739</v>
      </c>
      <c r="S45" s="158">
        <f>(2*H45+G45)/3</f>
        <v>1.7225423325963056</v>
      </c>
    </row>
    <row r="47" spans="1:19" ht="17.25" thickBot="1">
      <c r="D47" s="8" t="s">
        <v>54</v>
      </c>
    </row>
    <row r="48" spans="1:19">
      <c r="D48" s="167" t="str">
        <f t="shared" ref="D48" si="47">D23</f>
        <v>[D60220]  무형자산(계)</v>
      </c>
      <c r="E48" s="190">
        <f t="shared" ref="E48:I48" si="48">E23</f>
        <v>65</v>
      </c>
      <c r="F48" s="190">
        <f t="shared" ref="F48" si="49">F23</f>
        <v>515</v>
      </c>
      <c r="G48" s="190">
        <f t="shared" si="48"/>
        <v>1589</v>
      </c>
      <c r="H48" s="190">
        <f t="shared" si="48"/>
        <v>3471</v>
      </c>
      <c r="I48" s="191">
        <f t="shared" si="48"/>
        <v>3471</v>
      </c>
    </row>
    <row r="49" spans="4:9">
      <c r="D49" s="168" t="str">
        <f t="shared" ref="D49" si="50">D19</f>
        <v>[D60180]  유형자산(계)</v>
      </c>
      <c r="E49" s="192">
        <f t="shared" ref="E49:I49" si="51">E19</f>
        <v>3315</v>
      </c>
      <c r="F49" s="192">
        <f t="shared" ref="F49" si="52">F19</f>
        <v>11973</v>
      </c>
      <c r="G49" s="192">
        <f t="shared" si="51"/>
        <v>30426</v>
      </c>
      <c r="H49" s="192">
        <f t="shared" si="51"/>
        <v>40541</v>
      </c>
      <c r="I49" s="193">
        <f t="shared" si="51"/>
        <v>40541</v>
      </c>
    </row>
    <row r="50" spans="4:9">
      <c r="D50" s="168" t="str">
        <f t="shared" ref="D50" si="53">D18</f>
        <v>[D60170]  투자자산(계)</v>
      </c>
      <c r="E50" s="192">
        <f t="shared" ref="E50:I50" si="54">E18</f>
        <v>194</v>
      </c>
      <c r="F50" s="192">
        <f t="shared" ref="F50" si="55">F18</f>
        <v>257</v>
      </c>
      <c r="G50" s="192">
        <f t="shared" si="54"/>
        <v>11112</v>
      </c>
      <c r="H50" s="192">
        <f t="shared" si="54"/>
        <v>8371</v>
      </c>
      <c r="I50" s="193">
        <f t="shared" si="54"/>
        <v>8371</v>
      </c>
    </row>
    <row r="51" spans="4:9">
      <c r="D51" s="168" t="str">
        <f t="shared" ref="D51" si="56">D16</f>
        <v>[D60150]  재고자산(계)</v>
      </c>
      <c r="E51" s="192">
        <f t="shared" ref="E51:I51" si="57">E16</f>
        <v>2528</v>
      </c>
      <c r="F51" s="192">
        <f t="shared" ref="F51" si="58">F16</f>
        <v>4381</v>
      </c>
      <c r="G51" s="192">
        <f t="shared" si="57"/>
        <v>5847</v>
      </c>
      <c r="H51" s="192">
        <f t="shared" si="57"/>
        <v>4990</v>
      </c>
      <c r="I51" s="193">
        <f t="shared" si="57"/>
        <v>4990</v>
      </c>
    </row>
    <row r="52" spans="4:9" ht="17.25" thickBot="1">
      <c r="D52" s="169" t="str">
        <f t="shared" ref="D52" si="59">D15</f>
        <v>[D60140]  당좌자산(계)</v>
      </c>
      <c r="E52" s="194">
        <f t="shared" ref="E52:I52" si="60">E15</f>
        <v>5709</v>
      </c>
      <c r="F52" s="194">
        <f t="shared" ref="F52" si="61">F15</f>
        <v>19758</v>
      </c>
      <c r="G52" s="194">
        <f t="shared" si="60"/>
        <v>13542</v>
      </c>
      <c r="H52" s="194">
        <f t="shared" si="60"/>
        <v>4217</v>
      </c>
      <c r="I52" s="195">
        <f t="shared" si="60"/>
        <v>4217</v>
      </c>
    </row>
    <row r="53" spans="4:9">
      <c r="D53" s="99"/>
      <c r="E53" s="99"/>
      <c r="F53" s="99"/>
      <c r="G53" s="99"/>
      <c r="H53" s="99"/>
      <c r="I53" s="99"/>
    </row>
    <row r="54" spans="4:9">
      <c r="D54" s="99"/>
      <c r="E54" s="99"/>
      <c r="F54" s="99"/>
      <c r="G54" s="99"/>
      <c r="H54" s="99"/>
      <c r="I54" s="99"/>
    </row>
    <row r="55" spans="4:9">
      <c r="D55" s="99"/>
      <c r="E55" s="99"/>
      <c r="F55" s="99"/>
      <c r="G55" s="99"/>
      <c r="H55" s="99"/>
      <c r="I55" s="99"/>
    </row>
    <row r="56" spans="4:9">
      <c r="D56" s="99"/>
      <c r="E56" s="99"/>
      <c r="F56" s="99"/>
      <c r="G56" s="99"/>
      <c r="H56" s="99"/>
      <c r="I56" s="99"/>
    </row>
    <row r="57" spans="4:9" s="99" customFormat="1"/>
    <row r="58" spans="4:9">
      <c r="D58" s="99"/>
      <c r="E58" s="99"/>
      <c r="F58" s="99"/>
      <c r="G58" s="99"/>
      <c r="H58" s="99"/>
      <c r="I58" s="99"/>
    </row>
    <row r="59" spans="4:9" ht="17.25" thickBot="1">
      <c r="D59" s="8" t="s">
        <v>73</v>
      </c>
      <c r="E59" s="99"/>
      <c r="F59" s="99"/>
      <c r="G59" s="99"/>
      <c r="H59" s="99"/>
      <c r="I59" s="99"/>
    </row>
    <row r="60" spans="4:9">
      <c r="D60" s="167" t="str">
        <f t="shared" ref="D60" si="62">D35</f>
        <v>[D60340]  이익잉여금</v>
      </c>
      <c r="E60" s="190">
        <f t="shared" ref="E60:I60" si="63">E35</f>
        <v>6270</v>
      </c>
      <c r="F60" s="190">
        <f t="shared" ref="F60" si="64">F35</f>
        <v>6714</v>
      </c>
      <c r="G60" s="190">
        <f t="shared" si="63"/>
        <v>3415</v>
      </c>
      <c r="H60" s="190">
        <f t="shared" si="63"/>
        <v>-6572</v>
      </c>
      <c r="I60" s="191">
        <f t="shared" si="63"/>
        <v>-6572</v>
      </c>
    </row>
    <row r="61" spans="4:9">
      <c r="D61" s="168" t="str">
        <f t="shared" ref="D61" si="65">D32</f>
        <v>[D60310]  자본잉여금</v>
      </c>
      <c r="E61" s="192">
        <f t="shared" ref="E61:I61" si="66">E32</f>
        <v>0</v>
      </c>
      <c r="F61" s="192">
        <f t="shared" ref="F61" si="67">F32</f>
        <v>3090</v>
      </c>
      <c r="G61" s="192">
        <f t="shared" si="66"/>
        <v>28683</v>
      </c>
      <c r="H61" s="192">
        <f t="shared" si="66"/>
        <v>28683</v>
      </c>
      <c r="I61" s="193">
        <f t="shared" si="66"/>
        <v>28683</v>
      </c>
    </row>
    <row r="62" spans="4:9">
      <c r="D62" s="168" t="str">
        <f t="shared" ref="D62" si="68">D31</f>
        <v>[D60300]  자본금</v>
      </c>
      <c r="E62" s="192">
        <f t="shared" ref="E62:I62" si="69">E31</f>
        <v>300</v>
      </c>
      <c r="F62" s="192">
        <f t="shared" ref="F62" si="70">F31</f>
        <v>368</v>
      </c>
      <c r="G62" s="192">
        <f t="shared" si="69"/>
        <v>753</v>
      </c>
      <c r="H62" s="192">
        <f t="shared" si="69"/>
        <v>753</v>
      </c>
      <c r="I62" s="193">
        <f t="shared" si="69"/>
        <v>753</v>
      </c>
    </row>
    <row r="63" spans="4:9">
      <c r="D63" s="168" t="str">
        <f t="shared" ref="D63" si="71">D29</f>
        <v>[D60280]  비유동부채(계)</v>
      </c>
      <c r="E63" s="192">
        <f t="shared" ref="E63:I63" si="72">E29</f>
        <v>1167</v>
      </c>
      <c r="F63" s="192">
        <f t="shared" ref="F63" si="73">F29</f>
        <v>16621</v>
      </c>
      <c r="G63" s="192">
        <f t="shared" si="72"/>
        <v>23640</v>
      </c>
      <c r="H63" s="192">
        <f t="shared" si="72"/>
        <v>14095</v>
      </c>
      <c r="I63" s="193">
        <f t="shared" si="72"/>
        <v>14095</v>
      </c>
    </row>
    <row r="64" spans="4:9" ht="17.25" thickBot="1">
      <c r="D64" s="169" t="str">
        <f t="shared" ref="D64" si="74">D28</f>
        <v>[D60270]  유동부채(계)</v>
      </c>
      <c r="E64" s="194">
        <f t="shared" ref="E64:I64" si="75">E28</f>
        <v>4171</v>
      </c>
      <c r="F64" s="194">
        <f t="shared" ref="F64" si="76">F28</f>
        <v>10263</v>
      </c>
      <c r="G64" s="194">
        <f t="shared" si="75"/>
        <v>7792</v>
      </c>
      <c r="H64" s="194">
        <f t="shared" si="75"/>
        <v>24953</v>
      </c>
      <c r="I64" s="195">
        <f t="shared" si="75"/>
        <v>24953</v>
      </c>
    </row>
  </sheetData>
  <sheetProtection selectLockedCells="1"/>
  <phoneticPr fontId="3" type="noConversion"/>
  <pageMargins left="0.7" right="0.7" top="0.75" bottom="0.75" header="0.3" footer="0.3"/>
  <pageSetup paperSize="9" orientation="portrait" r:id="rId1"/>
  <ignoredErrors>
    <ignoredError sqref="E38:O40" evalError="1" unlockedFormula="1"/>
    <ignoredError sqref="P38:P40 D48:I68 N42:S45" unlockedFormula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S75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L21" sqref="L21"/>
    </sheetView>
  </sheetViews>
  <sheetFormatPr defaultColWidth="9" defaultRowHeight="16.5"/>
  <cols>
    <col min="1" max="2" width="9" style="78" hidden="1" customWidth="1"/>
    <col min="3" max="3" width="9" style="78"/>
    <col min="4" max="4" width="48.5" style="78" bestFit="1" customWidth="1"/>
    <col min="5" max="13" width="11.625" style="78" customWidth="1"/>
    <col min="14" max="16384" width="9" style="78"/>
  </cols>
  <sheetData>
    <row r="1" spans="1:19">
      <c r="A1" s="14">
        <f>ROW(C24)-ROW(C1)</f>
        <v>23</v>
      </c>
      <c r="C1" s="80" t="s">
        <v>17541</v>
      </c>
      <c r="D1" s="13" t="s">
        <v>17542</v>
      </c>
      <c r="E1" s="13" t="s">
        <v>17618</v>
      </c>
      <c r="F1" s="13" t="s">
        <v>16809</v>
      </c>
      <c r="G1" s="13" t="s">
        <v>16810</v>
      </c>
      <c r="H1" s="13" t="s">
        <v>16811</v>
      </c>
      <c r="I1" s="13" t="s">
        <v>16812</v>
      </c>
      <c r="J1" s="13" t="s">
        <v>16813</v>
      </c>
      <c r="K1" s="13" t="s">
        <v>17619</v>
      </c>
      <c r="M1" s="86" t="s">
        <v>14</v>
      </c>
    </row>
    <row r="2" spans="1:19">
      <c r="A2" s="78" t="s">
        <v>12</v>
      </c>
      <c r="B2" s="78" t="s">
        <v>17543</v>
      </c>
      <c r="C2" s="80" t="s">
        <v>17544</v>
      </c>
      <c r="D2" s="78" t="s">
        <v>5</v>
      </c>
      <c r="F2" s="378" t="str">
        <f>F22</f>
        <v>2025-12-31</v>
      </c>
      <c r="G2" s="378" t="str">
        <f t="shared" ref="G2:J2" si="0">G22</f>
        <v>2026-12-31</v>
      </c>
      <c r="H2" s="378" t="str">
        <f t="shared" si="0"/>
        <v>2027-12-31</v>
      </c>
      <c r="I2" s="378" t="str">
        <f t="shared" si="0"/>
        <v>2028-12-31</v>
      </c>
      <c r="J2" s="378" t="str">
        <f t="shared" si="0"/>
        <v>2029-12-31</v>
      </c>
      <c r="K2" s="31"/>
      <c r="M2" s="205" t="s">
        <v>607</v>
      </c>
    </row>
    <row r="3" spans="1:19">
      <c r="A3" s="78" t="s">
        <v>12</v>
      </c>
      <c r="B3" s="78" t="s">
        <v>16773</v>
      </c>
      <c r="C3" s="80" t="s">
        <v>17545</v>
      </c>
      <c r="D3" s="78" t="s">
        <v>6</v>
      </c>
      <c r="F3" s="27">
        <f ca="1">WACC!$E$35</f>
        <v>2.234691985513519</v>
      </c>
      <c r="G3" s="27">
        <f ca="1">WACC!$E$35</f>
        <v>2.234691985513519</v>
      </c>
      <c r="H3" s="27">
        <f ca="1">WACC!$E$35</f>
        <v>2.234691985513519</v>
      </c>
      <c r="I3" s="27">
        <f ca="1">WACC!$E$35</f>
        <v>2.234691985513519</v>
      </c>
      <c r="J3" s="27">
        <f ca="1">WACC!$E$35</f>
        <v>2.234691985513519</v>
      </c>
      <c r="K3" s="27">
        <f ca="1">J3</f>
        <v>2.234691985513519</v>
      </c>
    </row>
    <row r="4" spans="1:19">
      <c r="A4" s="78" t="s">
        <v>12</v>
      </c>
      <c r="B4" s="78" t="s">
        <v>16992</v>
      </c>
      <c r="C4" s="80" t="s">
        <v>17546</v>
      </c>
      <c r="D4" s="78" t="s">
        <v>17547</v>
      </c>
      <c r="F4" s="44"/>
      <c r="G4" s="44"/>
      <c r="H4" s="44"/>
      <c r="I4" s="44"/>
      <c r="J4" s="44"/>
      <c r="M4" s="44">
        <f>영구g</f>
        <v>0</v>
      </c>
    </row>
    <row r="5" spans="1:19">
      <c r="A5" s="78" t="s">
        <v>12</v>
      </c>
      <c r="B5" s="78" t="s">
        <v>3</v>
      </c>
      <c r="C5" s="80" t="s">
        <v>682</v>
      </c>
      <c r="D5" s="78" t="s">
        <v>7</v>
      </c>
      <c r="F5" s="379">
        <f ca="1">1/(1+F3/100)^F24</f>
        <v>0.98901038881965342</v>
      </c>
      <c r="G5" s="379">
        <f t="shared" ref="G5:J5" ca="1" si="1">1/(1+G3/100)^G24</f>
        <v>0.96739215388822664</v>
      </c>
      <c r="H5" s="379">
        <f t="shared" ca="1" si="1"/>
        <v>0.94624646008157809</v>
      </c>
      <c r="I5" s="379">
        <f t="shared" ca="1" si="1"/>
        <v>0.92556297838277812</v>
      </c>
      <c r="J5" s="379">
        <f t="shared" ca="1" si="1"/>
        <v>0.9053316055512044</v>
      </c>
      <c r="K5" s="28">
        <f ca="1">J5</f>
        <v>0.9053316055512044</v>
      </c>
    </row>
    <row r="6" spans="1:19">
      <c r="A6" s="78" t="s">
        <v>12</v>
      </c>
      <c r="C6" s="80" t="s">
        <v>17548</v>
      </c>
      <c r="D6" s="13" t="s">
        <v>17549</v>
      </c>
      <c r="E6" s="13"/>
      <c r="F6" s="13"/>
      <c r="G6" s="13"/>
      <c r="H6" s="13"/>
      <c r="I6" s="13"/>
      <c r="J6" s="13"/>
      <c r="K6" s="13"/>
      <c r="O6"/>
      <c r="P6"/>
      <c r="Q6"/>
      <c r="R6"/>
    </row>
    <row r="7" spans="1:19">
      <c r="A7" s="78" t="s">
        <v>12</v>
      </c>
      <c r="B7" s="78" t="s">
        <v>2</v>
      </c>
      <c r="C7" s="80" t="s">
        <v>17550</v>
      </c>
      <c r="D7" s="78" t="s">
        <v>17551</v>
      </c>
      <c r="E7" s="31"/>
      <c r="F7" s="492">
        <f>IS추정!K25</f>
        <v>-7984</v>
      </c>
      <c r="G7" s="492">
        <f>IS추정!L25</f>
        <v>-19072</v>
      </c>
      <c r="H7" s="492">
        <f>IS추정!M25</f>
        <v>-94888</v>
      </c>
      <c r="I7" s="492">
        <f>IS추정!N25</f>
        <v>-626100</v>
      </c>
      <c r="J7" s="492">
        <f>IS추정!O25</f>
        <v>-4366222</v>
      </c>
      <c r="K7" s="31"/>
      <c r="O7"/>
      <c r="P7"/>
      <c r="Q7"/>
      <c r="R7"/>
    </row>
    <row r="8" spans="1:19">
      <c r="A8" s="78" t="s">
        <v>12</v>
      </c>
      <c r="B8" s="78" t="s">
        <v>2</v>
      </c>
      <c r="C8" s="80" t="s">
        <v>17552</v>
      </c>
      <c r="D8" s="78" t="s">
        <v>17553</v>
      </c>
      <c r="E8" s="31"/>
      <c r="F8" s="32"/>
      <c r="G8" s="32"/>
      <c r="H8" s="32"/>
      <c r="I8" s="32"/>
      <c r="J8" s="32"/>
      <c r="K8" s="31"/>
      <c r="O8"/>
      <c r="P8"/>
      <c r="Q8"/>
      <c r="R8"/>
    </row>
    <row r="9" spans="1:19">
      <c r="A9" s="78" t="s">
        <v>12</v>
      </c>
      <c r="B9" s="78" t="s">
        <v>16780</v>
      </c>
      <c r="C9" s="80" t="s">
        <v>17554</v>
      </c>
      <c r="D9" s="78" t="s">
        <v>17555</v>
      </c>
      <c r="E9" s="31"/>
      <c r="F9" s="32"/>
      <c r="G9" s="32"/>
      <c r="H9" s="32"/>
      <c r="I9" s="32"/>
      <c r="J9" s="32"/>
      <c r="K9" s="31"/>
      <c r="O9"/>
      <c r="P9"/>
      <c r="Q9"/>
      <c r="R9"/>
    </row>
    <row r="10" spans="1:19">
      <c r="A10" s="78" t="s">
        <v>4</v>
      </c>
      <c r="B10" s="78" t="s">
        <v>3</v>
      </c>
      <c r="C10" s="80" t="s">
        <v>17556</v>
      </c>
      <c r="D10" s="8" t="s">
        <v>17557</v>
      </c>
      <c r="E10" s="31"/>
      <c r="F10" s="66">
        <f>IS추정!K33</f>
        <v>0</v>
      </c>
      <c r="G10" s="66">
        <f>IS추정!L33</f>
        <v>0</v>
      </c>
      <c r="H10" s="66">
        <f>IS추정!M33</f>
        <v>0</v>
      </c>
      <c r="I10" s="66">
        <f>IS추정!N33</f>
        <v>0</v>
      </c>
      <c r="J10" s="66">
        <f>IS추정!O33</f>
        <v>0</v>
      </c>
      <c r="K10" s="188">
        <f>+J10</f>
        <v>0</v>
      </c>
      <c r="O10"/>
      <c r="P10" s="646" t="str">
        <f>민감도!I11</f>
        <v>과세표준</v>
      </c>
      <c r="Q10" s="646" t="str">
        <f>민감도!J11</f>
        <v>세율(*)</v>
      </c>
      <c r="R10" s="646" t="str">
        <f>민감도!K11</f>
        <v>누진공제</v>
      </c>
      <c r="S10" s="646" t="str">
        <f>민감도!L11</f>
        <v>기준</v>
      </c>
    </row>
    <row r="11" spans="1:19">
      <c r="A11" s="78" t="s">
        <v>16732</v>
      </c>
      <c r="B11" s="78" t="s">
        <v>16701</v>
      </c>
      <c r="C11" s="80" t="s">
        <v>17558</v>
      </c>
      <c r="D11" s="8" t="s">
        <v>17559</v>
      </c>
      <c r="E11" s="31"/>
      <c r="F11" s="104">
        <f>IF(F7&lt;0,F7,+F7*(1-F10/100)+VLOOKUP(F7,법인세[],3))</f>
        <v>-7984</v>
      </c>
      <c r="G11" s="104">
        <f>IF(G7&lt;0,G7,+G7*(1-G10/100)+VLOOKUP(G7,법인세[],3))</f>
        <v>-19072</v>
      </c>
      <c r="H11" s="104">
        <f>IF(H7&lt;0,H7,+H7*(1-H10/100)+VLOOKUP(H7,법인세[],3))</f>
        <v>-94888</v>
      </c>
      <c r="I11" s="104">
        <f>IF(I7&lt;0,I7,+I7*(1-I10/100)+VLOOKUP(I7,법인세[],3))</f>
        <v>-626100</v>
      </c>
      <c r="J11" s="104">
        <f>IF(J7&lt;0,J7,+J7*(1-J10/100)+VLOOKUP(J7,법인세[],3))</f>
        <v>-4366222</v>
      </c>
      <c r="K11" s="104">
        <f>IF(J7&lt;0,J7,+J7*(1+영구g/100)*(1-K10/100)+VLOOKUP(J7,법인세[],3))</f>
        <v>-4366222</v>
      </c>
      <c r="P11" s="647">
        <f>민감도!I12</f>
        <v>0</v>
      </c>
      <c r="Q11" s="648">
        <f>민감도!J12</f>
        <v>9.9</v>
      </c>
      <c r="R11" s="649">
        <f>민감도!K12</f>
        <v>0</v>
      </c>
      <c r="S11" s="650" t="str">
        <f>민감도!L12</f>
        <v>2억미만</v>
      </c>
    </row>
    <row r="12" spans="1:19">
      <c r="A12" s="78" t="s">
        <v>12</v>
      </c>
      <c r="B12" s="78" t="s">
        <v>16793</v>
      </c>
      <c r="C12" s="80" t="s">
        <v>17560</v>
      </c>
      <c r="D12" s="78" t="s">
        <v>17561</v>
      </c>
      <c r="E12" s="24">
        <f>BS추정!J19</f>
        <v>74110</v>
      </c>
      <c r="F12" s="24">
        <f>BS추정!K19</f>
        <v>132220</v>
      </c>
      <c r="G12" s="24">
        <f>BS추정!L19</f>
        <v>232793</v>
      </c>
      <c r="H12" s="24">
        <f>BS추정!M19</f>
        <v>406889</v>
      </c>
      <c r="I12" s="24">
        <f>BS추정!N19</f>
        <v>708223</v>
      </c>
      <c r="J12" s="24">
        <f>BS추정!O19</f>
        <v>1229822</v>
      </c>
      <c r="K12" s="31"/>
      <c r="P12" s="647">
        <f>민감도!I13</f>
        <v>200</v>
      </c>
      <c r="Q12" s="648">
        <f>민감도!J13</f>
        <v>20.900000000000002</v>
      </c>
      <c r="R12" s="647">
        <f>민감도!K13</f>
        <v>22</v>
      </c>
      <c r="S12" s="650" t="str">
        <f>민감도!L13</f>
        <v>2~200</v>
      </c>
    </row>
    <row r="13" spans="1:19">
      <c r="A13" s="78" t="s">
        <v>12</v>
      </c>
      <c r="B13" s="78" t="s">
        <v>16701</v>
      </c>
      <c r="C13" s="80" t="s">
        <v>17562</v>
      </c>
      <c r="D13" s="78" t="s">
        <v>17563</v>
      </c>
      <c r="E13" s="24">
        <f>BS추정!J23</f>
        <v>24396</v>
      </c>
      <c r="F13" s="24">
        <f>BS추정!K23</f>
        <v>171987</v>
      </c>
      <c r="G13" s="24">
        <f>BS추정!L23</f>
        <v>1212525</v>
      </c>
      <c r="H13" s="24">
        <f>BS추정!M23</f>
        <v>8548486</v>
      </c>
      <c r="I13" s="24">
        <f>BS추정!N23</f>
        <v>60268441</v>
      </c>
      <c r="J13" s="24">
        <f>BS추정!O23</f>
        <v>424904144</v>
      </c>
      <c r="K13" s="31"/>
      <c r="P13" s="647">
        <f>민감도!I14</f>
        <v>20000</v>
      </c>
      <c r="Q13" s="648">
        <f>민감도!J14</f>
        <v>23.1</v>
      </c>
      <c r="R13" s="647">
        <f>민감도!K14</f>
        <v>462</v>
      </c>
      <c r="S13" s="650" t="str">
        <f>민감도!L14</f>
        <v>200~3000</v>
      </c>
    </row>
    <row r="14" spans="1:19">
      <c r="A14" s="78" t="s">
        <v>12</v>
      </c>
      <c r="B14" s="78" t="s">
        <v>2</v>
      </c>
      <c r="C14" s="80" t="s">
        <v>17564</v>
      </c>
      <c r="D14" s="78" t="s">
        <v>17565</v>
      </c>
      <c r="E14" s="32">
        <f>E12+E13</f>
        <v>98506</v>
      </c>
      <c r="F14" s="32">
        <f t="shared" ref="F14:J14" si="2">F12+F13</f>
        <v>304207</v>
      </c>
      <c r="G14" s="32">
        <f t="shared" si="2"/>
        <v>1445318</v>
      </c>
      <c r="H14" s="32">
        <f t="shared" si="2"/>
        <v>8955375</v>
      </c>
      <c r="I14" s="32">
        <f t="shared" si="2"/>
        <v>60976664</v>
      </c>
      <c r="J14" s="32">
        <f t="shared" si="2"/>
        <v>426133966</v>
      </c>
      <c r="K14" s="31"/>
      <c r="P14" s="647">
        <f>민감도!I15</f>
        <v>300000</v>
      </c>
      <c r="Q14" s="648">
        <f>민감도!J15</f>
        <v>26.400000000000002</v>
      </c>
      <c r="R14" s="647">
        <f>민감도!K15</f>
        <v>10362</v>
      </c>
      <c r="S14" s="650" t="str">
        <f>민감도!L15</f>
        <v>3000억초과</v>
      </c>
    </row>
    <row r="15" spans="1:19">
      <c r="A15" s="78" t="s">
        <v>4</v>
      </c>
      <c r="B15" s="78" t="s">
        <v>16695</v>
      </c>
      <c r="C15" s="80" t="s">
        <v>17566</v>
      </c>
      <c r="D15" s="8" t="s">
        <v>17567</v>
      </c>
      <c r="E15" s="31"/>
      <c r="F15" s="104">
        <f t="shared" ref="F15:J15" si="3">F14-E14</f>
        <v>205701</v>
      </c>
      <c r="G15" s="30">
        <f t="shared" si="3"/>
        <v>1141111</v>
      </c>
      <c r="H15" s="30">
        <f t="shared" si="3"/>
        <v>7510057</v>
      </c>
      <c r="I15" s="30">
        <f t="shared" si="3"/>
        <v>52021289</v>
      </c>
      <c r="J15" s="30">
        <f t="shared" si="3"/>
        <v>365157302</v>
      </c>
      <c r="K15" s="98"/>
      <c r="P15" s="205"/>
      <c r="Q15" s="651" t="s">
        <v>709</v>
      </c>
      <c r="R15" s="205"/>
      <c r="S15" s="205"/>
    </row>
    <row r="16" spans="1:19">
      <c r="A16" s="78" t="s">
        <v>12</v>
      </c>
      <c r="B16" s="78" t="s">
        <v>16701</v>
      </c>
      <c r="C16" s="80" t="s">
        <v>683</v>
      </c>
      <c r="D16" s="78" t="s">
        <v>419</v>
      </c>
      <c r="E16" s="24">
        <f>NWC추정!J17</f>
        <v>3761</v>
      </c>
      <c r="F16" s="24">
        <f>NWC추정!K17</f>
        <v>3841</v>
      </c>
      <c r="G16" s="24">
        <f>NWC추정!L17</f>
        <v>3924</v>
      </c>
      <c r="H16" s="24">
        <f>NWC추정!M17</f>
        <v>4007</v>
      </c>
      <c r="I16" s="24">
        <f>NWC추정!N17</f>
        <v>4091</v>
      </c>
      <c r="J16" s="24">
        <f>NWC추정!O17</f>
        <v>4173</v>
      </c>
      <c r="K16" s="568">
        <f>IF(영구g=0,0,+J16*(1+영구g/100))</f>
        <v>0</v>
      </c>
    </row>
    <row r="17" spans="1:13">
      <c r="A17" s="78" t="s">
        <v>12</v>
      </c>
      <c r="B17" s="78" t="s">
        <v>2</v>
      </c>
      <c r="C17" s="80" t="s">
        <v>684</v>
      </c>
      <c r="D17" s="78" t="s">
        <v>425</v>
      </c>
      <c r="E17" s="24">
        <f>NWC추정!J21</f>
        <v>726</v>
      </c>
      <c r="F17" s="24">
        <f>NWC추정!K21</f>
        <v>742</v>
      </c>
      <c r="G17" s="24">
        <f>NWC추정!L21</f>
        <v>758</v>
      </c>
      <c r="H17" s="24">
        <f>NWC추정!M21</f>
        <v>774</v>
      </c>
      <c r="I17" s="24">
        <f>NWC추정!N21</f>
        <v>790</v>
      </c>
      <c r="J17" s="24">
        <f>NWC추정!O21</f>
        <v>806</v>
      </c>
      <c r="K17" s="568">
        <f>IF(영구g=0,0,+J17*(1+영구g/100))</f>
        <v>0</v>
      </c>
    </row>
    <row r="18" spans="1:13">
      <c r="A18" s="78" t="s">
        <v>12</v>
      </c>
      <c r="B18" s="78" t="s">
        <v>16695</v>
      </c>
      <c r="C18" s="80" t="s">
        <v>685</v>
      </c>
      <c r="D18" s="78" t="s">
        <v>431</v>
      </c>
      <c r="E18" s="32">
        <f>E16-E17</f>
        <v>3035</v>
      </c>
      <c r="F18" s="32">
        <f t="shared" ref="F18:J18" si="4">F16-F17</f>
        <v>3099</v>
      </c>
      <c r="G18" s="32">
        <f t="shared" si="4"/>
        <v>3166</v>
      </c>
      <c r="H18" s="32">
        <f t="shared" si="4"/>
        <v>3233</v>
      </c>
      <c r="I18" s="32">
        <f t="shared" si="4"/>
        <v>3301</v>
      </c>
      <c r="J18" s="32">
        <f t="shared" si="4"/>
        <v>3367</v>
      </c>
      <c r="K18" s="568">
        <f>+K16-K17</f>
        <v>0</v>
      </c>
    </row>
    <row r="19" spans="1:13">
      <c r="A19" s="78" t="s">
        <v>4</v>
      </c>
      <c r="B19" s="78" t="s">
        <v>2</v>
      </c>
      <c r="C19" s="80" t="s">
        <v>686</v>
      </c>
      <c r="D19" s="8" t="s">
        <v>668</v>
      </c>
      <c r="E19" s="31"/>
      <c r="F19" s="104">
        <f t="shared" ref="F19:J19" si="5">F18-E18</f>
        <v>64</v>
      </c>
      <c r="G19" s="30">
        <f t="shared" si="5"/>
        <v>67</v>
      </c>
      <c r="H19" s="30">
        <f t="shared" si="5"/>
        <v>67</v>
      </c>
      <c r="I19" s="30">
        <f t="shared" si="5"/>
        <v>68</v>
      </c>
      <c r="J19" s="30">
        <f t="shared" si="5"/>
        <v>66</v>
      </c>
      <c r="K19" s="569">
        <f>IF(영구g=0,0,(K18-J18))</f>
        <v>0</v>
      </c>
    </row>
    <row r="20" spans="1:13">
      <c r="A20" s="78" t="s">
        <v>16732</v>
      </c>
      <c r="B20" s="78" t="s">
        <v>16701</v>
      </c>
      <c r="C20" s="80" t="s">
        <v>17568</v>
      </c>
      <c r="D20" s="8" t="s">
        <v>8</v>
      </c>
      <c r="E20" s="31"/>
      <c r="F20" s="30">
        <f>F11-F15-F19</f>
        <v>-213749</v>
      </c>
      <c r="G20" s="30">
        <f t="shared" ref="G20:J20" si="6">G11-G15-G19</f>
        <v>-1160250</v>
      </c>
      <c r="H20" s="30">
        <f t="shared" si="6"/>
        <v>-7605012</v>
      </c>
      <c r="I20" s="30">
        <f t="shared" si="6"/>
        <v>-52647457</v>
      </c>
      <c r="J20" s="30">
        <f t="shared" si="6"/>
        <v>-369523590</v>
      </c>
      <c r="K20" s="30">
        <f ca="1">(K11-K15-K19)/(K3/100-영구g/100)</f>
        <v>-195383615.65281525</v>
      </c>
    </row>
    <row r="21" spans="1:13">
      <c r="A21" s="78" t="s">
        <v>16714</v>
      </c>
      <c r="B21" s="78" t="s">
        <v>16701</v>
      </c>
      <c r="C21" s="107" t="s">
        <v>17569</v>
      </c>
      <c r="D21" s="8" t="s">
        <v>9</v>
      </c>
      <c r="E21" s="31"/>
      <c r="F21" s="267">
        <f ca="1">F20*F5*F23</f>
        <v>-211399.9815998121</v>
      </c>
      <c r="G21" s="267">
        <f t="shared" ref="G21:J21" ca="1" si="7">G20*G5*G23</f>
        <v>-1122416.7465488149</v>
      </c>
      <c r="H21" s="267">
        <f t="shared" ca="1" si="7"/>
        <v>-7196215.6838779226</v>
      </c>
      <c r="I21" s="267">
        <f t="shared" ca="1" si="7"/>
        <v>-48728537.10519924</v>
      </c>
      <c r="J21" s="267">
        <f t="shared" ca="1" si="7"/>
        <v>-334541385.023745</v>
      </c>
      <c r="K21" s="30">
        <f ca="1">K20*K5</f>
        <v>-176886962.45736265</v>
      </c>
    </row>
    <row r="22" spans="1:13">
      <c r="A22" s="78" t="s">
        <v>12</v>
      </c>
      <c r="B22" s="205" t="s">
        <v>11</v>
      </c>
      <c r="C22" s="107" t="s">
        <v>17570</v>
      </c>
      <c r="E22" s="328" t="str">
        <f>MID(평가기준일,1,10)</f>
        <v>2024-12-31</v>
      </c>
      <c r="F22" s="328" t="str">
        <f>MID(F1,1,4)&amp;"-12-31"</f>
        <v>2025-12-31</v>
      </c>
      <c r="G22" s="328" t="str">
        <f t="shared" ref="G22:J22" si="8">MID(G1,1,4)&amp;"-12-31"</f>
        <v>2026-12-31</v>
      </c>
      <c r="H22" s="328" t="str">
        <f t="shared" si="8"/>
        <v>2027-12-31</v>
      </c>
      <c r="I22" s="328" t="str">
        <f t="shared" si="8"/>
        <v>2028-12-31</v>
      </c>
      <c r="J22" s="328" t="str">
        <f t="shared" si="8"/>
        <v>2029-12-31</v>
      </c>
    </row>
    <row r="23" spans="1:13">
      <c r="A23" s="78" t="s">
        <v>12</v>
      </c>
      <c r="B23" s="205" t="s">
        <v>11</v>
      </c>
      <c r="C23" s="107" t="s">
        <v>17571</v>
      </c>
      <c r="E23" s="205"/>
      <c r="F23" s="266">
        <f>YEARFRAC(E22,F22,1)</f>
        <v>1</v>
      </c>
      <c r="G23" s="266">
        <f t="shared" ref="G23:J23" si="9">YEARFRAC(F22,G22,1)</f>
        <v>1</v>
      </c>
      <c r="H23" s="266">
        <f t="shared" si="9"/>
        <v>1</v>
      </c>
      <c r="I23" s="266">
        <f t="shared" si="9"/>
        <v>1</v>
      </c>
      <c r="J23" s="266">
        <f t="shared" si="9"/>
        <v>1</v>
      </c>
      <c r="K23" s="205"/>
      <c r="L23" s="205"/>
      <c r="M23" s="205"/>
    </row>
    <row r="24" spans="1:13">
      <c r="A24" s="78" t="s">
        <v>12</v>
      </c>
      <c r="B24" s="205" t="s">
        <v>2</v>
      </c>
      <c r="C24" s="107" t="s">
        <v>17572</v>
      </c>
      <c r="D24" s="78" t="s">
        <v>351</v>
      </c>
      <c r="E24" s="205"/>
      <c r="F24" s="266">
        <f>F23/2</f>
        <v>0.5</v>
      </c>
      <c r="G24" s="266">
        <f>F23+G23/2</f>
        <v>1.5</v>
      </c>
      <c r="H24" s="266">
        <f>G24+H23</f>
        <v>2.5</v>
      </c>
      <c r="I24" s="266">
        <f>H24+I23</f>
        <v>3.5</v>
      </c>
      <c r="J24" s="266">
        <f>I24+J23</f>
        <v>4.5</v>
      </c>
      <c r="K24" s="205"/>
      <c r="L24" s="205"/>
      <c r="M24" s="205"/>
    </row>
    <row r="25" spans="1:13" s="205" customFormat="1">
      <c r="F25" s="266"/>
      <c r="G25" s="266"/>
      <c r="H25" s="266"/>
      <c r="I25" s="266"/>
      <c r="J25" s="266"/>
    </row>
    <row r="26" spans="1:13" s="205" customFormat="1">
      <c r="F26" s="266"/>
      <c r="G26" s="266"/>
      <c r="H26" s="266"/>
      <c r="I26" s="266"/>
      <c r="J26" s="266"/>
    </row>
    <row r="27" spans="1:13" s="205" customFormat="1">
      <c r="F27" s="266"/>
      <c r="G27" s="266"/>
      <c r="H27" s="266"/>
      <c r="I27" s="266"/>
      <c r="J27" s="266"/>
    </row>
    <row r="28" spans="1:13">
      <c r="A28" s="14">
        <f>ROW(C48)-ROW(C28)</f>
        <v>20</v>
      </c>
      <c r="C28" s="80" t="s">
        <v>17573</v>
      </c>
      <c r="D28" s="80" t="s">
        <v>17574</v>
      </c>
      <c r="E28" s="80" t="s">
        <v>16485</v>
      </c>
      <c r="G28" s="114" t="s">
        <v>35</v>
      </c>
      <c r="H28" s="114" t="s">
        <v>36</v>
      </c>
      <c r="K28" s="205"/>
      <c r="L28" s="205"/>
      <c r="M28" s="205"/>
    </row>
    <row r="29" spans="1:13">
      <c r="A29" s="78" t="s">
        <v>12</v>
      </c>
      <c r="B29" s="78" t="s">
        <v>2</v>
      </c>
      <c r="C29" s="80" t="s">
        <v>17575</v>
      </c>
      <c r="D29" s="78" t="s">
        <v>17576</v>
      </c>
      <c r="E29" s="31"/>
      <c r="G29" s="209">
        <f>E29-H29</f>
        <v>0</v>
      </c>
      <c r="H29" s="102"/>
      <c r="K29" s="205"/>
      <c r="L29" s="205"/>
      <c r="M29" s="205"/>
    </row>
    <row r="30" spans="1:13">
      <c r="A30" s="78" t="s">
        <v>12</v>
      </c>
      <c r="B30" s="78" t="s">
        <v>2</v>
      </c>
      <c r="C30" s="80" t="s">
        <v>17577</v>
      </c>
      <c r="D30" s="78" t="s">
        <v>17578</v>
      </c>
      <c r="E30" s="31"/>
      <c r="G30" s="209">
        <f t="shared" ref="G30:G48" si="10">E30-H30</f>
        <v>0</v>
      </c>
      <c r="H30" s="102"/>
      <c r="K30" s="205"/>
      <c r="L30" s="205"/>
      <c r="M30" s="205"/>
    </row>
    <row r="31" spans="1:13">
      <c r="A31" s="78" t="s">
        <v>12</v>
      </c>
      <c r="B31" s="78" t="s">
        <v>16695</v>
      </c>
      <c r="C31" s="80" t="s">
        <v>17579</v>
      </c>
      <c r="D31" s="78" t="s">
        <v>17580</v>
      </c>
      <c r="E31" s="31"/>
      <c r="G31" s="209">
        <f t="shared" si="10"/>
        <v>0</v>
      </c>
      <c r="H31" s="102"/>
      <c r="K31" s="205"/>
      <c r="L31" s="205"/>
      <c r="M31" s="205"/>
    </row>
    <row r="32" spans="1:13">
      <c r="A32" s="78" t="s">
        <v>12</v>
      </c>
      <c r="B32" s="78" t="s">
        <v>17581</v>
      </c>
      <c r="C32" s="80" t="s">
        <v>17582</v>
      </c>
      <c r="D32" s="78" t="s">
        <v>17583</v>
      </c>
      <c r="E32" s="31"/>
      <c r="G32" s="209">
        <f t="shared" si="10"/>
        <v>0</v>
      </c>
      <c r="H32" s="102"/>
      <c r="K32" s="205"/>
      <c r="L32" s="205"/>
      <c r="M32" s="205"/>
    </row>
    <row r="33" spans="1:13">
      <c r="A33" s="78" t="s">
        <v>12</v>
      </c>
      <c r="B33" s="78" t="s">
        <v>16701</v>
      </c>
      <c r="C33" s="80" t="s">
        <v>17584</v>
      </c>
      <c r="D33" s="78" t="s">
        <v>17585</v>
      </c>
      <c r="E33" s="31">
        <v>8371</v>
      </c>
      <c r="G33" s="209">
        <f t="shared" si="10"/>
        <v>8371</v>
      </c>
      <c r="H33" s="102"/>
      <c r="K33" s="205"/>
      <c r="L33" s="205"/>
      <c r="M33" s="205"/>
    </row>
    <row r="34" spans="1:13">
      <c r="A34" s="78" t="s">
        <v>12</v>
      </c>
      <c r="B34" s="78" t="s">
        <v>16796</v>
      </c>
      <c r="C34" s="80" t="s">
        <v>17586</v>
      </c>
      <c r="D34" s="78" t="s">
        <v>17587</v>
      </c>
      <c r="E34" s="31"/>
      <c r="G34" s="209">
        <f t="shared" si="10"/>
        <v>0</v>
      </c>
      <c r="H34" s="102"/>
      <c r="K34" s="205"/>
      <c r="L34" s="205"/>
      <c r="M34" s="205"/>
    </row>
    <row r="35" spans="1:13">
      <c r="A35" s="78" t="s">
        <v>12</v>
      </c>
      <c r="B35" s="78" t="s">
        <v>17459</v>
      </c>
      <c r="C35" s="80" t="s">
        <v>17588</v>
      </c>
      <c r="D35" s="78" t="s">
        <v>17589</v>
      </c>
      <c r="E35" s="31"/>
      <c r="G35" s="209">
        <f t="shared" si="10"/>
        <v>0</v>
      </c>
      <c r="H35" s="102"/>
      <c r="K35" s="205"/>
      <c r="L35" s="205"/>
      <c r="M35" s="205"/>
    </row>
    <row r="36" spans="1:13">
      <c r="A36" s="78" t="s">
        <v>12</v>
      </c>
      <c r="B36" s="78" t="s">
        <v>17590</v>
      </c>
      <c r="C36" s="80" t="s">
        <v>17591</v>
      </c>
      <c r="D36" s="79" t="s">
        <v>17592</v>
      </c>
      <c r="E36" s="18"/>
      <c r="G36" s="209">
        <f t="shared" si="10"/>
        <v>0</v>
      </c>
      <c r="H36" s="101"/>
      <c r="K36" s="205"/>
      <c r="L36" s="205"/>
      <c r="M36" s="205"/>
    </row>
    <row r="37" spans="1:13">
      <c r="A37" s="78" t="s">
        <v>16714</v>
      </c>
      <c r="B37" s="78" t="s">
        <v>2</v>
      </c>
      <c r="C37" s="80" t="s">
        <v>17593</v>
      </c>
      <c r="D37" s="8" t="s">
        <v>17594</v>
      </c>
      <c r="E37" s="30">
        <f>SUM(E29:E36)</f>
        <v>8371</v>
      </c>
      <c r="G37" s="209">
        <f t="shared" si="10"/>
        <v>8371</v>
      </c>
      <c r="H37" s="89">
        <f>SUM(H29:H36)</f>
        <v>0</v>
      </c>
      <c r="K37" s="205"/>
      <c r="L37" s="205"/>
      <c r="M37" s="205"/>
    </row>
    <row r="38" spans="1:13">
      <c r="A38" s="78" t="s">
        <v>12</v>
      </c>
      <c r="B38" s="78" t="s">
        <v>16796</v>
      </c>
      <c r="C38" s="80" t="s">
        <v>17595</v>
      </c>
      <c r="D38" s="78" t="s">
        <v>17596</v>
      </c>
      <c r="E38" s="31">
        <v>5900</v>
      </c>
      <c r="G38" s="209">
        <f t="shared" si="10"/>
        <v>5900</v>
      </c>
      <c r="H38" s="102"/>
      <c r="K38" s="205"/>
      <c r="L38" s="205"/>
      <c r="M38" s="205"/>
    </row>
    <row r="39" spans="1:13">
      <c r="A39" s="78" t="s">
        <v>12</v>
      </c>
      <c r="B39" s="78" t="s">
        <v>16780</v>
      </c>
      <c r="C39" s="80" t="s">
        <v>17597</v>
      </c>
      <c r="D39" s="78" t="s">
        <v>17598</v>
      </c>
      <c r="E39" s="31">
        <v>16417</v>
      </c>
      <c r="G39" s="209">
        <f t="shared" si="10"/>
        <v>16417</v>
      </c>
      <c r="H39" s="102"/>
      <c r="K39" s="205"/>
      <c r="L39" s="205"/>
      <c r="M39" s="205"/>
    </row>
    <row r="40" spans="1:13">
      <c r="A40" s="78" t="s">
        <v>12</v>
      </c>
      <c r="B40" s="78" t="s">
        <v>16796</v>
      </c>
      <c r="C40" s="80" t="s">
        <v>17599</v>
      </c>
      <c r="D40" s="78" t="s">
        <v>17600</v>
      </c>
      <c r="E40" s="31"/>
      <c r="G40" s="209">
        <f t="shared" si="10"/>
        <v>0</v>
      </c>
      <c r="H40" s="102"/>
      <c r="K40" s="205"/>
      <c r="L40" s="205"/>
      <c r="M40" s="205"/>
    </row>
    <row r="41" spans="1:13">
      <c r="A41" s="78" t="s">
        <v>12</v>
      </c>
      <c r="B41" s="78" t="s">
        <v>2</v>
      </c>
      <c r="C41" s="80" t="s">
        <v>17601</v>
      </c>
      <c r="D41" s="78" t="s">
        <v>17602</v>
      </c>
      <c r="E41" s="31">
        <v>13459</v>
      </c>
      <c r="G41" s="209">
        <f t="shared" si="10"/>
        <v>13459</v>
      </c>
      <c r="H41" s="102"/>
      <c r="K41" s="205"/>
      <c r="L41" s="205"/>
      <c r="M41" s="205"/>
    </row>
    <row r="42" spans="1:13">
      <c r="A42" s="78" t="s">
        <v>12</v>
      </c>
      <c r="B42" s="78" t="s">
        <v>16773</v>
      </c>
      <c r="C42" s="80" t="s">
        <v>17603</v>
      </c>
      <c r="D42" s="78" t="s">
        <v>17604</v>
      </c>
      <c r="E42" s="31"/>
      <c r="G42" s="209">
        <f t="shared" si="10"/>
        <v>0</v>
      </c>
      <c r="H42" s="102"/>
      <c r="K42" s="206" t="s">
        <v>77</v>
      </c>
      <c r="L42" s="205"/>
    </row>
    <row r="43" spans="1:13">
      <c r="A43" s="78" t="s">
        <v>12</v>
      </c>
      <c r="B43" s="78" t="s">
        <v>17605</v>
      </c>
      <c r="C43" s="80" t="s">
        <v>17606</v>
      </c>
      <c r="D43" s="79" t="s">
        <v>17607</v>
      </c>
      <c r="E43" s="18"/>
      <c r="G43" s="209">
        <f t="shared" si="10"/>
        <v>0</v>
      </c>
      <c r="H43" s="101"/>
      <c r="K43" s="208" t="s">
        <v>78</v>
      </c>
      <c r="L43" s="208" t="s">
        <v>79</v>
      </c>
    </row>
    <row r="44" spans="1:13">
      <c r="A44" s="78" t="s">
        <v>12</v>
      </c>
      <c r="B44" s="78" t="s">
        <v>16793</v>
      </c>
      <c r="C44" s="80" t="s">
        <v>17608</v>
      </c>
      <c r="D44" s="74" t="s">
        <v>17609</v>
      </c>
      <c r="E44" s="31">
        <v>1938</v>
      </c>
      <c r="G44" s="209">
        <f t="shared" si="10"/>
        <v>1938</v>
      </c>
      <c r="H44" s="102"/>
      <c r="K44" s="223"/>
      <c r="L44" s="207"/>
    </row>
    <row r="45" spans="1:13">
      <c r="A45" s="78" t="s">
        <v>4</v>
      </c>
      <c r="B45" s="78" t="s">
        <v>2</v>
      </c>
      <c r="C45" s="80" t="s">
        <v>17610</v>
      </c>
      <c r="D45" s="8" t="s">
        <v>17611</v>
      </c>
      <c r="E45" s="30">
        <f>E38+E39+E40+E41+E42+E43-E44</f>
        <v>33838</v>
      </c>
      <c r="G45" s="209">
        <f t="shared" si="10"/>
        <v>33838</v>
      </c>
      <c r="H45" s="104">
        <f>H38+H39+H40+H41+H42+H43-H44</f>
        <v>0</v>
      </c>
      <c r="K45" s="223"/>
      <c r="L45" s="207"/>
    </row>
    <row r="46" spans="1:13">
      <c r="A46" s="78" t="s">
        <v>12</v>
      </c>
      <c r="B46" s="78" t="s">
        <v>16796</v>
      </c>
      <c r="C46" s="80" t="s">
        <v>17612</v>
      </c>
      <c r="D46" s="78" t="s">
        <v>17613</v>
      </c>
      <c r="E46" s="31">
        <v>326</v>
      </c>
      <c r="G46" s="209">
        <f t="shared" si="10"/>
        <v>326</v>
      </c>
      <c r="H46" s="102"/>
      <c r="K46" s="223"/>
      <c r="L46" s="207"/>
    </row>
    <row r="47" spans="1:13">
      <c r="A47" s="78" t="s">
        <v>12</v>
      </c>
      <c r="B47" s="78" t="s">
        <v>16793</v>
      </c>
      <c r="C47" s="80" t="s">
        <v>17614</v>
      </c>
      <c r="D47" s="74" t="s">
        <v>17615</v>
      </c>
      <c r="G47" s="209">
        <f t="shared" si="10"/>
        <v>0</v>
      </c>
      <c r="H47" s="99"/>
      <c r="K47" s="223"/>
      <c r="L47" s="207"/>
    </row>
    <row r="48" spans="1:13">
      <c r="A48" s="78" t="s">
        <v>16700</v>
      </c>
      <c r="B48" s="78" t="s">
        <v>2</v>
      </c>
      <c r="C48" s="80" t="s">
        <v>17616</v>
      </c>
      <c r="D48" s="8" t="s">
        <v>17617</v>
      </c>
      <c r="E48" s="30">
        <f>E46+E47</f>
        <v>326</v>
      </c>
      <c r="G48" s="209">
        <f t="shared" si="10"/>
        <v>326</v>
      </c>
      <c r="H48" s="104">
        <f>H46+H47</f>
        <v>0</v>
      </c>
      <c r="K48" s="223"/>
      <c r="L48" s="207"/>
    </row>
    <row r="49" spans="1:11">
      <c r="G49" s="210"/>
      <c r="H49" s="99"/>
    </row>
    <row r="50" spans="1:11">
      <c r="G50" s="210"/>
      <c r="H50" s="99"/>
    </row>
    <row r="51" spans="1:11">
      <c r="C51" s="79"/>
      <c r="D51" s="79"/>
      <c r="E51" s="79"/>
      <c r="G51" s="210"/>
      <c r="H51" s="100"/>
    </row>
    <row r="52" spans="1:11">
      <c r="A52" s="14">
        <f>ROW(C61)-ROW(C52)</f>
        <v>9</v>
      </c>
      <c r="C52" s="80" t="s">
        <v>17620</v>
      </c>
      <c r="D52" s="80" t="s">
        <v>17621</v>
      </c>
      <c r="E52" s="80" t="s">
        <v>13</v>
      </c>
      <c r="G52" s="210"/>
      <c r="H52" s="107" t="s">
        <v>13</v>
      </c>
    </row>
    <row r="53" spans="1:11">
      <c r="A53" s="78" t="s">
        <v>12</v>
      </c>
      <c r="B53" s="78" t="s">
        <v>16701</v>
      </c>
      <c r="C53" s="80" t="s">
        <v>17622</v>
      </c>
      <c r="D53" s="78" t="s">
        <v>17623</v>
      </c>
      <c r="E53" s="32">
        <f ca="1">F21+G21+H21+I21+J21+K21</f>
        <v>-568686916.99833345</v>
      </c>
      <c r="F53" s="234"/>
      <c r="G53" s="209">
        <f ca="1">E53-H53</f>
        <v>-568686916.99833345</v>
      </c>
      <c r="H53" s="108"/>
      <c r="I53" s="234"/>
      <c r="J53" s="234"/>
      <c r="K53" s="227"/>
    </row>
    <row r="54" spans="1:11">
      <c r="A54" s="78" t="s">
        <v>12</v>
      </c>
      <c r="B54" s="78" t="s">
        <v>16695</v>
      </c>
      <c r="C54" s="80" t="s">
        <v>17624</v>
      </c>
      <c r="D54" s="78" t="s">
        <v>17625</v>
      </c>
      <c r="E54" s="24">
        <f>E37</f>
        <v>8371</v>
      </c>
      <c r="F54" s="234"/>
      <c r="G54" s="209">
        <f>E54-H54</f>
        <v>8371</v>
      </c>
      <c r="H54" s="103">
        <f>H37</f>
        <v>0</v>
      </c>
      <c r="I54" s="234"/>
      <c r="J54" s="234"/>
      <c r="K54" s="227"/>
    </row>
    <row r="55" spans="1:11">
      <c r="A55" s="78" t="s">
        <v>12</v>
      </c>
      <c r="B55" s="78" t="s">
        <v>16695</v>
      </c>
      <c r="C55" s="80" t="s">
        <v>17626</v>
      </c>
      <c r="D55" s="78" t="s">
        <v>17627</v>
      </c>
      <c r="E55" s="32">
        <f ca="1">E53+E54</f>
        <v>-568678545.99833345</v>
      </c>
      <c r="F55" s="234"/>
      <c r="G55" s="209">
        <f ca="1">E55-H55</f>
        <v>-568678545.99833345</v>
      </c>
      <c r="H55" s="105">
        <f>H53+H54</f>
        <v>0</v>
      </c>
      <c r="I55" s="234"/>
      <c r="J55" s="234"/>
      <c r="K55" s="227"/>
    </row>
    <row r="56" spans="1:11">
      <c r="A56" s="78" t="s">
        <v>12</v>
      </c>
      <c r="B56" s="78" t="s">
        <v>2</v>
      </c>
      <c r="C56" s="80" t="s">
        <v>17628</v>
      </c>
      <c r="D56" s="78" t="s">
        <v>17629</v>
      </c>
      <c r="E56" s="24">
        <f>E45</f>
        <v>33838</v>
      </c>
      <c r="F56" s="234"/>
      <c r="G56" s="209">
        <f>-(E56-H56)</f>
        <v>-33838</v>
      </c>
      <c r="H56" s="103">
        <f>H45</f>
        <v>0</v>
      </c>
      <c r="I56" s="234"/>
      <c r="J56" s="234"/>
    </row>
    <row r="57" spans="1:11">
      <c r="A57" s="78" t="s">
        <v>12</v>
      </c>
      <c r="B57" s="78" t="s">
        <v>2</v>
      </c>
      <c r="C57" s="80" t="s">
        <v>17630</v>
      </c>
      <c r="D57" s="74" t="s">
        <v>17631</v>
      </c>
      <c r="E57" s="24">
        <f>E48</f>
        <v>326</v>
      </c>
      <c r="F57" s="234"/>
      <c r="G57" s="209">
        <f>-(E57-H57)</f>
        <v>-326</v>
      </c>
      <c r="H57" s="103">
        <f>H48</f>
        <v>0</v>
      </c>
      <c r="I57" s="234"/>
      <c r="J57" s="234"/>
    </row>
    <row r="58" spans="1:11">
      <c r="A58" s="78" t="s">
        <v>4</v>
      </c>
      <c r="B58" s="78" t="s">
        <v>2</v>
      </c>
      <c r="C58" s="80" t="s">
        <v>17632</v>
      </c>
      <c r="D58" s="8" t="s">
        <v>17633</v>
      </c>
      <c r="E58" s="30">
        <f ca="1">E55-E56-E57</f>
        <v>-568712709.99833345</v>
      </c>
      <c r="F58" s="234"/>
      <c r="G58" s="209">
        <f ca="1">E58-H58</f>
        <v>-568712709.99833345</v>
      </c>
      <c r="H58" s="104">
        <f>H55-H56-H57</f>
        <v>0</v>
      </c>
      <c r="I58" s="234"/>
      <c r="J58" s="234"/>
      <c r="K58" s="227"/>
    </row>
    <row r="59" spans="1:11">
      <c r="A59" s="78" t="s">
        <v>12</v>
      </c>
      <c r="B59" s="78" t="s">
        <v>2</v>
      </c>
      <c r="C59" s="80" t="s">
        <v>17634</v>
      </c>
      <c r="D59" s="74" t="s">
        <v>17635</v>
      </c>
      <c r="E59" s="24">
        <f>WACC!E18</f>
        <v>42743</v>
      </c>
      <c r="F59" s="81"/>
      <c r="G59" s="209">
        <f>E59-H59</f>
        <v>42743</v>
      </c>
      <c r="H59" s="57"/>
    </row>
    <row r="60" spans="1:11">
      <c r="A60" s="78" t="s">
        <v>16732</v>
      </c>
      <c r="B60" s="78" t="s">
        <v>2</v>
      </c>
      <c r="C60" s="80" t="s">
        <v>17636</v>
      </c>
      <c r="D60" s="8" t="s">
        <v>17637</v>
      </c>
      <c r="E60" s="45">
        <f ca="1">E58*1000000/E59</f>
        <v>-13305399948.490595</v>
      </c>
      <c r="F60" s="344" t="e">
        <f ca="1">E60/H60-1</f>
        <v>#DIV/0!</v>
      </c>
      <c r="G60" s="209" t="e">
        <f ca="1">E60-H60</f>
        <v>#DIV/0!</v>
      </c>
      <c r="H60" s="106" t="e">
        <f>H58*1000000/H59</f>
        <v>#DIV/0!</v>
      </c>
    </row>
    <row r="61" spans="1:11">
      <c r="A61" s="78" t="s">
        <v>12</v>
      </c>
      <c r="B61" s="78" t="s">
        <v>17638</v>
      </c>
      <c r="C61" s="80" t="s">
        <v>17639</v>
      </c>
      <c r="D61" s="78" t="s">
        <v>17640</v>
      </c>
      <c r="E61" s="24">
        <f>WACC!E38</f>
        <v>534941.39391245355</v>
      </c>
      <c r="F61" s="343" t="e">
        <f>E61/H61-1</f>
        <v>#DIV/0!</v>
      </c>
      <c r="G61" s="209">
        <f>E61-H61</f>
        <v>534941.39391245355</v>
      </c>
      <c r="H61" s="57"/>
    </row>
    <row r="64" spans="1:11" ht="17.25" thickBot="1"/>
    <row r="65" spans="4:9">
      <c r="D65" s="171"/>
      <c r="E65" s="172"/>
      <c r="F65" s="172"/>
      <c r="G65" s="172"/>
      <c r="H65" s="172"/>
      <c r="I65" s="173"/>
    </row>
    <row r="66" spans="4:9">
      <c r="D66" s="174" t="s">
        <v>37</v>
      </c>
      <c r="E66" s="170"/>
      <c r="F66" s="170"/>
      <c r="G66" s="170"/>
      <c r="H66" s="170"/>
      <c r="I66" s="175"/>
    </row>
    <row r="67" spans="4:9">
      <c r="D67" s="174" t="s">
        <v>38</v>
      </c>
      <c r="E67" s="170"/>
      <c r="F67" s="170"/>
      <c r="G67" s="170"/>
      <c r="H67" s="170"/>
      <c r="I67" s="175"/>
    </row>
    <row r="68" spans="4:9">
      <c r="D68" s="174" t="s">
        <v>39</v>
      </c>
      <c r="E68" s="170"/>
      <c r="F68" s="170"/>
      <c r="G68" s="170"/>
      <c r="H68" s="170"/>
      <c r="I68" s="175"/>
    </row>
    <row r="69" spans="4:9">
      <c r="D69" s="174" t="s">
        <v>40</v>
      </c>
      <c r="E69" s="170"/>
      <c r="F69" s="170"/>
      <c r="G69" s="170"/>
      <c r="H69" s="170"/>
      <c r="I69" s="175"/>
    </row>
    <row r="70" spans="4:9">
      <c r="D70" s="174" t="s">
        <v>41</v>
      </c>
      <c r="E70" s="170"/>
      <c r="F70" s="170"/>
      <c r="G70" s="170"/>
      <c r="H70" s="170"/>
      <c r="I70" s="175"/>
    </row>
    <row r="71" spans="4:9">
      <c r="D71" s="174" t="s">
        <v>42</v>
      </c>
      <c r="E71" s="170"/>
      <c r="F71" s="170"/>
      <c r="G71" s="170"/>
      <c r="H71" s="170"/>
      <c r="I71" s="175"/>
    </row>
    <row r="72" spans="4:9">
      <c r="D72" s="174" t="s">
        <v>43</v>
      </c>
      <c r="E72" s="170"/>
      <c r="F72" s="170"/>
      <c r="G72" s="170"/>
      <c r="H72" s="170"/>
      <c r="I72" s="175"/>
    </row>
    <row r="73" spans="4:9">
      <c r="D73" s="174" t="s">
        <v>44</v>
      </c>
      <c r="E73" s="170"/>
      <c r="F73" s="170"/>
      <c r="G73" s="170"/>
      <c r="H73" s="170"/>
      <c r="I73" s="175"/>
    </row>
    <row r="74" spans="4:9">
      <c r="D74" s="174" t="s">
        <v>45</v>
      </c>
      <c r="E74" s="170"/>
      <c r="F74" s="170"/>
      <c r="G74" s="170"/>
      <c r="H74" s="170"/>
      <c r="I74" s="175"/>
    </row>
    <row r="75" spans="4:9" ht="17.25" thickBot="1">
      <c r="D75" s="176" t="s">
        <v>46</v>
      </c>
      <c r="E75" s="177"/>
      <c r="F75" s="177"/>
      <c r="G75" s="177"/>
      <c r="H75" s="177"/>
      <c r="I75" s="178"/>
    </row>
  </sheetData>
  <sheetProtection selectLockedCells="1"/>
  <phoneticPr fontId="9" type="noConversion"/>
  <pageMargins left="0.7" right="0.7" top="0.75" bottom="0.75" header="0.3" footer="0.3"/>
  <pageSetup paperSize="9" orientation="portrait" horizontalDpi="1200" verticalDpi="1200" r:id="rId1"/>
  <ignoredErrors>
    <ignoredError sqref="G29:G48 K23" unlockedFormula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4" name="Spinner 2">
              <controlPr defaultSize="0" autoPict="0">
                <anchor>
                  <from>
                    <xdr:col>13</xdr:col>
                    <xdr:colOff>28575</xdr:colOff>
                    <xdr:row>3</xdr:row>
                    <xdr:rowOff>0</xdr:rowOff>
                  </from>
                  <to>
                    <xdr:col>13</xdr:col>
                    <xdr:colOff>238125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Q46"/>
  <sheetViews>
    <sheetView showGridLines="0" zoomScale="85" zoomScaleNormal="85" workbookViewId="0">
      <pane ySplit="1" topLeftCell="A2" activePane="bottomLeft" state="frozen"/>
      <selection activeCell="C1" sqref="C1"/>
      <selection pane="bottomLeft" activeCell="J18" sqref="J18"/>
    </sheetView>
  </sheetViews>
  <sheetFormatPr defaultColWidth="9" defaultRowHeight="16.5"/>
  <cols>
    <col min="1" max="2" width="9" style="2" hidden="1" customWidth="1"/>
    <col min="3" max="3" width="9" style="2"/>
    <col min="4" max="4" width="38.25" style="2" customWidth="1"/>
    <col min="5" max="18" width="10.625" style="2" customWidth="1"/>
    <col min="19" max="16384" width="9" style="2"/>
  </cols>
  <sheetData>
    <row r="1" spans="1:15">
      <c r="A1" s="107">
        <v>2</v>
      </c>
      <c r="B1" s="12"/>
      <c r="C1" s="12" t="s">
        <v>17641</v>
      </c>
      <c r="D1" s="12" t="s">
        <v>17642</v>
      </c>
      <c r="E1" s="12" t="s">
        <v>17647</v>
      </c>
      <c r="F1" s="12" t="s">
        <v>17648</v>
      </c>
      <c r="G1" s="12" t="s">
        <v>16476</v>
      </c>
      <c r="H1" s="12" t="s">
        <v>16478</v>
      </c>
      <c r="I1" s="12" t="s">
        <v>16480</v>
      </c>
      <c r="J1" s="12" t="s">
        <v>16483</v>
      </c>
      <c r="K1" s="12" t="s">
        <v>16829</v>
      </c>
      <c r="L1" s="438"/>
      <c r="O1" s="381"/>
    </row>
    <row r="2" spans="1:15">
      <c r="A2" s="12" t="s">
        <v>12</v>
      </c>
      <c r="B2" s="12" t="s">
        <v>11</v>
      </c>
      <c r="C2" s="12" t="s">
        <v>17643</v>
      </c>
      <c r="D2" s="2" t="s">
        <v>17644</v>
      </c>
      <c r="E2" s="2">
        <v>21993</v>
      </c>
      <c r="F2" s="2">
        <v>12855</v>
      </c>
      <c r="G2" s="2">
        <v>15182</v>
      </c>
      <c r="H2" s="2">
        <v>18162</v>
      </c>
      <c r="I2" s="2">
        <v>12194</v>
      </c>
      <c r="J2" s="2">
        <v>5015</v>
      </c>
      <c r="K2" s="51">
        <f>IF(TRIM($E$2)&lt;&gt;"",(($J$2/$E$2)^(1/5)-1)*100,(IF(TRIM($F$2)&lt;&gt;"",(($J$2/$F$2)^(1/4)-1)*100,(($J$2/$G$2)^(1/3)-1)*100)))</f>
        <v>-25.595827214793797</v>
      </c>
      <c r="L2" s="51"/>
      <c r="M2" s="51"/>
      <c r="N2" s="51"/>
    </row>
    <row r="3" spans="1:15">
      <c r="A3" s="12" t="s">
        <v>12</v>
      </c>
      <c r="B3" s="12" t="s">
        <v>16364</v>
      </c>
      <c r="C3" s="12" t="s">
        <v>17645</v>
      </c>
      <c r="D3" s="2" t="s">
        <v>17646</v>
      </c>
      <c r="K3" s="51">
        <f>IF(TRIM($F$3)&lt;&gt;"",$L$3,(IF(TRIM($G$3)&lt;&gt;"",$M$3,$N$3)))</f>
        <v>0</v>
      </c>
      <c r="L3" s="52">
        <f>(((1+$F$3/100)*(1+$G$3/100)*(1+$H$3/100)*(1+$I$3/100)*(1+$J$3/100))^(1/5)-1)*100</f>
        <v>0</v>
      </c>
      <c r="M3" s="52">
        <f>(((1+$G$3/100)*(1+$H$3/100)*(1+$I$3/100)*(1+$J$3/100))^(1/4)-1)*100</f>
        <v>0</v>
      </c>
      <c r="N3" s="52">
        <f>(((1+$H$3/100)*(1+$I$3/100)*(1+$J$3/100))^(1/3)-1)*100</f>
        <v>0</v>
      </c>
    </row>
    <row r="6" spans="1:15">
      <c r="E6" s="254" t="str">
        <f>MID(E7,1,8)</f>
        <v>20241231</v>
      </c>
      <c r="F6" s="254" t="str">
        <f t="shared" ref="F6:J6" si="0">MID(F7,1,8)</f>
        <v>20251231</v>
      </c>
      <c r="G6" s="254" t="str">
        <f t="shared" si="0"/>
        <v>20261231</v>
      </c>
      <c r="H6" s="254" t="str">
        <f t="shared" si="0"/>
        <v>20271231</v>
      </c>
      <c r="I6" s="254" t="str">
        <f t="shared" si="0"/>
        <v>20281231</v>
      </c>
      <c r="J6" s="254" t="str">
        <f t="shared" si="0"/>
        <v>20291231</v>
      </c>
      <c r="K6"/>
      <c r="M6" s="56" t="s">
        <v>0</v>
      </c>
      <c r="O6" s="329" t="s">
        <v>186</v>
      </c>
    </row>
    <row r="7" spans="1:15">
      <c r="A7" s="107">
        <v>2</v>
      </c>
      <c r="B7" s="12"/>
      <c r="C7" s="12" t="s">
        <v>17649</v>
      </c>
      <c r="D7" s="12" t="s">
        <v>17650</v>
      </c>
      <c r="E7" s="12" t="s">
        <v>17658</v>
      </c>
      <c r="F7" s="12" t="s">
        <v>17659</v>
      </c>
      <c r="G7" s="12" t="s">
        <v>17660</v>
      </c>
      <c r="H7" s="12" t="s">
        <v>17661</v>
      </c>
      <c r="I7" s="12" t="s">
        <v>17662</v>
      </c>
      <c r="J7" s="107" t="s">
        <v>17663</v>
      </c>
      <c r="K7"/>
      <c r="L7" s="436" t="s">
        <v>450</v>
      </c>
      <c r="M7" s="57">
        <f ca="1">+민감도!B7</f>
        <v>-13305399948.490595</v>
      </c>
      <c r="O7" s="434">
        <f>WACC!J39</f>
        <v>0</v>
      </c>
    </row>
    <row r="8" spans="1:15">
      <c r="A8" s="12" t="s">
        <v>12</v>
      </c>
      <c r="B8" s="12" t="s">
        <v>17651</v>
      </c>
      <c r="C8" s="12" t="s">
        <v>17652</v>
      </c>
      <c r="D8" s="2" t="s">
        <v>17653</v>
      </c>
      <c r="E8" s="2">
        <v>2.4860000000000002</v>
      </c>
      <c r="F8" s="2">
        <v>2.1659999999999999</v>
      </c>
      <c r="G8" s="2">
        <v>2.1589999999999998</v>
      </c>
      <c r="H8" s="2">
        <v>2.117</v>
      </c>
      <c r="I8" s="2">
        <v>2.1</v>
      </c>
      <c r="J8" s="205">
        <v>2.0379999999999998</v>
      </c>
      <c r="K8"/>
      <c r="L8" s="235">
        <f ca="1">AVERAGE(OFFSET($E$7,1,IF(LEFT(평가기준일,4)=LEFT($E$7,4),0,1),1,5))</f>
        <v>2.2056</v>
      </c>
      <c r="M8" s="298"/>
    </row>
    <row r="9" spans="1:15" ht="17.25" thickBot="1">
      <c r="A9" s="12" t="s">
        <v>17654</v>
      </c>
      <c r="B9" s="12" t="s">
        <v>17655</v>
      </c>
      <c r="C9" s="12" t="s">
        <v>17656</v>
      </c>
      <c r="D9" s="8" t="s">
        <v>17657</v>
      </c>
      <c r="E9" s="53">
        <f>IFERROR(HLOOKUP(E6,$J$16:$O$20,5,0),"")</f>
        <v>2.4860000000000002</v>
      </c>
      <c r="F9" s="53">
        <f t="shared" ref="F9:J9" si="1">IFERROR(HLOOKUP(F6,$J$16:$O$20,5,0),"")</f>
        <v>2.1659999999999999</v>
      </c>
      <c r="G9" s="53">
        <f t="shared" si="1"/>
        <v>2.1589999999999998</v>
      </c>
      <c r="H9" s="53">
        <f t="shared" si="1"/>
        <v>2.117</v>
      </c>
      <c r="I9" s="53">
        <f t="shared" si="1"/>
        <v>2.1</v>
      </c>
      <c r="J9" s="53">
        <f t="shared" si="1"/>
        <v>2.0379999999999998</v>
      </c>
      <c r="K9"/>
      <c r="L9" s="235">
        <f ca="1">AVERAGE(OFFSET($E$7,2,IF(LEFT(평가기준일,4)=LEFT($E$7,4),0,1),1,5))</f>
        <v>2.2056</v>
      </c>
      <c r="M9" s="490"/>
    </row>
    <row r="10" spans="1:15" ht="17.25" thickBot="1">
      <c r="D10" s="145" t="s">
        <v>69</v>
      </c>
      <c r="E10" s="211"/>
      <c r="F10" s="211"/>
      <c r="G10" s="211"/>
      <c r="H10" s="211"/>
      <c r="I10" s="211"/>
      <c r="J10" s="212"/>
      <c r="K10"/>
    </row>
    <row r="12" spans="1:15" ht="17.25" thickBot="1">
      <c r="D12" s="121" t="s">
        <v>49</v>
      </c>
      <c r="E12" s="122"/>
      <c r="F12" s="122"/>
      <c r="G12" s="122"/>
      <c r="H12" s="122"/>
      <c r="I12" s="122"/>
      <c r="J12" s="122"/>
      <c r="K12" s="122"/>
      <c r="L12" s="122"/>
      <c r="M12" s="122"/>
      <c r="N12" s="122"/>
    </row>
    <row r="13" spans="1:15" ht="69" customHeight="1" thickBot="1">
      <c r="D13" s="7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5" s="99" customFormat="1"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</row>
    <row r="15" spans="1:15" s="99" customFormat="1" ht="17.25" thickBot="1">
      <c r="M15" s="127"/>
      <c r="O15" s="127" t="s">
        <v>50</v>
      </c>
    </row>
    <row r="16" spans="1:15" s="99" customFormat="1">
      <c r="D16" s="124" t="s">
        <v>51</v>
      </c>
      <c r="E16" s="138" t="str">
        <f>F1</f>
        <v>20191231K</v>
      </c>
      <c r="F16" s="138" t="str">
        <f t="shared" ref="F16:H16" si="2">G1</f>
        <v>20201231K</v>
      </c>
      <c r="G16" s="138" t="str">
        <f t="shared" si="2"/>
        <v>20211231K</v>
      </c>
      <c r="H16" s="138" t="str">
        <f t="shared" si="2"/>
        <v>20221231K</v>
      </c>
      <c r="I16" s="138" t="str">
        <f>J1</f>
        <v>20231231K</v>
      </c>
      <c r="J16" s="135" t="str">
        <f>MID(I16,1,2)&amp;MID(I16,3,2)+1&amp;MID(I16,5,4)</f>
        <v>20241231</v>
      </c>
      <c r="K16" s="255" t="str">
        <f t="shared" ref="K16:O16" si="3">MID(J16,1,2)&amp;MID(J16,3,2)+1&amp;MID(J16,5,4)</f>
        <v>20251231</v>
      </c>
      <c r="L16" s="136" t="str">
        <f t="shared" si="3"/>
        <v>20261231</v>
      </c>
      <c r="M16" s="134" t="str">
        <f t="shared" si="3"/>
        <v>20271231</v>
      </c>
      <c r="N16" s="137" t="str">
        <f t="shared" si="3"/>
        <v>20281231</v>
      </c>
      <c r="O16" s="137" t="str">
        <f t="shared" si="3"/>
        <v>20291231</v>
      </c>
    </row>
    <row r="17" spans="4:17" s="99" customFormat="1">
      <c r="D17" s="128" t="s">
        <v>52</v>
      </c>
      <c r="E17" s="129">
        <f t="shared" ref="E17:H17" si="4">F2</f>
        <v>12855</v>
      </c>
      <c r="F17" s="129">
        <f t="shared" si="4"/>
        <v>15182</v>
      </c>
      <c r="G17" s="129">
        <f t="shared" si="4"/>
        <v>18162</v>
      </c>
      <c r="H17" s="129">
        <f t="shared" si="4"/>
        <v>12194</v>
      </c>
      <c r="I17" s="130">
        <f>J2</f>
        <v>5015</v>
      </c>
      <c r="J17" s="334">
        <f t="shared" ref="J17:O17" si="5">I17*(1+J18/100)</f>
        <v>5139.6729000000005</v>
      </c>
      <c r="K17" s="335">
        <f t="shared" si="5"/>
        <v>5250.9982150140004</v>
      </c>
      <c r="L17" s="336">
        <f t="shared" si="5"/>
        <v>5364.3672664761525</v>
      </c>
      <c r="M17" s="335">
        <f t="shared" si="5"/>
        <v>5477.9309215074518</v>
      </c>
      <c r="N17" s="335">
        <f t="shared" si="5"/>
        <v>5592.9674708591074</v>
      </c>
      <c r="O17" s="335">
        <f t="shared" si="5"/>
        <v>5706.9521479152163</v>
      </c>
    </row>
    <row r="18" spans="4:17" s="99" customFormat="1" ht="17.25" thickBot="1">
      <c r="D18" s="131" t="s">
        <v>53</v>
      </c>
      <c r="E18" s="132"/>
      <c r="F18" s="213">
        <f>(F17/E17-1)*100</f>
        <v>18.101905873201083</v>
      </c>
      <c r="G18" s="213">
        <f t="shared" ref="G18:I18" si="6">(G17/F17-1)*100</f>
        <v>19.628507443024645</v>
      </c>
      <c r="H18" s="213">
        <f t="shared" si="6"/>
        <v>-32.859817200748822</v>
      </c>
      <c r="I18" s="214">
        <f t="shared" si="6"/>
        <v>-58.873216335902903</v>
      </c>
      <c r="J18" s="337">
        <f>J20</f>
        <v>2.4860000000000002</v>
      </c>
      <c r="K18" s="338">
        <f t="shared" ref="K18:O18" si="7">K20</f>
        <v>2.1659999999999999</v>
      </c>
      <c r="L18" s="339">
        <f t="shared" si="7"/>
        <v>2.1589999999999998</v>
      </c>
      <c r="M18" s="338">
        <f t="shared" si="7"/>
        <v>2.117</v>
      </c>
      <c r="N18" s="338">
        <f t="shared" si="7"/>
        <v>2.1</v>
      </c>
      <c r="O18" s="338">
        <f t="shared" si="7"/>
        <v>2.0379999999999998</v>
      </c>
    </row>
    <row r="19" spans="4:17" s="99" customFormat="1">
      <c r="D19" s="123"/>
      <c r="E19" s="123"/>
      <c r="F19" s="123"/>
      <c r="G19" s="123"/>
      <c r="H19" s="123"/>
      <c r="I19" s="123"/>
      <c r="J19" s="340"/>
      <c r="K19" s="340"/>
      <c r="L19" s="340"/>
      <c r="M19" s="340"/>
      <c r="N19" s="340"/>
      <c r="O19" s="340"/>
    </row>
    <row r="20" spans="4:17" s="205" customFormat="1">
      <c r="E20" s="179" t="s">
        <v>47</v>
      </c>
      <c r="F20" s="179" t="s">
        <v>82</v>
      </c>
      <c r="G20" s="179" t="s">
        <v>48</v>
      </c>
      <c r="I20" s="154" t="s">
        <v>83</v>
      </c>
      <c r="J20" s="236">
        <f>SUMPRODUCT(J21:J25,$I$21:$I$25)/SUM($I$21:$I$25)</f>
        <v>2.4860000000000002</v>
      </c>
      <c r="K20" s="236">
        <f t="shared" ref="K20:O20" si="8">SUMPRODUCT(K21:K25,$I$21:$I$25)/SUM($I$21:$I$25)</f>
        <v>2.1659999999999999</v>
      </c>
      <c r="L20" s="236">
        <f t="shared" si="8"/>
        <v>2.1589999999999998</v>
      </c>
      <c r="M20" s="236">
        <f t="shared" si="8"/>
        <v>2.117</v>
      </c>
      <c r="N20" s="236">
        <f t="shared" si="8"/>
        <v>2.1</v>
      </c>
      <c r="O20" s="236">
        <f t="shared" si="8"/>
        <v>2.0379999999999998</v>
      </c>
    </row>
    <row r="21" spans="4:17" s="205" customFormat="1">
      <c r="E21" s="180">
        <f>100*((I17/F17)^(1/3)-1)</f>
        <v>-30.873062531447392</v>
      </c>
      <c r="F21" s="181">
        <f>(3*I18+2*H18+G18)/6</f>
        <v>-37.118462661030286</v>
      </c>
      <c r="G21" s="181">
        <f>AVERAGE(G18:I18)</f>
        <v>-24.034842031209024</v>
      </c>
      <c r="H21" s="237" t="s">
        <v>84</v>
      </c>
      <c r="I21" s="238">
        <v>1</v>
      </c>
      <c r="J21" s="239">
        <f>HLOOKUP($16:$16,$6:$8,3,0)</f>
        <v>2.4860000000000002</v>
      </c>
      <c r="K21" s="239">
        <f t="shared" ref="K21:O21" si="9">HLOOKUP($16:$16,$6:$8,3,0)</f>
        <v>2.1659999999999999</v>
      </c>
      <c r="L21" s="239">
        <f t="shared" si="9"/>
        <v>2.1589999999999998</v>
      </c>
      <c r="M21" s="239">
        <f t="shared" si="9"/>
        <v>2.117</v>
      </c>
      <c r="N21" s="239">
        <f t="shared" si="9"/>
        <v>2.1</v>
      </c>
      <c r="O21" s="239">
        <f t="shared" si="9"/>
        <v>2.0379999999999998</v>
      </c>
    </row>
    <row r="22" spans="4:17" s="205" customFormat="1">
      <c r="D22" s="146"/>
      <c r="E22" s="146"/>
      <c r="F22" s="146"/>
      <c r="G22" s="146"/>
      <c r="H22" s="240"/>
      <c r="I22" s="241"/>
      <c r="J22" s="341"/>
      <c r="K22" s="342">
        <f>$J$22</f>
        <v>0</v>
      </c>
      <c r="L22" s="342">
        <f t="shared" ref="L22:O22" si="10">$J$22</f>
        <v>0</v>
      </c>
      <c r="M22" s="342">
        <f t="shared" si="10"/>
        <v>0</v>
      </c>
      <c r="N22" s="342">
        <f t="shared" si="10"/>
        <v>0</v>
      </c>
      <c r="O22" s="342">
        <f t="shared" si="10"/>
        <v>0</v>
      </c>
    </row>
    <row r="23" spans="4:17" s="205" customFormat="1">
      <c r="H23" s="237"/>
      <c r="I23" s="238"/>
      <c r="J23" s="242"/>
      <c r="K23" s="239">
        <f>$J$23</f>
        <v>0</v>
      </c>
      <c r="L23" s="239">
        <f t="shared" ref="L23:O23" si="11">$J$23</f>
        <v>0</v>
      </c>
      <c r="M23" s="239">
        <f t="shared" si="11"/>
        <v>0</v>
      </c>
      <c r="N23" s="239">
        <f t="shared" si="11"/>
        <v>0</v>
      </c>
      <c r="O23" s="239">
        <f t="shared" si="11"/>
        <v>0</v>
      </c>
    </row>
    <row r="24" spans="4:17" s="205" customFormat="1">
      <c r="H24" s="96" t="s">
        <v>189</v>
      </c>
      <c r="I24" s="238"/>
      <c r="J24" s="242">
        <f>J28</f>
        <v>30.225818423151942</v>
      </c>
      <c r="K24" s="239">
        <f>K28</f>
        <v>-15.518093900913764</v>
      </c>
      <c r="L24" s="239">
        <f t="shared" ref="L24:N24" si="12">L28</f>
        <v>7.9670708976774565</v>
      </c>
      <c r="M24" s="239">
        <f t="shared" si="12"/>
        <v>-4.0903360357215952</v>
      </c>
      <c r="N24" s="239">
        <f t="shared" si="12"/>
        <v>2.1</v>
      </c>
      <c r="O24" s="239">
        <f>O28</f>
        <v>0</v>
      </c>
    </row>
    <row r="25" spans="4:17" s="205" customFormat="1">
      <c r="H25" s="96" t="s">
        <v>190</v>
      </c>
      <c r="I25" s="243"/>
      <c r="J25" s="244">
        <f t="shared" ref="J25:M25" si="13">J30</f>
        <v>0</v>
      </c>
      <c r="K25" s="245">
        <f t="shared" si="13"/>
        <v>0</v>
      </c>
      <c r="L25" s="245">
        <f t="shared" si="13"/>
        <v>0</v>
      </c>
      <c r="M25" s="245">
        <f t="shared" si="13"/>
        <v>0</v>
      </c>
      <c r="N25" s="245">
        <f>N30</f>
        <v>0</v>
      </c>
      <c r="O25" s="245">
        <f>O30</f>
        <v>0</v>
      </c>
    </row>
    <row r="26" spans="4:17" s="205" customFormat="1"/>
    <row r="27" spans="4:17" s="205" customFormat="1">
      <c r="I27" s="96" t="str">
        <f>LEFT(I16,4)&amp;"년"</f>
        <v>2023년</v>
      </c>
      <c r="J27" s="437" t="str">
        <f>LEFT(J16,4)&amp;"년"</f>
        <v>2024년</v>
      </c>
      <c r="P27" s="269" t="s">
        <v>187</v>
      </c>
      <c r="Q27" s="269" t="s">
        <v>188</v>
      </c>
    </row>
    <row r="28" spans="4:17" customFormat="1">
      <c r="H28" s="96" t="s">
        <v>191</v>
      </c>
      <c r="I28" s="330">
        <f>$I$18</f>
        <v>-58.873216335902903</v>
      </c>
      <c r="J28" s="331">
        <f>I28*$P$28</f>
        <v>30.225818423151942</v>
      </c>
      <c r="K28" s="332">
        <f>J28*$P$28</f>
        <v>-15.518093900913764</v>
      </c>
      <c r="L28" s="332">
        <f>K28*$P$28</f>
        <v>7.9670708976774565</v>
      </c>
      <c r="M28" s="332">
        <f>L28*$P$28</f>
        <v>-4.0903360357215952</v>
      </c>
      <c r="N28" s="333">
        <f>I8</f>
        <v>2.1</v>
      </c>
      <c r="P28" s="380">
        <f>IFERROR((N28/I28)^(1/Q28),"")</f>
        <v>-0.51340525122149994</v>
      </c>
      <c r="Q28" s="500">
        <v>5</v>
      </c>
    </row>
    <row r="29" spans="4:17" customFormat="1">
      <c r="H29" s="205"/>
      <c r="I29" s="205"/>
      <c r="J29" s="205"/>
      <c r="K29" s="205"/>
      <c r="L29" s="205"/>
      <c r="M29" s="205"/>
      <c r="N29" s="205"/>
      <c r="P29" s="205"/>
      <c r="Q29" s="205"/>
    </row>
    <row r="30" spans="4:17" customFormat="1">
      <c r="H30" s="96" t="s">
        <v>192</v>
      </c>
      <c r="I30" s="330">
        <f>$I$18</f>
        <v>-58.873216335902903</v>
      </c>
      <c r="J30" s="331">
        <f>I30*$P$30</f>
        <v>0</v>
      </c>
      <c r="K30" s="332">
        <f>J30*$P$30</f>
        <v>0</v>
      </c>
      <c r="L30" s="332">
        <f>K30*$P$30</f>
        <v>0</v>
      </c>
      <c r="M30" s="332">
        <f>L30*$P$30</f>
        <v>0</v>
      </c>
      <c r="N30" s="333">
        <v>0</v>
      </c>
      <c r="P30" s="380">
        <f>IFERROR((N30/I30)^(1/Q30),"")</f>
        <v>0</v>
      </c>
      <c r="Q30" s="500">
        <v>5</v>
      </c>
    </row>
    <row r="31" spans="4:17" customFormat="1"/>
    <row r="32" spans="4:17" customFormat="1">
      <c r="J32" s="435" t="str">
        <f>"*"&amp;LEFT(IS추정!I1,4)&amp;" 연환산성장률"</f>
        <v>*2023 연환산성장률</v>
      </c>
    </row>
    <row r="33" spans="10:10" customFormat="1">
      <c r="J33" s="439">
        <f>(IS추정!I14/IS추정!H14-1)*100</f>
        <v>0</v>
      </c>
    </row>
    <row r="34" spans="10:10" customFormat="1"/>
    <row r="35" spans="10:10" customFormat="1"/>
    <row r="36" spans="10:10" customFormat="1"/>
    <row r="37" spans="10:10" customFormat="1"/>
    <row r="38" spans="10:10" customFormat="1"/>
    <row r="39" spans="10:10" customFormat="1"/>
    <row r="40" spans="10:10" customFormat="1"/>
    <row r="41" spans="10:10" customFormat="1"/>
    <row r="42" spans="10:10" customFormat="1"/>
    <row r="43" spans="10:10" customFormat="1"/>
    <row r="44" spans="10:10" customFormat="1"/>
    <row r="45" spans="10:10" customFormat="1"/>
    <row r="46" spans="10:10" customFormat="1"/>
  </sheetData>
  <sheetProtection selectLockedCells="1"/>
  <mergeCells count="1">
    <mergeCell ref="D13:N13"/>
  </mergeCells>
  <phoneticPr fontId="3" type="noConversion"/>
  <pageMargins left="0.7" right="0.7" top="0.75" bottom="0.75" header="0.3" footer="0.3"/>
  <pageSetup paperSize="9" orientation="portrait" r:id="rId1"/>
  <ignoredErrors>
    <ignoredError sqref="D16:I16 D26:N26 D17:D25" evalError="1"/>
    <ignoredError sqref="E17:I20 E23:H23 E21:I21 E22:H22 E24:G25 I28:M28 I30:M30 J27 J33" evalError="1" unlockedFormula="1"/>
    <ignoredError sqref="E6:J6 I27 I29:N29 I31:O32 K27:O27 I33 K33:O33" unlocked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R81"/>
  <sheetViews>
    <sheetView showGridLines="0" zoomScale="85" zoomScaleNormal="85" workbookViewId="0">
      <selection activeCell="B7" sqref="B7"/>
    </sheetView>
  </sheetViews>
  <sheetFormatPr defaultRowHeight="16.5"/>
  <cols>
    <col min="1" max="1" width="50.625" style="204" customWidth="1"/>
    <col min="2" max="2" width="12.625" style="204" customWidth="1"/>
    <col min="3" max="12" width="12.625" customWidth="1"/>
    <col min="18" max="18" width="9.75" customWidth="1"/>
    <col min="20" max="20" width="9.75" customWidth="1"/>
  </cols>
  <sheetData>
    <row r="1" spans="1:15" ht="33">
      <c r="A1" s="628" t="s">
        <v>80</v>
      </c>
      <c r="B1" s="633" t="s">
        <v>695</v>
      </c>
      <c r="C1" s="633" t="s">
        <v>692</v>
      </c>
      <c r="D1" s="634" t="s">
        <v>694</v>
      </c>
      <c r="E1" s="205"/>
      <c r="F1" s="628" t="s">
        <v>691</v>
      </c>
      <c r="G1" s="629">
        <f ca="1">+B56</f>
        <v>1.23</v>
      </c>
      <c r="H1" s="629">
        <f ca="1">+B57</f>
        <v>2.23</v>
      </c>
      <c r="I1" s="630">
        <f ca="1">+B58</f>
        <v>3.23</v>
      </c>
    </row>
    <row r="2" spans="1:15">
      <c r="A2" s="635" t="s">
        <v>692</v>
      </c>
      <c r="B2" s="576" t="e">
        <f t="array" aca="1" ref="B2:D4" ca="1">TRANSPOSE(C56:E58)</f>
        <v>#N/A</v>
      </c>
      <c r="C2" s="576" t="e">
        <f ca="1"/>
        <v>#N/A</v>
      </c>
      <c r="D2" s="577" t="e">
        <f ca="1"/>
        <v>#N/A</v>
      </c>
      <c r="E2" s="205"/>
      <c r="F2" s="631" t="str">
        <f>+C46</f>
        <v>0.0%</v>
      </c>
      <c r="G2" s="576" t="e">
        <f t="shared" ref="G2:I4" ca="1" si="0">B2</f>
        <v>#N/A</v>
      </c>
      <c r="H2" s="576" t="e">
        <f t="shared" ca="1" si="0"/>
        <v>#N/A</v>
      </c>
      <c r="I2" s="577" t="e">
        <f t="shared" ca="1" si="0"/>
        <v>#N/A</v>
      </c>
    </row>
    <row r="3" spans="1:15">
      <c r="A3" s="635" t="s">
        <v>693</v>
      </c>
      <c r="B3" s="576" t="e">
        <f ca="1"/>
        <v>#N/A</v>
      </c>
      <c r="C3" s="576" t="e">
        <f ca="1"/>
        <v>#N/A</v>
      </c>
      <c r="D3" s="577" t="e">
        <f ca="1"/>
        <v>#N/A</v>
      </c>
      <c r="E3" s="205"/>
      <c r="F3" s="631" t="str">
        <f>+D46</f>
        <v>0.5%</v>
      </c>
      <c r="G3" s="576" t="e">
        <f t="shared" ca="1" si="0"/>
        <v>#N/A</v>
      </c>
      <c r="H3" s="576" t="e">
        <f t="shared" ca="1" si="0"/>
        <v>#N/A</v>
      </c>
      <c r="I3" s="577" t="e">
        <f t="shared" ca="1" si="0"/>
        <v>#N/A</v>
      </c>
    </row>
    <row r="4" spans="1:15" ht="17.25" thickBot="1">
      <c r="A4" s="636" t="s">
        <v>694</v>
      </c>
      <c r="B4" s="578" t="e">
        <f ca="1"/>
        <v>#N/A</v>
      </c>
      <c r="C4" s="622" t="e">
        <f ca="1"/>
        <v>#N/A</v>
      </c>
      <c r="D4" s="579" t="e">
        <f ca="1"/>
        <v>#N/A</v>
      </c>
      <c r="E4" s="575"/>
      <c r="F4" s="632" t="str">
        <f>+E46</f>
        <v>1.0%</v>
      </c>
      <c r="G4" s="578" t="e">
        <f t="shared" ca="1" si="0"/>
        <v>#N/A</v>
      </c>
      <c r="H4" s="622" t="e">
        <f t="shared" ca="1" si="0"/>
        <v>#N/A</v>
      </c>
      <c r="I4" s="579" t="e">
        <f t="shared" ca="1" si="0"/>
        <v>#N/A</v>
      </c>
    </row>
    <row r="5" spans="1:15">
      <c r="C5" s="205"/>
      <c r="D5" s="205"/>
      <c r="E5" s="205"/>
      <c r="F5" s="205"/>
      <c r="G5" s="205"/>
      <c r="H5" s="205"/>
      <c r="I5" s="205"/>
    </row>
    <row r="6" spans="1:15">
      <c r="A6" s="226" t="s">
        <v>662</v>
      </c>
      <c r="B6" s="571" t="str">
        <f>평가기준일</f>
        <v>2024-12-31</v>
      </c>
      <c r="G6" s="205"/>
      <c r="H6" s="205"/>
      <c r="I6" s="205"/>
    </row>
    <row r="7" spans="1:15">
      <c r="A7" s="572" t="s">
        <v>663</v>
      </c>
      <c r="B7" s="573">
        <f ca="1">FCF추정!E60</f>
        <v>-13305399948.490595</v>
      </c>
      <c r="G7" s="205"/>
      <c r="H7" s="205"/>
      <c r="I7" s="205"/>
    </row>
    <row r="8" spans="1:15">
      <c r="A8" s="205"/>
      <c r="B8" s="205"/>
      <c r="G8" s="205"/>
      <c r="H8" s="205"/>
      <c r="I8" s="205"/>
    </row>
    <row r="9" spans="1:15">
      <c r="A9" s="574" t="s">
        <v>664</v>
      </c>
      <c r="B9" s="621">
        <v>0</v>
      </c>
      <c r="G9" s="205"/>
      <c r="H9" s="205"/>
      <c r="I9" s="205"/>
    </row>
    <row r="10" spans="1:15">
      <c r="C10" s="205"/>
      <c r="D10" s="205"/>
      <c r="E10" s="580"/>
      <c r="F10" s="205"/>
      <c r="G10" s="205"/>
      <c r="H10" s="205"/>
      <c r="I10" s="205"/>
    </row>
    <row r="11" spans="1:15">
      <c r="A11" s="625" t="s">
        <v>689</v>
      </c>
      <c r="B11" s="627" t="str">
        <f>IF(Settings!E24="","",IF(Settings!E24=0,"청산가정은 민감도 산출 불가",""))</f>
        <v/>
      </c>
      <c r="C11" s="582"/>
      <c r="D11" s="581"/>
      <c r="E11" s="581"/>
      <c r="F11" s="581"/>
      <c r="G11" s="581"/>
      <c r="I11" s="641" t="s">
        <v>193</v>
      </c>
      <c r="J11" s="642" t="s">
        <v>703</v>
      </c>
      <c r="K11" s="642" t="s">
        <v>194</v>
      </c>
      <c r="L11" s="643" t="s">
        <v>704</v>
      </c>
    </row>
    <row r="12" spans="1:15">
      <c r="A12" s="205"/>
      <c r="B12" s="205"/>
      <c r="C12" s="205"/>
      <c r="D12" s="205"/>
      <c r="E12" s="205"/>
      <c r="F12" s="205"/>
      <c r="G12" s="205"/>
      <c r="I12" s="639">
        <v>0</v>
      </c>
      <c r="J12" s="637">
        <v>9.9</v>
      </c>
      <c r="K12" s="204">
        <v>0</v>
      </c>
      <c r="L12" s="640" t="s">
        <v>705</v>
      </c>
    </row>
    <row r="13" spans="1:15">
      <c r="A13" s="583" t="s">
        <v>665</v>
      </c>
      <c r="B13" s="205"/>
      <c r="C13" s="205"/>
      <c r="D13" s="205"/>
      <c r="E13" s="205"/>
      <c r="F13" s="205"/>
      <c r="I13" s="639">
        <v>200</v>
      </c>
      <c r="J13" s="637">
        <v>20.900000000000002</v>
      </c>
      <c r="K13" s="638">
        <v>22</v>
      </c>
      <c r="L13" s="640" t="s">
        <v>701</v>
      </c>
      <c r="O13" s="204"/>
    </row>
    <row r="14" spans="1:15">
      <c r="A14" s="437" t="s">
        <v>666</v>
      </c>
      <c r="B14" s="205"/>
      <c r="C14" s="205"/>
      <c r="D14" s="205"/>
      <c r="E14" s="205"/>
      <c r="F14" s="205"/>
      <c r="I14" s="639">
        <v>20000</v>
      </c>
      <c r="J14" s="637">
        <v>23.1</v>
      </c>
      <c r="K14" s="638">
        <v>462</v>
      </c>
      <c r="L14" s="640" t="s">
        <v>702</v>
      </c>
      <c r="O14" s="204"/>
    </row>
    <row r="15" spans="1:15">
      <c r="A15" s="437" t="s">
        <v>699</v>
      </c>
      <c r="B15" s="653">
        <f ca="1">OFFSET(FCF추정!$C$1,민감도!B76-1,민감도!B73-1)</f>
        <v>4.5</v>
      </c>
      <c r="C15" s="205"/>
      <c r="D15" s="345"/>
      <c r="E15" s="205"/>
      <c r="F15" s="205"/>
      <c r="I15" s="639">
        <v>300000</v>
      </c>
      <c r="J15" s="644">
        <v>26.400000000000002</v>
      </c>
      <c r="K15" s="639">
        <v>10362</v>
      </c>
      <c r="L15" s="640" t="s">
        <v>706</v>
      </c>
      <c r="O15" s="204"/>
    </row>
    <row r="16" spans="1:15">
      <c r="A16" s="437" t="s">
        <v>708</v>
      </c>
      <c r="B16" s="584">
        <f ca="1">OFFSET(FCF추정!$C$1,민감도!B75-1,민감도!B73-1)</f>
        <v>-4366222</v>
      </c>
      <c r="C16" s="580"/>
      <c r="D16" s="205"/>
      <c r="E16" s="205"/>
      <c r="F16" s="205"/>
      <c r="I16" s="2"/>
      <c r="J16" s="2"/>
      <c r="K16" s="2"/>
      <c r="L16" s="2"/>
    </row>
    <row r="17" spans="1:18" s="204" customFormat="1">
      <c r="C17" s="580"/>
      <c r="D17" s="205"/>
      <c r="E17" s="205"/>
      <c r="F17" s="205"/>
      <c r="I17" s="2"/>
      <c r="J17" s="205" t="s">
        <v>709</v>
      </c>
      <c r="K17" s="2"/>
      <c r="L17" s="2"/>
    </row>
    <row r="18" spans="1:18">
      <c r="A18" s="205"/>
      <c r="B18" s="345"/>
      <c r="C18" s="205"/>
      <c r="D18" s="205"/>
      <c r="E18" s="205"/>
      <c r="F18" s="205"/>
      <c r="J18" t="s">
        <v>713</v>
      </c>
    </row>
    <row r="19" spans="1:18" ht="17.25" thickBot="1">
      <c r="A19" s="585" t="s">
        <v>373</v>
      </c>
      <c r="B19" s="585" t="s">
        <v>667</v>
      </c>
      <c r="C19" s="585" t="str">
        <f>TEXT(C46,"0.00%")</f>
        <v>0.00%</v>
      </c>
      <c r="D19" s="585" t="str">
        <f>TEXT(D46,"0.00%")</f>
        <v>0.50%</v>
      </c>
      <c r="E19" s="585" t="str">
        <f>TEXT(E46,"0.00%")</f>
        <v>1.00%</v>
      </c>
      <c r="F19" s="205"/>
    </row>
    <row r="20" spans="1:18">
      <c r="A20" s="586" t="s">
        <v>419</v>
      </c>
      <c r="B20" s="587">
        <f ca="1">+B31</f>
        <v>1.234691985513519</v>
      </c>
      <c r="C20" s="588">
        <f ca="1">OFFSET(FCF추정!$C$1,B78-1,민감도!B73-1)*(1+C$19)</f>
        <v>4173</v>
      </c>
      <c r="D20" s="588">
        <f ca="1">OFFSET(FCF추정!$C$1,B78-1,민감도!B73-1)*(1+D$19)</f>
        <v>4193.8649999999998</v>
      </c>
      <c r="E20" s="588">
        <f ca="1">OFFSET(FCF추정!$C$1,B78-1,민감도!B73-1)*(1+E$19)</f>
        <v>4214.7300000000005</v>
      </c>
      <c r="F20" s="205"/>
    </row>
    <row r="21" spans="1:18">
      <c r="A21" s="586" t="s">
        <v>425</v>
      </c>
      <c r="B21" s="587">
        <f ca="1">+B32</f>
        <v>2.234691985513519</v>
      </c>
      <c r="C21" s="588">
        <f ca="1">OFFSET(FCF추정!$C$1,B79-1,민감도!B73-1)*(1+C$19)</f>
        <v>806</v>
      </c>
      <c r="D21" s="588">
        <f ca="1">OFFSET(FCF추정!$C$1,B79-1,민감도!B73-1)*(1+D$19)</f>
        <v>810.02999999999986</v>
      </c>
      <c r="E21" s="588">
        <f ca="1">OFFSET(FCF추정!$C$1,B79-1,민감도!B73-1)*(1+E$19)</f>
        <v>814.06000000000006</v>
      </c>
      <c r="F21" s="205"/>
    </row>
    <row r="22" spans="1:18">
      <c r="A22" s="586" t="s">
        <v>431</v>
      </c>
      <c r="B22" s="587">
        <f ca="1">+B33</f>
        <v>3.234691985513519</v>
      </c>
      <c r="C22" s="588">
        <f ca="1">OFFSET(FCF추정!$C$1,B80-1,민감도!B73-1)*(1+C$19)</f>
        <v>3367</v>
      </c>
      <c r="D22" s="588">
        <f ca="1">OFFSET(FCF추정!$C$1,B80-1,민감도!B73-1)*(1+D$19)</f>
        <v>3383.8349999999996</v>
      </c>
      <c r="E22" s="588">
        <f ca="1">OFFSET(FCF추정!$C$1,B80-1,민감도!B73-1)*(1+E$19)</f>
        <v>3400.67</v>
      </c>
      <c r="F22" s="205"/>
    </row>
    <row r="23" spans="1:18">
      <c r="A23" s="586" t="s">
        <v>668</v>
      </c>
      <c r="B23" s="589" t="s">
        <v>10</v>
      </c>
      <c r="C23" s="588">
        <f ca="1">C22-OFFSET(FCF추정!$C$1,B80-1,B73-1)</f>
        <v>0</v>
      </c>
      <c r="D23" s="588">
        <f ca="1">D22-OFFSET(FCF추정!$C$1,B80-1,B73-1)</f>
        <v>16.834999999999582</v>
      </c>
      <c r="E23" s="588">
        <f ca="1">E22-OFFSET(FCF추정!$C$1,B80-1,B73-1)</f>
        <v>33.670000000000073</v>
      </c>
      <c r="F23" s="205"/>
    </row>
    <row r="24" spans="1:18" s="204" customFormat="1">
      <c r="A24" s="586" t="s">
        <v>700</v>
      </c>
      <c r="B24" s="589" t="s">
        <v>10</v>
      </c>
      <c r="C24" s="588" t="e">
        <f ca="1">+$B$16*(1+C19)*(1-VLOOKUP($B$16,법인세[],2)/100)+VLOOKUP($B$16,법인세[],3)</f>
        <v>#N/A</v>
      </c>
      <c r="D24" s="588" t="e">
        <f ca="1">+$B$16*(1+D19)*(1-VLOOKUP($B$16,법인세[],2)/100)+VLOOKUP($B$16,법인세[],3)</f>
        <v>#N/A</v>
      </c>
      <c r="E24" s="588" t="e">
        <f ca="1">+$B$16*(1+E19)*(1-VLOOKUP($B$16,법인세[],2)/100)+VLOOKUP($B$16,법인세[],3)</f>
        <v>#N/A</v>
      </c>
      <c r="F24" s="205"/>
      <c r="L24"/>
      <c r="M24"/>
      <c r="N24"/>
      <c r="O24"/>
      <c r="P24"/>
      <c r="Q24"/>
      <c r="R24"/>
    </row>
    <row r="25" spans="1:18">
      <c r="A25" s="205"/>
      <c r="B25" s="205"/>
      <c r="C25" s="205"/>
      <c r="D25" s="205"/>
      <c r="E25" s="205"/>
      <c r="F25" s="205"/>
      <c r="G25" s="205"/>
    </row>
    <row r="26" spans="1:18" ht="17.25" thickBot="1">
      <c r="A26" s="585" t="s">
        <v>373</v>
      </c>
      <c r="B26" s="624"/>
      <c r="C26" s="585"/>
      <c r="D26" s="585"/>
      <c r="E26" s="585"/>
      <c r="F26" s="585"/>
      <c r="G26" s="585"/>
    </row>
    <row r="27" spans="1:18">
      <c r="A27" s="590" t="s">
        <v>669</v>
      </c>
      <c r="B27" s="590"/>
      <c r="C27" s="591" t="str">
        <f>+FCF추정!F22</f>
        <v>2025-12-31</v>
      </c>
      <c r="D27" s="591" t="str">
        <f>+FCF추정!G22</f>
        <v>2026-12-31</v>
      </c>
      <c r="E27" s="591" t="str">
        <f>+FCF추정!H22</f>
        <v>2027-12-31</v>
      </c>
      <c r="F27" s="591" t="str">
        <f>+FCF추정!I22</f>
        <v>2028-12-31</v>
      </c>
      <c r="G27" s="591" t="str">
        <f>+FCF추정!J22</f>
        <v>2029-12-31</v>
      </c>
    </row>
    <row r="28" spans="1:18">
      <c r="A28" s="592" t="s">
        <v>670</v>
      </c>
      <c r="B28" s="592"/>
      <c r="C28" s="593">
        <f>YEARFRAC(B6,C27,1)</f>
        <v>1</v>
      </c>
      <c r="D28" s="593">
        <f t="shared" ref="D28:G28" si="1">YEARFRAC(C27,D27,1)</f>
        <v>1</v>
      </c>
      <c r="E28" s="593">
        <f t="shared" si="1"/>
        <v>1</v>
      </c>
      <c r="F28" s="593">
        <f t="shared" si="1"/>
        <v>1</v>
      </c>
      <c r="G28" s="593">
        <f t="shared" si="1"/>
        <v>1</v>
      </c>
    </row>
    <row r="29" spans="1:18">
      <c r="A29" s="121" t="s">
        <v>5</v>
      </c>
      <c r="B29" s="121"/>
      <c r="C29" s="594">
        <f>FCF추정!F24</f>
        <v>0.5</v>
      </c>
      <c r="D29" s="594">
        <f>FCF추정!G24</f>
        <v>1.5</v>
      </c>
      <c r="E29" s="594">
        <f>FCF추정!H24</f>
        <v>2.5</v>
      </c>
      <c r="F29" s="594">
        <f>FCF추정!I24</f>
        <v>3.5</v>
      </c>
      <c r="G29" s="594">
        <f>FCF추정!J24</f>
        <v>4.5</v>
      </c>
    </row>
    <row r="30" spans="1:18">
      <c r="A30" s="205"/>
      <c r="B30" s="595" t="s">
        <v>6</v>
      </c>
      <c r="C30" s="205"/>
      <c r="D30" s="205"/>
      <c r="E30" s="205"/>
      <c r="F30" s="205"/>
      <c r="G30" s="205"/>
    </row>
    <row r="31" spans="1:18">
      <c r="A31" s="596"/>
      <c r="B31" s="597">
        <f ca="1">+B32-1</f>
        <v>1.234691985513519</v>
      </c>
      <c r="C31" s="598">
        <f t="shared" ref="C31:G33" ca="1" si="2">1/(1+$B31/100)^C$29</f>
        <v>0.99388312556728431</v>
      </c>
      <c r="D31" s="598">
        <f t="shared" ca="1" si="2"/>
        <v>0.98176139629042081</v>
      </c>
      <c r="E31" s="598">
        <f t="shared" ca="1" si="2"/>
        <v>0.96978750765687005</v>
      </c>
      <c r="F31" s="598">
        <f t="shared" ca="1" si="2"/>
        <v>0.95795965655295801</v>
      </c>
      <c r="G31" s="598">
        <f t="shared" ca="1" si="2"/>
        <v>0.94627606185638435</v>
      </c>
    </row>
    <row r="32" spans="1:18">
      <c r="A32" s="599" t="s">
        <v>7</v>
      </c>
      <c r="B32" s="597">
        <f ca="1">+B40</f>
        <v>2.234691985513519</v>
      </c>
      <c r="C32" s="598">
        <f t="shared" ca="1" si="2"/>
        <v>0.98901038881965342</v>
      </c>
      <c r="D32" s="598">
        <f t="shared" ca="1" si="2"/>
        <v>0.96739215388822664</v>
      </c>
      <c r="E32" s="598">
        <f t="shared" ca="1" si="2"/>
        <v>0.94624646008157809</v>
      </c>
      <c r="F32" s="598">
        <f t="shared" ca="1" si="2"/>
        <v>0.92556297838277812</v>
      </c>
      <c r="G32" s="598">
        <f t="shared" ca="1" si="2"/>
        <v>0.9053316055512044</v>
      </c>
    </row>
    <row r="33" spans="1:7">
      <c r="A33" s="596"/>
      <c r="B33" s="597">
        <f ca="1">+B32+1</f>
        <v>3.234691985513519</v>
      </c>
      <c r="C33" s="598">
        <f t="shared" ca="1" si="2"/>
        <v>0.98420862550795163</v>
      </c>
      <c r="D33" s="598">
        <f t="shared" ca="1" si="2"/>
        <v>0.95337004119318869</v>
      </c>
      <c r="E33" s="598">
        <f t="shared" ca="1" si="2"/>
        <v>0.92349773400493207</v>
      </c>
      <c r="F33" s="598">
        <f t="shared" ca="1" si="2"/>
        <v>0.89456142721336607</v>
      </c>
      <c r="G33" s="598">
        <f t="shared" ca="1" si="2"/>
        <v>0.86653179276099945</v>
      </c>
    </row>
    <row r="34" spans="1:7">
      <c r="A34" s="600" t="s">
        <v>8</v>
      </c>
      <c r="B34" s="88" t="s">
        <v>10</v>
      </c>
      <c r="C34" s="601">
        <f>FCF추정!F20</f>
        <v>-213749</v>
      </c>
      <c r="D34" s="601">
        <f>FCF추정!G20</f>
        <v>-1160250</v>
      </c>
      <c r="E34" s="601">
        <f>FCF추정!H20</f>
        <v>-7605012</v>
      </c>
      <c r="F34" s="601">
        <f>FCF추정!I20</f>
        <v>-52647457</v>
      </c>
      <c r="G34" s="601">
        <f>FCF추정!J20</f>
        <v>-369523590</v>
      </c>
    </row>
    <row r="35" spans="1:7">
      <c r="A35" s="602"/>
      <c r="B35" s="603">
        <f ca="1">B47</f>
        <v>1.234691985513519</v>
      </c>
      <c r="C35" s="604">
        <f t="shared" ref="C35:G37" ca="1" si="3">+C$34*C31*C$28</f>
        <v>-212441.52420688144</v>
      </c>
      <c r="D35" s="604">
        <f t="shared" ca="1" si="3"/>
        <v>-1139088.6600459607</v>
      </c>
      <c r="E35" s="604">
        <f t="shared" ca="1" si="3"/>
        <v>-7375245.6331805885</v>
      </c>
      <c r="F35" s="604">
        <f t="shared" ca="1" si="3"/>
        <v>-50434139.826106623</v>
      </c>
      <c r="G35" s="604">
        <f t="shared" ca="1" si="3"/>
        <v>-349671327.50823319</v>
      </c>
    </row>
    <row r="36" spans="1:7">
      <c r="A36" s="605" t="s">
        <v>9</v>
      </c>
      <c r="B36" s="597">
        <f ca="1">B48</f>
        <v>2.234691985513519</v>
      </c>
      <c r="C36" s="604">
        <f t="shared" ca="1" si="3"/>
        <v>-211399.9815998121</v>
      </c>
      <c r="D36" s="604">
        <f t="shared" ca="1" si="3"/>
        <v>-1122416.7465488149</v>
      </c>
      <c r="E36" s="604">
        <f t="shared" ca="1" si="3"/>
        <v>-7196215.6838779226</v>
      </c>
      <c r="F36" s="604">
        <f t="shared" ca="1" si="3"/>
        <v>-48728537.10519924</v>
      </c>
      <c r="G36" s="604">
        <f t="shared" ca="1" si="3"/>
        <v>-334541385.023745</v>
      </c>
    </row>
    <row r="37" spans="1:7">
      <c r="A37" s="602"/>
      <c r="B37" s="603">
        <f ca="1">B49</f>
        <v>3.234691985513519</v>
      </c>
      <c r="C37" s="604">
        <f t="shared" ca="1" si="3"/>
        <v>-210373.60949369916</v>
      </c>
      <c r="D37" s="604">
        <f t="shared" ca="1" si="3"/>
        <v>-1106147.5902943972</v>
      </c>
      <c r="E37" s="604">
        <f t="shared" ca="1" si="3"/>
        <v>-7023211.3490803167</v>
      </c>
      <c r="F37" s="604">
        <f t="shared" ca="1" si="3"/>
        <v>-47096384.273074321</v>
      </c>
      <c r="G37" s="604">
        <f t="shared" ca="1" si="3"/>
        <v>-320203938.91018051</v>
      </c>
    </row>
    <row r="38" spans="1:7">
      <c r="A38" s="205"/>
      <c r="B38"/>
    </row>
    <row r="39" spans="1:7" ht="17.25" thickBot="1">
      <c r="A39" s="585" t="s">
        <v>373</v>
      </c>
      <c r="B39" s="585" t="s">
        <v>671</v>
      </c>
      <c r="C39" s="205"/>
      <c r="D39" s="205"/>
      <c r="E39" s="205"/>
      <c r="F39" s="205"/>
      <c r="G39" s="205"/>
    </row>
    <row r="40" spans="1:7">
      <c r="A40" s="226" t="s">
        <v>672</v>
      </c>
      <c r="B40" s="44">
        <f ca="1">+WACC!E35</f>
        <v>2.234691985513519</v>
      </c>
      <c r="C40" s="205"/>
      <c r="D40" s="205"/>
      <c r="E40" s="205"/>
      <c r="F40" s="205"/>
      <c r="G40" s="205"/>
    </row>
    <row r="41" spans="1:7">
      <c r="A41" s="226" t="s">
        <v>673</v>
      </c>
      <c r="B41" s="102">
        <f>+FCF추정!E54</f>
        <v>8371</v>
      </c>
      <c r="C41" s="205"/>
      <c r="D41" s="205"/>
      <c r="E41" s="205"/>
      <c r="F41" s="205"/>
      <c r="G41" s="205"/>
    </row>
    <row r="42" spans="1:7">
      <c r="A42" s="226" t="s">
        <v>674</v>
      </c>
      <c r="B42" s="102">
        <f>+FCF추정!E56</f>
        <v>33838</v>
      </c>
      <c r="C42" s="205"/>
      <c r="D42" s="205"/>
      <c r="E42" s="205"/>
      <c r="F42" s="205"/>
      <c r="G42" s="205"/>
    </row>
    <row r="43" spans="1:7">
      <c r="A43" s="226" t="s">
        <v>675</v>
      </c>
      <c r="B43" s="102">
        <f>+FCF추정!E57</f>
        <v>326</v>
      </c>
      <c r="C43" s="205"/>
      <c r="D43" s="205"/>
      <c r="E43" s="205"/>
      <c r="F43" s="205"/>
      <c r="G43" s="205"/>
    </row>
    <row r="44" spans="1:7">
      <c r="A44" s="226" t="s">
        <v>687</v>
      </c>
      <c r="B44" s="29">
        <f>+FCF추정!E59</f>
        <v>42743</v>
      </c>
      <c r="C44" s="205"/>
      <c r="D44" s="205"/>
      <c r="E44" s="205"/>
      <c r="F44" s="580"/>
      <c r="G44" s="205"/>
    </row>
    <row r="45" spans="1:7">
      <c r="A45" s="205"/>
      <c r="B45" s="205"/>
      <c r="C45" s="205"/>
      <c r="D45" s="205"/>
      <c r="E45" s="205"/>
      <c r="F45" s="205"/>
      <c r="G45" s="205"/>
    </row>
    <row r="46" spans="1:7" ht="17.25" thickBot="1">
      <c r="A46" s="606" t="s">
        <v>373</v>
      </c>
      <c r="B46" s="606" t="s">
        <v>711</v>
      </c>
      <c r="C46" s="607" t="str">
        <f>TEXT(IF(B9=0,0%,0%),"0.0%")</f>
        <v>0.0%</v>
      </c>
      <c r="D46" s="607" t="str">
        <f>TEXT(IF(B9=0,0.5%,B9/100),"0.0%")</f>
        <v>0.5%</v>
      </c>
      <c r="E46" s="607" t="str">
        <f>TEXT(IF(B9=0,1%,2%),"0.0%")</f>
        <v>1.0%</v>
      </c>
      <c r="F46" s="205"/>
      <c r="G46" s="583" t="s">
        <v>712</v>
      </c>
    </row>
    <row r="47" spans="1:7">
      <c r="A47" s="608"/>
      <c r="B47" s="609">
        <f ca="1">+B32-1</f>
        <v>1.234691985513519</v>
      </c>
      <c r="C47" s="610" t="e">
        <f t="shared" ref="C47:E49" ca="1" si="4">((C$24-C$23)/($B31/100-C$46))*$G47</f>
        <v>#N/A</v>
      </c>
      <c r="D47" s="610" t="e">
        <f t="shared" ca="1" si="4"/>
        <v>#N/A</v>
      </c>
      <c r="E47" s="610" t="e">
        <f t="shared" ca="1" si="4"/>
        <v>#N/A</v>
      </c>
      <c r="F47" s="205"/>
      <c r="G47" s="652">
        <f ca="1">1/(1+(B47/100))^$B$15</f>
        <v>0.94627606185638435</v>
      </c>
    </row>
    <row r="48" spans="1:7">
      <c r="A48" s="608" t="s">
        <v>676</v>
      </c>
      <c r="B48" s="609">
        <f ca="1">+B32</f>
        <v>2.234691985513519</v>
      </c>
      <c r="C48" s="610" t="e">
        <f t="shared" ca="1" si="4"/>
        <v>#N/A</v>
      </c>
      <c r="D48" s="610" t="e">
        <f t="shared" ca="1" si="4"/>
        <v>#N/A</v>
      </c>
      <c r="E48" s="610" t="e">
        <f t="shared" ca="1" si="4"/>
        <v>#N/A</v>
      </c>
      <c r="F48" s="205"/>
      <c r="G48" s="652">
        <f ca="1">1/(1+(B48/100))^$B$15</f>
        <v>0.9053316055512044</v>
      </c>
    </row>
    <row r="49" spans="1:7">
      <c r="A49" s="611"/>
      <c r="B49" s="609">
        <f ca="1">+B32+1</f>
        <v>3.234691985513519</v>
      </c>
      <c r="C49" s="610" t="e">
        <f t="shared" ca="1" si="4"/>
        <v>#N/A</v>
      </c>
      <c r="D49" s="610" t="e">
        <f t="shared" ca="1" si="4"/>
        <v>#N/A</v>
      </c>
      <c r="E49" s="610" t="e">
        <f t="shared" ca="1" si="4"/>
        <v>#N/A</v>
      </c>
      <c r="F49" s="205"/>
      <c r="G49" s="652">
        <f ca="1">1/(1+(B49/100))^$B$15</f>
        <v>0.86653179276099945</v>
      </c>
    </row>
    <row r="50" spans="1:7">
      <c r="A50" s="144"/>
      <c r="B50" s="612">
        <f t="shared" ref="B50:B55" ca="1" si="5">+B47</f>
        <v>1.234691985513519</v>
      </c>
      <c r="C50" s="613" t="e">
        <f ca="1">+SUM($C35:$AV35,C47)</f>
        <v>#N/A</v>
      </c>
      <c r="D50" s="613" t="e">
        <f ca="1">+SUM($C35:$AV35,D47)</f>
        <v>#N/A</v>
      </c>
      <c r="E50" s="613" t="e">
        <f ca="1">+SUM($C35:$AV35,E47)</f>
        <v>#N/A</v>
      </c>
      <c r="F50" s="205"/>
      <c r="G50" s="205"/>
    </row>
    <row r="51" spans="1:7">
      <c r="A51" s="144" t="s">
        <v>677</v>
      </c>
      <c r="B51" s="612">
        <f t="shared" ca="1" si="5"/>
        <v>2.234691985513519</v>
      </c>
      <c r="C51" s="613" t="e">
        <f t="shared" ref="C51:E51" ca="1" si="6">+SUM($C36:$AV36,C48)</f>
        <v>#N/A</v>
      </c>
      <c r="D51" s="613" t="e">
        <f t="shared" ca="1" si="6"/>
        <v>#N/A</v>
      </c>
      <c r="E51" s="613" t="e">
        <f t="shared" ca="1" si="6"/>
        <v>#N/A</v>
      </c>
      <c r="F51" s="205"/>
      <c r="G51" s="205"/>
    </row>
    <row r="52" spans="1:7">
      <c r="A52" s="614"/>
      <c r="B52" s="612">
        <f t="shared" ca="1" si="5"/>
        <v>3.234691985513519</v>
      </c>
      <c r="C52" s="613" t="e">
        <f ca="1">+SUM($C37:$AV37,C49)</f>
        <v>#N/A</v>
      </c>
      <c r="D52" s="613" t="e">
        <f ca="1">+SUM($C37:$AV37,D49)</f>
        <v>#N/A</v>
      </c>
      <c r="E52" s="613" t="e">
        <f ca="1">+SUM($C37:$AV37,E49)</f>
        <v>#N/A</v>
      </c>
      <c r="F52" s="205"/>
      <c r="G52" s="205"/>
    </row>
    <row r="53" spans="1:7">
      <c r="A53" s="615"/>
      <c r="B53" s="616">
        <f t="shared" ca="1" si="5"/>
        <v>1.234691985513519</v>
      </c>
      <c r="C53" s="617" t="e">
        <f t="shared" ref="C53:E55" ca="1" si="7">+C50+$B$41-$B$42-$B$43</f>
        <v>#N/A</v>
      </c>
      <c r="D53" s="617" t="e">
        <f t="shared" ca="1" si="7"/>
        <v>#N/A</v>
      </c>
      <c r="E53" s="617" t="e">
        <f t="shared" ca="1" si="7"/>
        <v>#N/A</v>
      </c>
      <c r="F53" s="205"/>
      <c r="G53" s="205"/>
    </row>
    <row r="54" spans="1:7">
      <c r="A54" s="605" t="s">
        <v>678</v>
      </c>
      <c r="B54" s="616">
        <f t="shared" ca="1" si="5"/>
        <v>2.234691985513519</v>
      </c>
      <c r="C54" s="617" t="e">
        <f t="shared" ca="1" si="7"/>
        <v>#N/A</v>
      </c>
      <c r="D54" s="617" t="e">
        <f t="shared" ca="1" si="7"/>
        <v>#N/A</v>
      </c>
      <c r="E54" s="617" t="e">
        <f t="shared" ca="1" si="7"/>
        <v>#N/A</v>
      </c>
      <c r="F54" s="205"/>
      <c r="G54" s="205"/>
    </row>
    <row r="55" spans="1:7">
      <c r="A55" s="615"/>
      <c r="B55" s="616">
        <f t="shared" ca="1" si="5"/>
        <v>3.234691985513519</v>
      </c>
      <c r="C55" s="617" t="e">
        <f ca="1">+C52+$B$41-$B$42-$B$43</f>
        <v>#N/A</v>
      </c>
      <c r="D55" s="617" t="e">
        <f t="shared" ca="1" si="7"/>
        <v>#N/A</v>
      </c>
      <c r="E55" s="617" t="e">
        <f t="shared" ca="1" si="7"/>
        <v>#N/A</v>
      </c>
      <c r="F55" s="205"/>
      <c r="G55" s="205"/>
    </row>
    <row r="56" spans="1:7">
      <c r="A56" s="618"/>
      <c r="B56" s="619">
        <f ca="1">ROUND(+B53,2)</f>
        <v>1.23</v>
      </c>
      <c r="C56" s="620" t="e">
        <f t="shared" ref="C56:E58" ca="1" si="8">+C53/$B$44*1000000</f>
        <v>#N/A</v>
      </c>
      <c r="D56" s="620" t="e">
        <f t="shared" ca="1" si="8"/>
        <v>#N/A</v>
      </c>
      <c r="E56" s="620" t="e">
        <f t="shared" ca="1" si="8"/>
        <v>#N/A</v>
      </c>
      <c r="F56" s="205"/>
      <c r="G56" s="205"/>
    </row>
    <row r="57" spans="1:7">
      <c r="A57" s="599" t="s">
        <v>679</v>
      </c>
      <c r="B57" s="619">
        <f t="shared" ref="B57:B58" ca="1" si="9">ROUND(+B54,2)</f>
        <v>2.23</v>
      </c>
      <c r="C57" s="620" t="e">
        <f t="shared" ca="1" si="8"/>
        <v>#N/A</v>
      </c>
      <c r="D57" s="620" t="e">
        <f t="shared" ca="1" si="8"/>
        <v>#N/A</v>
      </c>
      <c r="E57" s="620" t="e">
        <f t="shared" ca="1" si="8"/>
        <v>#N/A</v>
      </c>
      <c r="F57" s="205"/>
      <c r="G57" s="205"/>
    </row>
    <row r="58" spans="1:7">
      <c r="A58" s="618"/>
      <c r="B58" s="619">
        <f t="shared" ca="1" si="9"/>
        <v>3.23</v>
      </c>
      <c r="C58" s="620" t="e">
        <f t="shared" ca="1" si="8"/>
        <v>#N/A</v>
      </c>
      <c r="D58" s="620" t="e">
        <f t="shared" ca="1" si="8"/>
        <v>#N/A</v>
      </c>
      <c r="E58" s="620" t="e">
        <f t="shared" ca="1" si="8"/>
        <v>#N/A</v>
      </c>
      <c r="F58" s="205"/>
      <c r="G58" s="205"/>
    </row>
    <row r="70" spans="1:7">
      <c r="A70" s="626" t="s">
        <v>688</v>
      </c>
      <c r="B70" s="623"/>
      <c r="C70" s="623"/>
      <c r="D70" s="623"/>
      <c r="E70" s="623"/>
      <c r="F70" s="623"/>
      <c r="G70" s="623"/>
    </row>
    <row r="72" spans="1:7">
      <c r="A72" s="583" t="s">
        <v>680</v>
      </c>
      <c r="B72" s="583" t="s">
        <v>627</v>
      </c>
    </row>
    <row r="73" spans="1:7">
      <c r="A73" s="437" t="s">
        <v>681</v>
      </c>
      <c r="B73" s="205">
        <f>MATCH(A73,FCF추정!$1:$1,0)-3</f>
        <v>8</v>
      </c>
    </row>
    <row r="74" spans="1:7">
      <c r="A74" s="437" t="s">
        <v>682</v>
      </c>
      <c r="B74" s="205">
        <f>MATCH(A74,FCF추정!$C:$C,0)</f>
        <v>5</v>
      </c>
    </row>
    <row r="75" spans="1:7">
      <c r="A75" s="437" t="s">
        <v>707</v>
      </c>
      <c r="B75" s="205">
        <f>MATCH(A75,FCF추정!$C:$C,0)</f>
        <v>7</v>
      </c>
    </row>
    <row r="76" spans="1:7">
      <c r="A76" s="437" t="s">
        <v>698</v>
      </c>
      <c r="B76" s="205">
        <f>MATCH(A76,FCF추정!$C:$C,0)</f>
        <v>24</v>
      </c>
    </row>
    <row r="77" spans="1:7">
      <c r="A77" s="437"/>
      <c r="B77" s="205"/>
    </row>
    <row r="78" spans="1:7">
      <c r="A78" s="437" t="s">
        <v>683</v>
      </c>
      <c r="B78" s="205">
        <f>MATCH(A78,FCF추정!$C:$C,0)</f>
        <v>16</v>
      </c>
    </row>
    <row r="79" spans="1:7">
      <c r="A79" s="437" t="s">
        <v>684</v>
      </c>
      <c r="B79" s="205">
        <f>MATCH(A79,FCF추정!$C:$C,0)</f>
        <v>17</v>
      </c>
    </row>
    <row r="80" spans="1:7">
      <c r="A80" s="437" t="s">
        <v>685</v>
      </c>
      <c r="B80" s="205">
        <f>MATCH(A80,FCF추정!$C:$C,0)</f>
        <v>18</v>
      </c>
    </row>
    <row r="81" spans="1:2">
      <c r="A81" s="437" t="s">
        <v>686</v>
      </c>
      <c r="B81" s="205">
        <f>MATCH(A81,FCF추정!$C:$C,0)</f>
        <v>19</v>
      </c>
    </row>
  </sheetData>
  <phoneticPr fontId="9" type="noConversion"/>
  <conditionalFormatting sqref="B2:D4">
    <cfRule type="cellIs" dxfId="7" priority="409" operator="equal">
      <formula>$B$7</formula>
    </cfRule>
  </conditionalFormatting>
  <conditionalFormatting sqref="G2:I4">
    <cfRule type="cellIs" dxfId="6" priority="1" operator="equal">
      <formula>$B$7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B1:AR63"/>
  <sheetViews>
    <sheetView showGridLines="0" zoomScale="85" zoomScaleNormal="85" workbookViewId="0">
      <selection activeCell="W5" sqref="W5"/>
    </sheetView>
  </sheetViews>
  <sheetFormatPr defaultRowHeight="16.5"/>
  <cols>
    <col min="1" max="1" width="3.625" style="204" customWidth="1"/>
    <col min="2" max="6" width="15.625" style="204" customWidth="1"/>
    <col min="7" max="7" width="3.625" style="204" customWidth="1"/>
    <col min="8" max="8" width="12.625" style="204" customWidth="1"/>
    <col min="9" max="9" width="1.625" customWidth="1"/>
    <col min="10" max="14" width="12.625" style="204" customWidth="1"/>
    <col min="15" max="15" width="3.625" style="204" customWidth="1"/>
    <col min="16" max="16" width="15.625" style="384" customWidth="1"/>
    <col min="17" max="17" width="1.625" customWidth="1"/>
    <col min="18" max="19" width="10.625" style="204" customWidth="1"/>
    <col min="20" max="20" width="3.625" style="204" customWidth="1"/>
    <col min="21" max="21" width="20" style="204" bestFit="1" customWidth="1"/>
    <col min="22" max="25" width="12.625" style="204" customWidth="1"/>
    <col min="26" max="26" width="3.625" style="204" customWidth="1"/>
    <col min="27" max="27" width="20.625" style="204" customWidth="1"/>
    <col min="28" max="28" width="1.625" customWidth="1"/>
    <col min="29" max="33" width="12.625" style="204" customWidth="1"/>
    <col min="34" max="34" width="9" style="204"/>
    <col min="35" max="35" width="9" style="204" hidden="1" customWidth="1"/>
    <col min="36" max="36" width="14.5" style="503" customWidth="1"/>
    <col min="37" max="37" width="10.625" style="503" customWidth="1"/>
    <col min="38" max="38" width="20.625" style="503" customWidth="1"/>
    <col min="39" max="39" width="9" style="503" customWidth="1"/>
    <col min="40" max="40" width="10.625" style="503" customWidth="1"/>
    <col min="41" max="41" width="10.625" style="204" customWidth="1"/>
    <col min="42" max="43" width="9" style="204" customWidth="1"/>
    <col min="44" max="44" width="10.625" style="204" customWidth="1"/>
    <col min="45" max="16384" width="9" style="204"/>
  </cols>
  <sheetData>
    <row r="1" spans="2:44">
      <c r="AA1" s="383" t="str">
        <f>LEFT(AA2,4)</f>
        <v>FCF추</v>
      </c>
      <c r="AC1" s="383" t="str">
        <f t="shared" ref="AC1:AF1" si="0">LEFT(AC4,4)</f>
        <v>FCF추</v>
      </c>
      <c r="AD1" s="383" t="str">
        <f t="shared" si="0"/>
        <v>FCF추</v>
      </c>
      <c r="AE1" s="383" t="str">
        <f t="shared" si="0"/>
        <v>FCF추</v>
      </c>
      <c r="AF1" s="383" t="str">
        <f t="shared" si="0"/>
        <v>FCF추</v>
      </c>
      <c r="AG1" s="383" t="str">
        <f>LEFT(AG4,4)</f>
        <v>FCF추</v>
      </c>
      <c r="AJ1" s="683" t="s">
        <v>720</v>
      </c>
      <c r="AK1" s="683" t="s">
        <v>718</v>
      </c>
      <c r="AL1" s="683" t="s">
        <v>719</v>
      </c>
      <c r="AM1" s="684"/>
      <c r="AN1" s="683" t="s">
        <v>721</v>
      </c>
      <c r="AO1" s="683" t="s">
        <v>722</v>
      </c>
      <c r="AP1" s="685"/>
      <c r="AQ1" s="683" t="s">
        <v>569</v>
      </c>
      <c r="AR1" s="683" t="s">
        <v>724</v>
      </c>
    </row>
    <row r="2" spans="2:44">
      <c r="B2" s="685" t="s">
        <v>742</v>
      </c>
      <c r="C2" s="688" t="b">
        <f ca="1">+D23=AC39=평가값</f>
        <v>0</v>
      </c>
      <c r="D2" s="689" t="b">
        <f ca="1">IFERROR(C2,"보고서 작성 확인 검토 필요!!")</f>
        <v>0</v>
      </c>
      <c r="J2" s="511" t="s">
        <v>246</v>
      </c>
      <c r="AA2" s="385" t="s">
        <v>247</v>
      </c>
      <c r="AC2" s="383" t="e">
        <f>MATCH(AC1,IS추정!$I$13:$O$13,0)-1</f>
        <v>#N/A</v>
      </c>
      <c r="AD2" s="383" t="e">
        <f>MATCH(AD1,IS추정!$I$13:$O$13,0)-1</f>
        <v>#N/A</v>
      </c>
      <c r="AE2" s="383" t="e">
        <f>MATCH(AE1,IS추정!$I$13:$O$13,0)-1</f>
        <v>#N/A</v>
      </c>
      <c r="AF2" s="383" t="e">
        <f>MATCH(AF1,IS추정!$I$13:$O$13,0)-1</f>
        <v>#N/A</v>
      </c>
      <c r="AG2" s="383" t="e">
        <f>MATCH(AG1,IS추정!$I$13:$O$13,0)-1</f>
        <v>#N/A</v>
      </c>
    </row>
    <row r="3" spans="2:44">
      <c r="AI3" s="386"/>
    </row>
    <row r="4" spans="2:44">
      <c r="B4" s="432" t="s">
        <v>409</v>
      </c>
      <c r="C4" s="527" t="str">
        <f>TRIM(COMPANY!E2)</f>
        <v>(주)미래세라텍</v>
      </c>
      <c r="D4" s="432" t="s">
        <v>410</v>
      </c>
      <c r="E4" s="527" t="s">
        <v>411</v>
      </c>
      <c r="F4" s="528"/>
      <c r="H4" s="389" t="s">
        <v>252</v>
      </c>
      <c r="J4" s="390" t="str">
        <f>LEFT(AC$4,4)&amp;"년"</f>
        <v>FCF추년</v>
      </c>
      <c r="K4" s="390" t="str">
        <f>LEFT(AD$4,4)&amp;"년"</f>
        <v>FCF추년</v>
      </c>
      <c r="L4" s="390" t="str">
        <f>LEFT(AE$4,4)&amp;"년"</f>
        <v>FCF추년</v>
      </c>
      <c r="M4" s="390" t="str">
        <f>LEFT(AF$4,4)&amp;"년"</f>
        <v>FCF추년</v>
      </c>
      <c r="N4" s="390" t="str">
        <f>LEFT(AG$4,4)&amp;"년"</f>
        <v>FCF추년</v>
      </c>
      <c r="P4" s="390" t="s">
        <v>252</v>
      </c>
      <c r="R4" s="390" t="s">
        <v>253</v>
      </c>
      <c r="S4" s="390" t="s">
        <v>254</v>
      </c>
      <c r="U4" s="388" t="s">
        <v>255</v>
      </c>
      <c r="V4" s="388" t="s">
        <v>256</v>
      </c>
      <c r="W4" s="388" t="s">
        <v>257</v>
      </c>
      <c r="X4" s="388" t="s">
        <v>258</v>
      </c>
      <c r="Y4" s="388" t="s">
        <v>565</v>
      </c>
      <c r="AA4" s="387" t="s">
        <v>252</v>
      </c>
      <c r="AC4" s="682" t="s">
        <v>260</v>
      </c>
      <c r="AD4" s="682" t="s">
        <v>261</v>
      </c>
      <c r="AE4" s="682" t="s">
        <v>262</v>
      </c>
      <c r="AF4" s="682" t="s">
        <v>263</v>
      </c>
      <c r="AG4" s="682" t="s">
        <v>264</v>
      </c>
      <c r="AI4" s="376"/>
      <c r="AJ4" s="501" t="s">
        <v>118</v>
      </c>
      <c r="AK4" s="501" t="s">
        <v>523</v>
      </c>
      <c r="AL4" s="502" t="str">
        <f>평가기준일</f>
        <v>2024-12-31</v>
      </c>
      <c r="AN4" s="509">
        <v>1</v>
      </c>
      <c r="AO4" s="509">
        <f t="array" ref="AO4:AO18">IFERROR(SMALL(IF(Bloomberg!$O$7:$O$31=1,ROW(Bloomberg!$N$7:$N$31)),$AN$4:$AN$18),"")</f>
        <v>8</v>
      </c>
      <c r="AQ4" s="204" t="s">
        <v>570</v>
      </c>
      <c r="AR4" s="204" t="str">
        <f t="shared" ref="AR4:AR24" ca="1" si="1">CELL("address",INDIRECT($AQ4))</f>
        <v>$B$4</v>
      </c>
    </row>
    <row r="5" spans="2:44">
      <c r="B5" s="432" t="s">
        <v>118</v>
      </c>
      <c r="C5" s="529" t="str">
        <f>TRIM(평가기준일)</f>
        <v>2024-12-31</v>
      </c>
      <c r="D5" s="432" t="s">
        <v>412</v>
      </c>
      <c r="E5" s="530">
        <f>COMPANY!E7</f>
        <v>10000</v>
      </c>
      <c r="F5" s="528"/>
      <c r="H5" s="394" t="s">
        <v>216</v>
      </c>
      <c r="J5" s="395" t="e">
        <f ca="1">OFFSET(IS추정!$I$13,1,AC2)</f>
        <v>#N/A</v>
      </c>
      <c r="K5" s="395" t="e">
        <f ca="1">OFFSET(IS추정!$I$13,1,AD2)</f>
        <v>#N/A</v>
      </c>
      <c r="L5" s="395" t="e">
        <f ca="1">OFFSET(IS추정!$I$13,1,AE2)</f>
        <v>#N/A</v>
      </c>
      <c r="M5" s="395" t="e">
        <f ca="1">OFFSET(IS추정!$I$13,1,AF2)</f>
        <v>#N/A</v>
      </c>
      <c r="N5" s="395" t="e">
        <f ca="1">OFFSET(IS추정!$I$13,1,AG2)</f>
        <v>#N/A</v>
      </c>
      <c r="P5" s="391" t="s">
        <v>269</v>
      </c>
      <c r="R5" s="396" t="s">
        <v>541</v>
      </c>
      <c r="S5" s="391"/>
      <c r="U5" s="392" t="str">
        <f ca="1">IFERROR(OFFSET(Bloomberg!$A$1,'보고서(일반)'!AO4-1,1),"")</f>
        <v>롯데지주</v>
      </c>
      <c r="V5" s="397">
        <f ca="1">IF('보고서(일반)'!$U5&lt;&gt;"",INDEX(Bloomberg!K:K,MATCH('보고서(일반)'!$U5,Bloomberg!$B:$B,0)))</f>
        <v>0.90600000000000003</v>
      </c>
      <c r="W5" s="398">
        <f ca="1">IF('보고서(일반)'!$U5&lt;&gt;"",INDEX(Bloomberg!L:L,MATCH('보고서(일반)'!$U5,Bloomberg!$B:$B,0)))</f>
        <v>535.20252867144529</v>
      </c>
      <c r="X5" s="397">
        <f ca="1">IF('보고서(일반)'!$U5&lt;&gt;"",INDEX(Bloomberg!P:P,MATCH('보고서(일반)'!$U5,Bloomberg!$B:$B,0)))</f>
        <v>0.17311709359136654</v>
      </c>
      <c r="Y5" s="397">
        <f ca="1">IF('보고서(일반)'!$U5&lt;&gt;"",INDEX(Bloomberg!R:R,MATCH('보고서(일반)'!$U5,Bloomberg!$B:$B,0)))</f>
        <v>0.90600000000000003</v>
      </c>
      <c r="AA5" s="399" t="s">
        <v>270</v>
      </c>
      <c r="AC5" s="400" t="e">
        <f ca="1">J5</f>
        <v>#N/A</v>
      </c>
      <c r="AD5" s="400" t="e">
        <f ca="1">K5</f>
        <v>#N/A</v>
      </c>
      <c r="AE5" s="400" t="e">
        <f ca="1">L5</f>
        <v>#N/A</v>
      </c>
      <c r="AF5" s="400" t="e">
        <f ca="1">M5</f>
        <v>#N/A</v>
      </c>
      <c r="AG5" s="400" t="e">
        <f ca="1">N5</f>
        <v>#N/A</v>
      </c>
      <c r="AI5" s="376"/>
      <c r="AJ5" s="501" t="s">
        <v>355</v>
      </c>
      <c r="AK5" s="501" t="s">
        <v>567</v>
      </c>
      <c r="AL5" s="504" t="str">
        <f>TRIM(COMPANY!E2)</f>
        <v>(주)미래세라텍</v>
      </c>
      <c r="AN5" s="509">
        <v>2</v>
      </c>
      <c r="AO5" s="509" t="str">
        <v/>
      </c>
      <c r="AQ5" s="204" t="s">
        <v>571</v>
      </c>
      <c r="AR5" s="204" t="str">
        <f t="shared" ca="1" si="1"/>
        <v>$B$8</v>
      </c>
    </row>
    <row r="6" spans="2:44">
      <c r="B6" s="432" t="s">
        <v>414</v>
      </c>
      <c r="C6" s="527" t="s">
        <v>415</v>
      </c>
      <c r="D6" s="432" t="s">
        <v>416</v>
      </c>
      <c r="E6" s="527" t="s">
        <v>417</v>
      </c>
      <c r="F6" s="528"/>
      <c r="H6" s="401" t="s">
        <v>275</v>
      </c>
      <c r="J6" s="402" t="e">
        <f ca="1">J5</f>
        <v>#N/A</v>
      </c>
      <c r="K6" s="402" t="e">
        <f ca="1">K5</f>
        <v>#N/A</v>
      </c>
      <c r="L6" s="402" t="e">
        <f ca="1">L5</f>
        <v>#N/A</v>
      </c>
      <c r="M6" s="402" t="e">
        <f ca="1">M5</f>
        <v>#N/A</v>
      </c>
      <c r="N6" s="402" t="e">
        <f ca="1">N5</f>
        <v>#N/A</v>
      </c>
      <c r="P6" s="391" t="s">
        <v>276</v>
      </c>
      <c r="R6" s="396" t="s">
        <v>542</v>
      </c>
      <c r="S6" s="391"/>
      <c r="U6" s="392" t="str">
        <f ca="1">IFERROR(OFFSET(Bloomberg!$A$1,'보고서(일반)'!AO5-1,1),"")</f>
        <v/>
      </c>
      <c r="V6" s="397" t="b">
        <f ca="1">IF('보고서(일반)'!$U6&lt;&gt;"",INDEX(Bloomberg!K:K,MATCH('보고서(일반)'!$U6,Bloomberg!$B:$B,0)))</f>
        <v>0</v>
      </c>
      <c r="W6" s="398" t="b">
        <f ca="1">IF('보고서(일반)'!$U6&lt;&gt;"",INDEX(Bloomberg!L:L,MATCH('보고서(일반)'!$U6,Bloomberg!$B:$B,0)))</f>
        <v>0</v>
      </c>
      <c r="X6" s="397" t="b">
        <f ca="1">IF('보고서(일반)'!$U6&lt;&gt;"",INDEX(Bloomberg!P:P,MATCH('보고서(일반)'!$U6,Bloomberg!$B:$B,0)))</f>
        <v>0</v>
      </c>
      <c r="Y6" s="397" t="b">
        <f ca="1">IF('보고서(일반)'!$U6&lt;&gt;"",INDEX(Bloomberg!R:R,MATCH('보고서(일반)'!$U6,Bloomberg!$B:$B,0)))</f>
        <v>0</v>
      </c>
      <c r="AA6" s="399" t="s">
        <v>277</v>
      </c>
      <c r="AC6" s="400" t="e">
        <f ca="1">J10</f>
        <v>#N/A</v>
      </c>
      <c r="AD6" s="400" t="e">
        <f ca="1">K10</f>
        <v>#N/A</v>
      </c>
      <c r="AE6" s="400" t="e">
        <f ca="1">L10</f>
        <v>#N/A</v>
      </c>
      <c r="AF6" s="400" t="e">
        <f ca="1">M10</f>
        <v>#N/A</v>
      </c>
      <c r="AG6" s="400" t="e">
        <f ca="1">N10</f>
        <v>#N/A</v>
      </c>
      <c r="AI6" s="376"/>
      <c r="AJ6" s="501" t="s">
        <v>524</v>
      </c>
      <c r="AK6" s="501" t="s">
        <v>525</v>
      </c>
      <c r="AL6" s="505">
        <f>DATEVALUE(AL4)</f>
        <v>45657</v>
      </c>
      <c r="AN6" s="509">
        <v>3</v>
      </c>
      <c r="AO6" s="509" t="str">
        <v/>
      </c>
      <c r="AQ6" s="204" t="s">
        <v>572</v>
      </c>
      <c r="AR6" s="204" t="str">
        <f t="shared" ca="1" si="1"/>
        <v>$D$16</v>
      </c>
    </row>
    <row r="7" spans="2:44">
      <c r="B7" s="528"/>
      <c r="C7" s="528"/>
      <c r="D7" s="528"/>
      <c r="E7" s="528"/>
      <c r="F7" s="528"/>
      <c r="H7" s="403" t="s">
        <v>282</v>
      </c>
      <c r="J7" s="510" t="e">
        <f>R29/S29-1</f>
        <v>#DIV/0!</v>
      </c>
      <c r="K7" s="404" t="e">
        <f ca="1">K6/J6-1</f>
        <v>#N/A</v>
      </c>
      <c r="L7" s="404" t="e">
        <f ca="1">L6/K6-1</f>
        <v>#N/A</v>
      </c>
      <c r="M7" s="404" t="e">
        <f ca="1">M6/L6-1</f>
        <v>#N/A</v>
      </c>
      <c r="N7" s="404" t="e">
        <f ca="1">N6/M6-1</f>
        <v>#N/A</v>
      </c>
      <c r="P7" s="391" t="s">
        <v>283</v>
      </c>
      <c r="R7" s="396" t="s">
        <v>543</v>
      </c>
      <c r="S7" s="391"/>
      <c r="U7" s="392" t="str">
        <f ca="1">IFERROR(OFFSET(Bloomberg!$A$1,'보고서(일반)'!AO6-1,1),"")</f>
        <v/>
      </c>
      <c r="V7" s="397" t="b">
        <f ca="1">IF('보고서(일반)'!$U7&lt;&gt;"",INDEX(Bloomberg!K:K,MATCH('보고서(일반)'!$U7,Bloomberg!$B:$B,0)))</f>
        <v>0</v>
      </c>
      <c r="W7" s="398" t="b">
        <f ca="1">IF('보고서(일반)'!$U7&lt;&gt;"",INDEX(Bloomberg!L:L,MATCH('보고서(일반)'!$U7,Bloomberg!$B:$B,0)))</f>
        <v>0</v>
      </c>
      <c r="X7" s="397" t="b">
        <f ca="1">IF('보고서(일반)'!$U7&lt;&gt;"",INDEX(Bloomberg!P:P,MATCH('보고서(일반)'!$U7,Bloomberg!$B:$B,0)))</f>
        <v>0</v>
      </c>
      <c r="Y7" s="397" t="b">
        <f ca="1">IF('보고서(일반)'!$U7&lt;&gt;"",INDEX(Bloomberg!R:R,MATCH('보고서(일반)'!$U7,Bloomberg!$B:$B,0)))</f>
        <v>0</v>
      </c>
      <c r="AA7" s="399" t="s">
        <v>284</v>
      </c>
      <c r="AC7" s="400" t="e">
        <f ca="1">AC5-AC6</f>
        <v>#N/A</v>
      </c>
      <c r="AD7" s="400" t="e">
        <f ca="1">AD5-AD6</f>
        <v>#N/A</v>
      </c>
      <c r="AE7" s="400" t="e">
        <f ca="1">AE5-AE6</f>
        <v>#N/A</v>
      </c>
      <c r="AF7" s="400" t="e">
        <f ca="1">AF5-AF6</f>
        <v>#N/A</v>
      </c>
      <c r="AG7" s="400" t="e">
        <f ca="1">AG5-AG6</f>
        <v>#N/A</v>
      </c>
      <c r="AI7" s="376"/>
      <c r="AJ7" s="501" t="s">
        <v>526</v>
      </c>
      <c r="AK7" s="501" t="s">
        <v>527</v>
      </c>
      <c r="AL7" s="726">
        <f ca="1">Settings!E72</f>
        <v>2029</v>
      </c>
      <c r="AN7" s="509">
        <v>4</v>
      </c>
      <c r="AO7" s="509" t="str">
        <v/>
      </c>
      <c r="AQ7" s="204" t="s">
        <v>573</v>
      </c>
      <c r="AR7" s="204" t="str">
        <f t="shared" ca="1" si="1"/>
        <v>$B$25</v>
      </c>
    </row>
    <row r="8" spans="2:44">
      <c r="B8" s="531" t="s">
        <v>248</v>
      </c>
      <c r="C8" s="532" t="s">
        <v>249</v>
      </c>
      <c r="D8" s="532" t="s">
        <v>250</v>
      </c>
      <c r="E8" s="532" t="s">
        <v>591</v>
      </c>
      <c r="F8" s="532" t="s">
        <v>251</v>
      </c>
      <c r="P8" s="391" t="s">
        <v>289</v>
      </c>
      <c r="R8" s="395" t="s">
        <v>544</v>
      </c>
      <c r="S8" s="391"/>
      <c r="U8" s="392" t="str">
        <f ca="1">IFERROR(OFFSET(Bloomberg!$A$1,'보고서(일반)'!AO7-1,1),"")</f>
        <v/>
      </c>
      <c r="V8" s="397" t="b">
        <f ca="1">IF('보고서(일반)'!$U8&lt;&gt;"",INDEX(Bloomberg!K:K,MATCH('보고서(일반)'!$U8,Bloomberg!$B:$B,0)))</f>
        <v>0</v>
      </c>
      <c r="W8" s="398" t="b">
        <f ca="1">IF('보고서(일반)'!$U8&lt;&gt;"",INDEX(Bloomberg!L:L,MATCH('보고서(일반)'!$U8,Bloomberg!$B:$B,0)))</f>
        <v>0</v>
      </c>
      <c r="X8" s="397" t="b">
        <f ca="1">IF('보고서(일반)'!$U8&lt;&gt;"",INDEX(Bloomberg!P:P,MATCH('보고서(일반)'!$U8,Bloomberg!$B:$B,0)))</f>
        <v>0</v>
      </c>
      <c r="Y8" s="397" t="b">
        <f ca="1">IF('보고서(일반)'!$U8&lt;&gt;"",INDEX(Bloomberg!R:R,MATCH('보고서(일반)'!$U8,Bloomberg!$B:$B,0)))</f>
        <v>0</v>
      </c>
      <c r="AA8" s="399" t="s">
        <v>290</v>
      </c>
      <c r="AC8" s="400" t="e">
        <f t="shared" ref="AC8:AG14" ca="1" si="2">J31</f>
        <v>#N/A</v>
      </c>
      <c r="AD8" s="400" t="e">
        <f t="shared" ca="1" si="2"/>
        <v>#N/A</v>
      </c>
      <c r="AE8" s="400" t="e">
        <f t="shared" ca="1" si="2"/>
        <v>#N/A</v>
      </c>
      <c r="AF8" s="400" t="e">
        <f t="shared" ca="1" si="2"/>
        <v>#N/A</v>
      </c>
      <c r="AG8" s="400" t="e">
        <f t="shared" ca="1" si="2"/>
        <v>#N/A</v>
      </c>
      <c r="AI8" s="376"/>
      <c r="AJ8" s="501" t="s">
        <v>528</v>
      </c>
      <c r="AK8" s="501" t="s">
        <v>529</v>
      </c>
      <c r="AL8" s="507">
        <f>MONTH(AL6)</f>
        <v>12</v>
      </c>
      <c r="AN8" s="509">
        <v>5</v>
      </c>
      <c r="AO8" s="509" t="str">
        <v/>
      </c>
      <c r="AQ8" s="204" t="s">
        <v>574</v>
      </c>
      <c r="AR8" s="204" t="str">
        <f t="shared" ca="1" si="1"/>
        <v>$B$29</v>
      </c>
    </row>
    <row r="9" spans="2:44">
      <c r="B9" s="394" t="str">
        <f>LEFT(AC$4,4)&amp;"년"</f>
        <v>FCF추년</v>
      </c>
      <c r="C9" s="533" t="s">
        <v>265</v>
      </c>
      <c r="D9" s="534" t="s">
        <v>266</v>
      </c>
      <c r="E9" s="534" t="s">
        <v>267</v>
      </c>
      <c r="F9" s="533" t="s">
        <v>268</v>
      </c>
      <c r="H9" s="389" t="s">
        <v>252</v>
      </c>
      <c r="J9" s="390" t="str">
        <f>LEFT(AC$4,4)&amp;"년"</f>
        <v>FCF추년</v>
      </c>
      <c r="K9" s="390" t="str">
        <f>LEFT(AD$4,4)&amp;"년"</f>
        <v>FCF추년</v>
      </c>
      <c r="L9" s="390" t="str">
        <f>LEFT(AE$4,4)&amp;"년"</f>
        <v>FCF추년</v>
      </c>
      <c r="M9" s="390" t="str">
        <f>LEFT(AF$4,4)&amp;"년"</f>
        <v>FCF추년</v>
      </c>
      <c r="N9" s="390" t="str">
        <f>LEFT(AG$4,4)&amp;"년"</f>
        <v>FCF추년</v>
      </c>
      <c r="P9" s="391" t="s">
        <v>295</v>
      </c>
      <c r="R9" s="396" t="s">
        <v>545</v>
      </c>
      <c r="S9" s="391"/>
      <c r="U9" s="392" t="str">
        <f ca="1">IFERROR(OFFSET(Bloomberg!$A$1,'보고서(일반)'!AO8-1,1),"")</f>
        <v/>
      </c>
      <c r="V9" s="397" t="b">
        <f ca="1">IF('보고서(일반)'!$U9&lt;&gt;"",INDEX(Bloomberg!K:K,MATCH('보고서(일반)'!$U9,Bloomberg!$B:$B,0)))</f>
        <v>0</v>
      </c>
      <c r="W9" s="398" t="b">
        <f ca="1">IF('보고서(일반)'!$U9&lt;&gt;"",INDEX(Bloomberg!L:L,MATCH('보고서(일반)'!$U9,Bloomberg!$B:$B,0)))</f>
        <v>0</v>
      </c>
      <c r="X9" s="397" t="b">
        <f ca="1">IF('보고서(일반)'!$U9&lt;&gt;"",INDEX(Bloomberg!P:P,MATCH('보고서(일반)'!$U9,Bloomberg!$B:$B,0)))</f>
        <v>0</v>
      </c>
      <c r="Y9" s="397" t="b">
        <f ca="1">IF('보고서(일반)'!$U9&lt;&gt;"",INDEX(Bloomberg!R:R,MATCH('보고서(일반)'!$U9,Bloomberg!$B:$B,0)))</f>
        <v>0</v>
      </c>
      <c r="AA9" s="405" t="s">
        <v>296</v>
      </c>
      <c r="AC9" s="406" t="e">
        <f t="shared" ca="1" si="2"/>
        <v>#N/A</v>
      </c>
      <c r="AD9" s="406" t="e">
        <f t="shared" ca="1" si="2"/>
        <v>#N/A</v>
      </c>
      <c r="AE9" s="406" t="e">
        <f t="shared" ca="1" si="2"/>
        <v>#N/A</v>
      </c>
      <c r="AF9" s="406" t="e">
        <f t="shared" ca="1" si="2"/>
        <v>#N/A</v>
      </c>
      <c r="AG9" s="406" t="e">
        <f t="shared" ca="1" si="2"/>
        <v>#N/A</v>
      </c>
      <c r="AI9" s="376"/>
      <c r="AJ9" s="501" t="s">
        <v>530</v>
      </c>
      <c r="AK9" s="501" t="s">
        <v>531</v>
      </c>
      <c r="AL9" s="504" t="str">
        <f>RATE!F5&amp;"%, "&amp;RATE!F9&amp;"%, "&amp;RATE!F4&amp;"% "</f>
        <v xml:space="preserve">1.94%, 1.66%, 0.77% </v>
      </c>
      <c r="AN9" s="509">
        <v>6</v>
      </c>
      <c r="AO9" s="509" t="str">
        <v/>
      </c>
      <c r="AQ9" s="204" t="s">
        <v>575</v>
      </c>
      <c r="AR9" s="204" t="str">
        <f t="shared" ca="1" si="1"/>
        <v>$B$32</v>
      </c>
    </row>
    <row r="10" spans="2:44">
      <c r="B10" s="394" t="str">
        <f>LEFT(AD$4,4)&amp;"년"</f>
        <v>FCF추년</v>
      </c>
      <c r="C10" s="533" t="s">
        <v>271</v>
      </c>
      <c r="D10" s="534" t="s">
        <v>272</v>
      </c>
      <c r="E10" s="534" t="s">
        <v>273</v>
      </c>
      <c r="F10" s="533" t="s">
        <v>274</v>
      </c>
      <c r="H10" s="394" t="s">
        <v>301</v>
      </c>
      <c r="J10" s="395" t="e">
        <f ca="1">OFFSET(IS추정!$I$13,2,AC2)</f>
        <v>#N/A</v>
      </c>
      <c r="K10" s="395" t="e">
        <f ca="1">OFFSET(IS추정!$I$13,2,AD2)</f>
        <v>#N/A</v>
      </c>
      <c r="L10" s="395" t="e">
        <f ca="1">OFFSET(IS추정!$I$13,2,AE2)</f>
        <v>#N/A</v>
      </c>
      <c r="M10" s="395" t="e">
        <f ca="1">OFFSET(IS추정!$I$13,2,AF2)</f>
        <v>#N/A</v>
      </c>
      <c r="N10" s="395" t="e">
        <f ca="1">OFFSET(IS추정!$I$13,2,AG2)</f>
        <v>#N/A</v>
      </c>
      <c r="P10" s="391" t="s">
        <v>302</v>
      </c>
      <c r="R10" s="396" t="s">
        <v>546</v>
      </c>
      <c r="S10" s="391"/>
      <c r="U10" s="392" t="str">
        <f ca="1">IFERROR(OFFSET(Bloomberg!$A$1,'보고서(일반)'!AO9-1,1),"")</f>
        <v/>
      </c>
      <c r="V10" s="397" t="b">
        <f ca="1">IF('보고서(일반)'!$U10&lt;&gt;"",INDEX(Bloomberg!K:K,MATCH('보고서(일반)'!$U10,Bloomberg!$B:$B,0)))</f>
        <v>0</v>
      </c>
      <c r="W10" s="398" t="b">
        <f ca="1">IF('보고서(일반)'!$U10&lt;&gt;"",INDEX(Bloomberg!L:L,MATCH('보고서(일반)'!$U10,Bloomberg!$B:$B,0)))</f>
        <v>0</v>
      </c>
      <c r="X10" s="397" t="b">
        <f ca="1">IF('보고서(일반)'!$U10&lt;&gt;"",INDEX(Bloomberg!P:P,MATCH('보고서(일반)'!$U10,Bloomberg!$B:$B,0)))</f>
        <v>0</v>
      </c>
      <c r="Y10" s="397" t="b">
        <f ca="1">IF('보고서(일반)'!$U10&lt;&gt;"",INDEX(Bloomberg!R:R,MATCH('보고서(일반)'!$U10,Bloomberg!$B:$B,0)))</f>
        <v>0</v>
      </c>
      <c r="AA10" s="405" t="s">
        <v>303</v>
      </c>
      <c r="AC10" s="406" t="e">
        <f t="shared" ca="1" si="2"/>
        <v>#N/A</v>
      </c>
      <c r="AD10" s="406" t="e">
        <f t="shared" ca="1" si="2"/>
        <v>#N/A</v>
      </c>
      <c r="AE10" s="406" t="e">
        <f t="shared" ca="1" si="2"/>
        <v>#N/A</v>
      </c>
      <c r="AF10" s="406" t="e">
        <f t="shared" ca="1" si="2"/>
        <v>#N/A</v>
      </c>
      <c r="AG10" s="406" t="e">
        <f t="shared" ca="1" si="2"/>
        <v>#N/A</v>
      </c>
      <c r="AI10" s="376"/>
      <c r="AJ10" s="501" t="s">
        <v>532</v>
      </c>
      <c r="AK10" s="501" t="s">
        <v>533</v>
      </c>
      <c r="AL10" s="508" t="str">
        <f>AC39</f>
        <v>FCF추정!E60</v>
      </c>
      <c r="AN10" s="509">
        <v>7</v>
      </c>
      <c r="AO10" s="509" t="str">
        <v/>
      </c>
      <c r="AQ10" s="204" t="s">
        <v>576</v>
      </c>
      <c r="AR10" s="204" t="str">
        <f t="shared" ca="1" si="1"/>
        <v>$B$41</v>
      </c>
    </row>
    <row r="11" spans="2:44">
      <c r="B11" s="394" t="str">
        <f>LEFT(AE$4,4)&amp;"년"</f>
        <v>FCF추년</v>
      </c>
      <c r="C11" s="533" t="s">
        <v>278</v>
      </c>
      <c r="D11" s="534" t="s">
        <v>279</v>
      </c>
      <c r="E11" s="534" t="s">
        <v>280</v>
      </c>
      <c r="F11" s="533" t="s">
        <v>281</v>
      </c>
      <c r="H11" s="401" t="s">
        <v>275</v>
      </c>
      <c r="J11" s="402" t="e">
        <f ca="1">J10</f>
        <v>#N/A</v>
      </c>
      <c r="K11" s="402" t="e">
        <f ca="1">K10</f>
        <v>#N/A</v>
      </c>
      <c r="L11" s="402" t="e">
        <f ca="1">L10</f>
        <v>#N/A</v>
      </c>
      <c r="M11" s="402" t="e">
        <f ca="1">M10</f>
        <v>#N/A</v>
      </c>
      <c r="N11" s="402" t="e">
        <f ca="1">N10</f>
        <v>#N/A</v>
      </c>
      <c r="P11" s="391" t="s">
        <v>304</v>
      </c>
      <c r="R11" s="396" t="s">
        <v>547</v>
      </c>
      <c r="S11" s="391"/>
      <c r="U11" s="392" t="str">
        <f ca="1">IFERROR(OFFSET(Bloomberg!$A$1,'보고서(일반)'!AO10-1,1),"")</f>
        <v/>
      </c>
      <c r="V11" s="397" t="b">
        <f ca="1">IF('보고서(일반)'!$U11&lt;&gt;"",INDEX(Bloomberg!K:K,MATCH('보고서(일반)'!$U11,Bloomberg!$B:$B,0)))</f>
        <v>0</v>
      </c>
      <c r="W11" s="398" t="b">
        <f ca="1">IF('보고서(일반)'!$U11&lt;&gt;"",INDEX(Bloomberg!L:L,MATCH('보고서(일반)'!$U11,Bloomberg!$B:$B,0)))</f>
        <v>0</v>
      </c>
      <c r="X11" s="397" t="b">
        <f ca="1">IF('보고서(일반)'!$U11&lt;&gt;"",INDEX(Bloomberg!P:P,MATCH('보고서(일반)'!$U11,Bloomberg!$B:$B,0)))</f>
        <v>0</v>
      </c>
      <c r="Y11" s="397" t="b">
        <f ca="1">IF('보고서(일반)'!$U11&lt;&gt;"",INDEX(Bloomberg!R:R,MATCH('보고서(일반)'!$U11,Bloomberg!$B:$B,0)))</f>
        <v>0</v>
      </c>
      <c r="AA11" s="405" t="s">
        <v>305</v>
      </c>
      <c r="AC11" s="406" t="e">
        <f t="shared" ca="1" si="2"/>
        <v>#N/A</v>
      </c>
      <c r="AD11" s="406" t="e">
        <f t="shared" ca="1" si="2"/>
        <v>#N/A</v>
      </c>
      <c r="AE11" s="406" t="e">
        <f t="shared" ca="1" si="2"/>
        <v>#N/A</v>
      </c>
      <c r="AF11" s="406" t="e">
        <f t="shared" ca="1" si="2"/>
        <v>#N/A</v>
      </c>
      <c r="AG11" s="406" t="e">
        <f t="shared" ca="1" si="2"/>
        <v>#N/A</v>
      </c>
      <c r="AI11" s="376"/>
      <c r="AJ11" s="501" t="s">
        <v>534</v>
      </c>
      <c r="AK11" s="501" t="s">
        <v>568</v>
      </c>
      <c r="AL11" s="504" t="str">
        <f>LEFT(BS추정!I1,4)&amp;"년 "&amp;MID(BS추정!I1,5,2)&amp;"월"</f>
        <v>2023년 12월</v>
      </c>
      <c r="AN11" s="509">
        <v>8</v>
      </c>
      <c r="AO11" s="509" t="str">
        <v/>
      </c>
      <c r="AQ11" s="204" t="s">
        <v>577</v>
      </c>
      <c r="AR11" s="204" t="str">
        <f t="shared" ca="1" si="1"/>
        <v>$J$4</v>
      </c>
    </row>
    <row r="12" spans="2:44" ht="16.5" customHeight="1">
      <c r="B12" s="394" t="str">
        <f>LEFT(AF$4,4)&amp;"년"</f>
        <v>FCF추년</v>
      </c>
      <c r="C12" s="533" t="s">
        <v>285</v>
      </c>
      <c r="D12" s="534" t="s">
        <v>286</v>
      </c>
      <c r="E12" s="534" t="s">
        <v>287</v>
      </c>
      <c r="F12" s="533" t="s">
        <v>288</v>
      </c>
      <c r="H12" s="403" t="s">
        <v>306</v>
      </c>
      <c r="J12" s="404" t="e">
        <f ca="1">J11/J6</f>
        <v>#N/A</v>
      </c>
      <c r="K12" s="404" t="e">
        <f ca="1">K11/K6</f>
        <v>#N/A</v>
      </c>
      <c r="L12" s="404" t="e">
        <f ca="1">L11/L6</f>
        <v>#N/A</v>
      </c>
      <c r="M12" s="404" t="e">
        <f ca="1">M11/M6</f>
        <v>#N/A</v>
      </c>
      <c r="N12" s="404" t="e">
        <f ca="1">N11/N6</f>
        <v>#N/A</v>
      </c>
      <c r="P12" s="391" t="s">
        <v>307</v>
      </c>
      <c r="R12" s="396" t="s">
        <v>548</v>
      </c>
      <c r="S12" s="391"/>
      <c r="U12" s="392" t="str">
        <f ca="1">IFERROR(OFFSET(Bloomberg!$A$1,'보고서(일반)'!AO11-1,1),"")</f>
        <v/>
      </c>
      <c r="V12" s="397" t="b">
        <f ca="1">IF('보고서(일반)'!$U12&lt;&gt;"",INDEX(Bloomberg!K:K,MATCH('보고서(일반)'!$U12,Bloomberg!$B:$B,0)))</f>
        <v>0</v>
      </c>
      <c r="W12" s="398" t="b">
        <f ca="1">IF('보고서(일반)'!$U12&lt;&gt;"",INDEX(Bloomberg!L:L,MATCH('보고서(일반)'!$U12,Bloomberg!$B:$B,0)))</f>
        <v>0</v>
      </c>
      <c r="X12" s="397" t="b">
        <f ca="1">IF('보고서(일반)'!$U12&lt;&gt;"",INDEX(Bloomberg!P:P,MATCH('보고서(일반)'!$U12,Bloomberg!$B:$B,0)))</f>
        <v>0</v>
      </c>
      <c r="Y12" s="397" t="b">
        <f ca="1">IF('보고서(일반)'!$U12&lt;&gt;"",INDEX(Bloomberg!R:R,MATCH('보고서(일반)'!$U12,Bloomberg!$B:$B,0)))</f>
        <v>0</v>
      </c>
      <c r="AA12" s="405" t="s">
        <v>308</v>
      </c>
      <c r="AC12" s="406" t="e">
        <f t="shared" ca="1" si="2"/>
        <v>#N/A</v>
      </c>
      <c r="AD12" s="406" t="e">
        <f t="shared" ca="1" si="2"/>
        <v>#N/A</v>
      </c>
      <c r="AE12" s="406" t="e">
        <f t="shared" ca="1" si="2"/>
        <v>#N/A</v>
      </c>
      <c r="AF12" s="406" t="e">
        <f t="shared" ca="1" si="2"/>
        <v>#N/A</v>
      </c>
      <c r="AG12" s="406" t="e">
        <f t="shared" ca="1" si="2"/>
        <v>#N/A</v>
      </c>
      <c r="AI12" s="376"/>
      <c r="AJ12" s="501" t="s">
        <v>659</v>
      </c>
      <c r="AK12" s="501" t="s">
        <v>725</v>
      </c>
      <c r="AL12" s="504">
        <f>영구g</f>
        <v>0</v>
      </c>
      <c r="AN12" s="509">
        <v>9</v>
      </c>
      <c r="AO12" s="509" t="str">
        <v/>
      </c>
      <c r="AQ12" s="204" t="s">
        <v>578</v>
      </c>
      <c r="AR12" s="204" t="str">
        <f t="shared" ca="1" si="1"/>
        <v>$J$9</v>
      </c>
    </row>
    <row r="13" spans="2:44" ht="16.5" customHeight="1">
      <c r="B13" s="394" t="str">
        <f>LEFT(AG$4,4)&amp;"년"</f>
        <v>FCF추년</v>
      </c>
      <c r="C13" s="533" t="s">
        <v>291</v>
      </c>
      <c r="D13" s="534" t="s">
        <v>292</v>
      </c>
      <c r="E13" s="534" t="s">
        <v>293</v>
      </c>
      <c r="F13" s="533" t="s">
        <v>294</v>
      </c>
      <c r="P13" s="408" t="s">
        <v>310</v>
      </c>
      <c r="R13" s="402" t="s">
        <v>549</v>
      </c>
      <c r="S13" s="408"/>
      <c r="U13" s="392" t="str">
        <f ca="1">IFERROR(OFFSET(Bloomberg!$A$1,'보고서(일반)'!AO12-1,1),"")</f>
        <v/>
      </c>
      <c r="V13" s="397" t="b">
        <f ca="1">IF('보고서(일반)'!$U13&lt;&gt;"",INDEX(Bloomberg!K:K,MATCH('보고서(일반)'!$U13,Bloomberg!$B:$B,0)))</f>
        <v>0</v>
      </c>
      <c r="W13" s="398" t="b">
        <f ca="1">IF('보고서(일반)'!$U13&lt;&gt;"",INDEX(Bloomberg!L:L,MATCH('보고서(일반)'!$U13,Bloomberg!$B:$B,0)))</f>
        <v>0</v>
      </c>
      <c r="X13" s="397" t="b">
        <f ca="1">IF('보고서(일반)'!$U13&lt;&gt;"",INDEX(Bloomberg!P:P,MATCH('보고서(일반)'!$U13,Bloomberg!$B:$B,0)))</f>
        <v>0</v>
      </c>
      <c r="Y13" s="397" t="b">
        <f ca="1">IF('보고서(일반)'!$U13&lt;&gt;"",INDEX(Bloomberg!R:R,MATCH('보고서(일반)'!$U13,Bloomberg!$B:$B,0)))</f>
        <v>0</v>
      </c>
      <c r="AA13" s="409" t="s">
        <v>311</v>
      </c>
      <c r="AC13" s="406" t="e">
        <f t="shared" ca="1" si="2"/>
        <v>#N/A</v>
      </c>
      <c r="AD13" s="406" t="e">
        <f t="shared" ca="1" si="2"/>
        <v>#N/A</v>
      </c>
      <c r="AE13" s="406" t="e">
        <f t="shared" ca="1" si="2"/>
        <v>#N/A</v>
      </c>
      <c r="AF13" s="406" t="e">
        <f t="shared" ca="1" si="2"/>
        <v>#N/A</v>
      </c>
      <c r="AG13" s="406" t="e">
        <f t="shared" ca="1" si="2"/>
        <v>#N/A</v>
      </c>
      <c r="AI13" s="376"/>
      <c r="AJ13" s="506"/>
      <c r="AN13" s="509">
        <v>10</v>
      </c>
      <c r="AO13" s="509" t="str">
        <v/>
      </c>
      <c r="AQ13" s="204" t="s">
        <v>579</v>
      </c>
      <c r="AR13" s="204" t="str">
        <f t="shared" ca="1" si="1"/>
        <v>$J$14</v>
      </c>
    </row>
    <row r="14" spans="2:44" ht="16.5" customHeight="1">
      <c r="B14" s="394" t="s">
        <v>297</v>
      </c>
      <c r="C14" s="535" t="s">
        <v>298</v>
      </c>
      <c r="D14" s="534" t="s">
        <v>299</v>
      </c>
      <c r="E14" s="534" t="s">
        <v>592</v>
      </c>
      <c r="F14" s="535" t="s">
        <v>300</v>
      </c>
      <c r="H14" s="389" t="s">
        <v>252</v>
      </c>
      <c r="J14" s="390" t="str">
        <f>LEFT(AC$4,4)&amp;"년"</f>
        <v>FCF추년</v>
      </c>
      <c r="K14" s="390" t="str">
        <f>LEFT(AD$4,4)&amp;"년"</f>
        <v>FCF추년</v>
      </c>
      <c r="L14" s="390" t="str">
        <f>LEFT(AE$4,4)&amp;"년"</f>
        <v>FCF추년</v>
      </c>
      <c r="M14" s="390" t="str">
        <f>LEFT(AF$4,4)&amp;"년"</f>
        <v>FCF추년</v>
      </c>
      <c r="N14" s="389" t="str">
        <f>LEFT(AG$4,4)&amp;"년"</f>
        <v>FCF추년</v>
      </c>
      <c r="U14" s="392" t="str">
        <f ca="1">IFERROR(OFFSET(Bloomberg!$A$1,'보고서(일반)'!AO13-1,1),"")</f>
        <v/>
      </c>
      <c r="V14" s="397" t="b">
        <f ca="1">IF('보고서(일반)'!$U14&lt;&gt;"",INDEX(Bloomberg!K:K,MATCH('보고서(일반)'!$U14,Bloomberg!$B:$B,0)))</f>
        <v>0</v>
      </c>
      <c r="W14" s="398" t="b">
        <f ca="1">IF('보고서(일반)'!$U14&lt;&gt;"",INDEX(Bloomberg!L:L,MATCH('보고서(일반)'!$U14,Bloomberg!$B:$B,0)))</f>
        <v>0</v>
      </c>
      <c r="X14" s="397" t="b">
        <f ca="1">IF('보고서(일반)'!$U14&lt;&gt;"",INDEX(Bloomberg!P:P,MATCH('보고서(일반)'!$U14,Bloomberg!$B:$B,0)))</f>
        <v>0</v>
      </c>
      <c r="Y14" s="397" t="b">
        <f ca="1">IF('보고서(일반)'!$U14&lt;&gt;"",INDEX(Bloomberg!R:R,MATCH('보고서(일반)'!$U14,Bloomberg!$B:$B,0)))</f>
        <v>0</v>
      </c>
      <c r="AA14" s="409" t="s">
        <v>312</v>
      </c>
      <c r="AC14" s="406" t="e">
        <f t="shared" ca="1" si="2"/>
        <v>#N/A</v>
      </c>
      <c r="AD14" s="406" t="e">
        <f t="shared" ca="1" si="2"/>
        <v>#N/A</v>
      </c>
      <c r="AE14" s="406" t="e">
        <f t="shared" ca="1" si="2"/>
        <v>#N/A</v>
      </c>
      <c r="AF14" s="406" t="e">
        <f t="shared" ca="1" si="2"/>
        <v>#N/A</v>
      </c>
      <c r="AG14" s="406" t="e">
        <f t="shared" ca="1" si="2"/>
        <v>#N/A</v>
      </c>
      <c r="AN14" s="509">
        <v>11</v>
      </c>
      <c r="AO14" s="503" t="str">
        <v/>
      </c>
      <c r="AQ14" s="204" t="s">
        <v>580</v>
      </c>
      <c r="AR14" s="204" t="str">
        <f t="shared" ca="1" si="1"/>
        <v>$J$25</v>
      </c>
    </row>
    <row r="15" spans="2:44" ht="16.5" customHeight="1">
      <c r="B15" s="528"/>
      <c r="C15" s="528"/>
      <c r="D15" s="528"/>
      <c r="E15" s="528"/>
      <c r="F15" s="528"/>
      <c r="H15" s="394" t="s">
        <v>313</v>
      </c>
      <c r="J15" s="395" t="e">
        <f ca="1">OFFSET(IS추정!$I$13,5,AC2)</f>
        <v>#N/A</v>
      </c>
      <c r="K15" s="395" t="e">
        <f ca="1">OFFSET(IS추정!$I$13,5,AD2)</f>
        <v>#N/A</v>
      </c>
      <c r="L15" s="395" t="e">
        <f ca="1">OFFSET(IS추정!$I$13,5,AE2)</f>
        <v>#N/A</v>
      </c>
      <c r="M15" s="395" t="e">
        <f ca="1">OFFSET(IS추정!$I$13,5,AF2)</f>
        <v>#N/A</v>
      </c>
      <c r="N15" s="395" t="e">
        <f ca="1">OFFSET(IS추정!$I$13,5,AG2)</f>
        <v>#N/A</v>
      </c>
      <c r="P15" s="390" t="s">
        <v>252</v>
      </c>
      <c r="R15" s="390" t="s">
        <v>253</v>
      </c>
      <c r="S15" s="390" t="s">
        <v>254</v>
      </c>
      <c r="U15" s="392" t="str">
        <f ca="1">IFERROR(OFFSET(Bloomberg!$A$1,'보고서(일반)'!AO14-1,1),"")</f>
        <v/>
      </c>
      <c r="V15" s="397" t="b">
        <f ca="1">IF('보고서(일반)'!$U15&lt;&gt;"",INDEX(Bloomberg!K:K,MATCH('보고서(일반)'!$U15,Bloomberg!$B:$B,0)))</f>
        <v>0</v>
      </c>
      <c r="W15" s="398" t="b">
        <f ca="1">IF('보고서(일반)'!$U15&lt;&gt;"",INDEX(Bloomberg!L:L,MATCH('보고서(일반)'!$U15,Bloomberg!$B:$B,0)))</f>
        <v>0</v>
      </c>
      <c r="X15" s="397" t="b">
        <f ca="1">IF('보고서(일반)'!$U15&lt;&gt;"",INDEX(Bloomberg!P:P,MATCH('보고서(일반)'!$U15,Bloomberg!$B:$B,0)))</f>
        <v>0</v>
      </c>
      <c r="Y15" s="397" t="b">
        <f ca="1">IF('보고서(일반)'!$U15&lt;&gt;"",INDEX(Bloomberg!R:R,MATCH('보고서(일반)'!$U15,Bloomberg!$B:$B,0)))</f>
        <v>0</v>
      </c>
      <c r="AA15" s="410" t="s">
        <v>314</v>
      </c>
      <c r="AC15" s="406" t="e">
        <f ca="1">J39</f>
        <v>#N/A</v>
      </c>
      <c r="AD15" s="406" t="e">
        <f ca="1">K39</f>
        <v>#N/A</v>
      </c>
      <c r="AE15" s="406" t="e">
        <f ca="1">L39</f>
        <v>#N/A</v>
      </c>
      <c r="AF15" s="406" t="e">
        <f ca="1">M39</f>
        <v>#N/A</v>
      </c>
      <c r="AG15" s="406" t="e">
        <f ca="1">N39</f>
        <v>#N/A</v>
      </c>
      <c r="AN15" s="509">
        <v>12</v>
      </c>
      <c r="AO15" s="503" t="str">
        <v/>
      </c>
      <c r="AQ15" s="204" t="s">
        <v>581</v>
      </c>
      <c r="AR15" s="204" t="str">
        <f t="shared" ca="1" si="1"/>
        <v>$J$42</v>
      </c>
    </row>
    <row r="16" spans="2:44" ht="16.5" customHeight="1">
      <c r="B16" s="543" t="s">
        <v>593</v>
      </c>
      <c r="C16" s="536"/>
      <c r="D16" s="535" t="s">
        <v>594</v>
      </c>
      <c r="E16" s="528"/>
      <c r="F16" s="528"/>
      <c r="H16" s="394" t="s">
        <v>315</v>
      </c>
      <c r="J16" s="395" t="e">
        <f ca="1">OFFSET(IS추정!$I$13,6,AC2)</f>
        <v>#N/A</v>
      </c>
      <c r="K16" s="395" t="e">
        <f ca="1">OFFSET(IS추정!$I$13,6,AD2)</f>
        <v>#N/A</v>
      </c>
      <c r="L16" s="395" t="e">
        <f ca="1">OFFSET(IS추정!$I$13,6,AE2)</f>
        <v>#N/A</v>
      </c>
      <c r="M16" s="395" t="e">
        <f ca="1">OFFSET(IS추정!$I$13,6,AF2)</f>
        <v>#N/A</v>
      </c>
      <c r="N16" s="395" t="e">
        <f ca="1">OFFSET(IS추정!$I$13,6,AG2)</f>
        <v>#N/A</v>
      </c>
      <c r="P16" s="391" t="s">
        <v>316</v>
      </c>
      <c r="R16" s="395" t="s">
        <v>550</v>
      </c>
      <c r="S16" s="391"/>
      <c r="U16" s="392" t="str">
        <f ca="1">IFERROR(OFFSET(Bloomberg!$A$1,'보고서(일반)'!AO15-1,1),"")</f>
        <v/>
      </c>
      <c r="V16" s="397" t="b">
        <f ca="1">IF('보고서(일반)'!$U16&lt;&gt;"",INDEX(Bloomberg!K:K,MATCH('보고서(일반)'!$U16,Bloomberg!$B:$B,0)))</f>
        <v>0</v>
      </c>
      <c r="W16" s="398" t="b">
        <f ca="1">IF('보고서(일반)'!$U16&lt;&gt;"",INDEX(Bloomberg!L:L,MATCH('보고서(일반)'!$U16,Bloomberg!$B:$B,0)))</f>
        <v>0</v>
      </c>
      <c r="X16" s="397" t="b">
        <f ca="1">IF('보고서(일반)'!$U16&lt;&gt;"",INDEX(Bloomberg!P:P,MATCH('보고서(일반)'!$U16,Bloomberg!$B:$B,0)))</f>
        <v>0</v>
      </c>
      <c r="Y16" s="397" t="b">
        <f ca="1">IF('보고서(일반)'!$U16&lt;&gt;"",INDEX(Bloomberg!R:R,MATCH('보고서(일반)'!$U16,Bloomberg!$B:$B,0)))</f>
        <v>0</v>
      </c>
      <c r="AA16" s="410" t="s">
        <v>317</v>
      </c>
      <c r="AC16" s="406" t="e">
        <f ca="1">J44</f>
        <v>#N/A</v>
      </c>
      <c r="AD16" s="406" t="e">
        <f ca="1">K44</f>
        <v>#N/A</v>
      </c>
      <c r="AE16" s="406" t="e">
        <f ca="1">L44</f>
        <v>#N/A</v>
      </c>
      <c r="AF16" s="406" t="e">
        <f ca="1">M44</f>
        <v>#N/A</v>
      </c>
      <c r="AG16" s="406" t="e">
        <f ca="1">N44</f>
        <v>#N/A</v>
      </c>
      <c r="AN16" s="509">
        <v>13</v>
      </c>
      <c r="AO16" s="503" t="str">
        <v/>
      </c>
      <c r="AQ16" s="204" t="s">
        <v>582</v>
      </c>
      <c r="AR16" s="204" t="str">
        <f t="shared" ca="1" si="1"/>
        <v>$J$47</v>
      </c>
    </row>
    <row r="17" spans="2:44" ht="16.5" customHeight="1">
      <c r="B17" s="543" t="s">
        <v>309</v>
      </c>
      <c r="C17" s="528"/>
      <c r="D17" s="533" t="s">
        <v>595</v>
      </c>
      <c r="E17" s="528"/>
      <c r="F17" s="528"/>
      <c r="H17" s="394" t="s">
        <v>318</v>
      </c>
      <c r="J17" s="395" t="e">
        <f ca="1">OFFSET(IS추정!$I$13,7,AC2)</f>
        <v>#N/A</v>
      </c>
      <c r="K17" s="395" t="e">
        <f ca="1">OFFSET(IS추정!$I$13,7,AD2)</f>
        <v>#N/A</v>
      </c>
      <c r="L17" s="395" t="e">
        <f ca="1">OFFSET(IS추정!$I$13,7,AE2)</f>
        <v>#N/A</v>
      </c>
      <c r="M17" s="395" t="e">
        <f ca="1">OFFSET(IS추정!$I$13,7,AF2)</f>
        <v>#N/A</v>
      </c>
      <c r="N17" s="395" t="e">
        <f ca="1">OFFSET(IS추정!$I$13,7,AG2)</f>
        <v>#N/A</v>
      </c>
      <c r="P17" s="391" t="s">
        <v>319</v>
      </c>
      <c r="R17" s="395" t="s">
        <v>551</v>
      </c>
      <c r="S17" s="391"/>
      <c r="U17" s="392" t="str">
        <f ca="1">IFERROR(OFFSET(Bloomberg!$A$1,'보고서(일반)'!AO16-1,1),"")</f>
        <v/>
      </c>
      <c r="V17" s="397" t="b">
        <f ca="1">IF('보고서(일반)'!$U17&lt;&gt;"",INDEX(Bloomberg!K:K,MATCH('보고서(일반)'!$U17,Bloomberg!$B:$B,0)))</f>
        <v>0</v>
      </c>
      <c r="W17" s="398" t="b">
        <f ca="1">IF('보고서(일반)'!$U17&lt;&gt;"",INDEX(Bloomberg!L:L,MATCH('보고서(일반)'!$U17,Bloomberg!$B:$B,0)))</f>
        <v>0</v>
      </c>
      <c r="X17" s="397" t="b">
        <f ca="1">IF('보고서(일반)'!$U17&lt;&gt;"",INDEX(Bloomberg!P:P,MATCH('보고서(일반)'!$U17,Bloomberg!$B:$B,0)))</f>
        <v>0</v>
      </c>
      <c r="Y17" s="397" t="b">
        <f ca="1">IF('보고서(일반)'!$U17&lt;&gt;"",INDEX(Bloomberg!R:R,MATCH('보고서(일반)'!$U17,Bloomberg!$B:$B,0)))</f>
        <v>0</v>
      </c>
      <c r="AA17" s="410" t="s">
        <v>320</v>
      </c>
      <c r="AC17" s="406" t="e">
        <f ca="1">AC15-AC16</f>
        <v>#N/A</v>
      </c>
      <c r="AD17" s="406" t="e">
        <f ca="1">AD15-AD16</f>
        <v>#N/A</v>
      </c>
      <c r="AE17" s="406" t="e">
        <f ca="1">AE15-AE16</f>
        <v>#N/A</v>
      </c>
      <c r="AF17" s="406" t="e">
        <f ca="1">AF15-AF16</f>
        <v>#N/A</v>
      </c>
      <c r="AG17" s="406" t="e">
        <f ca="1">AG15-AG16</f>
        <v>#N/A</v>
      </c>
      <c r="AN17" s="509">
        <v>14</v>
      </c>
      <c r="AO17" s="503" t="str">
        <v/>
      </c>
      <c r="AQ17" s="204" t="s">
        <v>583</v>
      </c>
      <c r="AR17" s="204" t="str">
        <f t="shared" ca="1" si="1"/>
        <v>$J$54</v>
      </c>
    </row>
    <row r="18" spans="2:44">
      <c r="B18" s="543" t="s">
        <v>596</v>
      </c>
      <c r="C18" s="528"/>
      <c r="D18" s="535" t="s">
        <v>597</v>
      </c>
      <c r="E18" s="528"/>
      <c r="F18" s="528"/>
      <c r="H18" s="394" t="s">
        <v>321</v>
      </c>
      <c r="J18" s="395" t="e">
        <f ca="1">OFFSET(IS추정!$I$13,8,AC2)</f>
        <v>#N/A</v>
      </c>
      <c r="K18" s="395" t="e">
        <f ca="1">OFFSET(IS추정!$I$13,8,AD2)</f>
        <v>#N/A</v>
      </c>
      <c r="L18" s="395" t="e">
        <f ca="1">OFFSET(IS추정!$I$13,8,AE2)</f>
        <v>#N/A</v>
      </c>
      <c r="M18" s="395" t="e">
        <f ca="1">OFFSET(IS추정!$I$13,8,AF2)</f>
        <v>#N/A</v>
      </c>
      <c r="N18" s="395" t="e">
        <f ca="1">OFFSET(IS추정!$I$13,8,AG2)</f>
        <v>#N/A</v>
      </c>
      <c r="P18" s="391" t="s">
        <v>322</v>
      </c>
      <c r="R18" s="395" t="s">
        <v>552</v>
      </c>
      <c r="S18" s="391"/>
      <c r="U18" s="392" t="str">
        <f ca="1">IFERROR(OFFSET(Bloomberg!$A$1,'보고서(일반)'!AO17-1,1),"")</f>
        <v/>
      </c>
      <c r="V18" s="397" t="b">
        <f ca="1">IF('보고서(일반)'!$U18&lt;&gt;"",INDEX(Bloomberg!K:K,MATCH('보고서(일반)'!$U18,Bloomberg!$B:$B,0)))</f>
        <v>0</v>
      </c>
      <c r="W18" s="398" t="b">
        <f ca="1">IF('보고서(일반)'!$U18&lt;&gt;"",INDEX(Bloomberg!L:L,MATCH('보고서(일반)'!$U18,Bloomberg!$B:$B,0)))</f>
        <v>0</v>
      </c>
      <c r="X18" s="397" t="b">
        <f ca="1">IF('보고서(일반)'!$U18&lt;&gt;"",INDEX(Bloomberg!P:P,MATCH('보고서(일반)'!$U18,Bloomberg!$B:$B,0)))</f>
        <v>0</v>
      </c>
      <c r="Y18" s="397" t="b">
        <f ca="1">IF('보고서(일반)'!$U18&lt;&gt;"",INDEX(Bloomberg!R:R,MATCH('보고서(일반)'!$U18,Bloomberg!$B:$B,0)))</f>
        <v>0</v>
      </c>
      <c r="AA18" s="410" t="s">
        <v>323</v>
      </c>
      <c r="AC18" s="406" t="e">
        <f ca="1">-AC19+AC20+AC21</f>
        <v>#N/A</v>
      </c>
      <c r="AD18" s="406" t="e">
        <f ca="1">-AD19+AD20+AD21</f>
        <v>#N/A</v>
      </c>
      <c r="AE18" s="406" t="e">
        <f ca="1">-AE19+AE20+AE21</f>
        <v>#N/A</v>
      </c>
      <c r="AF18" s="406" t="e">
        <f ca="1">-AF19+AF20+AF21</f>
        <v>#N/A</v>
      </c>
      <c r="AG18" s="406" t="e">
        <f ca="1">-AG19+AG20+AG21</f>
        <v>#N/A</v>
      </c>
      <c r="AN18" s="509">
        <v>15</v>
      </c>
      <c r="AO18" s="503" t="str">
        <v/>
      </c>
      <c r="AQ18" s="204" t="s">
        <v>584</v>
      </c>
      <c r="AR18" s="204" t="str">
        <f t="shared" ca="1" si="1"/>
        <v>$R$4</v>
      </c>
    </row>
    <row r="19" spans="2:44">
      <c r="B19" s="543" t="s">
        <v>598</v>
      </c>
      <c r="C19" s="528"/>
      <c r="D19" s="533" t="s">
        <v>599</v>
      </c>
      <c r="E19" s="528"/>
      <c r="F19" s="528"/>
      <c r="H19" s="394" t="s">
        <v>324</v>
      </c>
      <c r="J19" s="395" t="e">
        <f ca="1">OFFSET(IS추정!$I$13,9,AC2)</f>
        <v>#N/A</v>
      </c>
      <c r="K19" s="395" t="e">
        <f ca="1">OFFSET(IS추정!$I$13,9,AD2)</f>
        <v>#N/A</v>
      </c>
      <c r="L19" s="395" t="e">
        <f ca="1">OFFSET(IS추정!$I$13,9,AE2)</f>
        <v>#N/A</v>
      </c>
      <c r="M19" s="395" t="e">
        <f ca="1">OFFSET(IS추정!$I$13,9,AF2)</f>
        <v>#N/A</v>
      </c>
      <c r="N19" s="395" t="e">
        <f ca="1">OFFSET(IS추정!$I$13,9,AG2)</f>
        <v>#N/A</v>
      </c>
      <c r="P19" s="391" t="s">
        <v>325</v>
      </c>
      <c r="R19" s="395" t="s">
        <v>553</v>
      </c>
      <c r="S19" s="391"/>
      <c r="U19" s="392" t="str">
        <f ca="1">IFERROR(OFFSET(Bloomberg!$A$1,'보고서(일반)'!AO18-1,1),"")</f>
        <v/>
      </c>
      <c r="V19" s="397" t="b">
        <f ca="1">IF('보고서(일반)'!$U19&lt;&gt;"",INDEX(Bloomberg!K:K,MATCH('보고서(일반)'!$U19,Bloomberg!$B:$B,0)))</f>
        <v>0</v>
      </c>
      <c r="W19" s="398" t="b">
        <f ca="1">IF('보고서(일반)'!$U19&lt;&gt;"",INDEX(Bloomberg!L:L,MATCH('보고서(일반)'!$U19,Bloomberg!$B:$B,0)))</f>
        <v>0</v>
      </c>
      <c r="X19" s="397" t="b">
        <f ca="1">IF('보고서(일반)'!$U19&lt;&gt;"",INDEX(Bloomberg!P:P,MATCH('보고서(일반)'!$U19,Bloomberg!$B:$B,0)))</f>
        <v>0</v>
      </c>
      <c r="Y19" s="397" t="b">
        <f ca="1">IF('보고서(일반)'!$U19&lt;&gt;"",INDEX(Bloomberg!R:R,MATCH('보고서(일반)'!$U19,Bloomberg!$B:$B,0)))</f>
        <v>0</v>
      </c>
      <c r="AA19" s="409" t="s">
        <v>326</v>
      </c>
      <c r="AC19" s="525" t="e">
        <f ca="1">OFFSET(감가상각추정!$I$36,-28,AC2)+OFFSET(감가상각추정!$I$36,-22,AC2)</f>
        <v>#N/A</v>
      </c>
      <c r="AD19" s="525" t="e">
        <f ca="1">OFFSET(감가상각추정!$I$36,-28,AD2)+OFFSET(감가상각추정!$I$36,-22,AD2)</f>
        <v>#N/A</v>
      </c>
      <c r="AE19" s="525" t="e">
        <f ca="1">OFFSET(감가상각추정!$I$36,-28,AE2)+OFFSET(감가상각추정!$I$36,-22,AE2)</f>
        <v>#N/A</v>
      </c>
      <c r="AF19" s="525" t="e">
        <f ca="1">OFFSET(감가상각추정!$I$36,-28,AF2)+OFFSET(감가상각추정!$I$36,-22,AF2)</f>
        <v>#N/A</v>
      </c>
      <c r="AG19" s="525" t="e">
        <f ca="1">OFFSET(감가상각추정!$I$36,-28,AG2)+OFFSET(감가상각추정!$I$36,-22,AG2)</f>
        <v>#N/A</v>
      </c>
      <c r="AQ19" s="204" t="s">
        <v>585</v>
      </c>
      <c r="AR19" s="204" t="str">
        <f t="shared" ca="1" si="1"/>
        <v>$R$15</v>
      </c>
    </row>
    <row r="20" spans="2:44">
      <c r="B20" s="543" t="s">
        <v>600</v>
      </c>
      <c r="C20" s="528"/>
      <c r="D20" s="533" t="s">
        <v>401</v>
      </c>
      <c r="E20" s="528"/>
      <c r="F20" s="528"/>
      <c r="H20" s="394" t="s">
        <v>327</v>
      </c>
      <c r="J20" s="395" t="e">
        <f ca="1">OFFSET(IS추정!$I$13,10,AC2)</f>
        <v>#N/A</v>
      </c>
      <c r="K20" s="395" t="e">
        <f ca="1">OFFSET(IS추정!$I$13,10,AD2)</f>
        <v>#N/A</v>
      </c>
      <c r="L20" s="395" t="e">
        <f ca="1">OFFSET(IS추정!$I$13,10,AE2)</f>
        <v>#N/A</v>
      </c>
      <c r="M20" s="395" t="e">
        <f ca="1">OFFSET(IS추정!$I$13,10,AF2)</f>
        <v>#N/A</v>
      </c>
      <c r="N20" s="395" t="e">
        <f ca="1">OFFSET(IS추정!$I$13,10,AG2)</f>
        <v>#N/A</v>
      </c>
      <c r="P20" s="391" t="s">
        <v>328</v>
      </c>
      <c r="R20" s="395" t="s">
        <v>554</v>
      </c>
      <c r="S20" s="391"/>
      <c r="U20" s="408" t="s">
        <v>329</v>
      </c>
      <c r="V20" s="411">
        <f ca="1">AVERAGE('보고서(일반)'!V5:V19)</f>
        <v>0.90600000000000003</v>
      </c>
      <c r="W20" s="411">
        <f ca="1">AVERAGE('보고서(일반)'!W5:W19)</f>
        <v>535.20252867144529</v>
      </c>
      <c r="X20" s="411">
        <f ca="1">AVERAGE('보고서(일반)'!X5:X19)</f>
        <v>0.17311709359136654</v>
      </c>
      <c r="Y20" s="411">
        <f ca="1">AVERAGE('보고서(일반)'!Y5:Y19)</f>
        <v>0.90600000000000003</v>
      </c>
      <c r="AA20" s="409" t="s">
        <v>330</v>
      </c>
      <c r="AC20" s="406" t="s">
        <v>331</v>
      </c>
      <c r="AD20" s="406" t="s">
        <v>332</v>
      </c>
      <c r="AE20" s="406" t="s">
        <v>333</v>
      </c>
      <c r="AF20" s="406" t="s">
        <v>334</v>
      </c>
      <c r="AG20" s="406" t="s">
        <v>335</v>
      </c>
      <c r="AQ20" s="204" t="s">
        <v>586</v>
      </c>
      <c r="AR20" s="204" t="str">
        <f t="shared" ca="1" si="1"/>
        <v>$U$4</v>
      </c>
    </row>
    <row r="21" spans="2:44">
      <c r="B21" s="543" t="s">
        <v>601</v>
      </c>
      <c r="C21" s="528"/>
      <c r="D21" s="535" t="s">
        <v>602</v>
      </c>
      <c r="E21" s="528"/>
      <c r="F21" s="528"/>
      <c r="H21" s="394" t="s">
        <v>336</v>
      </c>
      <c r="J21" s="395" t="e">
        <f ca="1">OFFSET(IS추정!$I$13,11,AC2)</f>
        <v>#N/A</v>
      </c>
      <c r="K21" s="395" t="e">
        <f ca="1">OFFSET(IS추정!$I$13,11,AD2)</f>
        <v>#N/A</v>
      </c>
      <c r="L21" s="395" t="e">
        <f ca="1">OFFSET(IS추정!$I$13,11,AE2)</f>
        <v>#N/A</v>
      </c>
      <c r="M21" s="395" t="e">
        <f ca="1">OFFSET(IS추정!$I$13,11,AF2)</f>
        <v>#N/A</v>
      </c>
      <c r="N21" s="395" t="e">
        <f ca="1">OFFSET(IS추정!$I$13,11,AG2)</f>
        <v>#N/A</v>
      </c>
      <c r="P21" s="391" t="s">
        <v>337</v>
      </c>
      <c r="R21" s="395" t="s">
        <v>555</v>
      </c>
      <c r="S21" s="391"/>
      <c r="AA21" s="409" t="s">
        <v>338</v>
      </c>
      <c r="AC21" s="400" t="e">
        <f ca="1">J52</f>
        <v>#N/A</v>
      </c>
      <c r="AD21" s="400" t="e">
        <f ca="1">K52</f>
        <v>#N/A</v>
      </c>
      <c r="AE21" s="400" t="e">
        <f ca="1">L52</f>
        <v>#N/A</v>
      </c>
      <c r="AF21" s="400" t="e">
        <f ca="1">M52</f>
        <v>#N/A</v>
      </c>
      <c r="AG21" s="400" t="e">
        <f ca="1">N52</f>
        <v>#N/A</v>
      </c>
      <c r="AQ21" s="204" t="s">
        <v>587</v>
      </c>
      <c r="AR21" s="204" t="str">
        <f t="shared" ca="1" si="1"/>
        <v>$X$22</v>
      </c>
    </row>
    <row r="22" spans="2:44">
      <c r="B22" s="543" t="s">
        <v>603</v>
      </c>
      <c r="C22" s="528"/>
      <c r="D22" s="535" t="s">
        <v>537</v>
      </c>
      <c r="E22" s="528"/>
      <c r="F22" s="528"/>
      <c r="H22" s="401" t="s">
        <v>339</v>
      </c>
      <c r="J22" s="402" t="e">
        <f ca="1">SUM(J15:J21)</f>
        <v>#N/A</v>
      </c>
      <c r="K22" s="402" t="e">
        <f ca="1">SUM(K15:K21)</f>
        <v>#N/A</v>
      </c>
      <c r="L22" s="402" t="e">
        <f ca="1">SUM(L15:L21)</f>
        <v>#N/A</v>
      </c>
      <c r="M22" s="402" t="e">
        <f ca="1">SUM(M15:M21)</f>
        <v>#N/A</v>
      </c>
      <c r="N22" s="402" t="e">
        <f ca="1">SUM(N15:N21)</f>
        <v>#N/A</v>
      </c>
      <c r="P22" s="391" t="s">
        <v>340</v>
      </c>
      <c r="R22" s="395" t="s">
        <v>556</v>
      </c>
      <c r="S22" s="391"/>
      <c r="U22" s="387" t="s">
        <v>341</v>
      </c>
      <c r="V22" s="387" t="s">
        <v>342</v>
      </c>
      <c r="X22" s="387" t="s">
        <v>343</v>
      </c>
      <c r="AA22" s="410" t="s">
        <v>344</v>
      </c>
      <c r="AC22" s="406" t="e">
        <f ca="1">AC17-AC18</f>
        <v>#N/A</v>
      </c>
      <c r="AD22" s="406" t="e">
        <f ca="1">AD17-AD18</f>
        <v>#N/A</v>
      </c>
      <c r="AE22" s="406" t="e">
        <f ca="1">AE17-AE18</f>
        <v>#N/A</v>
      </c>
      <c r="AF22" s="406" t="e">
        <f ca="1">AF17-AF18</f>
        <v>#N/A</v>
      </c>
      <c r="AG22" s="406" t="e">
        <f ca="1">AG17-AG18</f>
        <v>#N/A</v>
      </c>
      <c r="AQ22" s="204" t="s">
        <v>588</v>
      </c>
      <c r="AR22" s="204" t="str">
        <f t="shared" ca="1" si="1"/>
        <v>$AC$4</v>
      </c>
    </row>
    <row r="23" spans="2:44">
      <c r="B23" s="544" t="s">
        <v>604</v>
      </c>
      <c r="C23" s="528"/>
      <c r="D23" s="537" t="s">
        <v>538</v>
      </c>
      <c r="E23" s="528"/>
      <c r="F23" s="528"/>
      <c r="H23" s="403" t="s">
        <v>345</v>
      </c>
      <c r="J23" s="404" t="e">
        <f ca="1">J22/J6</f>
        <v>#N/A</v>
      </c>
      <c r="K23" s="404" t="e">
        <f ca="1">K22/K6</f>
        <v>#N/A</v>
      </c>
      <c r="L23" s="404" t="e">
        <f ca="1">L22/L6</f>
        <v>#N/A</v>
      </c>
      <c r="M23" s="404" t="e">
        <f ca="1">M22/M6</f>
        <v>#N/A</v>
      </c>
      <c r="N23" s="404" t="e">
        <f ca="1">N22/N6</f>
        <v>#N/A</v>
      </c>
      <c r="P23" s="408" t="s">
        <v>346</v>
      </c>
      <c r="R23" s="402" t="s">
        <v>557</v>
      </c>
      <c r="S23" s="408"/>
      <c r="U23" s="412" t="s">
        <v>539</v>
      </c>
      <c r="V23" s="545" t="s">
        <v>347</v>
      </c>
      <c r="X23" s="393">
        <f ca="1">Y20</f>
        <v>0.90600000000000003</v>
      </c>
      <c r="AA23" s="409" t="s">
        <v>348</v>
      </c>
      <c r="AC23" s="413">
        <f ca="1">WACC!$E$35/100</f>
        <v>2.2346919855135192E-2</v>
      </c>
      <c r="AD23" s="413">
        <f ca="1">WACC!$E$35/100</f>
        <v>2.2346919855135192E-2</v>
      </c>
      <c r="AE23" s="413">
        <f ca="1">WACC!$E$35/100</f>
        <v>2.2346919855135192E-2</v>
      </c>
      <c r="AF23" s="413">
        <f ca="1">WACC!$E$35/100</f>
        <v>2.2346919855135192E-2</v>
      </c>
      <c r="AG23" s="413">
        <f ca="1">WACC!$E$35/100</f>
        <v>2.2346919855135192E-2</v>
      </c>
      <c r="AQ23" s="204" t="s">
        <v>589</v>
      </c>
      <c r="AR23" s="204" t="str">
        <f t="shared" ca="1" si="1"/>
        <v>$AC$30</v>
      </c>
    </row>
    <row r="24" spans="2:44">
      <c r="B24" s="528"/>
      <c r="C24" s="528"/>
      <c r="D24" s="528"/>
      <c r="E24" s="528"/>
      <c r="F24" s="528"/>
      <c r="U24" s="412" t="s">
        <v>349</v>
      </c>
      <c r="V24" s="545" t="s">
        <v>350</v>
      </c>
      <c r="X24" s="414">
        <f>WACC!E22/100</f>
        <v>3.3500000000000002E-2</v>
      </c>
      <c r="AA24" s="409" t="s">
        <v>351</v>
      </c>
      <c r="AC24" s="415" t="s">
        <v>509</v>
      </c>
      <c r="AD24" s="415" t="s">
        <v>510</v>
      </c>
      <c r="AE24" s="415" t="s">
        <v>511</v>
      </c>
      <c r="AF24" s="415" t="s">
        <v>512</v>
      </c>
      <c r="AG24" s="415" t="s">
        <v>513</v>
      </c>
      <c r="AQ24" s="204" t="s">
        <v>590</v>
      </c>
      <c r="AR24" s="204" t="str">
        <f t="shared" ca="1" si="1"/>
        <v>$AC$42</v>
      </c>
    </row>
    <row r="25" spans="2:44">
      <c r="B25" s="389" t="s">
        <v>355</v>
      </c>
      <c r="C25" s="394" t="str">
        <f>TRIM(COMPANY!E2)</f>
        <v>(주)미래세라텍</v>
      </c>
      <c r="D25" s="389" t="s">
        <v>356</v>
      </c>
      <c r="E25" s="394" t="str">
        <f>TRIM(COMPANY!E3)</f>
        <v>외감,중소기업</v>
      </c>
      <c r="F25" s="528"/>
      <c r="H25" s="389" t="s">
        <v>252</v>
      </c>
      <c r="J25" s="389" t="str">
        <f>LEFT(AC$4,4)&amp;"년"</f>
        <v>FCF추년</v>
      </c>
      <c r="K25" s="389" t="str">
        <f>LEFT(AD$4,4)&amp;"년"</f>
        <v>FCF추년</v>
      </c>
      <c r="L25" s="389" t="str">
        <f>LEFT(AE$4,4)&amp;"년"</f>
        <v>FCF추년</v>
      </c>
      <c r="M25" s="389" t="str">
        <f>LEFT(AF$4,4)&amp;"년"</f>
        <v>FCF추년</v>
      </c>
      <c r="N25" s="389" t="str">
        <f>LEFT(AG$4,4)&amp;"년"</f>
        <v>FCF추년</v>
      </c>
      <c r="U25" s="412" t="s">
        <v>352</v>
      </c>
      <c r="V25" s="546" t="s">
        <v>353</v>
      </c>
      <c r="X25" s="414">
        <f>WACC!E23/100</f>
        <v>0.1197</v>
      </c>
      <c r="AA25" s="405" t="s">
        <v>250</v>
      </c>
      <c r="AC25" s="415" t="s">
        <v>354</v>
      </c>
      <c r="AD25" s="415" t="s">
        <v>272</v>
      </c>
      <c r="AE25" s="415" t="s">
        <v>279</v>
      </c>
      <c r="AF25" s="415" t="s">
        <v>286</v>
      </c>
      <c r="AG25" s="415" t="s">
        <v>292</v>
      </c>
    </row>
    <row r="26" spans="2:44">
      <c r="B26" s="389" t="s">
        <v>365</v>
      </c>
      <c r="C26" s="538" t="str">
        <f>TRIM(COMPANY!E5)</f>
        <v>김범주</v>
      </c>
      <c r="D26" s="389" t="s">
        <v>366</v>
      </c>
      <c r="E26" s="539">
        <f>COMPANY!E4</f>
        <v>36537</v>
      </c>
      <c r="F26" s="528"/>
      <c r="H26" s="416" t="s">
        <v>216</v>
      </c>
      <c r="J26" s="417" t="e">
        <f ca="1">J5</f>
        <v>#N/A</v>
      </c>
      <c r="K26" s="417" t="e">
        <f ca="1">K5</f>
        <v>#N/A</v>
      </c>
      <c r="L26" s="417" t="e">
        <f ca="1">L5</f>
        <v>#N/A</v>
      </c>
      <c r="M26" s="417" t="e">
        <f ca="1">M5</f>
        <v>#N/A</v>
      </c>
      <c r="N26" s="417" t="e">
        <f ca="1">N5</f>
        <v>#N/A</v>
      </c>
      <c r="U26" s="412" t="s">
        <v>357</v>
      </c>
      <c r="V26" s="546" t="s">
        <v>358</v>
      </c>
      <c r="X26" s="414">
        <f>WACC!E43/100</f>
        <v>0</v>
      </c>
    </row>
    <row r="27" spans="2:44">
      <c r="B27" s="389" t="s">
        <v>371</v>
      </c>
      <c r="C27" s="394" t="str">
        <f>TRIM(COMPANY!E8)</f>
        <v/>
      </c>
      <c r="D27" s="389" t="s">
        <v>372</v>
      </c>
      <c r="E27" s="540" t="str">
        <f>TRIM(COMPANY!E6)&amp;"월"</f>
        <v>12월</v>
      </c>
      <c r="F27" s="528"/>
      <c r="H27" s="418" t="s">
        <v>367</v>
      </c>
      <c r="J27" s="686">
        <f>성장률추정!J17/성장률추정!I17-1</f>
        <v>2.4860000000000104E-2</v>
      </c>
      <c r="K27" s="419" t="e">
        <f ca="1">K7</f>
        <v>#N/A</v>
      </c>
      <c r="L27" s="419" t="e">
        <f ca="1">L7</f>
        <v>#N/A</v>
      </c>
      <c r="M27" s="419" t="e">
        <f ca="1">M7</f>
        <v>#N/A</v>
      </c>
      <c r="N27" s="419" t="e">
        <f ca="1">N7</f>
        <v>#N/A</v>
      </c>
      <c r="P27"/>
      <c r="R27"/>
      <c r="S27"/>
      <c r="U27" s="412" t="s">
        <v>368</v>
      </c>
      <c r="V27" s="546" t="s">
        <v>369</v>
      </c>
      <c r="X27" s="414">
        <f ca="1">WACC!E34/100</f>
        <v>0.1419482</v>
      </c>
      <c r="AA27" s="405" t="s">
        <v>359</v>
      </c>
      <c r="AC27" s="415" t="s">
        <v>360</v>
      </c>
      <c r="AD27" s="415" t="s">
        <v>361</v>
      </c>
      <c r="AE27" s="415" t="s">
        <v>362</v>
      </c>
      <c r="AF27" s="415" t="s">
        <v>363</v>
      </c>
      <c r="AG27" s="415" t="s">
        <v>364</v>
      </c>
    </row>
    <row r="28" spans="2:44">
      <c r="B28" s="528"/>
      <c r="C28" s="528"/>
      <c r="D28" s="528"/>
      <c r="E28" s="528"/>
      <c r="F28" s="528"/>
      <c r="H28" s="416" t="s">
        <v>301</v>
      </c>
      <c r="J28" s="417" t="e">
        <f ca="1">J10</f>
        <v>#N/A</v>
      </c>
      <c r="K28" s="417" t="e">
        <f ca="1">K10</f>
        <v>#N/A</v>
      </c>
      <c r="L28" s="417" t="e">
        <f ca="1">L10</f>
        <v>#N/A</v>
      </c>
      <c r="M28" s="417" t="e">
        <f ca="1">M10</f>
        <v>#N/A</v>
      </c>
      <c r="N28" s="417" t="e">
        <f ca="1">N10</f>
        <v>#N/A</v>
      </c>
      <c r="P28"/>
      <c r="R28"/>
      <c r="S28"/>
      <c r="U28" s="412" t="s">
        <v>374</v>
      </c>
      <c r="V28" s="546" t="s">
        <v>375</v>
      </c>
      <c r="X28" s="414">
        <f>WACC!E30/100</f>
        <v>0.20899999999999999</v>
      </c>
      <c r="AA28" s="405" t="s">
        <v>370</v>
      </c>
      <c r="AC28" s="400" t="e">
        <f ca="1">AC22*AC25*AC27</f>
        <v>#N/A</v>
      </c>
      <c r="AD28" s="400" t="e">
        <f ca="1">AD22*AD25*AD27</f>
        <v>#N/A</v>
      </c>
      <c r="AE28" s="400" t="e">
        <f ca="1">AE22*AE25*AE27</f>
        <v>#N/A</v>
      </c>
      <c r="AF28" s="400" t="e">
        <f ca="1">AF22*AF25*AF27</f>
        <v>#N/A</v>
      </c>
      <c r="AG28" s="400" t="e">
        <f ca="1">AG22*AG25*AG27</f>
        <v>#N/A</v>
      </c>
    </row>
    <row r="29" spans="2:44">
      <c r="B29" s="541" t="s">
        <v>380</v>
      </c>
      <c r="C29" s="422" t="str">
        <f>TRIM(COMPANY!E10)</f>
        <v>위생용 도자기 제조업</v>
      </c>
      <c r="D29" s="528"/>
      <c r="E29" s="528"/>
      <c r="F29" s="528"/>
      <c r="H29" s="418" t="s">
        <v>376</v>
      </c>
      <c r="J29" s="419" t="e">
        <f ca="1">J12</f>
        <v>#N/A</v>
      </c>
      <c r="K29" s="419" t="e">
        <f ca="1">K12</f>
        <v>#N/A</v>
      </c>
      <c r="L29" s="419" t="e">
        <f ca="1">L12</f>
        <v>#N/A</v>
      </c>
      <c r="M29" s="419" t="e">
        <f ca="1">M12</f>
        <v>#N/A</v>
      </c>
      <c r="N29" s="419" t="e">
        <f ca="1">N12</f>
        <v>#N/A</v>
      </c>
      <c r="P29"/>
      <c r="R29"/>
      <c r="S29"/>
      <c r="U29" s="412" t="s">
        <v>377</v>
      </c>
      <c r="V29" s="546" t="s">
        <v>378</v>
      </c>
      <c r="X29" s="414">
        <f>WACC!E31/100</f>
        <v>0</v>
      </c>
      <c r="AD29" s="420"/>
      <c r="AE29" s="420"/>
      <c r="AF29" s="420"/>
      <c r="AG29" s="420"/>
    </row>
    <row r="30" spans="2:44">
      <c r="B30" s="542" t="s">
        <v>386</v>
      </c>
      <c r="C30" s="424" t="str">
        <f>TRIM(COMPANY!E11)</f>
        <v>세라믹제품 제조/기술 용역</v>
      </c>
      <c r="D30" s="528"/>
      <c r="E30" s="528"/>
      <c r="F30" s="528"/>
      <c r="H30" s="416" t="s">
        <v>381</v>
      </c>
      <c r="J30" s="417" t="e">
        <f ca="1">J26-J28</f>
        <v>#N/A</v>
      </c>
      <c r="K30" s="417" t="e">
        <f ca="1">K26-K28</f>
        <v>#N/A</v>
      </c>
      <c r="L30" s="417" t="e">
        <f ca="1">L26-L28</f>
        <v>#N/A</v>
      </c>
      <c r="M30" s="417" t="e">
        <f ca="1">M26-M28</f>
        <v>#N/A</v>
      </c>
      <c r="N30" s="417" t="e">
        <f ca="1">N26-N28</f>
        <v>#N/A</v>
      </c>
      <c r="P30"/>
      <c r="R30"/>
      <c r="S30"/>
      <c r="U30" s="412" t="s">
        <v>606</v>
      </c>
      <c r="V30" s="546"/>
      <c r="X30" s="414">
        <f>X29*(1-X28)</f>
        <v>0</v>
      </c>
      <c r="AA30" s="399" t="s">
        <v>379</v>
      </c>
      <c r="AC30" s="524" t="e">
        <f ca="1">SUM(AC28:AG28)</f>
        <v>#N/A</v>
      </c>
      <c r="AD30" s="420"/>
      <c r="AE30" s="421"/>
      <c r="AF30" s="420"/>
      <c r="AG30" s="420"/>
    </row>
    <row r="31" spans="2:44">
      <c r="B31" s="528"/>
      <c r="C31" s="528"/>
      <c r="D31" s="528"/>
      <c r="E31" s="528"/>
      <c r="F31" s="528"/>
      <c r="H31" s="416" t="s">
        <v>387</v>
      </c>
      <c r="J31" s="417" t="e">
        <f ca="1">J22</f>
        <v>#N/A</v>
      </c>
      <c r="K31" s="417" t="e">
        <f ca="1">K22</f>
        <v>#N/A</v>
      </c>
      <c r="L31" s="417" t="e">
        <f ca="1">L22</f>
        <v>#N/A</v>
      </c>
      <c r="M31" s="417" t="e">
        <f ca="1">M22</f>
        <v>#N/A</v>
      </c>
      <c r="N31" s="417" t="e">
        <f ca="1">N22</f>
        <v>#N/A</v>
      </c>
      <c r="P31"/>
      <c r="R31"/>
      <c r="S31"/>
      <c r="U31" s="412" t="s">
        <v>382</v>
      </c>
      <c r="V31" s="546" t="s">
        <v>383</v>
      </c>
      <c r="X31" s="414">
        <f ca="1">WACC!E35/100</f>
        <v>2.2346919855135192E-2</v>
      </c>
      <c r="AA31" s="423" t="s">
        <v>384</v>
      </c>
      <c r="AC31" s="407" t="s">
        <v>385</v>
      </c>
      <c r="AD31" s="420"/>
      <c r="AE31" s="420"/>
      <c r="AF31" s="420"/>
      <c r="AG31" s="420"/>
    </row>
    <row r="32" spans="2:44">
      <c r="B32" s="389" t="s">
        <v>252</v>
      </c>
      <c r="C32" s="389" t="str">
        <f>LEFT(BS추정!$H$1,4)&amp;"년 "&amp;MID(BS추정!$H$1,5,2)&amp;"월"</f>
        <v>2023년 12월</v>
      </c>
      <c r="D32" s="389" t="str">
        <f>LEFT(BS추정!$G$1,4)&amp;"년 "&amp;MID(BS추정!$G$1,5,2)&amp;"월"</f>
        <v>2022년 12월</v>
      </c>
      <c r="E32" s="389" t="str">
        <f>LEFT(BS추정!$F$1,4)&amp;"년 "&amp;MID(BS추정!$F$1,5,2)&amp;"월"</f>
        <v>2021년 12월</v>
      </c>
      <c r="F32" s="528"/>
      <c r="H32" s="425" t="s">
        <v>313</v>
      </c>
      <c r="J32" s="426" t="e">
        <f t="shared" ref="J32:N38" ca="1" si="3">J15</f>
        <v>#N/A</v>
      </c>
      <c r="K32" s="426" t="e">
        <f t="shared" ca="1" si="3"/>
        <v>#N/A</v>
      </c>
      <c r="L32" s="426" t="e">
        <f t="shared" ca="1" si="3"/>
        <v>#N/A</v>
      </c>
      <c r="M32" s="426" t="e">
        <f t="shared" ca="1" si="3"/>
        <v>#N/A</v>
      </c>
      <c r="N32" s="426" t="e">
        <f t="shared" ca="1" si="3"/>
        <v>#N/A</v>
      </c>
      <c r="P32"/>
      <c r="R32"/>
      <c r="S32"/>
      <c r="AA32" s="423" t="s">
        <v>388</v>
      </c>
      <c r="AC32" s="407" t="e">
        <f ca="1">AC31+AC30</f>
        <v>#VALUE!</v>
      </c>
      <c r="AD32" s="420"/>
      <c r="AE32" s="420"/>
      <c r="AF32" s="420"/>
      <c r="AG32" s="420"/>
    </row>
    <row r="33" spans="2:33">
      <c r="B33" s="394" t="s">
        <v>391</v>
      </c>
      <c r="C33" s="426">
        <f>BS추정!H17</f>
        <v>9207</v>
      </c>
      <c r="D33" s="426">
        <f>BS추정!G17</f>
        <v>19389</v>
      </c>
      <c r="E33" s="426">
        <f>BS추정!F17</f>
        <v>24139</v>
      </c>
      <c r="F33" s="528"/>
      <c r="H33" s="425" t="s">
        <v>315</v>
      </c>
      <c r="J33" s="426" t="e">
        <f t="shared" ca="1" si="3"/>
        <v>#N/A</v>
      </c>
      <c r="K33" s="426" t="e">
        <f t="shared" ca="1" si="3"/>
        <v>#N/A</v>
      </c>
      <c r="L33" s="426" t="e">
        <f t="shared" ca="1" si="3"/>
        <v>#N/A</v>
      </c>
      <c r="M33" s="426" t="e">
        <f t="shared" ca="1" si="3"/>
        <v>#N/A</v>
      </c>
      <c r="N33" s="426" t="e">
        <f t="shared" ca="1" si="3"/>
        <v>#N/A</v>
      </c>
      <c r="AA33" s="399" t="s">
        <v>389</v>
      </c>
      <c r="AC33" s="407" t="s">
        <v>535</v>
      </c>
      <c r="AD33" s="420"/>
      <c r="AE33" s="420"/>
      <c r="AF33" s="427"/>
      <c r="AG33" s="420"/>
    </row>
    <row r="34" spans="2:33">
      <c r="B34" s="394" t="s">
        <v>393</v>
      </c>
      <c r="C34" s="426">
        <f>BS추정!H26</f>
        <v>52706</v>
      </c>
      <c r="D34" s="426">
        <f>BS추정!G26</f>
        <v>44894</v>
      </c>
      <c r="E34" s="426">
        <f>BS추정!F26</f>
        <v>12917</v>
      </c>
      <c r="F34" s="528"/>
      <c r="H34" s="425" t="s">
        <v>318</v>
      </c>
      <c r="J34" s="426" t="e">
        <f t="shared" ca="1" si="3"/>
        <v>#N/A</v>
      </c>
      <c r="K34" s="426" t="e">
        <f t="shared" ca="1" si="3"/>
        <v>#N/A</v>
      </c>
      <c r="L34" s="426" t="e">
        <f t="shared" ca="1" si="3"/>
        <v>#N/A</v>
      </c>
      <c r="M34" s="426" t="e">
        <f t="shared" ca="1" si="3"/>
        <v>#N/A</v>
      </c>
      <c r="N34" s="426" t="e">
        <f t="shared" ca="1" si="3"/>
        <v>#N/A</v>
      </c>
      <c r="AA34" s="399" t="s">
        <v>390</v>
      </c>
      <c r="AC34" s="407" t="e">
        <f ca="1">AC32+AC33</f>
        <v>#VALUE!</v>
      </c>
      <c r="AD34" s="420"/>
      <c r="AE34" s="420"/>
      <c r="AF34" s="420"/>
      <c r="AG34" s="420"/>
    </row>
    <row r="35" spans="2:33">
      <c r="B35" s="394" t="s">
        <v>395</v>
      </c>
      <c r="C35" s="426">
        <f>BS추정!H27</f>
        <v>61913</v>
      </c>
      <c r="D35" s="426">
        <f>BS추정!G27</f>
        <v>64283</v>
      </c>
      <c r="E35" s="426">
        <f>BS추정!F27</f>
        <v>37057</v>
      </c>
      <c r="F35" s="528"/>
      <c r="H35" s="425" t="s">
        <v>321</v>
      </c>
      <c r="J35" s="426" t="e">
        <f t="shared" ca="1" si="3"/>
        <v>#N/A</v>
      </c>
      <c r="K35" s="426" t="e">
        <f t="shared" ca="1" si="3"/>
        <v>#N/A</v>
      </c>
      <c r="L35" s="426" t="e">
        <f t="shared" ca="1" si="3"/>
        <v>#N/A</v>
      </c>
      <c r="M35" s="426" t="e">
        <f t="shared" ca="1" si="3"/>
        <v>#N/A</v>
      </c>
      <c r="N35" s="426" t="e">
        <f t="shared" ca="1" si="3"/>
        <v>#N/A</v>
      </c>
      <c r="AA35" s="399" t="s">
        <v>392</v>
      </c>
      <c r="AC35" s="407" t="s">
        <v>536</v>
      </c>
      <c r="AD35" s="420"/>
      <c r="AE35" s="420"/>
      <c r="AF35" s="420"/>
      <c r="AG35" s="420"/>
    </row>
    <row r="36" spans="2:33">
      <c r="B36" s="394" t="s">
        <v>397</v>
      </c>
      <c r="C36" s="426">
        <f>BS추정!H28</f>
        <v>24953</v>
      </c>
      <c r="D36" s="426">
        <f>BS추정!G28</f>
        <v>7792</v>
      </c>
      <c r="E36" s="426">
        <f>BS추정!F28</f>
        <v>10263</v>
      </c>
      <c r="F36" s="528"/>
      <c r="H36" s="425" t="s">
        <v>324</v>
      </c>
      <c r="J36" s="426" t="e">
        <f t="shared" ca="1" si="3"/>
        <v>#N/A</v>
      </c>
      <c r="K36" s="426" t="e">
        <f t="shared" ca="1" si="3"/>
        <v>#N/A</v>
      </c>
      <c r="L36" s="426" t="e">
        <f t="shared" ca="1" si="3"/>
        <v>#N/A</v>
      </c>
      <c r="M36" s="426" t="e">
        <f t="shared" ca="1" si="3"/>
        <v>#N/A</v>
      </c>
      <c r="N36" s="426" t="e">
        <f t="shared" ca="1" si="3"/>
        <v>#N/A</v>
      </c>
      <c r="AA36" s="399" t="s">
        <v>394</v>
      </c>
      <c r="AC36" s="407" t="s">
        <v>401</v>
      </c>
      <c r="AD36" s="420"/>
      <c r="AE36" s="420"/>
      <c r="AF36" s="420"/>
      <c r="AG36" s="420"/>
    </row>
    <row r="37" spans="2:33">
      <c r="B37" s="394" t="s">
        <v>398</v>
      </c>
      <c r="C37" s="426">
        <f>BS추정!H29</f>
        <v>14095</v>
      </c>
      <c r="D37" s="426">
        <f>BS추정!G29</f>
        <v>23640</v>
      </c>
      <c r="E37" s="426">
        <f>BS추정!F29</f>
        <v>16621</v>
      </c>
      <c r="F37" s="528"/>
      <c r="H37" s="425" t="s">
        <v>327</v>
      </c>
      <c r="J37" s="426" t="e">
        <f t="shared" ca="1" si="3"/>
        <v>#N/A</v>
      </c>
      <c r="K37" s="426" t="e">
        <f t="shared" ca="1" si="3"/>
        <v>#N/A</v>
      </c>
      <c r="L37" s="426" t="e">
        <f t="shared" ca="1" si="3"/>
        <v>#N/A</v>
      </c>
      <c r="M37" s="426" t="e">
        <f t="shared" ca="1" si="3"/>
        <v>#N/A</v>
      </c>
      <c r="N37" s="426" t="e">
        <f t="shared" ca="1" si="3"/>
        <v>#N/A</v>
      </c>
      <c r="AA37" s="399" t="s">
        <v>396</v>
      </c>
      <c r="AC37" s="407" t="e">
        <f ca="1">AC34-AC35-AC36</f>
        <v>#VALUE!</v>
      </c>
      <c r="AD37" s="420"/>
      <c r="AE37" s="420"/>
      <c r="AF37" s="420"/>
      <c r="AG37" s="420"/>
    </row>
    <row r="38" spans="2:33">
      <c r="B38" s="394" t="s">
        <v>402</v>
      </c>
      <c r="C38" s="426">
        <f>BS추정!H30</f>
        <v>39048</v>
      </c>
      <c r="D38" s="426">
        <f>BS추정!G30</f>
        <v>31431</v>
      </c>
      <c r="E38" s="426">
        <f>BS추정!F30</f>
        <v>26884</v>
      </c>
      <c r="F38" s="528"/>
      <c r="H38" s="425" t="s">
        <v>399</v>
      </c>
      <c r="J38" s="426" t="e">
        <f t="shared" ca="1" si="3"/>
        <v>#N/A</v>
      </c>
      <c r="K38" s="426" t="e">
        <f t="shared" ca="1" si="3"/>
        <v>#N/A</v>
      </c>
      <c r="L38" s="426" t="e">
        <f t="shared" ca="1" si="3"/>
        <v>#N/A</v>
      </c>
      <c r="M38" s="426" t="e">
        <f t="shared" ca="1" si="3"/>
        <v>#N/A</v>
      </c>
      <c r="N38" s="426" t="e">
        <f t="shared" ca="1" si="3"/>
        <v>#N/A</v>
      </c>
      <c r="AA38" s="399" t="s">
        <v>717</v>
      </c>
      <c r="AC38" s="407" t="s">
        <v>537</v>
      </c>
      <c r="AD38" s="420"/>
      <c r="AE38" s="420"/>
      <c r="AF38" s="420"/>
      <c r="AG38" s="420"/>
    </row>
    <row r="39" spans="2:33">
      <c r="B39" s="394" t="s">
        <v>219</v>
      </c>
      <c r="C39" s="426">
        <f>BS추정!H36</f>
        <v>22865</v>
      </c>
      <c r="D39" s="426">
        <f>BS추정!G36</f>
        <v>32851</v>
      </c>
      <c r="E39" s="426">
        <f>BS추정!F36</f>
        <v>10173</v>
      </c>
      <c r="F39" s="528"/>
      <c r="H39" s="401" t="s">
        <v>217</v>
      </c>
      <c r="J39" s="402" t="e">
        <f ca="1">J30-J31</f>
        <v>#N/A</v>
      </c>
      <c r="K39" s="402" t="e">
        <f ca="1">K30-K31</f>
        <v>#N/A</v>
      </c>
      <c r="L39" s="402" t="e">
        <f ca="1">L30-L31</f>
        <v>#N/A</v>
      </c>
      <c r="M39" s="402" t="e">
        <f ca="1">M30-M31</f>
        <v>#N/A</v>
      </c>
      <c r="N39" s="402" t="e">
        <f ca="1">N30-N31</f>
        <v>#N/A</v>
      </c>
      <c r="AA39" s="399" t="s">
        <v>400</v>
      </c>
      <c r="AC39" s="407" t="s">
        <v>538</v>
      </c>
    </row>
    <row r="40" spans="2:33">
      <c r="B40" s="528"/>
      <c r="C40" s="528"/>
      <c r="D40" s="528"/>
      <c r="E40" s="528"/>
      <c r="F40" s="528"/>
      <c r="H40" s="403" t="s">
        <v>403</v>
      </c>
      <c r="J40" s="404" t="e">
        <f ca="1">J39/J6</f>
        <v>#N/A</v>
      </c>
      <c r="K40" s="404" t="e">
        <f ca="1">K39/K6</f>
        <v>#N/A</v>
      </c>
      <c r="L40" s="404" t="e">
        <f ca="1">L39/L6</f>
        <v>#N/A</v>
      </c>
      <c r="M40" s="404" t="e">
        <f ca="1">M39/M6</f>
        <v>#N/A</v>
      </c>
      <c r="N40" s="404" t="e">
        <f ca="1">N39/N6</f>
        <v>#N/A</v>
      </c>
    </row>
    <row r="41" spans="2:33">
      <c r="B41" s="389" t="s">
        <v>252</v>
      </c>
      <c r="C41" s="389" t="str">
        <f>LEFT(BS추정!$H$1,4)&amp;"년 "&amp;MID(BS추정!$H$1,5,2)&amp;"월"</f>
        <v>2023년 12월</v>
      </c>
      <c r="D41" s="389" t="str">
        <f>LEFT(BS추정!$G$1,4)&amp;"년 "&amp;MID(BS추정!$G$1,5,2)&amp;"월"</f>
        <v>2022년 12월</v>
      </c>
      <c r="E41" s="389" t="str">
        <f>LEFT(BS추정!$F$1,4)&amp;"년 "&amp;MID(BS추정!$F$1,5,2)&amp;"월"</f>
        <v>2021년 12월</v>
      </c>
      <c r="F41" s="528"/>
    </row>
    <row r="42" spans="2:33">
      <c r="B42" s="394" t="s">
        <v>216</v>
      </c>
      <c r="C42" s="426">
        <f>IS추정!H14</f>
        <v>5015</v>
      </c>
      <c r="D42" s="426">
        <f>IS추정!G14</f>
        <v>12194</v>
      </c>
      <c r="E42" s="426">
        <f>IS추정!F14</f>
        <v>18162</v>
      </c>
      <c r="F42" s="528"/>
      <c r="H42" s="390" t="s">
        <v>252</v>
      </c>
      <c r="J42" s="390" t="str">
        <f>LEFT(AC$4,4)&amp;"년"</f>
        <v>FCF추년</v>
      </c>
      <c r="K42" s="390" t="str">
        <f>LEFT(AD$4,4)&amp;"년"</f>
        <v>FCF추년</v>
      </c>
      <c r="L42" s="390" t="str">
        <f>LEFT(AE$4,4)&amp;"년"</f>
        <v>FCF추년</v>
      </c>
      <c r="M42" s="390" t="str">
        <f>LEFT(AF$4,4)&amp;"년"</f>
        <v>FCF추년</v>
      </c>
      <c r="N42" s="390" t="str">
        <f>LEFT(AG$4,4)&amp;"년"</f>
        <v>FCF추년</v>
      </c>
      <c r="AA42" s="526" t="s">
        <v>605</v>
      </c>
      <c r="AC42" s="526">
        <f ca="1">+민감도!G1/100</f>
        <v>1.23E-2</v>
      </c>
      <c r="AD42" s="526">
        <f ca="1">+민감도!H1/100</f>
        <v>2.23E-2</v>
      </c>
      <c r="AE42" s="526">
        <f ca="1">+민감도!I1/100</f>
        <v>3.2300000000000002E-2</v>
      </c>
    </row>
    <row r="43" spans="2:33">
      <c r="B43" s="394" t="s">
        <v>301</v>
      </c>
      <c r="C43" s="426">
        <f>IS추정!H15</f>
        <v>7282</v>
      </c>
      <c r="D43" s="426">
        <f>IS추정!G15</f>
        <v>11518</v>
      </c>
      <c r="E43" s="426">
        <f>IS추정!F15</f>
        <v>14341</v>
      </c>
      <c r="F43" s="528"/>
      <c r="H43" s="391" t="s">
        <v>217</v>
      </c>
      <c r="J43" s="395" t="e">
        <f ca="1">J39</f>
        <v>#N/A</v>
      </c>
      <c r="K43" s="395" t="e">
        <f ca="1">K39</f>
        <v>#N/A</v>
      </c>
      <c r="L43" s="395" t="e">
        <f ca="1">L39</f>
        <v>#N/A</v>
      </c>
      <c r="M43" s="395" t="e">
        <f ca="1">M39</f>
        <v>#N/A</v>
      </c>
      <c r="N43" s="395" t="e">
        <f ca="1">N39</f>
        <v>#N/A</v>
      </c>
      <c r="AA43" s="414" t="str">
        <f>+민감도!F2</f>
        <v>0.0%</v>
      </c>
      <c r="AC43" s="407" t="e">
        <f ca="1">+민감도!B2</f>
        <v>#N/A</v>
      </c>
      <c r="AD43" s="407" t="e">
        <f ca="1">+민감도!C2</f>
        <v>#N/A</v>
      </c>
      <c r="AE43" s="407" t="e">
        <f ca="1">+민감도!D2</f>
        <v>#N/A</v>
      </c>
    </row>
    <row r="44" spans="2:33">
      <c r="B44" s="394" t="s">
        <v>381</v>
      </c>
      <c r="C44" s="426">
        <f>IS추정!H16</f>
        <v>-2266</v>
      </c>
      <c r="D44" s="426">
        <f>IS추정!G16</f>
        <v>677</v>
      </c>
      <c r="E44" s="426">
        <f>IS추정!F16</f>
        <v>3821</v>
      </c>
      <c r="F44" s="528"/>
      <c r="H44" s="391" t="s">
        <v>404</v>
      </c>
      <c r="J44" s="395" t="e">
        <f ca="1">J43-J45</f>
        <v>#N/A</v>
      </c>
      <c r="K44" s="395" t="e">
        <f t="shared" ref="K44:N44" ca="1" si="4">K43-K45</f>
        <v>#N/A</v>
      </c>
      <c r="L44" s="395" t="e">
        <f t="shared" ca="1" si="4"/>
        <v>#N/A</v>
      </c>
      <c r="M44" s="395" t="e">
        <f t="shared" ca="1" si="4"/>
        <v>#N/A</v>
      </c>
      <c r="N44" s="395" t="e">
        <f t="shared" ca="1" si="4"/>
        <v>#N/A</v>
      </c>
      <c r="P44" s="204" t="s">
        <v>405</v>
      </c>
      <c r="AA44" s="414" t="str">
        <f>+민감도!F3</f>
        <v>0.5%</v>
      </c>
      <c r="AC44" s="407" t="e">
        <f ca="1">+민감도!B3</f>
        <v>#N/A</v>
      </c>
      <c r="AD44" s="407" t="e">
        <f ca="1">+민감도!C3</f>
        <v>#N/A</v>
      </c>
      <c r="AE44" s="407" t="e">
        <f ca="1">+민감도!D3</f>
        <v>#N/A</v>
      </c>
    </row>
    <row r="45" spans="2:33">
      <c r="B45" s="394" t="s">
        <v>407</v>
      </c>
      <c r="C45" s="426">
        <f>IS추정!H17</f>
        <v>6057</v>
      </c>
      <c r="D45" s="426">
        <f>IS추정!G17</f>
        <v>4229</v>
      </c>
      <c r="E45" s="426">
        <f>IS추정!F17</f>
        <v>3527</v>
      </c>
      <c r="F45" s="528"/>
      <c r="H45" s="401" t="s">
        <v>406</v>
      </c>
      <c r="J45" s="402" t="s">
        <v>558</v>
      </c>
      <c r="K45" s="402" t="s">
        <v>559</v>
      </c>
      <c r="L45" s="402" t="s">
        <v>560</v>
      </c>
      <c r="M45" s="402" t="s">
        <v>561</v>
      </c>
      <c r="N45" s="402" t="s">
        <v>562</v>
      </c>
      <c r="AA45" s="414" t="str">
        <f>+민감도!F4</f>
        <v>1.0%</v>
      </c>
      <c r="AC45" s="407" t="e">
        <f ca="1">+민감도!B4</f>
        <v>#N/A</v>
      </c>
      <c r="AD45" s="407" t="e">
        <f ca="1">+민감도!C4</f>
        <v>#N/A</v>
      </c>
      <c r="AE45" s="407" t="e">
        <f ca="1">+민감도!D4</f>
        <v>#N/A</v>
      </c>
    </row>
    <row r="46" spans="2:33">
      <c r="B46" s="394" t="s">
        <v>217</v>
      </c>
      <c r="C46" s="426">
        <f>IS추정!H25</f>
        <v>-8323</v>
      </c>
      <c r="D46" s="426">
        <f>IS추정!G25</f>
        <v>-3553</v>
      </c>
      <c r="E46" s="426">
        <f>IS추정!F25</f>
        <v>294</v>
      </c>
      <c r="F46" s="528"/>
    </row>
    <row r="47" spans="2:33">
      <c r="B47"/>
      <c r="C47"/>
      <c r="D47"/>
      <c r="E47"/>
      <c r="F47"/>
      <c r="H47" s="390" t="s">
        <v>252</v>
      </c>
      <c r="J47" s="390" t="str">
        <f>LEFT(AC$4,4)&amp;"년"</f>
        <v>FCF추년</v>
      </c>
      <c r="K47" s="390" t="str">
        <f>LEFT(AD$4,4)&amp;"년"</f>
        <v>FCF추년</v>
      </c>
      <c r="L47" s="390" t="str">
        <f>LEFT(AE$4,4)&amp;"년"</f>
        <v>FCF추년</v>
      </c>
      <c r="M47" s="390" t="str">
        <f>LEFT(AF$4,4)&amp;"년"</f>
        <v>FCF추년</v>
      </c>
      <c r="N47" s="390" t="str">
        <f>LEFT(AG$4,4)&amp;"년"</f>
        <v>FCF추년</v>
      </c>
    </row>
    <row r="48" spans="2:33">
      <c r="B48"/>
      <c r="C48"/>
      <c r="D48"/>
      <c r="E48"/>
      <c r="F48"/>
      <c r="H48" s="428" t="s">
        <v>408</v>
      </c>
      <c r="J48" s="429" t="e">
        <f ca="1">OFFSET(BS추정!$I$14,5,AC2)</f>
        <v>#N/A</v>
      </c>
      <c r="K48" s="429" t="e">
        <f ca="1">OFFSET(BS추정!$I$14,5,AD2)</f>
        <v>#N/A</v>
      </c>
      <c r="L48" s="429" t="e">
        <f ca="1">OFFSET(BS추정!$I$14,5,AE2)</f>
        <v>#N/A</v>
      </c>
      <c r="M48" s="429" t="e">
        <f ca="1">OFFSET(BS추정!$I$14,5,AF2)</f>
        <v>#N/A</v>
      </c>
      <c r="N48" s="429" t="e">
        <f ca="1">OFFSET(BS추정!$I$14,5,AG2)</f>
        <v>#N/A</v>
      </c>
    </row>
    <row r="49" spans="2:14">
      <c r="B49"/>
      <c r="C49"/>
      <c r="D49"/>
      <c r="E49"/>
      <c r="F49"/>
      <c r="H49" s="391" t="s">
        <v>324</v>
      </c>
      <c r="J49" s="395" t="e">
        <f ca="1">OFFSET(BS추정!$I$14,8,AC2)</f>
        <v>#N/A</v>
      </c>
      <c r="K49" s="395" t="e">
        <f ca="1">OFFSET(BS추정!$I$14,8,AD2)</f>
        <v>#N/A</v>
      </c>
      <c r="L49" s="395" t="e">
        <f ca="1">OFFSET(BS추정!$I$14,8,AE2)</f>
        <v>#N/A</v>
      </c>
      <c r="M49" s="395" t="e">
        <f ca="1">OFFSET(BS추정!$I$14,8,AF2)</f>
        <v>#N/A</v>
      </c>
      <c r="N49" s="395" t="e">
        <f ca="1">OFFSET(BS추정!$I$14,8,AG2)</f>
        <v>#N/A</v>
      </c>
    </row>
    <row r="50" spans="2:14">
      <c r="B50"/>
      <c r="C50"/>
      <c r="D50"/>
      <c r="E50"/>
      <c r="F50"/>
      <c r="H50" s="428" t="s">
        <v>413</v>
      </c>
      <c r="J50" s="430" t="e">
        <f ca="1">OFFSET(BS추정!$I$14,9,AC2)</f>
        <v>#N/A</v>
      </c>
      <c r="K50" s="430" t="e">
        <f ca="1">OFFSET(BS추정!$I$14,9,AD2)</f>
        <v>#N/A</v>
      </c>
      <c r="L50" s="430" t="e">
        <f ca="1">OFFSET(BS추정!$I$14,9,AE2)</f>
        <v>#N/A</v>
      </c>
      <c r="M50" s="430" t="e">
        <f ca="1">OFFSET(BS추정!$I$14,9,AF2)</f>
        <v>#N/A</v>
      </c>
      <c r="N50" s="430" t="e">
        <f ca="1">OFFSET(BS추정!$I$14,9,AG2)</f>
        <v>#N/A</v>
      </c>
    </row>
    <row r="51" spans="2:14">
      <c r="B51"/>
      <c r="C51"/>
      <c r="D51"/>
      <c r="E51"/>
      <c r="F51"/>
      <c r="H51" s="391" t="s">
        <v>327</v>
      </c>
      <c r="J51" s="395" t="e">
        <f ca="1">OFFSET(BS추정!$I$14,10,AC2)</f>
        <v>#N/A</v>
      </c>
      <c r="K51" s="395" t="e">
        <f ca="1">OFFSET(BS추정!$I$14,10,AD2)</f>
        <v>#N/A</v>
      </c>
      <c r="L51" s="395" t="e">
        <f ca="1">OFFSET(BS추정!$I$14,10,AE2)</f>
        <v>#N/A</v>
      </c>
      <c r="M51" s="395" t="e">
        <f ca="1">OFFSET(BS추정!$I$14,10,AF2)</f>
        <v>#N/A</v>
      </c>
      <c r="N51" s="395" t="e">
        <f ca="1">OFFSET(BS추정!$I$14,10,AG2)</f>
        <v>#N/A</v>
      </c>
    </row>
    <row r="52" spans="2:14">
      <c r="H52" s="401" t="s">
        <v>418</v>
      </c>
      <c r="I52" s="204"/>
      <c r="J52" s="402" t="e">
        <f ca="1">OFFSET(감가상각추정!$I$36,-3,AC2)</f>
        <v>#N/A</v>
      </c>
      <c r="K52" s="402" t="e">
        <f ca="1">OFFSET(감가상각추정!$I$36,-3,AD2)</f>
        <v>#N/A</v>
      </c>
      <c r="L52" s="402" t="e">
        <f ca="1">OFFSET(감가상각추정!$I$36,-3,AE2)</f>
        <v>#N/A</v>
      </c>
      <c r="M52" s="402" t="e">
        <f ca="1">OFFSET(감가상각추정!$I$36,-3,AF2)</f>
        <v>#N/A</v>
      </c>
      <c r="N52" s="402" t="e">
        <f ca="1">OFFSET(감가상각추정!$I$36,-3,AG2)</f>
        <v>#N/A</v>
      </c>
    </row>
    <row r="54" spans="2:14">
      <c r="H54" s="390" t="s">
        <v>252</v>
      </c>
      <c r="J54" s="390" t="str">
        <f>LEFT(AC$4,4)&amp;"년"</f>
        <v>FCF추년</v>
      </c>
      <c r="K54" s="390" t="str">
        <f>LEFT(AD$4,4)&amp;"년"</f>
        <v>FCF추년</v>
      </c>
      <c r="L54" s="390" t="str">
        <f>LEFT(AE$4,4)&amp;"년"</f>
        <v>FCF추년</v>
      </c>
      <c r="M54" s="390" t="str">
        <f>LEFT(AF$4,4)&amp;"년"</f>
        <v>FCF추년</v>
      </c>
      <c r="N54" s="390" t="str">
        <f>LEFT(AG$4,4)&amp;"년"</f>
        <v>FCF추년</v>
      </c>
    </row>
    <row r="55" spans="2:14">
      <c r="H55" s="391" t="s">
        <v>419</v>
      </c>
      <c r="J55" s="395" t="s">
        <v>420</v>
      </c>
      <c r="K55" s="395" t="s">
        <v>421</v>
      </c>
      <c r="L55" s="395" t="s">
        <v>422</v>
      </c>
      <c r="M55" s="395" t="s">
        <v>423</v>
      </c>
      <c r="N55" s="395" t="s">
        <v>424</v>
      </c>
    </row>
    <row r="56" spans="2:14">
      <c r="H56" s="391" t="s">
        <v>425</v>
      </c>
      <c r="J56" s="395" t="s">
        <v>426</v>
      </c>
      <c r="K56" s="395" t="s">
        <v>427</v>
      </c>
      <c r="L56" s="395" t="s">
        <v>428</v>
      </c>
      <c r="M56" s="395" t="s">
        <v>429</v>
      </c>
      <c r="N56" s="395" t="s">
        <v>430</v>
      </c>
    </row>
    <row r="57" spans="2:14">
      <c r="H57" s="391" t="s">
        <v>431</v>
      </c>
      <c r="J57" s="395" t="s">
        <v>432</v>
      </c>
      <c r="K57" s="395" t="s">
        <v>433</v>
      </c>
      <c r="L57" s="395" t="s">
        <v>434</v>
      </c>
      <c r="M57" s="395" t="s">
        <v>435</v>
      </c>
      <c r="N57" s="395" t="s">
        <v>436</v>
      </c>
    </row>
    <row r="58" spans="2:14">
      <c r="H58" s="401" t="s">
        <v>437</v>
      </c>
      <c r="J58" s="402" t="s">
        <v>438</v>
      </c>
      <c r="K58" s="402" t="s">
        <v>439</v>
      </c>
      <c r="L58" s="402" t="s">
        <v>440</v>
      </c>
      <c r="M58" s="402" t="s">
        <v>441</v>
      </c>
      <c r="N58" s="402" t="s">
        <v>442</v>
      </c>
    </row>
    <row r="60" spans="2:14">
      <c r="H60" s="387" t="s">
        <v>252</v>
      </c>
      <c r="J60" s="388" t="s">
        <v>443</v>
      </c>
      <c r="L60" s="383" t="str">
        <f>NWC추정!J45</f>
        <v>WA 3Y</v>
      </c>
    </row>
    <row r="61" spans="2:14">
      <c r="H61" s="428" t="s">
        <v>444</v>
      </c>
      <c r="J61" s="431">
        <f>NWC추정!J46</f>
        <v>5.6344583178002141</v>
      </c>
    </row>
    <row r="62" spans="2:14">
      <c r="H62" s="428" t="s">
        <v>445</v>
      </c>
      <c r="J62" s="431">
        <f>NWC추정!J47</f>
        <v>2.1146062148662446</v>
      </c>
    </row>
    <row r="63" spans="2:14">
      <c r="H63" s="428" t="s">
        <v>446</v>
      </c>
      <c r="J63" s="431">
        <f>NWC추정!J48</f>
        <v>8.2889093281397042</v>
      </c>
    </row>
  </sheetData>
  <phoneticPr fontId="9" type="noConversion"/>
  <conditionalFormatting sqref="AC43:AE45">
    <cfRule type="cellIs" dxfId="0" priority="1" operator="equal">
      <formula>$AC$39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J125"/>
  <sheetViews>
    <sheetView topLeftCell="A34" workbookViewId="0">
      <selection activeCell="F47" sqref="F47"/>
    </sheetView>
  </sheetViews>
  <sheetFormatPr defaultRowHeight="12"/>
  <cols>
    <col min="1" max="1" width="2.875" style="728" customWidth="1"/>
    <col min="2" max="2" width="23.875" style="728" customWidth="1"/>
    <col min="3" max="8" width="8.75" style="728" customWidth="1"/>
    <col min="9" max="9" width="2.875" style="728" customWidth="1"/>
    <col min="10" max="10" width="18.875" style="728" customWidth="1"/>
    <col min="11" max="18" width="9.125" style="728" customWidth="1"/>
    <col min="19" max="19" width="2.875" style="728" customWidth="1"/>
    <col min="20" max="20" width="22.875" style="728" customWidth="1"/>
    <col min="21" max="24" width="10.125" style="728" customWidth="1"/>
    <col min="25" max="29" width="10.5" style="728" customWidth="1"/>
    <col min="30" max="30" width="3.375" style="728" customWidth="1"/>
    <col min="31" max="31" width="19.875" style="728" customWidth="1"/>
    <col min="32" max="32" width="10.375" style="728" customWidth="1"/>
    <col min="33" max="34" width="8.875" style="728" customWidth="1"/>
    <col min="35" max="16384" width="9" style="728"/>
  </cols>
  <sheetData>
    <row r="2" spans="2:36" ht="12.75" thickBot="1">
      <c r="B2" s="727" t="s">
        <v>662</v>
      </c>
      <c r="C2" s="727" t="str">
        <f>평가기준일</f>
        <v>2024-12-31</v>
      </c>
    </row>
    <row r="3" spans="2:36" ht="12.75" thickTop="1">
      <c r="H3" s="728" t="s">
        <v>16211</v>
      </c>
      <c r="R3" s="728" t="str">
        <f>H3</f>
        <v>단위: 백만원</v>
      </c>
      <c r="AC3" s="728" t="str">
        <f>H3</f>
        <v>단위: 백만원</v>
      </c>
      <c r="AJ3" s="728" t="str">
        <f>R3</f>
        <v>단위: 백만원</v>
      </c>
    </row>
    <row r="4" spans="2:36" ht="12.75" thickBot="1">
      <c r="B4" s="729" t="s">
        <v>373</v>
      </c>
      <c r="C4" s="729" t="str">
        <f t="shared" ref="C4:G6" si="0">N4</f>
        <v>2024</v>
      </c>
      <c r="D4" s="729" t="str">
        <f t="shared" si="0"/>
        <v>2025</v>
      </c>
      <c r="E4" s="729" t="str">
        <f t="shared" si="0"/>
        <v>2026</v>
      </c>
      <c r="F4" s="729" t="str">
        <f t="shared" si="0"/>
        <v>2027</v>
      </c>
      <c r="G4" s="729" t="str">
        <f t="shared" si="0"/>
        <v>2028</v>
      </c>
      <c r="H4" s="729" t="s">
        <v>16212</v>
      </c>
      <c r="J4" s="730" t="s">
        <v>16213</v>
      </c>
      <c r="K4" s="762" t="str">
        <f>IS추정!F1</f>
        <v>20211231K</v>
      </c>
      <c r="L4" s="762" t="str">
        <f>IS추정!G1</f>
        <v>20221231K</v>
      </c>
      <c r="M4" s="762" t="str">
        <f>IS추정!H1</f>
        <v>20231231K</v>
      </c>
      <c r="N4" s="729" t="str">
        <f>IS추정!J13</f>
        <v>2024</v>
      </c>
      <c r="O4" s="729" t="str">
        <f>IS추정!K13</f>
        <v>2025</v>
      </c>
      <c r="P4" s="729" t="str">
        <f>IS추정!L13</f>
        <v>2026</v>
      </c>
      <c r="Q4" s="729" t="str">
        <f>IS추정!M13</f>
        <v>2027</v>
      </c>
      <c r="R4" s="729" t="str">
        <f>IS추정!N13</f>
        <v>2028</v>
      </c>
      <c r="T4" s="730" t="s">
        <v>16214</v>
      </c>
      <c r="U4" s="762" t="str">
        <f>IS추정!E1</f>
        <v>20201231K</v>
      </c>
      <c r="V4" s="762" t="str">
        <f t="shared" ref="V4:AC4" si="1">K4</f>
        <v>20211231K</v>
      </c>
      <c r="W4" s="762" t="str">
        <f t="shared" si="1"/>
        <v>20221231K</v>
      </c>
      <c r="X4" s="762" t="str">
        <f t="shared" si="1"/>
        <v>20231231K</v>
      </c>
      <c r="Y4" s="729" t="str">
        <f t="shared" si="1"/>
        <v>2024</v>
      </c>
      <c r="Z4" s="729" t="str">
        <f t="shared" si="1"/>
        <v>2025</v>
      </c>
      <c r="AA4" s="729" t="str">
        <f t="shared" si="1"/>
        <v>2026</v>
      </c>
      <c r="AB4" s="729" t="str">
        <f t="shared" si="1"/>
        <v>2027</v>
      </c>
      <c r="AC4" s="729" t="str">
        <f t="shared" si="1"/>
        <v>2028</v>
      </c>
      <c r="AE4" s="730" t="s">
        <v>16215</v>
      </c>
      <c r="AF4" s="729" t="str">
        <f>N4</f>
        <v>2024</v>
      </c>
      <c r="AG4" s="729" t="str">
        <f>O4</f>
        <v>2025</v>
      </c>
      <c r="AH4" s="729" t="str">
        <f>P4</f>
        <v>2026</v>
      </c>
      <c r="AI4" s="729" t="str">
        <f>Q4</f>
        <v>2027</v>
      </c>
      <c r="AJ4" s="729" t="str">
        <f>R4</f>
        <v>2028</v>
      </c>
    </row>
    <row r="5" spans="2:36" ht="12.75" thickTop="1">
      <c r="B5" s="731" t="s">
        <v>270</v>
      </c>
      <c r="C5" s="731">
        <f t="shared" si="0"/>
        <v>0</v>
      </c>
      <c r="D5" s="731">
        <f t="shared" si="0"/>
        <v>0</v>
      </c>
      <c r="E5" s="731">
        <f t="shared" si="0"/>
        <v>0</v>
      </c>
      <c r="F5" s="731">
        <f t="shared" si="0"/>
        <v>0</v>
      </c>
      <c r="G5" s="731">
        <f t="shared" si="0"/>
        <v>0</v>
      </c>
      <c r="H5" s="731"/>
      <c r="J5" s="732" t="s">
        <v>16142</v>
      </c>
      <c r="K5" s="763">
        <f>IS추정!F14</f>
        <v>18162</v>
      </c>
      <c r="L5" s="763">
        <f>IS추정!G14</f>
        <v>12194</v>
      </c>
      <c r="M5" s="763">
        <f>IS추정!H14</f>
        <v>5015</v>
      </c>
      <c r="N5" s="733">
        <f>AF5</f>
        <v>0</v>
      </c>
      <c r="O5" s="733">
        <f>AG5</f>
        <v>0</v>
      </c>
      <c r="P5" s="733">
        <f>AH5</f>
        <v>0</v>
      </c>
      <c r="Q5" s="733">
        <f>AI5</f>
        <v>0</v>
      </c>
      <c r="R5" s="733">
        <f>AJ5</f>
        <v>0</v>
      </c>
      <c r="T5" s="731" t="s">
        <v>16143</v>
      </c>
      <c r="U5" s="764">
        <f>감가상각추정!E8</f>
        <v>0</v>
      </c>
      <c r="V5" s="764">
        <f>감가상각추정!F8</f>
        <v>825</v>
      </c>
      <c r="W5" s="764">
        <f>감가상각추정!G8</f>
        <v>573</v>
      </c>
      <c r="X5" s="764">
        <f>감가상각추정!I8</f>
        <v>1160</v>
      </c>
      <c r="Y5" s="731">
        <f>INT(MIN(X9*$U$18/100, X7))</f>
        <v>2482</v>
      </c>
      <c r="Z5" s="731">
        <f ca="1">INT(MIN(Y9*$U$18/100, Y7))</f>
        <v>2611</v>
      </c>
      <c r="AA5" s="731">
        <f ca="1">INT(MIN(Z9*$U$18/100, Z7))</f>
        <v>2747</v>
      </c>
      <c r="AB5" s="731">
        <f ca="1">INT(MIN(AA9*$U$18/100, AA7))</f>
        <v>2890</v>
      </c>
      <c r="AC5" s="731">
        <f ca="1">INT(MIN(AB9*$U$18/100, AB7))</f>
        <v>3041</v>
      </c>
      <c r="AE5" s="731" t="s">
        <v>16216</v>
      </c>
      <c r="AF5" s="731"/>
      <c r="AG5" s="731"/>
      <c r="AH5" s="731"/>
      <c r="AI5" s="731"/>
      <c r="AJ5" s="731"/>
    </row>
    <row r="6" spans="2:36">
      <c r="B6" s="731" t="s">
        <v>277</v>
      </c>
      <c r="C6" s="731">
        <f t="shared" si="0"/>
        <v>6025</v>
      </c>
      <c r="D6" s="731">
        <f t="shared" si="0"/>
        <v>6155</v>
      </c>
      <c r="E6" s="731">
        <f t="shared" si="0"/>
        <v>6288</v>
      </c>
      <c r="F6" s="731">
        <f t="shared" si="0"/>
        <v>6420</v>
      </c>
      <c r="G6" s="731">
        <f t="shared" si="0"/>
        <v>6554</v>
      </c>
      <c r="H6" s="731"/>
      <c r="J6" s="732" t="s">
        <v>16217</v>
      </c>
      <c r="K6" s="763">
        <f>IS추정!F15</f>
        <v>14341</v>
      </c>
      <c r="L6" s="763">
        <f>IS추정!G15</f>
        <v>11518</v>
      </c>
      <c r="M6" s="763">
        <f>IS추정!H15</f>
        <v>7282</v>
      </c>
      <c r="N6" s="733">
        <f>IS추정!J15</f>
        <v>6025</v>
      </c>
      <c r="O6" s="733">
        <f>IS추정!K15</f>
        <v>6155</v>
      </c>
      <c r="P6" s="733">
        <f>IS추정!L15</f>
        <v>6288</v>
      </c>
      <c r="Q6" s="733">
        <f>IS추정!M15</f>
        <v>6420</v>
      </c>
      <c r="R6" s="733">
        <f>IS추정!N15</f>
        <v>6554</v>
      </c>
      <c r="T6" s="731" t="s">
        <v>16144</v>
      </c>
      <c r="U6" s="764">
        <f>감가상각추정!E9</f>
        <v>26</v>
      </c>
      <c r="V6" s="764">
        <f>감가상각추정!F9</f>
        <v>35</v>
      </c>
      <c r="W6" s="764">
        <f>감가상각추정!G9</f>
        <v>63</v>
      </c>
      <c r="X6" s="764">
        <f>감가상각추정!I9</f>
        <v>125</v>
      </c>
      <c r="Y6" s="731">
        <f>INT(Y5*$U$19/100)</f>
        <v>215</v>
      </c>
      <c r="Z6" s="731">
        <f ca="1">INT(Z5*$U$19/100)</f>
        <v>226</v>
      </c>
      <c r="AA6" s="731">
        <f ca="1">INT(AA5*$U$19/100)</f>
        <v>238</v>
      </c>
      <c r="AB6" s="731">
        <f ca="1">INT(AB5*$U$19/100)</f>
        <v>250</v>
      </c>
      <c r="AC6" s="731">
        <f ca="1">INT(AC5*$U$19/100)</f>
        <v>263</v>
      </c>
      <c r="AE6" s="731" t="s">
        <v>16218</v>
      </c>
      <c r="AF6" s="731"/>
      <c r="AG6" s="731"/>
      <c r="AH6" s="731"/>
      <c r="AI6" s="731"/>
      <c r="AJ6" s="731"/>
    </row>
    <row r="7" spans="2:36">
      <c r="B7" s="731" t="s">
        <v>284</v>
      </c>
      <c r="C7" s="731">
        <f>C5-C6</f>
        <v>-6025</v>
      </c>
      <c r="D7" s="731">
        <f t="shared" ref="D7:G7" si="2">D5-D6</f>
        <v>-6155</v>
      </c>
      <c r="E7" s="731">
        <f t="shared" si="2"/>
        <v>-6288</v>
      </c>
      <c r="F7" s="731">
        <f t="shared" si="2"/>
        <v>-6420</v>
      </c>
      <c r="G7" s="731">
        <f t="shared" si="2"/>
        <v>-6554</v>
      </c>
      <c r="H7" s="731"/>
      <c r="J7" s="732" t="s">
        <v>16145</v>
      </c>
      <c r="K7" s="763">
        <f>K5-K6</f>
        <v>3821</v>
      </c>
      <c r="L7" s="763">
        <f t="shared" ref="L7:M7" si="3">L5-L6</f>
        <v>676</v>
      </c>
      <c r="M7" s="763">
        <f t="shared" si="3"/>
        <v>-2267</v>
      </c>
      <c r="N7" s="733">
        <f>N5-N6</f>
        <v>-6025</v>
      </c>
      <c r="O7" s="733">
        <f t="shared" ref="O7:R7" si="4">O5-O6</f>
        <v>-6155</v>
      </c>
      <c r="P7" s="733">
        <f t="shared" si="4"/>
        <v>-6288</v>
      </c>
      <c r="Q7" s="733">
        <f t="shared" si="4"/>
        <v>-6420</v>
      </c>
      <c r="R7" s="733">
        <f t="shared" si="4"/>
        <v>-6554</v>
      </c>
      <c r="T7" s="731" t="s">
        <v>16146</v>
      </c>
      <c r="U7" s="764">
        <f>감가상각추정!E10</f>
        <v>2839</v>
      </c>
      <c r="V7" s="764">
        <f>감가상각추정!F10</f>
        <v>11497</v>
      </c>
      <c r="W7" s="764">
        <f>감가상각추정!G10</f>
        <v>29950</v>
      </c>
      <c r="X7" s="764">
        <f>감가상각추정!I10</f>
        <v>40065</v>
      </c>
      <c r="Y7" s="731">
        <f ca="1">INT(X7-(1-$U$20/100)*Y5)</f>
        <v>40119</v>
      </c>
      <c r="Z7" s="731">
        <f ca="1">INT(Y7-(1-$U$20/100)*Z5)</f>
        <v>40176</v>
      </c>
      <c r="AA7" s="731">
        <f ca="1">INT(Z7-(1-$U$20/100)*AA5)</f>
        <v>40236</v>
      </c>
      <c r="AB7" s="731">
        <f ca="1">INT(AA7-(1-$U$20/100)*AB5)</f>
        <v>40299</v>
      </c>
      <c r="AC7" s="731">
        <f ca="1">INT(AB7-(1-$U$20/100)*AC5)</f>
        <v>40366</v>
      </c>
    </row>
    <row r="8" spans="2:36">
      <c r="B8" s="731" t="s">
        <v>16219</v>
      </c>
      <c r="C8" s="731">
        <f>SUM(C9:C15)</f>
        <v>3760</v>
      </c>
      <c r="D8" s="731">
        <f t="shared" ref="D8:G8" ca="1" si="5">SUM(D9:D15)</f>
        <v>3880</v>
      </c>
      <c r="E8" s="731">
        <f t="shared" ca="1" si="5"/>
        <v>4009</v>
      </c>
      <c r="F8" s="731">
        <f t="shared" ca="1" si="5"/>
        <v>4140</v>
      </c>
      <c r="G8" s="731">
        <f t="shared" ca="1" si="5"/>
        <v>4276</v>
      </c>
      <c r="H8" s="731"/>
      <c r="J8" s="732" t="s">
        <v>16220</v>
      </c>
      <c r="K8" s="763">
        <f>IS추정!F17</f>
        <v>3527</v>
      </c>
      <c r="L8" s="763">
        <f>IS추정!G17</f>
        <v>4229</v>
      </c>
      <c r="M8" s="763">
        <f>IS추정!H17</f>
        <v>6057</v>
      </c>
      <c r="N8" s="732">
        <f>N9+N21+N22+N36+N37+N38+N39</f>
        <v>3760</v>
      </c>
      <c r="O8" s="732">
        <f ca="1">O9+O21+O22+O36+O37+O38+O39</f>
        <v>3880</v>
      </c>
      <c r="P8" s="732">
        <f ca="1">P9+P21+P22+P36+P37+P38+P39</f>
        <v>4009</v>
      </c>
      <c r="Q8" s="732">
        <f ca="1">Q9+Q21+Q22+Q36+Q37+Q38+Q39</f>
        <v>4140</v>
      </c>
      <c r="R8" s="732">
        <f ca="1">R9+R21+R22+R36+R37+R38+R39</f>
        <v>4276</v>
      </c>
      <c r="T8" s="731" t="s">
        <v>16147</v>
      </c>
      <c r="U8" s="764">
        <f>감가상각추정!E11</f>
        <v>6210</v>
      </c>
      <c r="V8" s="764">
        <f>감가상각추정!F11</f>
        <v>7029</v>
      </c>
      <c r="W8" s="764">
        <f>감가상각추정!G11</f>
        <v>7572</v>
      </c>
      <c r="X8" s="764">
        <f>감가상각추정!I11</f>
        <v>8599</v>
      </c>
      <c r="Y8" s="731">
        <f>INT(X8+Y5)</f>
        <v>11081</v>
      </c>
      <c r="Z8" s="731">
        <f ca="1">INT(Y8+Z5)</f>
        <v>13692</v>
      </c>
      <c r="AA8" s="731">
        <f ca="1">INT(Z8+AA5)</f>
        <v>16439</v>
      </c>
      <c r="AB8" s="731">
        <f ca="1">INT(AA8+AB5)</f>
        <v>19329</v>
      </c>
      <c r="AC8" s="731">
        <f ca="1">INT(AB8+AC5)</f>
        <v>22370</v>
      </c>
      <c r="AE8" s="765" t="s">
        <v>16221</v>
      </c>
      <c r="AF8" s="765"/>
      <c r="AG8" s="765"/>
      <c r="AH8" s="765"/>
      <c r="AI8" s="765"/>
      <c r="AJ8" s="765"/>
    </row>
    <row r="9" spans="2:36">
      <c r="B9" s="734" t="s">
        <v>296</v>
      </c>
      <c r="C9" s="731">
        <f>N9</f>
        <v>0</v>
      </c>
      <c r="D9" s="731">
        <f>O9</f>
        <v>0</v>
      </c>
      <c r="E9" s="731">
        <f>P9</f>
        <v>0</v>
      </c>
      <c r="F9" s="731">
        <f>Q9</f>
        <v>0</v>
      </c>
      <c r="G9" s="731">
        <f>R9</f>
        <v>0</v>
      </c>
      <c r="H9" s="731"/>
      <c r="J9" s="732" t="s">
        <v>16148</v>
      </c>
      <c r="K9" s="763">
        <f>비용추정!F29</f>
        <v>877</v>
      </c>
      <c r="L9" s="763">
        <f>비용추정!G29</f>
        <v>1401</v>
      </c>
      <c r="M9" s="763">
        <f>비용추정!H29</f>
        <v>2876</v>
      </c>
      <c r="N9" s="733">
        <f>INT(N5*$K$46/100)</f>
        <v>0</v>
      </c>
      <c r="O9" s="733">
        <f>INT(O5*$K$46/100)</f>
        <v>0</v>
      </c>
      <c r="P9" s="733">
        <f>INT(P5*$K$46/100)</f>
        <v>0</v>
      </c>
      <c r="Q9" s="733">
        <f>INT(Q5*$K$46/100)</f>
        <v>0</v>
      </c>
      <c r="R9" s="733">
        <f>INT(R5*$K$46/100)</f>
        <v>0</v>
      </c>
      <c r="T9" s="731" t="s">
        <v>16149</v>
      </c>
      <c r="U9" s="764">
        <f>감가상각추정!E12</f>
        <v>9049</v>
      </c>
      <c r="V9" s="764">
        <f>감가상각추정!F12</f>
        <v>18526</v>
      </c>
      <c r="W9" s="764">
        <f>감가상각추정!G12</f>
        <v>37522</v>
      </c>
      <c r="X9" s="764">
        <f>감가상각추정!I12</f>
        <v>48664</v>
      </c>
      <c r="Y9" s="731">
        <f ca="1">INT(Y7+Y8)</f>
        <v>51200</v>
      </c>
      <c r="Z9" s="731">
        <f ca="1">INT(Z7+Z8)</f>
        <v>53868</v>
      </c>
      <c r="AA9" s="731">
        <f ca="1">INT(AA7+AA8)</f>
        <v>56675</v>
      </c>
      <c r="AB9" s="731">
        <f ca="1">INT(AB7+AB8)</f>
        <v>59628</v>
      </c>
      <c r="AC9" s="731">
        <f ca="1">INT(AC7+AC8)</f>
        <v>62736</v>
      </c>
      <c r="AE9" s="765"/>
      <c r="AF9" s="765"/>
      <c r="AG9" s="765"/>
      <c r="AH9" s="765"/>
      <c r="AI9" s="765"/>
      <c r="AJ9" s="765"/>
    </row>
    <row r="10" spans="2:36">
      <c r="B10" s="734" t="s">
        <v>303</v>
      </c>
      <c r="C10" s="731">
        <f t="shared" ref="C10:G11" si="6">N21</f>
        <v>2184</v>
      </c>
      <c r="D10" s="731">
        <f t="shared" si="6"/>
        <v>2273</v>
      </c>
      <c r="E10" s="731">
        <f t="shared" si="6"/>
        <v>2368</v>
      </c>
      <c r="F10" s="731">
        <f t="shared" si="6"/>
        <v>2465</v>
      </c>
      <c r="G10" s="731">
        <f t="shared" si="6"/>
        <v>2565</v>
      </c>
      <c r="H10" s="731"/>
      <c r="J10" s="734" t="s">
        <v>16150</v>
      </c>
      <c r="K10" s="766"/>
      <c r="L10" s="766"/>
      <c r="M10" s="766"/>
      <c r="N10" s="735"/>
      <c r="O10" s="735"/>
      <c r="P10" s="735"/>
      <c r="Q10" s="735"/>
      <c r="R10" s="735"/>
      <c r="T10" s="731" t="s">
        <v>16151</v>
      </c>
      <c r="U10" s="764">
        <f>감가상각추정!E13</f>
        <v>0</v>
      </c>
      <c r="V10" s="764">
        <f>감가상각추정!F13</f>
        <v>9483</v>
      </c>
      <c r="W10" s="764">
        <f>감가상각추정!G13</f>
        <v>19026</v>
      </c>
      <c r="X10" s="764">
        <f>감가상각추정!I13</f>
        <v>11275</v>
      </c>
      <c r="Y10" s="731">
        <f ca="1">INT(Y7-X7+Y5)</f>
        <v>2536</v>
      </c>
      <c r="Z10" s="731">
        <f ca="1">INT(Z7-Y7+Z5)</f>
        <v>2668</v>
      </c>
      <c r="AA10" s="731">
        <f ca="1">INT(AA7-Z7+AA5)</f>
        <v>2807</v>
      </c>
      <c r="AB10" s="731">
        <f ca="1">INT(AB7-AA7+AB5)</f>
        <v>2953</v>
      </c>
      <c r="AC10" s="731">
        <f ca="1">INT(AC7-AB7+AC5)</f>
        <v>3108</v>
      </c>
      <c r="AE10" s="765"/>
      <c r="AF10" s="765"/>
      <c r="AG10" s="765"/>
      <c r="AH10" s="765"/>
      <c r="AI10" s="765"/>
      <c r="AJ10" s="765"/>
    </row>
    <row r="11" spans="2:36">
      <c r="B11" s="734" t="s">
        <v>16152</v>
      </c>
      <c r="C11" s="731">
        <f t="shared" si="6"/>
        <v>413</v>
      </c>
      <c r="D11" s="731">
        <f t="shared" si="6"/>
        <v>430</v>
      </c>
      <c r="E11" s="731">
        <f t="shared" si="6"/>
        <v>448</v>
      </c>
      <c r="F11" s="731">
        <f t="shared" si="6"/>
        <v>466</v>
      </c>
      <c r="G11" s="731">
        <f t="shared" si="6"/>
        <v>485</v>
      </c>
      <c r="H11" s="731"/>
      <c r="J11" s="734" t="s">
        <v>16153</v>
      </c>
      <c r="K11" s="766">
        <f>K14/K12</f>
        <v>16.350000000000001</v>
      </c>
      <c r="L11" s="766">
        <f>L14/L12</f>
        <v>17.649999999999999</v>
      </c>
      <c r="M11" s="766">
        <f>M14/M12</f>
        <v>17.899999999999999</v>
      </c>
      <c r="N11" s="735">
        <f>비용추정!J31</f>
        <v>18.247</v>
      </c>
      <c r="O11" s="735">
        <f>ROUND(N$11*(1+$L$72/100),3)</f>
        <v>18.600999999999999</v>
      </c>
      <c r="P11" s="735">
        <f>ROUND(O$11*(1+$L$72/100),3)</f>
        <v>18.962</v>
      </c>
      <c r="Q11" s="735">
        <f>ROUND(P$11*(1+$L$72/100),3)</f>
        <v>19.329999999999998</v>
      </c>
      <c r="R11" s="735">
        <f>ROUND(Q$11*(1+$L$72/100),3)</f>
        <v>19.704999999999998</v>
      </c>
      <c r="T11" s="731" t="s">
        <v>16154</v>
      </c>
      <c r="U11" s="764">
        <f>감가상각추정!E14</f>
        <v>0</v>
      </c>
      <c r="V11" s="764">
        <f>감가상각추정!F14</f>
        <v>21</v>
      </c>
      <c r="W11" s="764">
        <f>감가상각추정!G14</f>
        <v>27</v>
      </c>
      <c r="X11" s="764">
        <f>감가상각추정!I14</f>
        <v>15</v>
      </c>
      <c r="Y11" s="731">
        <f>INT(MIN(X13*$U$21/100,X13))</f>
        <v>445</v>
      </c>
      <c r="Z11" s="731">
        <f ca="1">INT(MIN(Y13*$U$21/100,Y13))</f>
        <v>446</v>
      </c>
      <c r="AA11" s="731">
        <f ca="1">INT(MIN(Z13*$U$21/100,Z13))</f>
        <v>447</v>
      </c>
      <c r="AB11" s="731">
        <f ca="1">INT(MIN(AA13*$U$21/100,AA13))</f>
        <v>448</v>
      </c>
      <c r="AC11" s="731">
        <f ca="1">INT(MIN(AB13*$U$21/100,AB13))</f>
        <v>449</v>
      </c>
      <c r="AE11" s="765"/>
      <c r="AF11" s="765"/>
      <c r="AG11" s="765"/>
      <c r="AH11" s="765"/>
      <c r="AI11" s="765"/>
      <c r="AJ11" s="765"/>
    </row>
    <row r="12" spans="2:36">
      <c r="B12" s="734" t="s">
        <v>16155</v>
      </c>
      <c r="C12" s="731">
        <f t="shared" ref="C12:G15" si="7">N36</f>
        <v>525</v>
      </c>
      <c r="D12" s="731">
        <f t="shared" si="7"/>
        <v>528</v>
      </c>
      <c r="E12" s="731">
        <f t="shared" si="7"/>
        <v>531</v>
      </c>
      <c r="F12" s="731">
        <f t="shared" si="7"/>
        <v>534</v>
      </c>
      <c r="G12" s="731">
        <f t="shared" si="7"/>
        <v>537</v>
      </c>
      <c r="H12" s="731"/>
      <c r="J12" s="734" t="s">
        <v>16156</v>
      </c>
      <c r="K12" s="766">
        <f>비용추정!F32</f>
        <v>100</v>
      </c>
      <c r="L12" s="766">
        <f>비용추정!G32</f>
        <v>100</v>
      </c>
      <c r="M12" s="766">
        <f>비용추정!H32</f>
        <v>100</v>
      </c>
      <c r="N12" s="735">
        <f>K69</f>
        <v>102.486</v>
      </c>
      <c r="O12" s="735">
        <f>L69</f>
        <v>104.70584676</v>
      </c>
      <c r="P12" s="735">
        <f>M69</f>
        <v>106.9664459915484</v>
      </c>
      <c r="Q12" s="735">
        <f>N69</f>
        <v>109.23092565318947</v>
      </c>
      <c r="R12" s="735">
        <f>O69</f>
        <v>111.52477509190645</v>
      </c>
      <c r="T12" s="731" t="s">
        <v>16157</v>
      </c>
      <c r="U12" s="764">
        <f>감가상각추정!E15</f>
        <v>0</v>
      </c>
      <c r="V12" s="764">
        <f>감가상각추정!F15</f>
        <v>21</v>
      </c>
      <c r="W12" s="764">
        <f>감가상각추정!G15</f>
        <v>23</v>
      </c>
      <c r="X12" s="764">
        <f>감가상각추정!I15</f>
        <v>15</v>
      </c>
      <c r="Y12" s="731">
        <f>INT(Y11*$U$22/100)</f>
        <v>423</v>
      </c>
      <c r="Z12" s="731">
        <f ca="1">INT(Z11*$U$22/100)</f>
        <v>423</v>
      </c>
      <c r="AA12" s="731">
        <f ca="1">INT(AA11*$U$22/100)</f>
        <v>424</v>
      </c>
      <c r="AB12" s="731">
        <f ca="1">INT(AB11*$U$22/100)</f>
        <v>425</v>
      </c>
      <c r="AC12" s="731">
        <f ca="1">INT(AC11*$U$22/100)</f>
        <v>426</v>
      </c>
      <c r="AE12" s="765"/>
      <c r="AF12" s="765"/>
      <c r="AG12" s="765"/>
      <c r="AH12" s="765"/>
      <c r="AI12" s="765"/>
      <c r="AJ12" s="765"/>
    </row>
    <row r="13" spans="2:36">
      <c r="B13" s="734" t="s">
        <v>16158</v>
      </c>
      <c r="C13" s="731">
        <f t="shared" si="7"/>
        <v>215</v>
      </c>
      <c r="D13" s="731">
        <f t="shared" ca="1" si="7"/>
        <v>226</v>
      </c>
      <c r="E13" s="731">
        <f t="shared" ca="1" si="7"/>
        <v>238</v>
      </c>
      <c r="F13" s="731">
        <f t="shared" ca="1" si="7"/>
        <v>250</v>
      </c>
      <c r="G13" s="731">
        <f t="shared" ca="1" si="7"/>
        <v>263</v>
      </c>
      <c r="H13" s="731"/>
      <c r="J13" s="734" t="s">
        <v>16159</v>
      </c>
      <c r="K13" s="766"/>
      <c r="L13" s="766"/>
      <c r="M13" s="766"/>
      <c r="N13" s="735"/>
      <c r="O13" s="735"/>
      <c r="P13" s="735"/>
      <c r="Q13" s="735"/>
      <c r="R13" s="735"/>
      <c r="T13" s="731" t="s">
        <v>16160</v>
      </c>
      <c r="U13" s="764">
        <f>감가상각추정!E16</f>
        <v>65</v>
      </c>
      <c r="V13" s="764">
        <f>감가상각추정!F16</f>
        <v>515</v>
      </c>
      <c r="W13" s="764">
        <f>감가상각추정!G16</f>
        <v>1589</v>
      </c>
      <c r="X13" s="764">
        <f>감가상각추정!I16</f>
        <v>3471</v>
      </c>
      <c r="Y13" s="737">
        <f ca="1">INT(X13-Y11*(1-$U$23/100))</f>
        <v>3480</v>
      </c>
      <c r="Z13" s="731">
        <f ca="1">INT(Y13-Z11*(1-$U$23/100))</f>
        <v>3489</v>
      </c>
      <c r="AA13" s="731">
        <f ca="1">INT(Z13-AA11*(1-$U$23/100))</f>
        <v>3498</v>
      </c>
      <c r="AB13" s="731">
        <f ca="1">INT(AA13-AB11*(1-$U$23/100))</f>
        <v>3507</v>
      </c>
      <c r="AC13" s="731">
        <f ca="1">INT(AB13-AC11*(1-$U$23/100))</f>
        <v>3516</v>
      </c>
      <c r="AE13" s="765"/>
      <c r="AF13" s="765"/>
      <c r="AG13" s="765"/>
      <c r="AH13" s="765"/>
      <c r="AI13" s="765"/>
      <c r="AJ13" s="765"/>
    </row>
    <row r="14" spans="2:36">
      <c r="B14" s="734" t="s">
        <v>16161</v>
      </c>
      <c r="C14" s="731">
        <f t="shared" si="7"/>
        <v>423</v>
      </c>
      <c r="D14" s="731">
        <f t="shared" ca="1" si="7"/>
        <v>423</v>
      </c>
      <c r="E14" s="731">
        <f t="shared" ca="1" si="7"/>
        <v>424</v>
      </c>
      <c r="F14" s="731">
        <f t="shared" ca="1" si="7"/>
        <v>425</v>
      </c>
      <c r="G14" s="731">
        <f t="shared" ca="1" si="7"/>
        <v>426</v>
      </c>
      <c r="H14" s="731"/>
      <c r="J14" s="734" t="s">
        <v>16162</v>
      </c>
      <c r="K14" s="766">
        <f>비용추정!F34</f>
        <v>1635</v>
      </c>
      <c r="L14" s="766">
        <f>비용추정!G34</f>
        <v>1765</v>
      </c>
      <c r="M14" s="766">
        <f>비용추정!H34</f>
        <v>1790</v>
      </c>
      <c r="N14" s="735">
        <f>INT(N11*N12)</f>
        <v>1870</v>
      </c>
      <c r="O14" s="735">
        <f t="shared" ref="O14:R14" si="8">INT(O11*O12)</f>
        <v>1947</v>
      </c>
      <c r="P14" s="735">
        <f t="shared" si="8"/>
        <v>2028</v>
      </c>
      <c r="Q14" s="735">
        <f t="shared" si="8"/>
        <v>2111</v>
      </c>
      <c r="R14" s="735">
        <f t="shared" si="8"/>
        <v>2197</v>
      </c>
      <c r="T14" s="731" t="s">
        <v>16151</v>
      </c>
      <c r="U14" s="764">
        <f>감가상각추정!E17</f>
        <v>0</v>
      </c>
      <c r="V14" s="764">
        <f>감가상각추정!F17</f>
        <v>471</v>
      </c>
      <c r="W14" s="764">
        <f>감가상각추정!G17</f>
        <v>1101</v>
      </c>
      <c r="X14" s="764">
        <f>감가상각추정!I17</f>
        <v>1897</v>
      </c>
      <c r="Y14" s="749">
        <f ca="1">Y13-X13+Y11</f>
        <v>454</v>
      </c>
      <c r="Z14" s="749">
        <f ca="1">Z13-Y13+Z11</f>
        <v>455</v>
      </c>
      <c r="AA14" s="749">
        <f ca="1">AA13-Z13+AA11</f>
        <v>456</v>
      </c>
      <c r="AB14" s="749">
        <f ca="1">AB13-AA13+AB11</f>
        <v>457</v>
      </c>
      <c r="AC14" s="749">
        <f ca="1">AC13-AB13+AC11</f>
        <v>458</v>
      </c>
      <c r="AE14" s="765"/>
      <c r="AF14" s="765"/>
      <c r="AG14" s="765"/>
      <c r="AH14" s="765"/>
      <c r="AI14" s="765"/>
      <c r="AJ14" s="765"/>
    </row>
    <row r="15" spans="2:36">
      <c r="B15" s="734" t="s">
        <v>16163</v>
      </c>
      <c r="C15" s="731">
        <f t="shared" si="7"/>
        <v>0</v>
      </c>
      <c r="D15" s="731">
        <f t="shared" si="7"/>
        <v>0</v>
      </c>
      <c r="E15" s="731">
        <f t="shared" si="7"/>
        <v>0</v>
      </c>
      <c r="F15" s="731">
        <f t="shared" si="7"/>
        <v>0</v>
      </c>
      <c r="G15" s="731">
        <f t="shared" si="7"/>
        <v>0</v>
      </c>
      <c r="H15" s="731"/>
      <c r="J15" s="734" t="s">
        <v>16164</v>
      </c>
      <c r="K15" s="766"/>
      <c r="L15" s="766"/>
      <c r="M15" s="766"/>
      <c r="N15" s="735"/>
      <c r="O15" s="735"/>
      <c r="P15" s="735"/>
      <c r="Q15" s="735"/>
      <c r="R15" s="735"/>
      <c r="T15" s="731" t="s">
        <v>16165</v>
      </c>
      <c r="U15" s="764">
        <f>U10+U14</f>
        <v>0</v>
      </c>
      <c r="V15" s="764">
        <f>V10+V14</f>
        <v>9954</v>
      </c>
      <c r="W15" s="764">
        <f>W10+W14</f>
        <v>20127</v>
      </c>
      <c r="X15" s="764">
        <f>X10+X14</f>
        <v>13172</v>
      </c>
      <c r="Y15" s="731">
        <f t="shared" ref="Y15:AC15" ca="1" si="9">Y14+Y10</f>
        <v>2990</v>
      </c>
      <c r="Z15" s="731">
        <f t="shared" ca="1" si="9"/>
        <v>3123</v>
      </c>
      <c r="AA15" s="731">
        <f t="shared" ca="1" si="9"/>
        <v>3263</v>
      </c>
      <c r="AB15" s="731">
        <f t="shared" ca="1" si="9"/>
        <v>3410</v>
      </c>
      <c r="AC15" s="731">
        <f t="shared" ca="1" si="9"/>
        <v>3566</v>
      </c>
      <c r="AE15" s="765"/>
      <c r="AF15" s="765"/>
      <c r="AG15" s="765"/>
      <c r="AH15" s="765"/>
      <c r="AI15" s="765"/>
      <c r="AJ15" s="765"/>
    </row>
    <row r="16" spans="2:36">
      <c r="B16" s="731" t="s">
        <v>314</v>
      </c>
      <c r="C16" s="731">
        <f t="shared" ref="C16:G16" si="10">C7-C8</f>
        <v>-9785</v>
      </c>
      <c r="D16" s="731">
        <f t="shared" ca="1" si="10"/>
        <v>-10035</v>
      </c>
      <c r="E16" s="731">
        <f t="shared" ca="1" si="10"/>
        <v>-10297</v>
      </c>
      <c r="F16" s="731">
        <f t="shared" ca="1" si="10"/>
        <v>-10560</v>
      </c>
      <c r="G16" s="731">
        <f t="shared" ca="1" si="10"/>
        <v>-10830</v>
      </c>
      <c r="H16" s="731"/>
      <c r="J16" s="734" t="s">
        <v>16166</v>
      </c>
      <c r="K16" s="766"/>
      <c r="L16" s="766"/>
      <c r="M16" s="766"/>
      <c r="N16" s="735"/>
      <c r="O16" s="735"/>
      <c r="P16" s="735"/>
      <c r="Q16" s="735"/>
      <c r="R16" s="735"/>
      <c r="AE16" s="765"/>
      <c r="AF16" s="765"/>
      <c r="AG16" s="765"/>
      <c r="AH16" s="765"/>
      <c r="AI16" s="765"/>
      <c r="AJ16" s="765"/>
    </row>
    <row r="17" spans="2:36" ht="12.75" thickBot="1">
      <c r="B17" s="731" t="s">
        <v>317</v>
      </c>
      <c r="C17" s="731">
        <f>N41</f>
        <v>-6163</v>
      </c>
      <c r="D17" s="731">
        <f>O41</f>
        <v>-7984</v>
      </c>
      <c r="E17" s="731">
        <f>P41</f>
        <v>-19072</v>
      </c>
      <c r="F17" s="731">
        <f>Q41</f>
        <v>-94888</v>
      </c>
      <c r="G17" s="731">
        <f>R41</f>
        <v>-626100</v>
      </c>
      <c r="H17" s="731"/>
      <c r="J17" s="734" t="s">
        <v>16167</v>
      </c>
      <c r="K17" s="764">
        <f t="shared" ref="K17:M17" si="11">SUM(K13:K16)</f>
        <v>1635</v>
      </c>
      <c r="L17" s="764">
        <f t="shared" si="11"/>
        <v>1765</v>
      </c>
      <c r="M17" s="764">
        <f t="shared" si="11"/>
        <v>1790</v>
      </c>
      <c r="N17" s="735">
        <f t="shared" ref="N17:R17" si="12">SUM(N13:N16)</f>
        <v>1870</v>
      </c>
      <c r="O17" s="735">
        <f t="shared" si="12"/>
        <v>1947</v>
      </c>
      <c r="P17" s="735">
        <f t="shared" si="12"/>
        <v>2028</v>
      </c>
      <c r="Q17" s="735">
        <f t="shared" si="12"/>
        <v>2111</v>
      </c>
      <c r="R17" s="735">
        <f t="shared" si="12"/>
        <v>2197</v>
      </c>
      <c r="T17" s="730" t="s">
        <v>16168</v>
      </c>
      <c r="U17" s="767" t="s">
        <v>16222</v>
      </c>
      <c r="AE17" s="765"/>
      <c r="AF17" s="765"/>
      <c r="AG17" s="765"/>
      <c r="AH17" s="765"/>
      <c r="AI17" s="765"/>
      <c r="AJ17" s="765"/>
    </row>
    <row r="18" spans="2:36" ht="12.75" thickTop="1">
      <c r="B18" s="731" t="s">
        <v>320</v>
      </c>
      <c r="C18" s="731">
        <f>C16-C17</f>
        <v>-3622</v>
      </c>
      <c r="D18" s="731">
        <f t="shared" ref="D18:G18" ca="1" si="13">D16-D17</f>
        <v>-2051</v>
      </c>
      <c r="E18" s="731">
        <f t="shared" ca="1" si="13"/>
        <v>8775</v>
      </c>
      <c r="F18" s="731">
        <f t="shared" ca="1" si="13"/>
        <v>84328</v>
      </c>
      <c r="G18" s="731">
        <f t="shared" ca="1" si="13"/>
        <v>615270</v>
      </c>
      <c r="H18" s="731" t="s">
        <v>16264</v>
      </c>
      <c r="J18" s="734" t="s">
        <v>16169</v>
      </c>
      <c r="K18" s="766"/>
      <c r="L18" s="766"/>
      <c r="M18" s="766"/>
      <c r="N18" s="735"/>
      <c r="O18" s="735"/>
      <c r="P18" s="735"/>
      <c r="Q18" s="735"/>
      <c r="R18" s="735"/>
      <c r="T18" s="731" t="s">
        <v>16170</v>
      </c>
      <c r="U18" s="737">
        <f>HLOOKUP($U$17,$U$34:$X$40,$Y35,0)</f>
        <v>5.1004998652839673</v>
      </c>
      <c r="AE18" s="765"/>
      <c r="AF18" s="765"/>
      <c r="AG18" s="765"/>
      <c r="AH18" s="765"/>
      <c r="AI18" s="765"/>
      <c r="AJ18" s="765"/>
    </row>
    <row r="19" spans="2:36">
      <c r="B19" s="731" t="s">
        <v>471</v>
      </c>
      <c r="C19" s="731">
        <f ca="1">C20+C21+C22</f>
        <v>-3824</v>
      </c>
      <c r="D19" s="731">
        <f t="shared" ref="D19:H19" ca="1" si="14">D20+D21+D22</f>
        <v>99</v>
      </c>
      <c r="E19" s="731">
        <f t="shared" ca="1" si="14"/>
        <v>101</v>
      </c>
      <c r="F19" s="731">
        <f t="shared" ca="1" si="14"/>
        <v>105</v>
      </c>
      <c r="G19" s="731">
        <f t="shared" ca="1" si="14"/>
        <v>109</v>
      </c>
      <c r="H19" s="731" t="e">
        <f t="shared" si="14"/>
        <v>#VALUE!</v>
      </c>
      <c r="J19" s="734" t="s">
        <v>16223</v>
      </c>
      <c r="K19" s="766"/>
      <c r="L19" s="766"/>
      <c r="M19" s="766"/>
      <c r="N19" s="735"/>
      <c r="O19" s="735"/>
      <c r="P19" s="735"/>
      <c r="Q19" s="735"/>
      <c r="R19" s="735"/>
      <c r="T19" s="731" t="s">
        <v>16171</v>
      </c>
      <c r="U19" s="737">
        <f>HLOOKUP($U$17,$U$34:$X$40,$Y36,0)</f>
        <v>8.671016903098506</v>
      </c>
      <c r="AE19" s="765"/>
      <c r="AF19" s="765"/>
      <c r="AG19" s="765"/>
      <c r="AH19" s="765"/>
      <c r="AI19" s="765"/>
      <c r="AJ19" s="765"/>
    </row>
    <row r="20" spans="2:36">
      <c r="B20" s="734" t="s">
        <v>326</v>
      </c>
      <c r="C20" s="731">
        <f>-Y5-Y11</f>
        <v>-2927</v>
      </c>
      <c r="D20" s="731">
        <f ca="1">-Z5-Z11</f>
        <v>-3057</v>
      </c>
      <c r="E20" s="731">
        <f ca="1">-AA5-AA11</f>
        <v>-3194</v>
      </c>
      <c r="F20" s="731">
        <f ca="1">-AB5-AB11</f>
        <v>-3338</v>
      </c>
      <c r="G20" s="731">
        <f ca="1">-AC5-AC11</f>
        <v>-3490</v>
      </c>
      <c r="H20" s="731"/>
      <c r="J20" s="734" t="s">
        <v>16172</v>
      </c>
      <c r="K20" s="766">
        <f>비용추정!F38</f>
        <v>452</v>
      </c>
      <c r="L20" s="766">
        <f>비용추정!G38</f>
        <v>132</v>
      </c>
      <c r="M20" s="766">
        <f>비용추정!H38</f>
        <v>273</v>
      </c>
      <c r="N20" s="735">
        <f>INT(N17*$K$47/100)</f>
        <v>314</v>
      </c>
      <c r="O20" s="735">
        <f>INT(O17*$K$47/100)</f>
        <v>326</v>
      </c>
      <c r="P20" s="735">
        <f>INT(P17*$K$47/100)</f>
        <v>340</v>
      </c>
      <c r="Q20" s="735">
        <f>INT(Q17*$K$47/100)</f>
        <v>354</v>
      </c>
      <c r="R20" s="735">
        <f>INT(R17*$K$47/100)</f>
        <v>368</v>
      </c>
      <c r="T20" s="731" t="s">
        <v>16173</v>
      </c>
      <c r="U20" s="768">
        <f ca="1">$AA$27</f>
        <v>102.2056</v>
      </c>
      <c r="AE20" s="765"/>
      <c r="AF20" s="765"/>
      <c r="AG20" s="765"/>
      <c r="AH20" s="765"/>
      <c r="AI20" s="765"/>
      <c r="AJ20" s="765"/>
    </row>
    <row r="21" spans="2:36">
      <c r="B21" s="734" t="s">
        <v>330</v>
      </c>
      <c r="C21" s="731">
        <f>Y50</f>
        <v>-3887</v>
      </c>
      <c r="D21" s="731">
        <f>Z50</f>
        <v>33</v>
      </c>
      <c r="E21" s="731">
        <f>AA50</f>
        <v>32</v>
      </c>
      <c r="F21" s="731">
        <f>AB50</f>
        <v>33</v>
      </c>
      <c r="G21" s="731">
        <f>AC50</f>
        <v>33</v>
      </c>
      <c r="H21" s="731" t="s">
        <v>16265</v>
      </c>
      <c r="J21" s="732" t="s">
        <v>16224</v>
      </c>
      <c r="K21" s="763">
        <f t="shared" ref="K21:R21" si="15">K20+K17</f>
        <v>2087</v>
      </c>
      <c r="L21" s="763">
        <f t="shared" si="15"/>
        <v>1897</v>
      </c>
      <c r="M21" s="763">
        <f t="shared" si="15"/>
        <v>2063</v>
      </c>
      <c r="N21" s="733">
        <f t="shared" si="15"/>
        <v>2184</v>
      </c>
      <c r="O21" s="733">
        <f t="shared" si="15"/>
        <v>2273</v>
      </c>
      <c r="P21" s="733">
        <f t="shared" si="15"/>
        <v>2368</v>
      </c>
      <c r="Q21" s="733">
        <f t="shared" si="15"/>
        <v>2465</v>
      </c>
      <c r="R21" s="733">
        <f t="shared" si="15"/>
        <v>2565</v>
      </c>
      <c r="T21" s="731" t="s">
        <v>16174</v>
      </c>
      <c r="U21" s="737">
        <f>HLOOKUP($U$17,$U$34:$X$40,$Y38,0)</f>
        <v>12.831466895022773</v>
      </c>
      <c r="AE21" s="765"/>
      <c r="AF21" s="765"/>
      <c r="AG21" s="765"/>
      <c r="AH21" s="765"/>
      <c r="AI21" s="765"/>
      <c r="AJ21" s="765"/>
    </row>
    <row r="22" spans="2:36">
      <c r="B22" s="734" t="s">
        <v>338</v>
      </c>
      <c r="C22" s="731">
        <f ca="1">Y15</f>
        <v>2990</v>
      </c>
      <c r="D22" s="731">
        <f ca="1">Z15</f>
        <v>3123</v>
      </c>
      <c r="E22" s="731">
        <f ca="1">AA15</f>
        <v>3263</v>
      </c>
      <c r="F22" s="731">
        <f ca="1">AB15</f>
        <v>3410</v>
      </c>
      <c r="G22" s="731">
        <f ca="1">AC15</f>
        <v>3566</v>
      </c>
      <c r="H22" s="731"/>
      <c r="J22" s="732" t="s">
        <v>16225</v>
      </c>
      <c r="K22" s="763">
        <f>비용추정!F47</f>
        <v>189</v>
      </c>
      <c r="L22" s="763">
        <f>비용추정!G47</f>
        <v>486</v>
      </c>
      <c r="M22" s="763">
        <f>비용추정!H47</f>
        <v>456</v>
      </c>
      <c r="N22" s="738">
        <f>INT(N21*$K$48/100)</f>
        <v>413</v>
      </c>
      <c r="O22" s="738">
        <f>INT(O21*$K$48/100)</f>
        <v>430</v>
      </c>
      <c r="P22" s="738">
        <f>INT(P21*$K$48/100)</f>
        <v>448</v>
      </c>
      <c r="Q22" s="738">
        <f>INT(Q21*$K$48/100)</f>
        <v>466</v>
      </c>
      <c r="R22" s="738">
        <f>INT(R21*$K$48/100)</f>
        <v>485</v>
      </c>
      <c r="T22" s="731" t="s">
        <v>16175</v>
      </c>
      <c r="U22" s="737">
        <f>HLOOKUP($U$17,$U$34:$X$40,$Y39,0)</f>
        <v>95.061728395061735</v>
      </c>
      <c r="AE22" s="765"/>
      <c r="AF22" s="765"/>
      <c r="AG22" s="765"/>
      <c r="AH22" s="765"/>
      <c r="AI22" s="765"/>
      <c r="AJ22" s="765"/>
    </row>
    <row r="23" spans="2:36">
      <c r="B23" s="731" t="s">
        <v>344</v>
      </c>
      <c r="C23" s="731">
        <f ca="1">C18-C19</f>
        <v>202</v>
      </c>
      <c r="D23" s="731">
        <f t="shared" ref="D23:G23" ca="1" si="16">D18-D19</f>
        <v>-2150</v>
      </c>
      <c r="E23" s="731">
        <f t="shared" ca="1" si="16"/>
        <v>8674</v>
      </c>
      <c r="F23" s="731">
        <f t="shared" ca="1" si="16"/>
        <v>84223</v>
      </c>
      <c r="G23" s="731">
        <f t="shared" ca="1" si="16"/>
        <v>615161</v>
      </c>
      <c r="H23" s="731" t="e">
        <f>H18-H19</f>
        <v>#VALUE!</v>
      </c>
      <c r="J23" s="734" t="s">
        <v>16226</v>
      </c>
      <c r="K23" s="766">
        <f>비용추정!F50</f>
        <v>142</v>
      </c>
      <c r="L23" s="766">
        <f>비용추정!G50</f>
        <v>199</v>
      </c>
      <c r="M23" s="766">
        <f>비용추정!H50</f>
        <v>244</v>
      </c>
      <c r="N23" s="735">
        <f>INT(M23*(1+$L$73/100))</f>
        <v>245</v>
      </c>
      <c r="O23" s="735">
        <f>INT(N23*(1+$L$73/100))</f>
        <v>246</v>
      </c>
      <c r="P23" s="735">
        <f>INT(O23*(1+$L$73/100))</f>
        <v>247</v>
      </c>
      <c r="Q23" s="735">
        <f>INT(P23*(1+$L$73/100))</f>
        <v>248</v>
      </c>
      <c r="R23" s="735">
        <f>INT(Q23*(1+$L$73/100))</f>
        <v>249</v>
      </c>
      <c r="T23" s="731" t="s">
        <v>16176</v>
      </c>
      <c r="U23" s="768">
        <f ca="1">$AA$27</f>
        <v>102.2056</v>
      </c>
      <c r="AE23" s="765"/>
      <c r="AF23" s="765"/>
      <c r="AG23" s="765"/>
      <c r="AH23" s="765"/>
      <c r="AI23" s="765"/>
      <c r="AJ23" s="765"/>
    </row>
    <row r="24" spans="2:36">
      <c r="B24" s="734" t="s">
        <v>348</v>
      </c>
      <c r="C24" s="739">
        <f t="shared" ref="C24:H24" ca="1" si="17">$V$119</f>
        <v>2.2346919855135192E-2</v>
      </c>
      <c r="D24" s="739">
        <f t="shared" ca="1" si="17"/>
        <v>2.2346919855135192E-2</v>
      </c>
      <c r="E24" s="739">
        <f t="shared" ca="1" si="17"/>
        <v>2.2346919855135192E-2</v>
      </c>
      <c r="F24" s="739">
        <f t="shared" ca="1" si="17"/>
        <v>2.2346919855135192E-2</v>
      </c>
      <c r="G24" s="739">
        <f t="shared" ca="1" si="17"/>
        <v>2.2346919855135192E-2</v>
      </c>
      <c r="H24" s="739">
        <f t="shared" ca="1" si="17"/>
        <v>2.2346919855135192E-2</v>
      </c>
      <c r="J24" s="734" t="s">
        <v>16227</v>
      </c>
      <c r="K24" s="766">
        <f>비용추정!F51</f>
        <v>9</v>
      </c>
      <c r="L24" s="766">
        <f>비용추정!G51</f>
        <v>4</v>
      </c>
      <c r="M24" s="766">
        <f>비용추정!H51</f>
        <v>3</v>
      </c>
      <c r="N24" s="735">
        <f t="shared" ref="N24:N35" si="18">INT(M24*(1+$L$74/100))</f>
        <v>3</v>
      </c>
      <c r="O24" s="735">
        <f t="shared" ref="N24:R35" si="19">INT(N24*(1+$L$74/100))</f>
        <v>3</v>
      </c>
      <c r="P24" s="735">
        <f t="shared" si="19"/>
        <v>3</v>
      </c>
      <c r="Q24" s="735">
        <f t="shared" si="19"/>
        <v>3</v>
      </c>
      <c r="R24" s="735">
        <f t="shared" si="19"/>
        <v>3</v>
      </c>
      <c r="AE24" s="765"/>
      <c r="AF24" s="765"/>
      <c r="AG24" s="765"/>
      <c r="AH24" s="765"/>
      <c r="AI24" s="765"/>
      <c r="AJ24" s="765"/>
    </row>
    <row r="25" spans="2:36" ht="12.75" thickBot="1">
      <c r="B25" s="734" t="s">
        <v>351</v>
      </c>
      <c r="C25" s="737" t="s">
        <v>267</v>
      </c>
      <c r="D25" s="737" t="s">
        <v>273</v>
      </c>
      <c r="E25" s="737" t="s">
        <v>280</v>
      </c>
      <c r="F25" s="737" t="s">
        <v>287</v>
      </c>
      <c r="G25" s="737" t="s">
        <v>293</v>
      </c>
      <c r="H25" s="737"/>
      <c r="J25" s="734" t="s">
        <v>16228</v>
      </c>
      <c r="K25" s="766">
        <f>비용추정!F52</f>
        <v>9</v>
      </c>
      <c r="L25" s="766">
        <f>비용추정!G52</f>
        <v>9</v>
      </c>
      <c r="M25" s="766">
        <f>비용추정!H52</f>
        <v>45</v>
      </c>
      <c r="N25" s="735">
        <f t="shared" si="18"/>
        <v>45</v>
      </c>
      <c r="O25" s="735">
        <f t="shared" si="19"/>
        <v>45</v>
      </c>
      <c r="P25" s="735">
        <f t="shared" si="19"/>
        <v>45</v>
      </c>
      <c r="Q25" s="735">
        <f t="shared" si="19"/>
        <v>45</v>
      </c>
      <c r="R25" s="735">
        <f t="shared" si="19"/>
        <v>45</v>
      </c>
      <c r="T25" s="730" t="s">
        <v>16230</v>
      </c>
      <c r="U25" s="730" t="str">
        <f>V4</f>
        <v>20211231K</v>
      </c>
      <c r="V25" s="730" t="str">
        <f>W4</f>
        <v>20221231K</v>
      </c>
      <c r="W25" s="730" t="str">
        <f>X4</f>
        <v>20231231K</v>
      </c>
      <c r="AE25" s="765"/>
      <c r="AF25" s="765"/>
      <c r="AG25" s="765"/>
      <c r="AH25" s="765"/>
      <c r="AI25" s="765"/>
      <c r="AJ25" s="765"/>
    </row>
    <row r="26" spans="2:36" ht="12.75" thickTop="1">
      <c r="B26" s="734" t="s">
        <v>250</v>
      </c>
      <c r="C26" s="737" t="e">
        <f ca="1">1/(1+C24)^C25</f>
        <v>#VALUE!</v>
      </c>
      <c r="D26" s="737" t="e">
        <f t="shared" ref="D26:G26" ca="1" si="20">1/(1+D24)^D25</f>
        <v>#VALUE!</v>
      </c>
      <c r="E26" s="737" t="e">
        <f t="shared" ca="1" si="20"/>
        <v>#VALUE!</v>
      </c>
      <c r="F26" s="737" t="e">
        <f t="shared" ca="1" si="20"/>
        <v>#VALUE!</v>
      </c>
      <c r="G26" s="737" t="e">
        <f t="shared" ca="1" si="20"/>
        <v>#VALUE!</v>
      </c>
      <c r="H26" s="737" t="e">
        <f ca="1">G26</f>
        <v>#VALUE!</v>
      </c>
      <c r="J26" s="734" t="s">
        <v>16177</v>
      </c>
      <c r="K26" s="766">
        <f>비용추정!F53</f>
        <v>51</v>
      </c>
      <c r="L26" s="766">
        <f>비용추정!G53</f>
        <v>19</v>
      </c>
      <c r="M26" s="766">
        <f>비용추정!H53</f>
        <v>48</v>
      </c>
      <c r="N26" s="735">
        <f t="shared" si="18"/>
        <v>48</v>
      </c>
      <c r="O26" s="735">
        <f t="shared" si="19"/>
        <v>48</v>
      </c>
      <c r="P26" s="735">
        <f t="shared" si="19"/>
        <v>48</v>
      </c>
      <c r="Q26" s="735">
        <f t="shared" si="19"/>
        <v>48</v>
      </c>
      <c r="R26" s="735">
        <f t="shared" si="19"/>
        <v>48</v>
      </c>
      <c r="T26" s="731" t="s">
        <v>16170</v>
      </c>
      <c r="U26" s="737">
        <f>감가상각추정!F22</f>
        <v>9.1170295060227655</v>
      </c>
      <c r="V26" s="737">
        <f>W5/V9*100</f>
        <v>3.0929504480190002</v>
      </c>
      <c r="W26" s="737">
        <f>X5/W9*100</f>
        <v>3.0915196418101378</v>
      </c>
      <c r="X26" s="769"/>
      <c r="Y26" s="731" t="str">
        <f>감가상각추정!I18</f>
        <v>생산자물가상승률</v>
      </c>
      <c r="Z26" s="731"/>
      <c r="AA26" s="737">
        <f>감가상각추정!J18</f>
        <v>101.66</v>
      </c>
    </row>
    <row r="27" spans="2:36">
      <c r="B27" s="734" t="s">
        <v>16231</v>
      </c>
      <c r="C27" s="737" t="s">
        <v>360</v>
      </c>
      <c r="D27" s="737" t="s">
        <v>361</v>
      </c>
      <c r="E27" s="737" t="s">
        <v>362</v>
      </c>
      <c r="F27" s="737" t="s">
        <v>363</v>
      </c>
      <c r="G27" s="737" t="s">
        <v>364</v>
      </c>
      <c r="H27" s="737"/>
      <c r="J27" s="734" t="s">
        <v>16179</v>
      </c>
      <c r="K27" s="766">
        <f>비용추정!F54</f>
        <v>0</v>
      </c>
      <c r="L27" s="766">
        <f>비용추정!G54</f>
        <v>6</v>
      </c>
      <c r="M27" s="766">
        <f>비용추정!H54</f>
        <v>2</v>
      </c>
      <c r="N27" s="735">
        <f t="shared" si="18"/>
        <v>2</v>
      </c>
      <c r="O27" s="735">
        <f t="shared" si="19"/>
        <v>2</v>
      </c>
      <c r="P27" s="735">
        <f t="shared" si="19"/>
        <v>2</v>
      </c>
      <c r="Q27" s="735">
        <f t="shared" si="19"/>
        <v>2</v>
      </c>
      <c r="R27" s="735">
        <f t="shared" si="19"/>
        <v>2</v>
      </c>
      <c r="T27" s="731" t="s">
        <v>16232</v>
      </c>
      <c r="U27" s="737">
        <f>V6/V5*100</f>
        <v>4.2424242424242431</v>
      </c>
      <c r="V27" s="737">
        <f>W6/W5*100</f>
        <v>10.99476439790576</v>
      </c>
      <c r="W27" s="737">
        <f>X6/X5*100</f>
        <v>10.775862068965516</v>
      </c>
      <c r="X27" s="769"/>
      <c r="Y27" s="731" t="str">
        <f>감가상각추정!I19</f>
        <v>IMF경제성장률평균</v>
      </c>
      <c r="Z27" s="731"/>
      <c r="AA27" s="737">
        <f ca="1">감가상각추정!J19</f>
        <v>102.2056</v>
      </c>
    </row>
    <row r="28" spans="2:36">
      <c r="B28" s="734" t="s">
        <v>370</v>
      </c>
      <c r="C28" s="731" t="e">
        <f ca="1">C23*C26*C27</f>
        <v>#VALUE!</v>
      </c>
      <c r="D28" s="731" t="e">
        <f t="shared" ref="D28:F28" ca="1" si="21">D23*D26*D27</f>
        <v>#VALUE!</v>
      </c>
      <c r="E28" s="731" t="e">
        <f t="shared" ca="1" si="21"/>
        <v>#VALUE!</v>
      </c>
      <c r="F28" s="731" t="e">
        <f t="shared" ca="1" si="21"/>
        <v>#VALUE!</v>
      </c>
      <c r="G28" s="731" t="e">
        <f ca="1">G23*G26*G27</f>
        <v>#VALUE!</v>
      </c>
      <c r="H28" s="737"/>
      <c r="J28" s="734" t="s">
        <v>16233</v>
      </c>
      <c r="K28" s="766">
        <f>비용추정!F55</f>
        <v>42</v>
      </c>
      <c r="L28" s="766">
        <f>비용추정!G55</f>
        <v>12</v>
      </c>
      <c r="M28" s="766">
        <f>비용추정!H55</f>
        <v>59</v>
      </c>
      <c r="N28" s="735">
        <f t="shared" si="18"/>
        <v>60</v>
      </c>
      <c r="O28" s="735">
        <f t="shared" si="19"/>
        <v>61</v>
      </c>
      <c r="P28" s="735">
        <f t="shared" si="19"/>
        <v>62</v>
      </c>
      <c r="Q28" s="735">
        <f t="shared" si="19"/>
        <v>63</v>
      </c>
      <c r="R28" s="735">
        <f t="shared" si="19"/>
        <v>64</v>
      </c>
      <c r="T28" s="731" t="s">
        <v>16234</v>
      </c>
      <c r="U28" s="737">
        <f>V10/V5*100</f>
        <v>1149.4545454545455</v>
      </c>
      <c r="V28" s="737">
        <f>W10/W5*100</f>
        <v>3320.4188481675396</v>
      </c>
      <c r="W28" s="737">
        <f>X10/X5*100</f>
        <v>971.98275862068965</v>
      </c>
      <c r="X28" s="769"/>
      <c r="Y28" s="731" t="str">
        <f>감가상각추정!I20</f>
        <v>추정성장률평균</v>
      </c>
      <c r="Z28" s="731"/>
      <c r="AA28" s="737">
        <f ca="1">감가상각추정!J20</f>
        <v>102.2056</v>
      </c>
    </row>
    <row r="29" spans="2:36">
      <c r="B29" s="731" t="s">
        <v>16235</v>
      </c>
      <c r="C29" s="731" t="e">
        <f ca="1">SUM(C28:G28)</f>
        <v>#VALUE!</v>
      </c>
      <c r="D29" s="740"/>
      <c r="E29" s="741"/>
      <c r="F29" s="740"/>
      <c r="G29" s="740"/>
      <c r="J29" s="734" t="s">
        <v>16236</v>
      </c>
      <c r="K29" s="766">
        <f>비용추정!F56</f>
        <v>0</v>
      </c>
      <c r="L29" s="766">
        <f>비용추정!G56</f>
        <v>0</v>
      </c>
      <c r="M29" s="766">
        <f>비용추정!H56</f>
        <v>0</v>
      </c>
      <c r="N29" s="735">
        <f t="shared" si="18"/>
        <v>0</v>
      </c>
      <c r="O29" s="735">
        <f t="shared" si="19"/>
        <v>0</v>
      </c>
      <c r="P29" s="735">
        <f t="shared" si="19"/>
        <v>0</v>
      </c>
      <c r="Q29" s="735">
        <f t="shared" si="19"/>
        <v>0</v>
      </c>
      <c r="R29" s="735">
        <f t="shared" si="19"/>
        <v>0</v>
      </c>
      <c r="T29" s="731" t="s">
        <v>16174</v>
      </c>
      <c r="U29" s="737">
        <f>감가상각추정!F25</f>
        <v>32.307692307692307</v>
      </c>
      <c r="V29" s="737">
        <f>W11/V13*100</f>
        <v>5.2427184466019421</v>
      </c>
      <c r="W29" s="737">
        <f>X11/W13*100</f>
        <v>0.94398993077407178</v>
      </c>
      <c r="X29" s="769"/>
    </row>
    <row r="30" spans="2:36">
      <c r="B30" s="731" t="s">
        <v>16237</v>
      </c>
      <c r="C30" s="731" t="e">
        <f ca="1">H23/(H24-1%)*H26</f>
        <v>#VALUE!</v>
      </c>
      <c r="D30" s="740"/>
      <c r="E30" s="740"/>
      <c r="F30" s="740"/>
      <c r="G30" s="740"/>
      <c r="J30" s="734" t="s">
        <v>16238</v>
      </c>
      <c r="K30" s="766">
        <f>비용추정!F57</f>
        <v>22</v>
      </c>
      <c r="L30" s="766">
        <f>비용추정!G57</f>
        <v>32</v>
      </c>
      <c r="M30" s="766">
        <f>비용추정!H57</f>
        <v>75</v>
      </c>
      <c r="N30" s="735">
        <f t="shared" si="19"/>
        <v>76</v>
      </c>
      <c r="O30" s="735">
        <f t="shared" si="19"/>
        <v>77</v>
      </c>
      <c r="P30" s="735">
        <f t="shared" si="19"/>
        <v>78</v>
      </c>
      <c r="Q30" s="735">
        <f t="shared" si="19"/>
        <v>79</v>
      </c>
      <c r="R30" s="735">
        <f t="shared" si="19"/>
        <v>80</v>
      </c>
      <c r="T30" s="731" t="s">
        <v>16175</v>
      </c>
      <c r="U30" s="737">
        <f>V12/V11*100</f>
        <v>100</v>
      </c>
      <c r="V30" s="737">
        <f>W12/W11*100</f>
        <v>85.18518518518519</v>
      </c>
      <c r="W30" s="737">
        <f>X12/X11*100</f>
        <v>100</v>
      </c>
      <c r="X30" s="769"/>
    </row>
    <row r="31" spans="2:36">
      <c r="B31" s="731" t="s">
        <v>16239</v>
      </c>
      <c r="C31" s="731" t="e">
        <f ca="1">C29+C30</f>
        <v>#VALUE!</v>
      </c>
      <c r="D31" s="740"/>
      <c r="E31" s="740"/>
      <c r="F31" s="740"/>
      <c r="J31" s="734" t="s">
        <v>16240</v>
      </c>
      <c r="K31" s="766">
        <f>비용추정!F58</f>
        <v>45</v>
      </c>
      <c r="L31" s="766">
        <f>비용추정!G58</f>
        <v>80</v>
      </c>
      <c r="M31" s="766">
        <f>비용추정!H58</f>
        <v>46</v>
      </c>
      <c r="N31" s="735">
        <f t="shared" si="18"/>
        <v>46</v>
      </c>
      <c r="O31" s="735">
        <f t="shared" si="19"/>
        <v>46</v>
      </c>
      <c r="P31" s="735">
        <f t="shared" si="19"/>
        <v>46</v>
      </c>
      <c r="Q31" s="735">
        <f t="shared" si="19"/>
        <v>46</v>
      </c>
      <c r="R31" s="735">
        <f t="shared" si="19"/>
        <v>46</v>
      </c>
      <c r="T31" s="731" t="s">
        <v>16176</v>
      </c>
      <c r="U31" s="737">
        <f>V14/V11*100</f>
        <v>2242.8571428571427</v>
      </c>
      <c r="V31" s="737">
        <f>W14/W11*100</f>
        <v>4077.7777777777778</v>
      </c>
      <c r="W31" s="737">
        <f>X14/X11*100</f>
        <v>12646.666666666666</v>
      </c>
      <c r="X31" s="769"/>
    </row>
    <row r="32" spans="2:36">
      <c r="B32" s="731" t="s">
        <v>16185</v>
      </c>
      <c r="C32" s="731" t="str">
        <f>V78</f>
        <v>FCF추정!E37</v>
      </c>
      <c r="D32" s="740"/>
      <c r="E32" s="740"/>
      <c r="F32" s="742"/>
      <c r="G32" s="740"/>
      <c r="J32" s="734" t="s">
        <v>16241</v>
      </c>
      <c r="K32" s="766">
        <f>비용추정!F59</f>
        <v>0</v>
      </c>
      <c r="L32" s="766">
        <f>비용추정!G59</f>
        <v>0</v>
      </c>
      <c r="M32" s="766">
        <f>비용추정!H59</f>
        <v>0</v>
      </c>
      <c r="N32" s="735">
        <f t="shared" si="18"/>
        <v>0</v>
      </c>
      <c r="O32" s="735">
        <f t="shared" si="19"/>
        <v>0</v>
      </c>
      <c r="P32" s="735">
        <f t="shared" si="19"/>
        <v>0</v>
      </c>
      <c r="Q32" s="735">
        <f t="shared" si="19"/>
        <v>0</v>
      </c>
      <c r="R32" s="735">
        <f t="shared" si="19"/>
        <v>0</v>
      </c>
    </row>
    <row r="33" spans="2:32">
      <c r="B33" s="731" t="s">
        <v>390</v>
      </c>
      <c r="C33" s="731" t="e">
        <f ca="1">C31+C32</f>
        <v>#VALUE!</v>
      </c>
      <c r="D33" s="740"/>
      <c r="E33" s="743"/>
      <c r="F33" s="740"/>
      <c r="G33" s="740"/>
      <c r="J33" s="734" t="s">
        <v>16242</v>
      </c>
      <c r="K33" s="766">
        <f>비용추정!F60</f>
        <v>0</v>
      </c>
      <c r="L33" s="766">
        <f>비용추정!G60</f>
        <v>0</v>
      </c>
      <c r="M33" s="766">
        <f>비용추정!H60</f>
        <v>0</v>
      </c>
      <c r="N33" s="735">
        <f t="shared" si="18"/>
        <v>0</v>
      </c>
      <c r="O33" s="735">
        <f t="shared" si="19"/>
        <v>0</v>
      </c>
      <c r="P33" s="735">
        <f t="shared" si="19"/>
        <v>0</v>
      </c>
      <c r="Q33" s="735">
        <f t="shared" si="19"/>
        <v>0</v>
      </c>
      <c r="R33" s="735">
        <f t="shared" si="19"/>
        <v>0</v>
      </c>
    </row>
    <row r="34" spans="2:32" ht="12.75" thickBot="1">
      <c r="B34" s="731" t="s">
        <v>392</v>
      </c>
      <c r="C34" s="731" t="str">
        <f>V89</f>
        <v>FCF추정!E45</v>
      </c>
      <c r="J34" s="734" t="s">
        <v>16243</v>
      </c>
      <c r="K34" s="766">
        <f>비용추정!F61</f>
        <v>0</v>
      </c>
      <c r="L34" s="766">
        <f>비용추정!G61</f>
        <v>0</v>
      </c>
      <c r="M34" s="766">
        <f>비용추정!H61</f>
        <v>0</v>
      </c>
      <c r="N34" s="735">
        <f t="shared" si="18"/>
        <v>0</v>
      </c>
      <c r="O34" s="735">
        <f t="shared" si="19"/>
        <v>0</v>
      </c>
      <c r="P34" s="735">
        <f t="shared" si="19"/>
        <v>0</v>
      </c>
      <c r="Q34" s="735">
        <f t="shared" si="19"/>
        <v>0</v>
      </c>
      <c r="R34" s="735">
        <f t="shared" si="19"/>
        <v>0</v>
      </c>
      <c r="T34" s="730" t="s">
        <v>16245</v>
      </c>
      <c r="U34" s="730" t="s">
        <v>16222</v>
      </c>
      <c r="V34" s="730" t="s">
        <v>16246</v>
      </c>
      <c r="W34" s="730" t="s">
        <v>204</v>
      </c>
      <c r="X34" s="730" t="s">
        <v>16247</v>
      </c>
      <c r="AD34" s="745"/>
      <c r="AE34" s="745"/>
      <c r="AF34" s="745"/>
    </row>
    <row r="35" spans="2:32" ht="12.75" thickTop="1">
      <c r="B35" s="731" t="s">
        <v>394</v>
      </c>
      <c r="C35" s="731" t="s">
        <v>16266</v>
      </c>
      <c r="J35" s="734" t="s">
        <v>16248</v>
      </c>
      <c r="K35" s="766">
        <f>비용추정!F62</f>
        <v>0</v>
      </c>
      <c r="L35" s="766">
        <f>비용추정!G62</f>
        <v>0</v>
      </c>
      <c r="M35" s="766">
        <f>비용추정!H62</f>
        <v>0</v>
      </c>
      <c r="N35" s="735">
        <f t="shared" si="18"/>
        <v>0</v>
      </c>
      <c r="O35" s="735">
        <f t="shared" si="19"/>
        <v>0</v>
      </c>
      <c r="P35" s="735">
        <f t="shared" si="19"/>
        <v>0</v>
      </c>
      <c r="Q35" s="735">
        <f t="shared" si="19"/>
        <v>0</v>
      </c>
      <c r="R35" s="735">
        <f t="shared" si="19"/>
        <v>0</v>
      </c>
      <c r="T35" s="731" t="s">
        <v>16170</v>
      </c>
      <c r="U35" s="737">
        <f t="shared" ref="U35:U40" si="22">AVERAGE(U26:W26)</f>
        <v>5.1004998652839673</v>
      </c>
      <c r="V35" s="737">
        <f t="shared" ref="V35:V40" si="23">AVERAGE(V26:W26)</f>
        <v>3.092235044914569</v>
      </c>
      <c r="W35" s="737">
        <f t="shared" ref="W35:W40" si="24">(U26+V26*2+W26*3)/6</f>
        <v>4.0962482212485298</v>
      </c>
      <c r="X35" s="737">
        <f t="shared" ref="X35:X40" si="25">(2*W26+V26)/3</f>
        <v>3.091996577213092</v>
      </c>
      <c r="Y35" s="769">
        <v>2</v>
      </c>
      <c r="AD35" s="745"/>
      <c r="AE35" s="745"/>
      <c r="AF35" s="745"/>
    </row>
    <row r="36" spans="2:32">
      <c r="B36" s="731" t="s">
        <v>396</v>
      </c>
      <c r="C36" s="731" t="e">
        <f ca="1">C33-C34-C35</f>
        <v>#VALUE!</v>
      </c>
      <c r="J36" s="732" t="s">
        <v>16249</v>
      </c>
      <c r="K36" s="763">
        <f t="shared" ref="K36:M36" si="26">SUM(K23:K35)</f>
        <v>320</v>
      </c>
      <c r="L36" s="763">
        <f t="shared" si="26"/>
        <v>361</v>
      </c>
      <c r="M36" s="763">
        <f t="shared" si="26"/>
        <v>522</v>
      </c>
      <c r="N36" s="733">
        <f>SUM(N23:N35)</f>
        <v>525</v>
      </c>
      <c r="O36" s="733">
        <f t="shared" ref="O36:R36" si="27">SUM(O23:O35)</f>
        <v>528</v>
      </c>
      <c r="P36" s="733">
        <f t="shared" si="27"/>
        <v>531</v>
      </c>
      <c r="Q36" s="733">
        <f t="shared" si="27"/>
        <v>534</v>
      </c>
      <c r="R36" s="733">
        <f t="shared" si="27"/>
        <v>537</v>
      </c>
      <c r="T36" s="731" t="s">
        <v>16232</v>
      </c>
      <c r="U36" s="737">
        <f t="shared" si="22"/>
        <v>8.671016903098506</v>
      </c>
      <c r="V36" s="737">
        <f t="shared" si="23"/>
        <v>10.885313233435639</v>
      </c>
      <c r="W36" s="737">
        <f t="shared" si="24"/>
        <v>9.7599232075220517</v>
      </c>
      <c r="X36" s="737">
        <f t="shared" si="25"/>
        <v>10.848829511945597</v>
      </c>
      <c r="Y36" s="769">
        <v>3</v>
      </c>
      <c r="AD36" s="745"/>
      <c r="AE36" s="745"/>
      <c r="AF36" s="745"/>
    </row>
    <row r="37" spans="2:32">
      <c r="B37" s="731" t="s">
        <v>16250</v>
      </c>
      <c r="C37" s="731" t="s">
        <v>16267</v>
      </c>
      <c r="J37" s="732" t="s">
        <v>16251</v>
      </c>
      <c r="K37" s="763">
        <f t="shared" ref="K37:M37" si="28">V6</f>
        <v>35</v>
      </c>
      <c r="L37" s="763">
        <f t="shared" si="28"/>
        <v>63</v>
      </c>
      <c r="M37" s="763">
        <f t="shared" si="28"/>
        <v>125</v>
      </c>
      <c r="N37" s="733">
        <f>Y6</f>
        <v>215</v>
      </c>
      <c r="O37" s="733">
        <f ca="1">Z6</f>
        <v>226</v>
      </c>
      <c r="P37" s="733">
        <f ca="1">AA6</f>
        <v>238</v>
      </c>
      <c r="Q37" s="733">
        <f ca="1">AB6</f>
        <v>250</v>
      </c>
      <c r="R37" s="733">
        <f ca="1">AC6</f>
        <v>263</v>
      </c>
      <c r="T37" s="731" t="s">
        <v>16234</v>
      </c>
      <c r="U37" s="737">
        <f t="shared" si="22"/>
        <v>1813.9520507475916</v>
      </c>
      <c r="V37" s="737">
        <f t="shared" si="23"/>
        <v>2146.2008033941147</v>
      </c>
      <c r="W37" s="737">
        <f t="shared" si="24"/>
        <v>1784.3734196086154</v>
      </c>
      <c r="X37" s="737">
        <f t="shared" si="25"/>
        <v>1754.7947884696396</v>
      </c>
      <c r="Y37" s="769">
        <v>4</v>
      </c>
      <c r="AD37" s="745"/>
      <c r="AE37" s="745"/>
      <c r="AF37" s="745"/>
    </row>
    <row r="38" spans="2:32">
      <c r="B38" s="732" t="s">
        <v>400</v>
      </c>
      <c r="C38" s="732" t="e">
        <f ca="1">(C36*10^6)/C37</f>
        <v>#VALUE!</v>
      </c>
      <c r="D38" s="728" t="e">
        <f ca="1">C38=[1]FCF추정!E60</f>
        <v>#VALUE!</v>
      </c>
      <c r="J38" s="732" t="s">
        <v>16191</v>
      </c>
      <c r="K38" s="763">
        <f t="shared" ref="K38:M38" si="29">V12</f>
        <v>21</v>
      </c>
      <c r="L38" s="763">
        <f t="shared" si="29"/>
        <v>23</v>
      </c>
      <c r="M38" s="763">
        <f t="shared" si="29"/>
        <v>15</v>
      </c>
      <c r="N38" s="733">
        <f>Y12</f>
        <v>423</v>
      </c>
      <c r="O38" s="733">
        <f t="shared" ref="O38:R38" ca="1" si="30">Z12</f>
        <v>423</v>
      </c>
      <c r="P38" s="733">
        <f t="shared" ca="1" si="30"/>
        <v>424</v>
      </c>
      <c r="Q38" s="733">
        <f t="shared" ca="1" si="30"/>
        <v>425</v>
      </c>
      <c r="R38" s="733">
        <f t="shared" ca="1" si="30"/>
        <v>426</v>
      </c>
      <c r="T38" s="731" t="s">
        <v>16174</v>
      </c>
      <c r="U38" s="737">
        <f t="shared" si="22"/>
        <v>12.831466895022773</v>
      </c>
      <c r="V38" s="737">
        <f t="shared" si="23"/>
        <v>3.0933541886880072</v>
      </c>
      <c r="W38" s="737">
        <f t="shared" si="24"/>
        <v>7.6041831655364005</v>
      </c>
      <c r="X38" s="737">
        <f t="shared" si="25"/>
        <v>2.3768994360500284</v>
      </c>
      <c r="Y38" s="769">
        <v>5</v>
      </c>
      <c r="AD38" s="745"/>
      <c r="AE38" s="745"/>
      <c r="AF38" s="745"/>
    </row>
    <row r="39" spans="2:32">
      <c r="J39" s="732" t="s">
        <v>16193</v>
      </c>
      <c r="K39" s="763">
        <f>비용추정!F66</f>
        <v>0</v>
      </c>
      <c r="L39" s="763">
        <f>비용추정!G66</f>
        <v>0</v>
      </c>
      <c r="M39" s="763">
        <f>비용추정!H66</f>
        <v>0</v>
      </c>
      <c r="N39" s="733">
        <f>INT(N5*$K$49/100)</f>
        <v>0</v>
      </c>
      <c r="O39" s="733">
        <f>INT(O5*$K$49/100)</f>
        <v>0</v>
      </c>
      <c r="P39" s="733">
        <f>INT(P5*$K$49/100)</f>
        <v>0</v>
      </c>
      <c r="Q39" s="733">
        <f>INT(Q5*$K$49/100)</f>
        <v>0</v>
      </c>
      <c r="R39" s="733">
        <f>INT(R5*$K$49/100)</f>
        <v>0</v>
      </c>
      <c r="T39" s="731" t="s">
        <v>16175</v>
      </c>
      <c r="U39" s="737">
        <f t="shared" si="22"/>
        <v>95.061728395061735</v>
      </c>
      <c r="V39" s="737">
        <f t="shared" si="23"/>
        <v>92.592592592592595</v>
      </c>
      <c r="W39" s="737">
        <f t="shared" si="24"/>
        <v>95.061728395061735</v>
      </c>
      <c r="X39" s="737">
        <f t="shared" si="25"/>
        <v>95.061728395061735</v>
      </c>
      <c r="Y39" s="769">
        <v>6</v>
      </c>
    </row>
    <row r="40" spans="2:32">
      <c r="J40" s="732" t="s">
        <v>16194</v>
      </c>
      <c r="K40" s="763">
        <f t="shared" ref="K40:M40" si="31">K7-K8</f>
        <v>294</v>
      </c>
      <c r="L40" s="763">
        <f t="shared" si="31"/>
        <v>-3553</v>
      </c>
      <c r="M40" s="763">
        <f t="shared" si="31"/>
        <v>-8324</v>
      </c>
      <c r="N40" s="733">
        <f>N7-N8</f>
        <v>-9785</v>
      </c>
      <c r="O40" s="733">
        <f ca="1">O7-O8</f>
        <v>-10035</v>
      </c>
      <c r="P40" s="733">
        <f ca="1">P7-P8</f>
        <v>-10297</v>
      </c>
      <c r="Q40" s="733">
        <f ca="1">Q7-Q8</f>
        <v>-10560</v>
      </c>
      <c r="R40" s="733">
        <f ca="1">R7-R8</f>
        <v>-10830</v>
      </c>
      <c r="T40" s="731" t="s">
        <v>16176</v>
      </c>
      <c r="U40" s="737">
        <f t="shared" si="22"/>
        <v>6322.4338624338625</v>
      </c>
      <c r="V40" s="737">
        <f t="shared" si="23"/>
        <v>8362.2222222222226</v>
      </c>
      <c r="W40" s="737">
        <f t="shared" si="24"/>
        <v>8056.4021164021169</v>
      </c>
      <c r="X40" s="737">
        <f t="shared" si="25"/>
        <v>9790.3703703703704</v>
      </c>
      <c r="Y40" s="769">
        <v>7</v>
      </c>
    </row>
    <row r="41" spans="2:32">
      <c r="J41" s="747" t="s">
        <v>16195</v>
      </c>
      <c r="K41" s="766"/>
      <c r="L41" s="766"/>
      <c r="M41" s="766"/>
      <c r="N41" s="735">
        <f>IS추정!J34</f>
        <v>-6163</v>
      </c>
      <c r="O41" s="735">
        <f>IS추정!K34</f>
        <v>-7984</v>
      </c>
      <c r="P41" s="735">
        <f>IS추정!L34</f>
        <v>-19072</v>
      </c>
      <c r="Q41" s="735">
        <f>IS추정!M34</f>
        <v>-94888</v>
      </c>
      <c r="R41" s="735">
        <f>IS추정!N34</f>
        <v>-626100</v>
      </c>
    </row>
    <row r="42" spans="2:32">
      <c r="J42" s="732" t="s">
        <v>16196</v>
      </c>
      <c r="K42" s="770"/>
      <c r="L42" s="770"/>
      <c r="M42" s="770"/>
      <c r="N42" s="748">
        <f>N40-N41</f>
        <v>-3622</v>
      </c>
      <c r="O42" s="748">
        <f t="shared" ref="O42:R42" ca="1" si="32">O40-O41</f>
        <v>-2051</v>
      </c>
      <c r="P42" s="748">
        <f t="shared" ca="1" si="32"/>
        <v>8775</v>
      </c>
      <c r="Q42" s="748">
        <f t="shared" ca="1" si="32"/>
        <v>84328</v>
      </c>
      <c r="R42" s="748">
        <f t="shared" ca="1" si="32"/>
        <v>615270</v>
      </c>
      <c r="AC42" s="728" t="str">
        <f>H3</f>
        <v>단위: 백만원</v>
      </c>
    </row>
    <row r="43" spans="2:32" ht="12.75" thickBot="1">
      <c r="T43" s="730" t="s">
        <v>16178</v>
      </c>
      <c r="U43" s="730" t="str">
        <f>U4</f>
        <v>20201231K</v>
      </c>
      <c r="V43" s="730" t="str">
        <f t="shared" ref="V43:AC43" si="33">K4</f>
        <v>20211231K</v>
      </c>
      <c r="W43" s="730" t="str">
        <f t="shared" si="33"/>
        <v>20221231K</v>
      </c>
      <c r="X43" s="730" t="str">
        <f t="shared" si="33"/>
        <v>20231231K</v>
      </c>
      <c r="Y43" s="730" t="str">
        <f t="shared" si="33"/>
        <v>2024</v>
      </c>
      <c r="Z43" s="729" t="str">
        <f t="shared" si="33"/>
        <v>2025</v>
      </c>
      <c r="AA43" s="729" t="str">
        <f t="shared" si="33"/>
        <v>2026</v>
      </c>
      <c r="AB43" s="729" t="str">
        <f t="shared" si="33"/>
        <v>2027</v>
      </c>
      <c r="AC43" s="729" t="str">
        <f t="shared" si="33"/>
        <v>2028</v>
      </c>
    </row>
    <row r="44" spans="2:32" ht="13.5" thickTop="1" thickBot="1">
      <c r="J44" s="730" t="s">
        <v>16168</v>
      </c>
      <c r="K44" s="767" t="s">
        <v>16222</v>
      </c>
      <c r="T44" s="731" t="s">
        <v>16180</v>
      </c>
      <c r="U44" s="731">
        <f>NWC추정!E13</f>
        <v>2445</v>
      </c>
      <c r="V44" s="731">
        <f>NWC추정!F13</f>
        <v>4483</v>
      </c>
      <c r="W44" s="731">
        <f>NWC추정!G13</f>
        <v>707</v>
      </c>
      <c r="X44" s="731">
        <f>NWC추정!H13</f>
        <v>863</v>
      </c>
      <c r="Y44" s="731">
        <f>IFERROR(INT(AF5/$U$53),0)</f>
        <v>0</v>
      </c>
      <c r="Z44" s="731">
        <f>IFERROR(INT(AG5/$U$53),0)</f>
        <v>0</v>
      </c>
      <c r="AA44" s="731">
        <f>IFERROR(INT(AH5/$U$53),0)</f>
        <v>0</v>
      </c>
      <c r="AB44" s="731">
        <f>IFERROR(INT(AI5/$U$53),0)</f>
        <v>0</v>
      </c>
      <c r="AC44" s="731">
        <f>IFERROR(INT(AJ5/$U$53),0)</f>
        <v>0</v>
      </c>
    </row>
    <row r="45" spans="2:32" ht="12.75" thickTop="1">
      <c r="J45" s="731" t="s">
        <v>16197</v>
      </c>
      <c r="K45" s="750">
        <f>HLOOKUP($K$44,$K$58:$N$63,$O59,0)</f>
        <v>106.20741497579957</v>
      </c>
      <c r="L45" s="771"/>
      <c r="T45" s="731" t="s">
        <v>16181</v>
      </c>
      <c r="U45" s="731">
        <f>NWC추정!E15</f>
        <v>2528</v>
      </c>
      <c r="V45" s="731">
        <f>NWC추정!F15</f>
        <v>4381</v>
      </c>
      <c r="W45" s="731">
        <f>NWC추정!G15</f>
        <v>5847</v>
      </c>
      <c r="X45" s="731">
        <f>NWC추정!H15</f>
        <v>4990</v>
      </c>
      <c r="Y45" s="731">
        <f>IFERROR(INT(N6/$U$54),0)</f>
        <v>2332</v>
      </c>
      <c r="Z45" s="731">
        <f t="shared" ref="Z45:AC45" si="34">IFERROR(INT(O6/$U$54),0)</f>
        <v>2383</v>
      </c>
      <c r="AA45" s="731">
        <f t="shared" si="34"/>
        <v>2434</v>
      </c>
      <c r="AB45" s="731">
        <f t="shared" si="34"/>
        <v>2485</v>
      </c>
      <c r="AC45" s="731">
        <f t="shared" si="34"/>
        <v>2537</v>
      </c>
    </row>
    <row r="46" spans="2:32">
      <c r="J46" s="731" t="s">
        <v>16198</v>
      </c>
      <c r="K46" s="750">
        <f t="shared" ref="K46:K49" si="35">HLOOKUP($K$44,$K$58:$N$63,$O60,0)</f>
        <v>24.555325498434666</v>
      </c>
      <c r="L46" s="771"/>
      <c r="T46" s="731" t="s">
        <v>16182</v>
      </c>
      <c r="U46" s="731">
        <f>U44+U45</f>
        <v>4973</v>
      </c>
      <c r="V46" s="731">
        <f>V44+V45</f>
        <v>8864</v>
      </c>
      <c r="W46" s="731">
        <f>W44+W45</f>
        <v>6554</v>
      </c>
      <c r="X46" s="731">
        <f>X44+X45</f>
        <v>5853</v>
      </c>
      <c r="Y46" s="731">
        <f t="shared" ref="Y46:AC46" si="36">SUM(Y44:Y45)</f>
        <v>2332</v>
      </c>
      <c r="Z46" s="731">
        <f t="shared" si="36"/>
        <v>2383</v>
      </c>
      <c r="AA46" s="731">
        <f t="shared" si="36"/>
        <v>2434</v>
      </c>
      <c r="AB46" s="731">
        <f t="shared" si="36"/>
        <v>2485</v>
      </c>
      <c r="AC46" s="731">
        <f t="shared" si="36"/>
        <v>2537</v>
      </c>
    </row>
    <row r="47" spans="2:32">
      <c r="J47" s="731" t="s">
        <v>16199</v>
      </c>
      <c r="K47" s="768">
        <f t="shared" si="35"/>
        <v>16.791803375986365</v>
      </c>
      <c r="L47" s="771"/>
      <c r="T47" s="731" t="s">
        <v>16183</v>
      </c>
      <c r="U47" s="731">
        <f>NWC추정!E18</f>
        <v>1740</v>
      </c>
      <c r="V47" s="731">
        <f>NWC추정!F18</f>
        <v>4126</v>
      </c>
      <c r="W47" s="731">
        <f>NWC추정!G18</f>
        <v>756</v>
      </c>
      <c r="X47" s="731">
        <f>NWC추정!H18</f>
        <v>478</v>
      </c>
      <c r="Y47" s="731">
        <f>IFERROR(INT(N6/$U$55),0)</f>
        <v>844</v>
      </c>
      <c r="Z47" s="731">
        <f>IFERROR(INT(O6/$U$55),0)</f>
        <v>862</v>
      </c>
      <c r="AA47" s="731">
        <f>IFERROR(INT(P6/$U$55),0)</f>
        <v>881</v>
      </c>
      <c r="AB47" s="731">
        <f>IFERROR(INT(Q6/$U$55),0)</f>
        <v>899</v>
      </c>
      <c r="AC47" s="731">
        <f>IFERROR(INT(R6/$U$55),0)</f>
        <v>918</v>
      </c>
    </row>
    <row r="48" spans="2:32">
      <c r="J48" s="731" t="s">
        <v>16200</v>
      </c>
      <c r="K48" s="750">
        <f t="shared" si="35"/>
        <v>18.926397603897044</v>
      </c>
      <c r="L48" s="771"/>
      <c r="T48" s="731" t="s">
        <v>16184</v>
      </c>
      <c r="U48" s="731">
        <f>U47</f>
        <v>1740</v>
      </c>
      <c r="V48" s="731">
        <f>V47</f>
        <v>4126</v>
      </c>
      <c r="W48" s="731">
        <f>W47</f>
        <v>756</v>
      </c>
      <c r="X48" s="731">
        <f>X47</f>
        <v>478</v>
      </c>
      <c r="Y48" s="731">
        <f t="shared" ref="Y48:AC48" si="37">Y47</f>
        <v>844</v>
      </c>
      <c r="Z48" s="731">
        <f t="shared" si="37"/>
        <v>862</v>
      </c>
      <c r="AA48" s="731">
        <f t="shared" si="37"/>
        <v>881</v>
      </c>
      <c r="AB48" s="731">
        <f t="shared" si="37"/>
        <v>899</v>
      </c>
      <c r="AC48" s="731">
        <f t="shared" si="37"/>
        <v>918</v>
      </c>
    </row>
    <row r="49" spans="10:29">
      <c r="J49" s="731" t="s">
        <v>16201</v>
      </c>
      <c r="K49" s="750">
        <f t="shared" si="35"/>
        <v>0</v>
      </c>
      <c r="L49" s="771"/>
      <c r="T49" s="731" t="s">
        <v>16186</v>
      </c>
      <c r="U49" s="731">
        <f t="shared" ref="U49:AC49" si="38">U46-U48</f>
        <v>3233</v>
      </c>
      <c r="V49" s="731">
        <f t="shared" si="38"/>
        <v>4738</v>
      </c>
      <c r="W49" s="731">
        <f t="shared" si="38"/>
        <v>5798</v>
      </c>
      <c r="X49" s="731">
        <f t="shared" si="38"/>
        <v>5375</v>
      </c>
      <c r="Y49" s="731">
        <f t="shared" si="38"/>
        <v>1488</v>
      </c>
      <c r="Z49" s="731">
        <f t="shared" si="38"/>
        <v>1521</v>
      </c>
      <c r="AA49" s="731">
        <f t="shared" si="38"/>
        <v>1553</v>
      </c>
      <c r="AB49" s="731">
        <f t="shared" si="38"/>
        <v>1586</v>
      </c>
      <c r="AC49" s="731">
        <f t="shared" si="38"/>
        <v>1619</v>
      </c>
    </row>
    <row r="50" spans="10:29">
      <c r="T50" s="731" t="s">
        <v>16187</v>
      </c>
      <c r="U50" s="731"/>
      <c r="V50" s="731">
        <f t="shared" ref="V50:AC50" si="39">V49-U49</f>
        <v>1505</v>
      </c>
      <c r="W50" s="731">
        <f t="shared" si="39"/>
        <v>1060</v>
      </c>
      <c r="X50" s="731">
        <f t="shared" si="39"/>
        <v>-423</v>
      </c>
      <c r="Y50" s="731">
        <f t="shared" si="39"/>
        <v>-3887</v>
      </c>
      <c r="Z50" s="731">
        <f t="shared" si="39"/>
        <v>33</v>
      </c>
      <c r="AA50" s="731">
        <f t="shared" si="39"/>
        <v>32</v>
      </c>
      <c r="AB50" s="731">
        <f t="shared" si="39"/>
        <v>33</v>
      </c>
      <c r="AC50" s="731">
        <f t="shared" si="39"/>
        <v>33</v>
      </c>
    </row>
    <row r="51" spans="10:29" ht="12.75" thickBot="1">
      <c r="J51" s="730" t="s">
        <v>16229</v>
      </c>
      <c r="K51" s="730" t="str">
        <f>K4</f>
        <v>20211231K</v>
      </c>
      <c r="L51" s="730" t="str">
        <f>L4</f>
        <v>20221231K</v>
      </c>
      <c r="M51" s="730" t="str">
        <f>M4</f>
        <v>20231231K</v>
      </c>
      <c r="T51" s="744"/>
      <c r="U51" s="744"/>
      <c r="V51" s="744"/>
      <c r="W51" s="744"/>
      <c r="X51" s="744"/>
      <c r="Y51" s="744"/>
      <c r="Z51" s="744"/>
      <c r="AA51" s="744"/>
      <c r="AB51" s="745"/>
      <c r="AC51" s="745"/>
    </row>
    <row r="52" spans="10:29" ht="13.5" thickTop="1" thickBot="1">
      <c r="J52" s="731" t="s">
        <v>16197</v>
      </c>
      <c r="K52" s="737">
        <f>(K6/K5)*100</f>
        <v>78.961568109239067</v>
      </c>
      <c r="L52" s="737">
        <f>(L6/L5)*100</f>
        <v>94.456289978678043</v>
      </c>
      <c r="M52" s="737">
        <f>(M6/M5)*100</f>
        <v>145.20438683948157</v>
      </c>
      <c r="T52" s="730" t="s">
        <v>16188</v>
      </c>
      <c r="U52" s="767" t="s">
        <v>16222</v>
      </c>
      <c r="W52" s="746"/>
      <c r="X52" s="746"/>
      <c r="Z52" s="746"/>
      <c r="AA52" s="746"/>
      <c r="AB52" s="746"/>
      <c r="AC52" s="745"/>
    </row>
    <row r="53" spans="10:29" ht="12.75" thickTop="1">
      <c r="J53" s="731" t="s">
        <v>16198</v>
      </c>
      <c r="K53" s="737">
        <f>K9/K5*100</f>
        <v>4.8287633520537385</v>
      </c>
      <c r="L53" s="737">
        <f>L9/L5*100</f>
        <v>11.489257011645071</v>
      </c>
      <c r="M53" s="737">
        <f>M9/M5*100</f>
        <v>57.34795613160518</v>
      </c>
      <c r="T53" s="731" t="s">
        <v>16189</v>
      </c>
      <c r="U53" s="737">
        <f>HLOOKUP($U$52,$U$62:$X$65,$Y63,0)</f>
        <v>5.4435477447479395</v>
      </c>
      <c r="W53" s="746"/>
      <c r="X53" s="746"/>
      <c r="Z53" s="746"/>
      <c r="AA53" s="746"/>
      <c r="AC53" s="745"/>
    </row>
    <row r="54" spans="10:29">
      <c r="J54" s="731" t="s">
        <v>16199</v>
      </c>
      <c r="K54" s="737">
        <f>K20/K17*100</f>
        <v>27.645259938837917</v>
      </c>
      <c r="L54" s="737">
        <f>L20/L17*100</f>
        <v>7.4787535410764869</v>
      </c>
      <c r="M54" s="737">
        <f>M20/M17*100</f>
        <v>15.251396648044693</v>
      </c>
      <c r="T54" s="731" t="s">
        <v>16190</v>
      </c>
      <c r="U54" s="737">
        <f>HLOOKUP($U$52,$U$62:$X$65,$Y64,0)</f>
        <v>2.5825199417761548</v>
      </c>
      <c r="W54" s="746"/>
      <c r="X54" s="746"/>
      <c r="Z54" s="746"/>
      <c r="AA54" s="746"/>
      <c r="AC54" s="745"/>
    </row>
    <row r="55" spans="10:29">
      <c r="J55" s="731" t="s">
        <v>16200</v>
      </c>
      <c r="K55" s="737">
        <f>K22/K21*100</f>
        <v>9.0560613320555809</v>
      </c>
      <c r="L55" s="737">
        <f>L22/L21*100</f>
        <v>25.619399051133367</v>
      </c>
      <c r="M55" s="737">
        <f>M22/M21*100</f>
        <v>22.10373242850218</v>
      </c>
      <c r="T55" s="731" t="s">
        <v>16192</v>
      </c>
      <c r="U55" s="737">
        <f>HLOOKUP($U$52,$U$62:$X$65,$Y65,0)</f>
        <v>7.1367866377573632</v>
      </c>
      <c r="W55" s="746"/>
      <c r="X55" s="746"/>
      <c r="Z55" s="746"/>
      <c r="AA55" s="746"/>
      <c r="AC55" s="745"/>
    </row>
    <row r="56" spans="10:29">
      <c r="J56" s="731" t="s">
        <v>16201</v>
      </c>
      <c r="K56" s="737">
        <f>K39/K5*100</f>
        <v>0</v>
      </c>
      <c r="L56" s="737">
        <f>L39/L5*100</f>
        <v>0</v>
      </c>
      <c r="M56" s="737">
        <f>M39/M5*100</f>
        <v>0</v>
      </c>
    </row>
    <row r="57" spans="10:29" ht="12.75" thickBot="1">
      <c r="T57" s="730" t="s">
        <v>16229</v>
      </c>
      <c r="U57" s="730" t="str">
        <f>V4</f>
        <v>20211231K</v>
      </c>
      <c r="V57" s="730" t="str">
        <f>W4</f>
        <v>20221231K</v>
      </c>
      <c r="W57" s="730" t="str">
        <f>X4</f>
        <v>20231231K</v>
      </c>
    </row>
    <row r="58" spans="10:29" ht="13.5" thickTop="1" thickBot="1">
      <c r="J58" s="730" t="s">
        <v>16244</v>
      </c>
      <c r="K58" s="730" t="s">
        <v>16222</v>
      </c>
      <c r="L58" s="730" t="s">
        <v>16246</v>
      </c>
      <c r="M58" s="730" t="s">
        <v>204</v>
      </c>
      <c r="N58" s="730" t="s">
        <v>16247</v>
      </c>
      <c r="T58" s="731" t="s">
        <v>16189</v>
      </c>
      <c r="U58" s="737">
        <f t="shared" ref="U58:W59" si="40">IF(V44=0,0,K5/AVERAGE(U44:V44))</f>
        <v>5.2430715935334877</v>
      </c>
      <c r="V58" s="737">
        <f t="shared" si="40"/>
        <v>4.6990366088631985</v>
      </c>
      <c r="W58" s="737">
        <f t="shared" si="40"/>
        <v>6.3885350318471339</v>
      </c>
    </row>
    <row r="59" spans="10:29" ht="12.75" thickTop="1">
      <c r="J59" s="731" t="s">
        <v>16197</v>
      </c>
      <c r="K59" s="737">
        <f>AVERAGE(K52:M52)</f>
        <v>106.20741497579957</v>
      </c>
      <c r="L59" s="737">
        <f>AVERAGE(L52:M52)</f>
        <v>119.83033840907981</v>
      </c>
      <c r="M59" s="737">
        <f>(K52+L52*2+M52*3)/6</f>
        <v>117.24788476417331</v>
      </c>
      <c r="N59" s="737">
        <f>(2*M52+L52)/3</f>
        <v>128.28835455254708</v>
      </c>
      <c r="O59" s="769">
        <v>2</v>
      </c>
      <c r="T59" s="731" t="s">
        <v>16190</v>
      </c>
      <c r="U59" s="737">
        <f t="shared" si="40"/>
        <v>4.1513967289043281</v>
      </c>
      <c r="V59" s="737">
        <f t="shared" si="40"/>
        <v>2.2522487289792728</v>
      </c>
      <c r="W59" s="737">
        <f t="shared" si="40"/>
        <v>1.3439143674448648</v>
      </c>
    </row>
    <row r="60" spans="10:29">
      <c r="J60" s="731" t="s">
        <v>16198</v>
      </c>
      <c r="K60" s="737">
        <f t="shared" ref="K60:K63" si="41">AVERAGE(K53:M53)</f>
        <v>24.555325498434666</v>
      </c>
      <c r="L60" s="737">
        <f t="shared" ref="L60:L63" si="42">AVERAGE(L53:M53)</f>
        <v>34.418606571625126</v>
      </c>
      <c r="M60" s="737">
        <f>(K53+L53*2+M53*3)/6</f>
        <v>33.308524295026572</v>
      </c>
      <c r="N60" s="737">
        <f t="shared" ref="N60:N63" si="43">(2*M53+L53)/3</f>
        <v>42.061723091618475</v>
      </c>
      <c r="O60" s="769">
        <v>3</v>
      </c>
      <c r="T60" s="731" t="s">
        <v>16192</v>
      </c>
      <c r="U60" s="737">
        <f>IF(V47=0,0,K6/AVERAGE(U47:V47))</f>
        <v>4.889532901466076</v>
      </c>
      <c r="V60" s="737">
        <f>IF(W47=0,0,L6/AVERAGE(V47:W47))</f>
        <v>4.7185579680458831</v>
      </c>
      <c r="W60" s="737">
        <f>IF(X47=0,0,M6/AVERAGE(W47:X47))</f>
        <v>11.802269043760131</v>
      </c>
    </row>
    <row r="61" spans="10:29">
      <c r="J61" s="731" t="s">
        <v>16199</v>
      </c>
      <c r="K61" s="737">
        <f t="shared" si="41"/>
        <v>16.791803375986365</v>
      </c>
      <c r="L61" s="737">
        <f t="shared" si="42"/>
        <v>11.36507509456059</v>
      </c>
      <c r="M61" s="737">
        <f>(K54+L54*2+M54*3)/6</f>
        <v>14.726159494187494</v>
      </c>
      <c r="N61" s="737">
        <f t="shared" si="43"/>
        <v>12.660515612388624</v>
      </c>
      <c r="O61" s="769">
        <v>4</v>
      </c>
    </row>
    <row r="62" spans="10:29" ht="12.75" thickBot="1">
      <c r="J62" s="731" t="s">
        <v>16200</v>
      </c>
      <c r="K62" s="737">
        <f t="shared" si="41"/>
        <v>18.926397603897044</v>
      </c>
      <c r="L62" s="737">
        <f t="shared" si="42"/>
        <v>23.861565739817774</v>
      </c>
      <c r="M62" s="737">
        <f>(K55+L55*2+M55*3)/6</f>
        <v>21.101009453304808</v>
      </c>
      <c r="N62" s="737">
        <f t="shared" si="43"/>
        <v>23.275621302712576</v>
      </c>
      <c r="O62" s="769">
        <v>5</v>
      </c>
      <c r="T62" s="730" t="s">
        <v>16244</v>
      </c>
      <c r="U62" s="730" t="s">
        <v>16222</v>
      </c>
      <c r="V62" s="730" t="s">
        <v>16246</v>
      </c>
      <c r="W62" s="730" t="s">
        <v>204</v>
      </c>
      <c r="X62" s="730" t="s">
        <v>16247</v>
      </c>
    </row>
    <row r="63" spans="10:29" ht="12.75" thickTop="1">
      <c r="J63" s="731" t="s">
        <v>16201</v>
      </c>
      <c r="K63" s="737">
        <f t="shared" si="41"/>
        <v>0</v>
      </c>
      <c r="L63" s="737">
        <f t="shared" si="42"/>
        <v>0</v>
      </c>
      <c r="M63" s="737">
        <f>(K56+L56*2+M56*3)/6</f>
        <v>0</v>
      </c>
      <c r="N63" s="737">
        <f t="shared" si="43"/>
        <v>0</v>
      </c>
      <c r="O63" s="769">
        <v>6</v>
      </c>
      <c r="T63" s="731" t="s">
        <v>16252</v>
      </c>
      <c r="U63" s="737">
        <f>AVERAGE(U58:W58)</f>
        <v>5.4435477447479395</v>
      </c>
      <c r="V63" s="737">
        <f>AVERAGE(V58:W58)</f>
        <v>5.5437858203551666</v>
      </c>
      <c r="W63" s="737">
        <f>(U58+V58*2+W58*3)/6</f>
        <v>5.6344583178002141</v>
      </c>
      <c r="X63" s="737">
        <f>(2*W58+V58)/3</f>
        <v>5.8253688908524888</v>
      </c>
      <c r="Y63" s="769">
        <v>2</v>
      </c>
    </row>
    <row r="64" spans="10:29">
      <c r="T64" s="731" t="s">
        <v>16253</v>
      </c>
      <c r="U64" s="737">
        <f>AVERAGE(U59:W59)</f>
        <v>2.5825199417761548</v>
      </c>
      <c r="V64" s="737">
        <f>AVERAGE(V59:W59)</f>
        <v>1.7980815482120689</v>
      </c>
      <c r="W64" s="737">
        <f>(U59+V59*2+W59*3)/6</f>
        <v>2.1146062148662446</v>
      </c>
      <c r="X64" s="737">
        <f>(2*W59+V59)/3</f>
        <v>1.6466924879563341</v>
      </c>
      <c r="Y64" s="769">
        <v>3</v>
      </c>
    </row>
    <row r="65" spans="10:25">
      <c r="T65" s="731" t="s">
        <v>16254</v>
      </c>
      <c r="U65" s="737">
        <f>AVERAGE(U60:W60)</f>
        <v>7.1367866377573632</v>
      </c>
      <c r="V65" s="737">
        <f>AVERAGE(V60:W60)</f>
        <v>8.2604135059030064</v>
      </c>
      <c r="W65" s="737">
        <f>(U60+V60*2+W60*3)/6</f>
        <v>8.2889093281397042</v>
      </c>
      <c r="X65" s="737">
        <f>(2*W60+V60)/3</f>
        <v>9.4410320185220478</v>
      </c>
      <c r="Y65" s="769">
        <v>4</v>
      </c>
    </row>
    <row r="66" spans="10:25" ht="12.75" thickBot="1">
      <c r="N66" s="730" t="s">
        <v>16202</v>
      </c>
      <c r="O66" s="751">
        <f>비용추정!R32</f>
        <v>1</v>
      </c>
    </row>
    <row r="67" spans="10:25" ht="13.5" thickTop="1" thickBot="1">
      <c r="N67" s="730" t="s">
        <v>16203</v>
      </c>
      <c r="O67" s="752">
        <f ca="1">성장률추정!L8</f>
        <v>2.2056</v>
      </c>
    </row>
    <row r="68" spans="10:25" ht="13.5" thickTop="1" thickBot="1">
      <c r="J68" s="730" t="str">
        <f>비용추정!U31</f>
        <v>인원수</v>
      </c>
      <c r="K68" s="730" t="str">
        <f>비용추정!V31</f>
        <v>2024</v>
      </c>
      <c r="L68" s="730" t="str">
        <f>비용추정!W31</f>
        <v>2025</v>
      </c>
      <c r="M68" s="730" t="str">
        <f>비용추정!X31</f>
        <v>2026</v>
      </c>
      <c r="N68" s="730" t="str">
        <f>비용추정!Y31</f>
        <v>2027</v>
      </c>
      <c r="O68" s="730" t="str">
        <f>비용추정!Z31</f>
        <v>2028</v>
      </c>
      <c r="V68" s="728" t="str">
        <f>H3</f>
        <v>단위: 백만원</v>
      </c>
    </row>
    <row r="69" spans="10:25" ht="13.5" thickTop="1" thickBot="1">
      <c r="J69" s="765" t="str">
        <f>비용추정!U32</f>
        <v>경제성장 적용</v>
      </c>
      <c r="K69" s="772">
        <f>비용추정!I32*(1+K$70/100*$O$66)</f>
        <v>102.486</v>
      </c>
      <c r="L69" s="772">
        <f>K$69*(1+L$70/100*$O$66)</f>
        <v>104.70584676</v>
      </c>
      <c r="M69" s="772">
        <f>L$69*(1+M$70/100*$O$66)</f>
        <v>106.9664459915484</v>
      </c>
      <c r="N69" s="772">
        <f>M$69*(1+N$70/100*$O$66)</f>
        <v>109.23092565318947</v>
      </c>
      <c r="O69" s="772">
        <f>N$69*(1+O$70/100*$O$66)</f>
        <v>111.52477509190645</v>
      </c>
      <c r="T69" s="730" t="s">
        <v>16255</v>
      </c>
      <c r="U69" s="730"/>
      <c r="V69" s="730" t="s">
        <v>16256</v>
      </c>
    </row>
    <row r="70" spans="10:25" ht="12.75" thickTop="1">
      <c r="J70" s="765" t="str">
        <f>비용추정!U36</f>
        <v>경제성장률</v>
      </c>
      <c r="K70" s="773">
        <f>비용추정!V36</f>
        <v>2.4860000000000002</v>
      </c>
      <c r="L70" s="773">
        <f>비용추정!W36</f>
        <v>2.1659999999999999</v>
      </c>
      <c r="M70" s="773">
        <f>비용추정!X36</f>
        <v>2.1589999999999998</v>
      </c>
      <c r="N70" s="773">
        <f>비용추정!Y36</f>
        <v>2.117</v>
      </c>
      <c r="O70" s="773">
        <f>비용추정!Z36</f>
        <v>2.1</v>
      </c>
      <c r="T70" s="731" t="s">
        <v>269</v>
      </c>
      <c r="U70" s="731"/>
      <c r="V70" s="749" t="str">
        <f>'보고서(일반)'!R5</f>
        <v>FCF추정!E29</v>
      </c>
    </row>
    <row r="71" spans="10:25">
      <c r="T71" s="731" t="s">
        <v>276</v>
      </c>
      <c r="U71" s="731"/>
      <c r="V71" s="749" t="str">
        <f>'보고서(일반)'!R6</f>
        <v>FCF추정!E30</v>
      </c>
    </row>
    <row r="72" spans="10:25">
      <c r="J72" s="754" t="s">
        <v>458</v>
      </c>
      <c r="K72" s="755">
        <f>RATE!E3</f>
        <v>45596</v>
      </c>
      <c r="L72" s="753">
        <f>RATE!F3</f>
        <v>1.94</v>
      </c>
      <c r="T72" s="731" t="s">
        <v>283</v>
      </c>
      <c r="U72" s="731"/>
      <c r="V72" s="749" t="str">
        <f>'보고서(일반)'!R7</f>
        <v>FCF추정!E31</v>
      </c>
    </row>
    <row r="73" spans="10:25">
      <c r="J73" s="754" t="s">
        <v>459</v>
      </c>
      <c r="K73" s="755">
        <f>RATE!E4</f>
        <v>45596</v>
      </c>
      <c r="L73" s="753">
        <f>RATE!F4</f>
        <v>0.77</v>
      </c>
      <c r="T73" s="731" t="s">
        <v>289</v>
      </c>
      <c r="U73" s="731"/>
      <c r="V73" s="749" t="str">
        <f>'보고서(일반)'!R8</f>
        <v>FCF추정!E32</v>
      </c>
    </row>
    <row r="74" spans="10:25">
      <c r="J74" s="754" t="s">
        <v>460</v>
      </c>
      <c r="K74" s="755">
        <f>RATE!E5</f>
        <v>45596</v>
      </c>
      <c r="L74" s="753">
        <f>RATE!F5</f>
        <v>1.94</v>
      </c>
      <c r="T74" s="731" t="s">
        <v>295</v>
      </c>
      <c r="U74" s="731"/>
      <c r="V74" s="749" t="str">
        <f>'보고서(일반)'!R9</f>
        <v>FCF추정!E33</v>
      </c>
    </row>
    <row r="75" spans="10:25">
      <c r="T75" s="731" t="s">
        <v>302</v>
      </c>
      <c r="U75" s="731"/>
      <c r="V75" s="749" t="str">
        <f>'보고서(일반)'!R10</f>
        <v>FCF추정!E34</v>
      </c>
    </row>
    <row r="76" spans="10:25">
      <c r="T76" s="731" t="s">
        <v>304</v>
      </c>
      <c r="U76" s="731"/>
      <c r="V76" s="749" t="str">
        <f>'보고서(일반)'!R11</f>
        <v>FCF추정!E35</v>
      </c>
    </row>
    <row r="77" spans="10:25">
      <c r="T77" s="731" t="s">
        <v>307</v>
      </c>
      <c r="U77" s="731"/>
      <c r="V77" s="749" t="str">
        <f>'보고서(일반)'!R12</f>
        <v>FCF추정!E36</v>
      </c>
    </row>
    <row r="78" spans="10:25">
      <c r="T78" s="731" t="s">
        <v>16257</v>
      </c>
      <c r="U78" s="731"/>
      <c r="V78" s="749" t="str">
        <f>'보고서(일반)'!R13</f>
        <v>FCF추정!E37</v>
      </c>
    </row>
    <row r="80" spans="10:25">
      <c r="V80" s="728" t="str">
        <f>H3</f>
        <v>단위: 백만원</v>
      </c>
    </row>
    <row r="81" spans="20:25" ht="12.75" thickBot="1">
      <c r="T81" s="730" t="s">
        <v>16258</v>
      </c>
      <c r="U81" s="730"/>
      <c r="V81" s="730" t="s">
        <v>16259</v>
      </c>
    </row>
    <row r="82" spans="20:25" ht="12.75" thickTop="1">
      <c r="T82" s="731" t="s">
        <v>316</v>
      </c>
      <c r="U82" s="731"/>
      <c r="V82" s="749" t="str">
        <f>'보고서(일반)'!R16</f>
        <v>FCF추정!E38</v>
      </c>
    </row>
    <row r="83" spans="20:25">
      <c r="T83" s="731" t="s">
        <v>319</v>
      </c>
      <c r="U83" s="731"/>
      <c r="V83" s="749" t="str">
        <f>'보고서(일반)'!R17</f>
        <v>FCF추정!E39</v>
      </c>
    </row>
    <row r="84" spans="20:25">
      <c r="T84" s="731" t="s">
        <v>322</v>
      </c>
      <c r="U84" s="731"/>
      <c r="V84" s="749" t="str">
        <f>'보고서(일반)'!R18</f>
        <v>FCF추정!E40</v>
      </c>
    </row>
    <row r="85" spans="20:25">
      <c r="T85" s="731" t="s">
        <v>325</v>
      </c>
      <c r="U85" s="731"/>
      <c r="V85" s="749" t="str">
        <f>'보고서(일반)'!R19</f>
        <v>FCF추정!E41</v>
      </c>
    </row>
    <row r="86" spans="20:25">
      <c r="T86" s="731" t="s">
        <v>328</v>
      </c>
      <c r="U86" s="731"/>
      <c r="V86" s="749" t="str">
        <f>'보고서(일반)'!R20</f>
        <v>FCF추정!E42</v>
      </c>
    </row>
    <row r="87" spans="20:25">
      <c r="T87" s="731" t="s">
        <v>337</v>
      </c>
      <c r="U87" s="731"/>
      <c r="V87" s="749" t="str">
        <f>'보고서(일반)'!R21</f>
        <v>FCF추정!E43</v>
      </c>
    </row>
    <row r="88" spans="20:25">
      <c r="T88" s="731" t="s">
        <v>340</v>
      </c>
      <c r="U88" s="731"/>
      <c r="V88" s="749" t="str">
        <f>'보고서(일반)'!R22</f>
        <v>FCF추정!E44</v>
      </c>
    </row>
    <row r="89" spans="20:25">
      <c r="T89" s="731" t="s">
        <v>16204</v>
      </c>
      <c r="U89" s="731"/>
      <c r="V89" s="749" t="str">
        <f>'보고서(일반)'!R23</f>
        <v>FCF추정!E45</v>
      </c>
    </row>
    <row r="91" spans="20:25">
      <c r="T91" s="756" t="s">
        <v>16205</v>
      </c>
      <c r="U91" s="756"/>
      <c r="V91" s="756"/>
      <c r="W91" s="756"/>
      <c r="X91" s="756"/>
    </row>
    <row r="92" spans="20:25">
      <c r="T92" s="757" t="str">
        <f>Bloomberg!K4</f>
        <v>20221101
~20241031</v>
      </c>
      <c r="U92" s="757"/>
      <c r="V92" s="728" t="s">
        <v>16206</v>
      </c>
    </row>
    <row r="93" spans="20:25" ht="12.75" thickBot="1">
      <c r="T93" s="730" t="s">
        <v>16207</v>
      </c>
      <c r="U93" s="730"/>
      <c r="V93" s="730" t="s">
        <v>16208</v>
      </c>
      <c r="W93" s="730" t="s">
        <v>257</v>
      </c>
      <c r="X93" s="730" t="s">
        <v>16209</v>
      </c>
      <c r="Y93" s="730" t="s">
        <v>16210</v>
      </c>
    </row>
    <row r="94" spans="20:25" ht="12.75" thickTop="1">
      <c r="T94" s="731" t="str">
        <f ca="1">'보고서(일반)'!U5</f>
        <v>롯데지주</v>
      </c>
      <c r="U94" s="731"/>
      <c r="V94" s="737">
        <f ca="1">'보고서(일반)'!V5</f>
        <v>0.90600000000000003</v>
      </c>
      <c r="W94" s="737">
        <f ca="1">'보고서(일반)'!W5</f>
        <v>535.20252867144529</v>
      </c>
      <c r="X94" s="731">
        <f ca="1">'보고서(일반)'!X5</f>
        <v>0.17311709359136654</v>
      </c>
      <c r="Y94" s="731">
        <f ca="1">'보고서(일반)'!Y5</f>
        <v>0.90600000000000003</v>
      </c>
    </row>
    <row r="95" spans="20:25">
      <c r="T95" s="731" t="str">
        <f ca="1">'보고서(일반)'!U6</f>
        <v/>
      </c>
      <c r="U95" s="731"/>
      <c r="V95" s="774" t="b">
        <f ca="1">'보고서(일반)'!V6</f>
        <v>0</v>
      </c>
      <c r="W95" s="737" t="b">
        <f ca="1">'보고서(일반)'!W6</f>
        <v>0</v>
      </c>
      <c r="X95" s="731" t="b">
        <f ca="1">'보고서(일반)'!X6</f>
        <v>0</v>
      </c>
      <c r="Y95" s="731" t="b">
        <f ca="1">'보고서(일반)'!Y6</f>
        <v>0</v>
      </c>
    </row>
    <row r="96" spans="20:25">
      <c r="T96" s="731" t="str">
        <f ca="1">'보고서(일반)'!U7</f>
        <v/>
      </c>
      <c r="U96" s="731"/>
      <c r="V96" s="774" t="b">
        <f ca="1">'보고서(일반)'!V7</f>
        <v>0</v>
      </c>
      <c r="W96" s="737" t="b">
        <f ca="1">'보고서(일반)'!W7</f>
        <v>0</v>
      </c>
      <c r="X96" s="731" t="b">
        <f ca="1">'보고서(일반)'!X7</f>
        <v>0</v>
      </c>
      <c r="Y96" s="731" t="b">
        <f ca="1">'보고서(일반)'!Y7</f>
        <v>0</v>
      </c>
    </row>
    <row r="97" spans="20:25">
      <c r="T97" s="731" t="str">
        <f ca="1">'보고서(일반)'!U8</f>
        <v/>
      </c>
      <c r="U97" s="731"/>
      <c r="V97" s="774" t="b">
        <f ca="1">'보고서(일반)'!V8</f>
        <v>0</v>
      </c>
      <c r="W97" s="737" t="b">
        <f ca="1">'보고서(일반)'!W8</f>
        <v>0</v>
      </c>
      <c r="X97" s="731" t="b">
        <f ca="1">'보고서(일반)'!X8</f>
        <v>0</v>
      </c>
      <c r="Y97" s="731" t="b">
        <f ca="1">'보고서(일반)'!Y8</f>
        <v>0</v>
      </c>
    </row>
    <row r="98" spans="20:25">
      <c r="T98" s="731" t="str">
        <f ca="1">'보고서(일반)'!U9</f>
        <v/>
      </c>
      <c r="U98" s="731"/>
      <c r="V98" s="774" t="b">
        <f ca="1">'보고서(일반)'!V9</f>
        <v>0</v>
      </c>
      <c r="W98" s="737" t="b">
        <f ca="1">'보고서(일반)'!W9</f>
        <v>0</v>
      </c>
      <c r="X98" s="731" t="b">
        <f ca="1">'보고서(일반)'!X9</f>
        <v>0</v>
      </c>
      <c r="Y98" s="731" t="b">
        <f ca="1">'보고서(일반)'!Y9</f>
        <v>0</v>
      </c>
    </row>
    <row r="99" spans="20:25">
      <c r="T99" s="731" t="str">
        <f ca="1">'보고서(일반)'!U10</f>
        <v/>
      </c>
      <c r="U99" s="731"/>
      <c r="V99" s="774" t="b">
        <f ca="1">'보고서(일반)'!V10</f>
        <v>0</v>
      </c>
      <c r="W99" s="737" t="b">
        <f ca="1">'보고서(일반)'!W10</f>
        <v>0</v>
      </c>
      <c r="X99" s="731" t="b">
        <f ca="1">'보고서(일반)'!X10</f>
        <v>0</v>
      </c>
      <c r="Y99" s="731" t="b">
        <f ca="1">'보고서(일반)'!Y10</f>
        <v>0</v>
      </c>
    </row>
    <row r="100" spans="20:25">
      <c r="T100" s="731" t="str">
        <f ca="1">'보고서(일반)'!U11</f>
        <v/>
      </c>
      <c r="U100" s="731"/>
      <c r="V100" s="774" t="b">
        <f ca="1">'보고서(일반)'!V11</f>
        <v>0</v>
      </c>
      <c r="W100" s="737" t="b">
        <f ca="1">'보고서(일반)'!W11</f>
        <v>0</v>
      </c>
      <c r="X100" s="731" t="b">
        <f ca="1">'보고서(일반)'!X11</f>
        <v>0</v>
      </c>
      <c r="Y100" s="731" t="b">
        <f ca="1">'보고서(일반)'!Y11</f>
        <v>0</v>
      </c>
    </row>
    <row r="101" spans="20:25">
      <c r="T101" s="731" t="str">
        <f ca="1">'보고서(일반)'!U12</f>
        <v/>
      </c>
      <c r="U101" s="731"/>
      <c r="V101" s="774" t="b">
        <f ca="1">'보고서(일반)'!V12</f>
        <v>0</v>
      </c>
      <c r="W101" s="737" t="b">
        <f ca="1">'보고서(일반)'!W12</f>
        <v>0</v>
      </c>
      <c r="X101" s="731" t="b">
        <f ca="1">'보고서(일반)'!X12</f>
        <v>0</v>
      </c>
      <c r="Y101" s="731" t="b">
        <f ca="1">'보고서(일반)'!Y12</f>
        <v>0</v>
      </c>
    </row>
    <row r="102" spans="20:25">
      <c r="T102" s="731" t="str">
        <f ca="1">'보고서(일반)'!U13</f>
        <v/>
      </c>
      <c r="U102" s="731"/>
      <c r="V102" s="774" t="b">
        <f ca="1">'보고서(일반)'!V13</f>
        <v>0</v>
      </c>
      <c r="W102" s="737" t="b">
        <f ca="1">'보고서(일반)'!W13</f>
        <v>0</v>
      </c>
      <c r="X102" s="731" t="b">
        <f ca="1">'보고서(일반)'!X13</f>
        <v>0</v>
      </c>
      <c r="Y102" s="731" t="b">
        <f ca="1">'보고서(일반)'!Y13</f>
        <v>0</v>
      </c>
    </row>
    <row r="103" spans="20:25">
      <c r="T103" s="731" t="str">
        <f ca="1">'보고서(일반)'!U14</f>
        <v/>
      </c>
      <c r="U103" s="731"/>
      <c r="V103" s="774" t="b">
        <f ca="1">'보고서(일반)'!V14</f>
        <v>0</v>
      </c>
      <c r="W103" s="737" t="b">
        <f ca="1">'보고서(일반)'!W14</f>
        <v>0</v>
      </c>
      <c r="X103" s="731" t="b">
        <f ca="1">'보고서(일반)'!X14</f>
        <v>0</v>
      </c>
      <c r="Y103" s="731" t="b">
        <f ca="1">'보고서(일반)'!Y14</f>
        <v>0</v>
      </c>
    </row>
    <row r="104" spans="20:25">
      <c r="T104" s="731" t="str">
        <f ca="1">'보고서(일반)'!U15</f>
        <v/>
      </c>
      <c r="U104" s="731"/>
      <c r="V104" s="774" t="b">
        <f ca="1">'보고서(일반)'!V15</f>
        <v>0</v>
      </c>
      <c r="W104" s="737" t="b">
        <f ca="1">'보고서(일반)'!W15</f>
        <v>0</v>
      </c>
      <c r="X104" s="731" t="b">
        <f ca="1">'보고서(일반)'!X15</f>
        <v>0</v>
      </c>
      <c r="Y104" s="731" t="b">
        <f ca="1">'보고서(일반)'!Y15</f>
        <v>0</v>
      </c>
    </row>
    <row r="105" spans="20:25">
      <c r="T105" s="731" t="str">
        <f ca="1">'보고서(일반)'!U16</f>
        <v/>
      </c>
      <c r="U105" s="731"/>
      <c r="V105" s="774" t="b">
        <f ca="1">'보고서(일반)'!V16</f>
        <v>0</v>
      </c>
      <c r="W105" s="737" t="b">
        <f ca="1">'보고서(일반)'!W16</f>
        <v>0</v>
      </c>
      <c r="X105" s="731" t="b">
        <f ca="1">'보고서(일반)'!X16</f>
        <v>0</v>
      </c>
      <c r="Y105" s="731" t="b">
        <f ca="1">'보고서(일반)'!Y16</f>
        <v>0</v>
      </c>
    </row>
    <row r="106" spans="20:25">
      <c r="T106" s="731" t="str">
        <f ca="1">'보고서(일반)'!U17</f>
        <v/>
      </c>
      <c r="U106" s="731"/>
      <c r="V106" s="774" t="b">
        <f ca="1">'보고서(일반)'!V17</f>
        <v>0</v>
      </c>
      <c r="W106" s="737" t="b">
        <f ca="1">'보고서(일반)'!W17</f>
        <v>0</v>
      </c>
      <c r="X106" s="731" t="b">
        <f ca="1">'보고서(일반)'!X17</f>
        <v>0</v>
      </c>
      <c r="Y106" s="731" t="b">
        <f ca="1">'보고서(일반)'!Y17</f>
        <v>0</v>
      </c>
    </row>
    <row r="107" spans="20:25">
      <c r="T107" s="731" t="str">
        <f ca="1">'보고서(일반)'!U18</f>
        <v/>
      </c>
      <c r="U107" s="731"/>
      <c r="V107" s="774" t="b">
        <f ca="1">'보고서(일반)'!V18</f>
        <v>0</v>
      </c>
      <c r="W107" s="737" t="b">
        <f ca="1">'보고서(일반)'!W18</f>
        <v>0</v>
      </c>
      <c r="X107" s="731" t="b">
        <f ca="1">'보고서(일반)'!X18</f>
        <v>0</v>
      </c>
      <c r="Y107" s="731" t="b">
        <f ca="1">'보고서(일반)'!Y18</f>
        <v>0</v>
      </c>
    </row>
    <row r="108" spans="20:25">
      <c r="T108" s="731" t="str">
        <f ca="1">'보고서(일반)'!U19</f>
        <v/>
      </c>
      <c r="U108" s="731"/>
      <c r="V108" s="774" t="b">
        <f ca="1">'보고서(일반)'!V19</f>
        <v>0</v>
      </c>
      <c r="W108" s="737" t="b">
        <f ca="1">'보고서(일반)'!W19</f>
        <v>0</v>
      </c>
      <c r="X108" s="731" t="b">
        <f ca="1">'보고서(일반)'!X19</f>
        <v>0</v>
      </c>
      <c r="Y108" s="731" t="b">
        <f ca="1">'보고서(일반)'!Y19</f>
        <v>0</v>
      </c>
    </row>
    <row r="109" spans="20:25">
      <c r="T109" s="758" t="s">
        <v>329</v>
      </c>
      <c r="U109" s="758"/>
      <c r="V109" s="775">
        <f ca="1">AVERAGE(V94:V108)</f>
        <v>0.90600000000000003</v>
      </c>
      <c r="W109" s="775">
        <f ca="1">AVERAGE(W94:W108)</f>
        <v>535.20252867144529</v>
      </c>
      <c r="X109" s="758">
        <f ca="1">AVERAGE(X94:X108)</f>
        <v>0.17311709359136654</v>
      </c>
      <c r="Y109" s="758">
        <f ca="1">AVERAGE(Y94:Y108)</f>
        <v>0.90600000000000003</v>
      </c>
    </row>
    <row r="111" spans="20:25" ht="12.75" thickBot="1">
      <c r="T111" s="730" t="s">
        <v>16260</v>
      </c>
      <c r="U111" s="730"/>
      <c r="V111" s="730" t="s">
        <v>16261</v>
      </c>
    </row>
    <row r="112" spans="20:25" ht="12.75" thickTop="1">
      <c r="T112" s="759" t="s">
        <v>259</v>
      </c>
      <c r="U112" s="759"/>
      <c r="V112" s="760">
        <f ca="1">Y109</f>
        <v>0.90600000000000003</v>
      </c>
    </row>
    <row r="113" spans="2:22">
      <c r="T113" s="759" t="s">
        <v>349</v>
      </c>
      <c r="U113" s="759"/>
      <c r="V113" s="761">
        <f>RATE!F7/100</f>
        <v>3.3500000000000002E-2</v>
      </c>
    </row>
    <row r="114" spans="2:22">
      <c r="T114" s="759" t="s">
        <v>352</v>
      </c>
      <c r="U114" s="759"/>
      <c r="V114" s="761">
        <f>RATE!F8/100</f>
        <v>0.1197</v>
      </c>
    </row>
    <row r="115" spans="2:22">
      <c r="T115" s="759" t="s">
        <v>16262</v>
      </c>
      <c r="U115" s="759"/>
      <c r="V115" s="761">
        <f>WACC!E43/100</f>
        <v>0</v>
      </c>
    </row>
    <row r="116" spans="2:22">
      <c r="T116" s="759" t="s">
        <v>368</v>
      </c>
      <c r="U116" s="759"/>
      <c r="V116" s="761">
        <f ca="1">WACC!E34/100</f>
        <v>0.1419482</v>
      </c>
    </row>
    <row r="117" spans="2:22">
      <c r="T117" s="759" t="s">
        <v>374</v>
      </c>
      <c r="U117" s="759"/>
      <c r="V117" s="761">
        <f>WACC!E30/100</f>
        <v>0.20899999999999999</v>
      </c>
    </row>
    <row r="118" spans="2:22">
      <c r="T118" s="759" t="s">
        <v>377</v>
      </c>
      <c r="U118" s="759"/>
      <c r="V118" s="761">
        <f>WACC!E31/100</f>
        <v>0</v>
      </c>
    </row>
    <row r="119" spans="2:22">
      <c r="T119" s="759" t="s">
        <v>16263</v>
      </c>
      <c r="U119" s="759"/>
      <c r="V119" s="761">
        <f ca="1">WACC!E35/100</f>
        <v>2.2346919855135192E-2</v>
      </c>
    </row>
    <row r="125" spans="2:22">
      <c r="B125" s="736"/>
    </row>
  </sheetData>
  <phoneticPr fontId="9" type="noConversion"/>
  <dataValidations disablePrompts="1" count="3">
    <dataValidation type="list" allowBlank="1" showInputMessage="1" showErrorMessage="1" sqref="U52">
      <formula1>$U$62:$X$62</formula1>
    </dataValidation>
    <dataValidation type="list" allowBlank="1" showInputMessage="1" showErrorMessage="1" sqref="U17">
      <formula1>$U$34:$X$34</formula1>
    </dataValidation>
    <dataValidation type="list" allowBlank="1" showInputMessage="1" showErrorMessage="1" sqref="K44">
      <formula1>$K$58:$N$58</formula1>
    </dataValidation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6" tint="0.39997558519241921"/>
  </sheetPr>
  <dimension ref="A1:T96"/>
  <sheetViews>
    <sheetView showGridLines="0" zoomScale="85" zoomScaleNormal="85" workbookViewId="0">
      <selection activeCell="L9" sqref="L9"/>
    </sheetView>
  </sheetViews>
  <sheetFormatPr defaultRowHeight="16.5"/>
  <cols>
    <col min="1" max="3" width="3.625" customWidth="1"/>
    <col min="4" max="4" width="20.625" customWidth="1"/>
    <col min="5" max="9" width="12.625" customWidth="1"/>
    <col min="10" max="10" width="3.625" customWidth="1"/>
  </cols>
  <sheetData>
    <row r="1" spans="1:20">
      <c r="A1" s="372"/>
      <c r="B1" s="372"/>
      <c r="C1" s="372"/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/>
    </row>
    <row r="2" spans="1:20">
      <c r="A2" s="372"/>
      <c r="B2" s="469" t="str">
        <f>"["&amp;TRIM(COMPANY!E2)&amp;"] 현금흐름할인법 평가결과 요약"</f>
        <v>[(주)미래세라텍] 현금흐름할인법 평가결과 요약</v>
      </c>
      <c r="C2" s="470"/>
      <c r="D2" s="470"/>
      <c r="E2" s="470"/>
      <c r="F2" s="470"/>
      <c r="G2" s="470"/>
      <c r="H2" s="470"/>
      <c r="I2" s="470"/>
      <c r="J2" s="470"/>
      <c r="K2" s="470"/>
      <c r="L2" s="470"/>
      <c r="M2" s="470"/>
      <c r="N2" s="470"/>
      <c r="O2" s="470"/>
      <c r="P2" s="470"/>
      <c r="Q2" s="470"/>
      <c r="R2" s="470"/>
      <c r="S2" s="372"/>
      <c r="T2" s="372"/>
    </row>
    <row r="3" spans="1:20">
      <c r="A3" s="372"/>
      <c r="B3" s="372"/>
      <c r="C3" s="372"/>
      <c r="D3" s="372"/>
      <c r="E3" s="372"/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372"/>
      <c r="S3" s="372"/>
      <c r="T3" s="372"/>
    </row>
    <row r="4" spans="1:20">
      <c r="A4" s="372"/>
      <c r="B4" s="471" t="s">
        <v>477</v>
      </c>
      <c r="C4" s="372"/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/>
      <c r="Q4" s="372"/>
      <c r="R4" s="372"/>
      <c r="S4" s="372"/>
      <c r="T4" s="372"/>
    </row>
    <row r="5" spans="1:20">
      <c r="A5" s="372"/>
      <c r="B5" s="372"/>
      <c r="C5" s="372" t="s">
        <v>478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/>
      <c r="P5" s="372"/>
      <c r="Q5" s="372"/>
      <c r="R5" s="372"/>
      <c r="S5" s="372"/>
      <c r="T5" s="372"/>
    </row>
    <row r="6" spans="1:20">
      <c r="A6" s="372"/>
      <c r="B6" s="372"/>
      <c r="C6" s="372"/>
      <c r="D6" s="440" t="s">
        <v>479</v>
      </c>
      <c r="E6" s="441" t="str">
        <f>'보고서(일반)'!AC4</f>
        <v>FCF추정!F22</v>
      </c>
      <c r="F6" s="441" t="str">
        <f>'보고서(일반)'!AD4</f>
        <v>FCF추정!G22</v>
      </c>
      <c r="G6" s="441" t="str">
        <f>'보고서(일반)'!AE4</f>
        <v>FCF추정!H22</v>
      </c>
      <c r="H6" s="441" t="str">
        <f>'보고서(일반)'!AF4</f>
        <v>FCF추정!I22</v>
      </c>
      <c r="I6" s="441" t="str">
        <f>'보고서(일반)'!AG4</f>
        <v>FCF추정!J22</v>
      </c>
      <c r="J6" s="372"/>
      <c r="K6" s="372"/>
      <c r="L6" s="372"/>
      <c r="M6" s="372"/>
      <c r="N6" s="372"/>
      <c r="O6" s="372"/>
      <c r="P6" s="372"/>
      <c r="Q6" s="372"/>
      <c r="R6" s="372"/>
      <c r="S6" s="372"/>
      <c r="T6" s="372"/>
    </row>
    <row r="7" spans="1:20">
      <c r="A7" s="372"/>
      <c r="B7" s="372"/>
      <c r="C7" s="372"/>
      <c r="D7" s="440" t="s">
        <v>455</v>
      </c>
      <c r="E7" s="486"/>
      <c r="F7" s="486"/>
      <c r="G7" s="486"/>
      <c r="H7" s="486"/>
      <c r="I7" s="486"/>
      <c r="J7" s="372"/>
      <c r="K7" s="372"/>
      <c r="L7" s="487" t="s">
        <v>505</v>
      </c>
      <c r="M7" s="372"/>
      <c r="N7" s="372"/>
      <c r="O7" s="372"/>
      <c r="P7" s="372"/>
      <c r="Q7" s="372"/>
      <c r="R7" s="372"/>
      <c r="S7" s="372"/>
      <c r="T7" s="372"/>
    </row>
    <row r="8" spans="1:20">
      <c r="A8" s="372"/>
      <c r="B8" s="372"/>
      <c r="C8" s="372"/>
      <c r="D8" s="440" t="s">
        <v>456</v>
      </c>
      <c r="E8" s="486">
        <f>성장률추정!E8</f>
        <v>2.4860000000000002</v>
      </c>
      <c r="F8" s="486">
        <f>성장률추정!F8</f>
        <v>2.1659999999999999</v>
      </c>
      <c r="G8" s="486">
        <f>성장률추정!G8</f>
        <v>2.1589999999999998</v>
      </c>
      <c r="H8" s="486">
        <f>성장률추정!H8</f>
        <v>2.117</v>
      </c>
      <c r="I8" s="486">
        <f>성장률추정!I8</f>
        <v>2.1</v>
      </c>
      <c r="J8" s="372"/>
      <c r="K8" s="372"/>
      <c r="L8" s="372"/>
      <c r="M8" s="372"/>
      <c r="N8" s="372"/>
      <c r="O8" s="372"/>
      <c r="P8" s="372"/>
      <c r="Q8" s="372"/>
      <c r="R8" s="372"/>
      <c r="S8" s="372"/>
      <c r="T8" s="372"/>
    </row>
    <row r="9" spans="1:20">
      <c r="A9" s="372"/>
      <c r="B9" s="372"/>
      <c r="C9" s="372"/>
      <c r="D9" s="441" t="s">
        <v>457</v>
      </c>
      <c r="E9" s="486"/>
      <c r="F9" s="486"/>
      <c r="G9" s="486"/>
      <c r="H9" s="486"/>
      <c r="I9" s="486"/>
      <c r="J9" s="372"/>
      <c r="K9" s="372"/>
      <c r="L9" s="372"/>
      <c r="M9" s="372"/>
      <c r="N9" s="372"/>
      <c r="O9" s="372"/>
      <c r="P9" s="372"/>
      <c r="Q9" s="372"/>
      <c r="R9" s="372"/>
      <c r="S9" s="372"/>
      <c r="T9" s="372"/>
    </row>
    <row r="10" spans="1:20">
      <c r="A10" s="372"/>
      <c r="B10" s="372"/>
      <c r="C10" s="372"/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/>
      <c r="P10" s="372"/>
      <c r="Q10" s="372"/>
      <c r="R10" s="372"/>
      <c r="S10" s="372"/>
      <c r="T10" s="372"/>
    </row>
    <row r="11" spans="1:20">
      <c r="A11" s="372"/>
      <c r="B11" s="372"/>
      <c r="C11" s="372" t="s">
        <v>480</v>
      </c>
      <c r="D11" s="372"/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/>
      <c r="Q11" s="372"/>
      <c r="R11" s="372"/>
      <c r="S11" s="372"/>
      <c r="T11" s="372"/>
    </row>
    <row r="12" spans="1:20">
      <c r="A12" s="372"/>
      <c r="B12" s="372"/>
      <c r="C12" s="372"/>
      <c r="D12" s="443" t="s">
        <v>458</v>
      </c>
      <c r="E12" s="442">
        <f>RATE!F3</f>
        <v>1.94</v>
      </c>
      <c r="F12" s="372"/>
      <c r="G12" s="372"/>
      <c r="H12" s="372"/>
      <c r="I12" s="372"/>
      <c r="J12" s="372"/>
      <c r="K12" s="372"/>
      <c r="L12" s="372"/>
      <c r="M12" s="372"/>
      <c r="N12" s="372"/>
      <c r="O12" s="372"/>
      <c r="P12" s="372"/>
      <c r="Q12" s="372"/>
      <c r="R12" s="372"/>
      <c r="S12" s="372"/>
      <c r="T12" s="372"/>
    </row>
    <row r="13" spans="1:20">
      <c r="A13" s="372"/>
      <c r="B13" s="372"/>
      <c r="C13" s="372"/>
      <c r="D13" s="443" t="s">
        <v>459</v>
      </c>
      <c r="E13" s="442">
        <f>RATE!F4</f>
        <v>0.77</v>
      </c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/>
      <c r="Q13" s="372"/>
      <c r="R13" s="372"/>
      <c r="S13" s="372"/>
      <c r="T13" s="372"/>
    </row>
    <row r="14" spans="1:20">
      <c r="A14" s="372"/>
      <c r="B14" s="372"/>
      <c r="C14" s="372"/>
      <c r="D14" s="443" t="s">
        <v>460</v>
      </c>
      <c r="E14" s="442">
        <f>RATE!F5</f>
        <v>1.94</v>
      </c>
      <c r="F14" s="372"/>
      <c r="G14" s="372"/>
      <c r="H14" s="372"/>
      <c r="I14" s="372"/>
      <c r="J14" s="372"/>
      <c r="K14" s="372"/>
      <c r="L14" s="372"/>
      <c r="M14" s="372"/>
      <c r="N14" s="372"/>
      <c r="O14" s="372"/>
      <c r="P14" s="372"/>
      <c r="Q14" s="372"/>
      <c r="R14" s="372"/>
      <c r="S14" s="372"/>
      <c r="T14" s="372"/>
    </row>
    <row r="15" spans="1:20">
      <c r="A15" s="372"/>
      <c r="B15" s="372"/>
      <c r="C15" s="372"/>
      <c r="D15" s="443" t="s">
        <v>447</v>
      </c>
      <c r="E15" s="442">
        <f>RATE!F7</f>
        <v>3.35</v>
      </c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</row>
    <row r="16" spans="1:20">
      <c r="A16" s="372"/>
      <c r="B16" s="372"/>
      <c r="C16" s="372"/>
      <c r="D16" s="443" t="s">
        <v>448</v>
      </c>
      <c r="E16" s="442">
        <f>RATE!F8</f>
        <v>11.97</v>
      </c>
      <c r="F16" s="372"/>
      <c r="G16" s="372"/>
      <c r="H16" s="372"/>
      <c r="I16" s="372"/>
      <c r="J16" s="372"/>
      <c r="K16" s="372"/>
      <c r="L16" s="372"/>
      <c r="M16" s="372"/>
      <c r="N16" s="372"/>
      <c r="O16" s="372"/>
      <c r="P16" s="372"/>
      <c r="Q16" s="372"/>
      <c r="R16" s="372"/>
      <c r="S16" s="372"/>
      <c r="T16" s="372"/>
    </row>
    <row r="17" spans="1:20">
      <c r="A17" s="372"/>
      <c r="B17" s="372"/>
      <c r="C17" s="372"/>
      <c r="D17" s="443" t="s">
        <v>461</v>
      </c>
      <c r="E17" s="442">
        <f>RATE!F9</f>
        <v>1.66</v>
      </c>
      <c r="F17" s="372"/>
      <c r="G17" s="372"/>
      <c r="H17" s="372"/>
      <c r="I17" s="372"/>
      <c r="J17" s="372"/>
      <c r="K17" s="372"/>
      <c r="L17" s="372"/>
      <c r="M17" s="372"/>
      <c r="N17" s="372"/>
      <c r="O17" s="372"/>
      <c r="P17" s="372"/>
      <c r="Q17" s="372"/>
      <c r="R17" s="372"/>
      <c r="S17" s="372"/>
      <c r="T17" s="372"/>
    </row>
    <row r="18" spans="1:20">
      <c r="A18" s="372"/>
      <c r="B18" s="372"/>
      <c r="C18" s="372"/>
      <c r="D18" s="462" t="s">
        <v>481</v>
      </c>
      <c r="E18" s="454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</row>
    <row r="19" spans="1:20">
      <c r="A19" s="372"/>
      <c r="B19" s="372"/>
      <c r="C19" s="372"/>
      <c r="D19" s="454"/>
      <c r="E19" s="454"/>
      <c r="F19" s="372"/>
      <c r="G19" s="372"/>
      <c r="H19" s="372"/>
      <c r="I19" s="372"/>
      <c r="J19" s="372"/>
      <c r="K19" s="372"/>
      <c r="L19" s="372"/>
      <c r="M19" s="372"/>
      <c r="N19" s="372"/>
      <c r="O19" s="372"/>
      <c r="P19" s="372"/>
      <c r="Q19" s="372"/>
      <c r="R19" s="372"/>
      <c r="S19" s="372"/>
      <c r="T19" s="372"/>
    </row>
    <row r="20" spans="1:20">
      <c r="A20" s="372"/>
      <c r="B20" s="372"/>
      <c r="C20" s="372" t="s">
        <v>482</v>
      </c>
      <c r="D20" s="372"/>
      <c r="E20" s="454"/>
      <c r="F20" s="454"/>
      <c r="G20" s="454"/>
      <c r="H20" s="372"/>
      <c r="I20" s="372"/>
      <c r="J20" s="372"/>
      <c r="K20" s="372"/>
      <c r="L20" s="372"/>
      <c r="M20" s="372"/>
      <c r="N20" s="372"/>
      <c r="O20" s="372"/>
      <c r="P20" s="372"/>
      <c r="Q20" s="372"/>
      <c r="R20" s="372"/>
      <c r="S20" s="372"/>
      <c r="T20" s="372"/>
    </row>
    <row r="21" spans="1:20">
      <c r="A21" s="372"/>
      <c r="B21" s="372"/>
      <c r="C21" s="372"/>
      <c r="D21" s="445" t="s">
        <v>483</v>
      </c>
      <c r="E21" s="440" t="s">
        <v>462</v>
      </c>
      <c r="F21" s="440" t="s">
        <v>463</v>
      </c>
      <c r="G21" s="440" t="s">
        <v>464</v>
      </c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</row>
    <row r="22" spans="1:20">
      <c r="A22" s="372"/>
      <c r="B22" s="372"/>
      <c r="C22" s="372"/>
      <c r="D22" s="443" t="s">
        <v>484</v>
      </c>
      <c r="E22" s="446">
        <v>200</v>
      </c>
      <c r="F22" s="442">
        <v>9.9</v>
      </c>
      <c r="G22" s="442">
        <v>0</v>
      </c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</row>
    <row r="23" spans="1:20">
      <c r="A23" s="372"/>
      <c r="B23" s="372"/>
      <c r="C23" s="372"/>
      <c r="D23" s="443" t="s">
        <v>485</v>
      </c>
      <c r="E23" s="446">
        <v>20000</v>
      </c>
      <c r="F23" s="442">
        <v>20.900000000000002</v>
      </c>
      <c r="G23" s="442">
        <v>22</v>
      </c>
      <c r="H23" s="372"/>
      <c r="I23" s="372"/>
      <c r="J23" s="372"/>
      <c r="K23" s="372"/>
      <c r="L23" s="372"/>
      <c r="M23" s="372"/>
      <c r="N23" s="372"/>
      <c r="O23" s="372"/>
      <c r="P23" s="372"/>
      <c r="Q23" s="372"/>
      <c r="R23" s="372"/>
      <c r="S23" s="372"/>
      <c r="T23" s="372"/>
    </row>
    <row r="24" spans="1:20">
      <c r="A24" s="372"/>
      <c r="B24" s="372"/>
      <c r="C24" s="372"/>
      <c r="D24" s="443" t="s">
        <v>486</v>
      </c>
      <c r="E24" s="446">
        <v>20000</v>
      </c>
      <c r="F24" s="442">
        <v>23.1</v>
      </c>
      <c r="G24" s="442">
        <v>462</v>
      </c>
      <c r="H24" s="372"/>
      <c r="I24" s="372"/>
      <c r="J24" s="372"/>
      <c r="K24" s="372"/>
      <c r="L24" s="372"/>
      <c r="M24" s="372"/>
      <c r="N24" s="372"/>
      <c r="O24" s="372"/>
      <c r="P24" s="372"/>
      <c r="Q24" s="372"/>
      <c r="R24" s="372"/>
      <c r="S24" s="372"/>
      <c r="T24" s="372"/>
    </row>
    <row r="25" spans="1:20">
      <c r="A25" s="372"/>
      <c r="B25" s="372"/>
      <c r="C25" s="372"/>
      <c r="D25" s="443" t="s">
        <v>487</v>
      </c>
      <c r="E25" s="446">
        <v>300000</v>
      </c>
      <c r="F25" s="442">
        <v>26.400000000000002</v>
      </c>
      <c r="G25" s="442">
        <v>10362</v>
      </c>
      <c r="H25" s="372"/>
      <c r="I25" s="372"/>
      <c r="J25" s="372"/>
      <c r="K25" s="372"/>
      <c r="L25" s="372"/>
      <c r="M25" s="372"/>
      <c r="N25" s="372"/>
      <c r="O25" s="372"/>
      <c r="P25" s="372"/>
      <c r="Q25" s="372"/>
      <c r="R25" s="372"/>
      <c r="S25" s="372"/>
      <c r="T25" s="372"/>
    </row>
    <row r="26" spans="1:20">
      <c r="A26" s="372"/>
      <c r="B26" s="372"/>
      <c r="C26" s="372"/>
      <c r="D26" s="454"/>
      <c r="E26" s="454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</row>
    <row r="27" spans="1:20">
      <c r="A27" s="372"/>
      <c r="B27" s="471" t="s">
        <v>488</v>
      </c>
      <c r="C27" s="372"/>
      <c r="D27" s="372"/>
      <c r="E27" s="454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</row>
    <row r="28" spans="1:20">
      <c r="A28" s="372"/>
      <c r="B28" s="372"/>
      <c r="C28" s="454" t="s">
        <v>489</v>
      </c>
      <c r="D28" s="372"/>
      <c r="E28" s="454"/>
      <c r="F28" s="372"/>
      <c r="G28" s="372"/>
      <c r="H28" s="372"/>
      <c r="I28" s="372"/>
      <c r="J28" s="372"/>
      <c r="K28" s="372"/>
      <c r="L28" s="372"/>
      <c r="M28" s="372"/>
      <c r="N28" s="372"/>
      <c r="O28" s="372"/>
      <c r="P28" s="372"/>
      <c r="Q28" s="372"/>
      <c r="R28" s="372"/>
      <c r="S28" s="372"/>
      <c r="T28" s="372"/>
    </row>
    <row r="29" spans="1:20">
      <c r="A29" s="372"/>
      <c r="B29" s="372"/>
      <c r="C29" s="372"/>
      <c r="D29" s="447" t="s">
        <v>255</v>
      </c>
      <c r="E29" s="447" t="s">
        <v>256</v>
      </c>
      <c r="F29" s="447" t="s">
        <v>465</v>
      </c>
      <c r="G29" s="447" t="s">
        <v>258</v>
      </c>
      <c r="H29" s="447" t="s">
        <v>259</v>
      </c>
      <c r="I29" s="372"/>
      <c r="J29" s="372"/>
      <c r="K29" s="372"/>
      <c r="L29" s="487" t="s">
        <v>506</v>
      </c>
      <c r="M29" s="372"/>
      <c r="N29" s="372"/>
      <c r="O29" s="372"/>
      <c r="P29" s="372"/>
      <c r="Q29" s="372"/>
      <c r="R29" s="372"/>
      <c r="S29" s="372"/>
      <c r="T29" s="372"/>
    </row>
    <row r="30" spans="1:20">
      <c r="A30" s="372"/>
      <c r="B30" s="372"/>
      <c r="C30" s="372"/>
      <c r="D30" s="448" t="str">
        <f ca="1">'보고서(일반)'!U5</f>
        <v>롯데지주</v>
      </c>
      <c r="E30" s="481">
        <f ca="1">'보고서(일반)'!V5</f>
        <v>0.90600000000000003</v>
      </c>
      <c r="F30" s="482">
        <f ca="1">'보고서(일반)'!W5</f>
        <v>535.20252867144529</v>
      </c>
      <c r="G30" s="483">
        <f ca="1">'보고서(일반)'!X5</f>
        <v>0.17311709359136654</v>
      </c>
      <c r="H30" s="483">
        <f ca="1">'보고서(일반)'!Y5</f>
        <v>0.90600000000000003</v>
      </c>
      <c r="I30" s="372"/>
      <c r="J30" s="372"/>
      <c r="K30" s="372"/>
      <c r="L30" s="372"/>
      <c r="M30" s="372"/>
      <c r="N30" s="372"/>
      <c r="O30" s="372"/>
      <c r="P30" s="372"/>
      <c r="Q30" s="372"/>
      <c r="R30" s="372"/>
      <c r="S30" s="372"/>
      <c r="T30" s="372"/>
    </row>
    <row r="31" spans="1:20">
      <c r="A31" s="372"/>
      <c r="B31" s="372"/>
      <c r="C31" s="372"/>
      <c r="D31" s="448" t="str">
        <f ca="1">'보고서(일반)'!U6</f>
        <v/>
      </c>
      <c r="E31" s="481" t="b">
        <f ca="1">'보고서(일반)'!V6</f>
        <v>0</v>
      </c>
      <c r="F31" s="482" t="b">
        <f ca="1">'보고서(일반)'!W6</f>
        <v>0</v>
      </c>
      <c r="G31" s="483" t="b">
        <f ca="1">'보고서(일반)'!X6</f>
        <v>0</v>
      </c>
      <c r="H31" s="483" t="b">
        <f ca="1">'보고서(일반)'!Y6</f>
        <v>0</v>
      </c>
      <c r="I31" s="372"/>
      <c r="J31" s="372"/>
      <c r="K31" s="372"/>
      <c r="L31" s="372"/>
      <c r="M31" s="372"/>
      <c r="N31" s="372"/>
      <c r="O31" s="372"/>
      <c r="P31" s="372"/>
      <c r="Q31" s="372"/>
      <c r="R31" s="372"/>
      <c r="S31" s="372"/>
      <c r="T31" s="372"/>
    </row>
    <row r="32" spans="1:20">
      <c r="A32" s="372"/>
      <c r="B32" s="372"/>
      <c r="C32" s="372"/>
      <c r="D32" s="448" t="str">
        <f ca="1">'보고서(일반)'!U7</f>
        <v/>
      </c>
      <c r="E32" s="481" t="b">
        <f ca="1">'보고서(일반)'!V7</f>
        <v>0</v>
      </c>
      <c r="F32" s="482" t="b">
        <f ca="1">'보고서(일반)'!W7</f>
        <v>0</v>
      </c>
      <c r="G32" s="483" t="b">
        <f ca="1">'보고서(일반)'!X7</f>
        <v>0</v>
      </c>
      <c r="H32" s="483" t="b">
        <f ca="1">'보고서(일반)'!Y7</f>
        <v>0</v>
      </c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</row>
    <row r="33" spans="1:20" s="204" customFormat="1">
      <c r="A33" s="372"/>
      <c r="B33" s="372"/>
      <c r="C33" s="372"/>
      <c r="D33" s="448" t="str">
        <f ca="1">'보고서(일반)'!U8</f>
        <v/>
      </c>
      <c r="E33" s="481" t="b">
        <f ca="1">'보고서(일반)'!V8</f>
        <v>0</v>
      </c>
      <c r="F33" s="482" t="b">
        <f ca="1">'보고서(일반)'!W8</f>
        <v>0</v>
      </c>
      <c r="G33" s="483" t="b">
        <f ca="1">'보고서(일반)'!X8</f>
        <v>0</v>
      </c>
      <c r="H33" s="483" t="b">
        <f ca="1">'보고서(일반)'!Y8</f>
        <v>0</v>
      </c>
      <c r="I33" s="372"/>
      <c r="J33" s="372"/>
      <c r="K33" s="372"/>
      <c r="L33" s="372"/>
      <c r="M33" s="372"/>
      <c r="N33" s="372"/>
      <c r="O33" s="372"/>
      <c r="P33" s="372"/>
      <c r="Q33" s="372"/>
      <c r="R33" s="372"/>
      <c r="S33" s="372"/>
      <c r="T33" s="372"/>
    </row>
    <row r="34" spans="1:20" s="204" customFormat="1">
      <c r="A34" s="372"/>
      <c r="B34" s="372"/>
      <c r="C34" s="372"/>
      <c r="D34" s="448" t="str">
        <f ca="1">'보고서(일반)'!U9</f>
        <v/>
      </c>
      <c r="E34" s="481" t="b">
        <f ca="1">'보고서(일반)'!V9</f>
        <v>0</v>
      </c>
      <c r="F34" s="482" t="b">
        <f ca="1">'보고서(일반)'!W9</f>
        <v>0</v>
      </c>
      <c r="G34" s="483" t="b">
        <f ca="1">'보고서(일반)'!X9</f>
        <v>0</v>
      </c>
      <c r="H34" s="483" t="b">
        <f ca="1">'보고서(일반)'!Y9</f>
        <v>0</v>
      </c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</row>
    <row r="35" spans="1:20" s="204" customFormat="1">
      <c r="A35" s="372"/>
      <c r="B35" s="372"/>
      <c r="C35" s="372"/>
      <c r="D35" s="448" t="str">
        <f ca="1">'보고서(일반)'!U10</f>
        <v/>
      </c>
      <c r="E35" s="481" t="b">
        <f ca="1">'보고서(일반)'!V10</f>
        <v>0</v>
      </c>
      <c r="F35" s="482" t="b">
        <f ca="1">'보고서(일반)'!W10</f>
        <v>0</v>
      </c>
      <c r="G35" s="483" t="b">
        <f ca="1">'보고서(일반)'!X10</f>
        <v>0</v>
      </c>
      <c r="H35" s="483" t="b">
        <f ca="1">'보고서(일반)'!Y10</f>
        <v>0</v>
      </c>
      <c r="I35" s="372"/>
      <c r="J35" s="372"/>
      <c r="K35" s="372"/>
      <c r="L35" s="372"/>
      <c r="M35" s="372"/>
      <c r="N35" s="372"/>
      <c r="O35" s="372"/>
      <c r="P35" s="372"/>
      <c r="Q35" s="372"/>
      <c r="R35" s="372"/>
      <c r="S35" s="372"/>
      <c r="T35" s="372"/>
    </row>
    <row r="36" spans="1:20" s="204" customFormat="1">
      <c r="A36" s="372"/>
      <c r="B36" s="372"/>
      <c r="C36" s="372"/>
      <c r="D36" s="448" t="str">
        <f ca="1">'보고서(일반)'!U11</f>
        <v/>
      </c>
      <c r="E36" s="481" t="b">
        <f ca="1">'보고서(일반)'!V11</f>
        <v>0</v>
      </c>
      <c r="F36" s="482" t="b">
        <f ca="1">'보고서(일반)'!W11</f>
        <v>0</v>
      </c>
      <c r="G36" s="483" t="b">
        <f ca="1">'보고서(일반)'!X11</f>
        <v>0</v>
      </c>
      <c r="H36" s="483" t="b">
        <f ca="1">'보고서(일반)'!Y11</f>
        <v>0</v>
      </c>
      <c r="I36" s="372"/>
      <c r="J36" s="372"/>
      <c r="K36" s="372"/>
      <c r="L36" s="372"/>
      <c r="M36" s="372"/>
      <c r="N36" s="372"/>
      <c r="O36" s="372"/>
      <c r="P36" s="372"/>
      <c r="Q36" s="372"/>
      <c r="R36" s="372"/>
      <c r="S36" s="372"/>
      <c r="T36" s="372"/>
    </row>
    <row r="37" spans="1:20" s="204" customFormat="1">
      <c r="A37" s="372"/>
      <c r="B37" s="372"/>
      <c r="C37" s="372"/>
      <c r="D37" s="448" t="str">
        <f ca="1">'보고서(일반)'!U12</f>
        <v/>
      </c>
      <c r="E37" s="481" t="b">
        <f ca="1">'보고서(일반)'!V12</f>
        <v>0</v>
      </c>
      <c r="F37" s="482" t="b">
        <f ca="1">'보고서(일반)'!W12</f>
        <v>0</v>
      </c>
      <c r="G37" s="483" t="b">
        <f ca="1">'보고서(일반)'!X12</f>
        <v>0</v>
      </c>
      <c r="H37" s="483" t="b">
        <f ca="1">'보고서(일반)'!Y12</f>
        <v>0</v>
      </c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</row>
    <row r="38" spans="1:20" s="204" customFormat="1">
      <c r="A38" s="372"/>
      <c r="B38" s="372"/>
      <c r="C38" s="372"/>
      <c r="D38" s="448" t="str">
        <f ca="1">'보고서(일반)'!U13</f>
        <v/>
      </c>
      <c r="E38" s="481" t="b">
        <f ca="1">'보고서(일반)'!V13</f>
        <v>0</v>
      </c>
      <c r="F38" s="482" t="b">
        <f ca="1">'보고서(일반)'!W13</f>
        <v>0</v>
      </c>
      <c r="G38" s="483" t="b">
        <f ca="1">'보고서(일반)'!X13</f>
        <v>0</v>
      </c>
      <c r="H38" s="483" t="b">
        <f ca="1">'보고서(일반)'!Y13</f>
        <v>0</v>
      </c>
      <c r="I38" s="372"/>
      <c r="J38" s="372"/>
      <c r="K38" s="372"/>
      <c r="L38" s="372"/>
      <c r="M38" s="372"/>
      <c r="N38" s="372"/>
      <c r="O38" s="372"/>
      <c r="P38" s="372"/>
      <c r="Q38" s="372"/>
      <c r="R38" s="372"/>
      <c r="S38" s="372"/>
      <c r="T38" s="372"/>
    </row>
    <row r="39" spans="1:20" s="204" customFormat="1">
      <c r="A39" s="372"/>
      <c r="B39" s="372"/>
      <c r="C39" s="372"/>
      <c r="D39" s="448" t="str">
        <f ca="1">'보고서(일반)'!U14</f>
        <v/>
      </c>
      <c r="E39" s="481" t="b">
        <f ca="1">'보고서(일반)'!V14</f>
        <v>0</v>
      </c>
      <c r="F39" s="482" t="b">
        <f ca="1">'보고서(일반)'!W14</f>
        <v>0</v>
      </c>
      <c r="G39" s="483" t="b">
        <f ca="1">'보고서(일반)'!X14</f>
        <v>0</v>
      </c>
      <c r="H39" s="483" t="b">
        <f ca="1">'보고서(일반)'!Y14</f>
        <v>0</v>
      </c>
      <c r="I39" s="372"/>
      <c r="J39" s="372"/>
      <c r="K39" s="372"/>
      <c r="L39" s="372"/>
      <c r="M39" s="372"/>
      <c r="N39" s="372"/>
      <c r="O39" s="372"/>
      <c r="P39" s="372"/>
      <c r="Q39" s="372"/>
      <c r="R39" s="372"/>
      <c r="S39" s="372"/>
      <c r="T39" s="372"/>
    </row>
    <row r="40" spans="1:20" s="204" customFormat="1">
      <c r="A40" s="372"/>
      <c r="B40" s="372"/>
      <c r="C40" s="372"/>
      <c r="D40" s="448" t="str">
        <f ca="1">'보고서(일반)'!U15</f>
        <v/>
      </c>
      <c r="E40" s="481" t="b">
        <f ca="1">'보고서(일반)'!V15</f>
        <v>0</v>
      </c>
      <c r="F40" s="482" t="b">
        <f ca="1">'보고서(일반)'!W15</f>
        <v>0</v>
      </c>
      <c r="G40" s="483" t="b">
        <f ca="1">'보고서(일반)'!X15</f>
        <v>0</v>
      </c>
      <c r="H40" s="483" t="b">
        <f ca="1">'보고서(일반)'!Y15</f>
        <v>0</v>
      </c>
      <c r="I40" s="372"/>
      <c r="J40" s="372"/>
      <c r="K40" s="372"/>
      <c r="L40" s="372"/>
      <c r="M40" s="372"/>
      <c r="N40" s="372"/>
      <c r="O40" s="372"/>
      <c r="P40" s="372"/>
      <c r="Q40" s="372"/>
      <c r="R40" s="372"/>
      <c r="S40" s="372"/>
      <c r="T40" s="372"/>
    </row>
    <row r="41" spans="1:20" s="204" customFormat="1">
      <c r="A41" s="372"/>
      <c r="B41" s="372"/>
      <c r="C41" s="372"/>
      <c r="D41" s="448" t="str">
        <f ca="1">'보고서(일반)'!U16</f>
        <v/>
      </c>
      <c r="E41" s="481" t="b">
        <f ca="1">'보고서(일반)'!V16</f>
        <v>0</v>
      </c>
      <c r="F41" s="482" t="b">
        <f ca="1">'보고서(일반)'!W16</f>
        <v>0</v>
      </c>
      <c r="G41" s="483" t="b">
        <f ca="1">'보고서(일반)'!X16</f>
        <v>0</v>
      </c>
      <c r="H41" s="483" t="b">
        <f ca="1">'보고서(일반)'!Y16</f>
        <v>0</v>
      </c>
      <c r="I41" s="372"/>
      <c r="J41" s="372"/>
      <c r="K41" s="372"/>
      <c r="L41" s="372"/>
      <c r="M41" s="372"/>
      <c r="N41" s="372"/>
      <c r="O41" s="372"/>
      <c r="P41" s="372"/>
      <c r="Q41" s="372"/>
      <c r="R41" s="372"/>
      <c r="S41" s="372"/>
      <c r="T41" s="372"/>
    </row>
    <row r="42" spans="1:20" s="204" customFormat="1">
      <c r="A42" s="372"/>
      <c r="B42" s="372"/>
      <c r="C42" s="372"/>
      <c r="D42" s="448" t="str">
        <f ca="1">'보고서(일반)'!U17</f>
        <v/>
      </c>
      <c r="E42" s="481" t="b">
        <f ca="1">'보고서(일반)'!V17</f>
        <v>0</v>
      </c>
      <c r="F42" s="482" t="b">
        <f ca="1">'보고서(일반)'!W17</f>
        <v>0</v>
      </c>
      <c r="G42" s="483" t="b">
        <f ca="1">'보고서(일반)'!X17</f>
        <v>0</v>
      </c>
      <c r="H42" s="483" t="b">
        <f ca="1">'보고서(일반)'!Y17</f>
        <v>0</v>
      </c>
      <c r="I42" s="372"/>
      <c r="J42" s="372"/>
      <c r="K42" s="372"/>
      <c r="L42" s="372"/>
      <c r="M42" s="372"/>
      <c r="N42" s="372"/>
      <c r="O42" s="372"/>
      <c r="P42" s="372"/>
      <c r="Q42" s="372"/>
      <c r="R42" s="372"/>
      <c r="S42" s="372"/>
      <c r="T42" s="372"/>
    </row>
    <row r="43" spans="1:20" s="204" customFormat="1">
      <c r="A43" s="372"/>
      <c r="B43" s="372"/>
      <c r="C43" s="372"/>
      <c r="D43" s="448" t="str">
        <f ca="1">'보고서(일반)'!U18</f>
        <v/>
      </c>
      <c r="E43" s="481" t="b">
        <f ca="1">'보고서(일반)'!V18</f>
        <v>0</v>
      </c>
      <c r="F43" s="482" t="b">
        <f ca="1">'보고서(일반)'!W18</f>
        <v>0</v>
      </c>
      <c r="G43" s="483" t="b">
        <f ca="1">'보고서(일반)'!X18</f>
        <v>0</v>
      </c>
      <c r="H43" s="483" t="b">
        <f ca="1">'보고서(일반)'!Y18</f>
        <v>0</v>
      </c>
      <c r="I43" s="372"/>
      <c r="J43" s="372"/>
      <c r="K43" s="372"/>
      <c r="L43" s="372"/>
      <c r="M43" s="372"/>
      <c r="N43" s="372"/>
      <c r="O43" s="372"/>
      <c r="P43" s="372"/>
      <c r="Q43" s="372"/>
      <c r="R43" s="372"/>
      <c r="S43" s="372"/>
      <c r="T43" s="372"/>
    </row>
    <row r="44" spans="1:20" s="204" customFormat="1">
      <c r="A44" s="372"/>
      <c r="B44" s="372"/>
      <c r="C44" s="372"/>
      <c r="D44" s="448" t="str">
        <f ca="1">'보고서(일반)'!U19</f>
        <v/>
      </c>
      <c r="E44" s="481" t="b">
        <f ca="1">'보고서(일반)'!V19</f>
        <v>0</v>
      </c>
      <c r="F44" s="482" t="b">
        <f ca="1">'보고서(일반)'!W19</f>
        <v>0</v>
      </c>
      <c r="G44" s="483" t="b">
        <f ca="1">'보고서(일반)'!X19</f>
        <v>0</v>
      </c>
      <c r="H44" s="483" t="b">
        <f ca="1">'보고서(일반)'!Y19</f>
        <v>0</v>
      </c>
      <c r="I44" s="372"/>
      <c r="J44" s="372"/>
      <c r="K44" s="372"/>
      <c r="L44" s="372"/>
      <c r="M44" s="372"/>
      <c r="N44" s="372"/>
      <c r="O44" s="372"/>
      <c r="P44" s="372"/>
      <c r="Q44" s="372"/>
      <c r="R44" s="372"/>
      <c r="S44" s="372"/>
      <c r="T44" s="372"/>
    </row>
    <row r="45" spans="1:20">
      <c r="A45" s="372"/>
      <c r="B45" s="372"/>
      <c r="C45" s="372"/>
      <c r="D45" s="484" t="str">
        <f>'보고서(일반)'!U20</f>
        <v>Average</v>
      </c>
      <c r="E45" s="485">
        <f ca="1">'보고서(일반)'!V20</f>
        <v>0.90600000000000003</v>
      </c>
      <c r="F45" s="485">
        <f ca="1">'보고서(일반)'!W20</f>
        <v>535.20252867144529</v>
      </c>
      <c r="G45" s="485">
        <f ca="1">'보고서(일반)'!X20</f>
        <v>0.17311709359136654</v>
      </c>
      <c r="H45" s="485">
        <f ca="1">'보고서(일반)'!Y20</f>
        <v>0.90600000000000003</v>
      </c>
      <c r="I45" s="372"/>
      <c r="J45" s="372"/>
      <c r="K45" s="372"/>
      <c r="L45" s="372"/>
      <c r="M45" s="372"/>
      <c r="N45" s="372"/>
      <c r="O45" s="372"/>
      <c r="P45" s="372"/>
      <c r="Q45" s="372"/>
      <c r="R45" s="372"/>
      <c r="S45" s="372"/>
      <c r="T45" s="372"/>
    </row>
    <row r="46" spans="1:20">
      <c r="A46" s="372"/>
      <c r="B46" s="372"/>
      <c r="C46" s="372"/>
      <c r="D46" s="454"/>
      <c r="E46" s="454"/>
      <c r="F46" s="372"/>
      <c r="G46" s="372"/>
      <c r="H46" s="372"/>
      <c r="I46" s="372"/>
      <c r="J46" s="372"/>
      <c r="K46" s="372"/>
      <c r="L46" s="372"/>
      <c r="M46" s="372"/>
      <c r="N46" s="372"/>
      <c r="O46" s="372"/>
      <c r="P46" s="372"/>
      <c r="Q46" s="372"/>
      <c r="R46" s="372"/>
      <c r="S46" s="372"/>
      <c r="T46" s="372"/>
    </row>
    <row r="47" spans="1:20">
      <c r="A47" s="372"/>
      <c r="B47" s="372"/>
      <c r="C47" s="454" t="s">
        <v>490</v>
      </c>
      <c r="D47" s="372"/>
      <c r="E47" s="454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</row>
    <row r="48" spans="1:20">
      <c r="A48" s="372"/>
      <c r="B48" s="372"/>
      <c r="C48" s="372"/>
      <c r="D48" s="449" t="s">
        <v>341</v>
      </c>
      <c r="E48" s="449" t="s">
        <v>343</v>
      </c>
      <c r="F48" s="449" t="s">
        <v>342</v>
      </c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</row>
    <row r="49" spans="1:20">
      <c r="A49" s="372"/>
      <c r="B49" s="372"/>
      <c r="C49" s="372"/>
      <c r="D49" s="450" t="s">
        <v>540</v>
      </c>
      <c r="E49" s="479">
        <f ca="1">'보고서(일반)'!X23</f>
        <v>0.90600000000000003</v>
      </c>
      <c r="F49" s="451" t="s">
        <v>466</v>
      </c>
      <c r="G49" s="372"/>
      <c r="H49" s="372"/>
      <c r="I49" s="372"/>
      <c r="J49" s="372"/>
      <c r="K49" s="372"/>
      <c r="L49" s="372"/>
      <c r="M49" s="372"/>
      <c r="N49" s="372"/>
      <c r="O49" s="372"/>
      <c r="P49" s="372"/>
      <c r="Q49" s="372"/>
      <c r="R49" s="372"/>
      <c r="S49" s="372"/>
      <c r="T49" s="372"/>
    </row>
    <row r="50" spans="1:20">
      <c r="A50" s="372"/>
      <c r="B50" s="372"/>
      <c r="C50" s="372"/>
      <c r="D50" s="450" t="s">
        <v>349</v>
      </c>
      <c r="E50" s="480">
        <f>'보고서(일반)'!X24</f>
        <v>3.3500000000000002E-2</v>
      </c>
      <c r="F50" s="451" t="s">
        <v>467</v>
      </c>
      <c r="G50" s="372"/>
      <c r="H50" s="372"/>
      <c r="I50" s="372"/>
      <c r="J50" s="372"/>
      <c r="K50" s="372"/>
      <c r="L50" s="372"/>
      <c r="M50" s="372"/>
      <c r="N50" s="372"/>
      <c r="O50" s="372"/>
      <c r="P50" s="372"/>
      <c r="Q50" s="372"/>
      <c r="R50" s="372"/>
      <c r="S50" s="372"/>
      <c r="T50" s="372"/>
    </row>
    <row r="51" spans="1:20">
      <c r="A51" s="372"/>
      <c r="B51" s="372"/>
      <c r="C51" s="372"/>
      <c r="D51" s="450" t="s">
        <v>352</v>
      </c>
      <c r="E51" s="480">
        <f>'보고서(일반)'!X25</f>
        <v>0.1197</v>
      </c>
      <c r="F51" s="452" t="s">
        <v>353</v>
      </c>
      <c r="G51" s="372"/>
      <c r="H51" s="372"/>
      <c r="I51" s="372"/>
      <c r="J51" s="372"/>
      <c r="K51" s="372"/>
      <c r="L51" s="372"/>
      <c r="M51" s="372"/>
      <c r="N51" s="372"/>
      <c r="O51" s="372"/>
      <c r="P51" s="372"/>
      <c r="Q51" s="372"/>
      <c r="R51" s="372"/>
      <c r="S51" s="372"/>
      <c r="T51" s="372"/>
    </row>
    <row r="52" spans="1:20">
      <c r="A52" s="372"/>
      <c r="B52" s="372"/>
      <c r="C52" s="372"/>
      <c r="D52" s="450" t="s">
        <v>357</v>
      </c>
      <c r="E52" s="480">
        <f>'보고서(일반)'!X26</f>
        <v>0</v>
      </c>
      <c r="F52" s="452" t="s">
        <v>358</v>
      </c>
      <c r="G52" s="372"/>
      <c r="H52" s="372"/>
      <c r="I52" s="372"/>
      <c r="J52" s="372"/>
      <c r="K52" s="372"/>
      <c r="L52" s="372"/>
      <c r="M52" s="372"/>
      <c r="N52" s="372"/>
      <c r="O52" s="372"/>
      <c r="P52" s="372"/>
      <c r="Q52" s="372"/>
      <c r="R52" s="372"/>
      <c r="S52" s="372"/>
      <c r="T52" s="372"/>
    </row>
    <row r="53" spans="1:20">
      <c r="A53" s="372"/>
      <c r="B53" s="372"/>
      <c r="C53" s="372"/>
      <c r="D53" s="450" t="s">
        <v>368</v>
      </c>
      <c r="E53" s="480">
        <f ca="1">'보고서(일반)'!X27</f>
        <v>0.1419482</v>
      </c>
      <c r="F53" s="452" t="s">
        <v>468</v>
      </c>
      <c r="G53" s="372"/>
      <c r="H53" s="372"/>
      <c r="I53" s="372"/>
      <c r="J53" s="372"/>
      <c r="K53" s="372"/>
      <c r="L53" s="372"/>
      <c r="M53" s="372"/>
      <c r="N53" s="372"/>
      <c r="O53" s="372"/>
      <c r="P53" s="372"/>
      <c r="Q53" s="372"/>
      <c r="R53" s="372"/>
      <c r="S53" s="372"/>
      <c r="T53" s="372"/>
    </row>
    <row r="54" spans="1:20">
      <c r="A54" s="372"/>
      <c r="B54" s="372"/>
      <c r="C54" s="372"/>
      <c r="D54" s="450" t="s">
        <v>374</v>
      </c>
      <c r="E54" s="480">
        <f>'보고서(일반)'!X28</f>
        <v>0.20899999999999999</v>
      </c>
      <c r="F54" s="452" t="s">
        <v>375</v>
      </c>
      <c r="G54" s="372"/>
      <c r="H54" s="372"/>
      <c r="I54" s="372"/>
      <c r="J54" s="372"/>
      <c r="K54" s="372"/>
      <c r="L54" s="372"/>
      <c r="M54" s="372"/>
      <c r="N54" s="372"/>
      <c r="O54" s="372"/>
      <c r="P54" s="372"/>
      <c r="Q54" s="372"/>
      <c r="R54" s="372"/>
      <c r="S54" s="372"/>
      <c r="T54" s="372"/>
    </row>
    <row r="55" spans="1:20">
      <c r="A55" s="372"/>
      <c r="B55" s="372"/>
      <c r="C55" s="372"/>
      <c r="D55" s="450" t="s">
        <v>377</v>
      </c>
      <c r="E55" s="480">
        <f>'보고서(일반)'!X29</f>
        <v>0</v>
      </c>
      <c r="F55" s="452" t="s">
        <v>378</v>
      </c>
      <c r="G55" s="372"/>
      <c r="H55" s="372"/>
      <c r="I55" s="372"/>
      <c r="J55" s="372"/>
      <c r="K55" s="372"/>
      <c r="L55" s="372"/>
      <c r="M55" s="372"/>
      <c r="N55" s="372"/>
      <c r="O55" s="372"/>
      <c r="P55" s="372"/>
      <c r="Q55" s="372"/>
      <c r="R55" s="372"/>
      <c r="S55" s="372"/>
      <c r="T55" s="372"/>
    </row>
    <row r="56" spans="1:20">
      <c r="A56" s="372"/>
      <c r="B56" s="372"/>
      <c r="C56" s="372"/>
      <c r="D56" s="450" t="s">
        <v>382</v>
      </c>
      <c r="E56" s="480">
        <f ca="1">'보고서(일반)'!X31</f>
        <v>2.2346919855135192E-2</v>
      </c>
      <c r="F56" s="452" t="s">
        <v>469</v>
      </c>
      <c r="G56" s="372"/>
      <c r="H56" s="372"/>
      <c r="I56" s="372"/>
      <c r="J56" s="372"/>
      <c r="K56" s="372"/>
      <c r="L56" s="372"/>
      <c r="M56" s="372"/>
      <c r="N56" s="372"/>
      <c r="O56" s="372"/>
      <c r="P56" s="372"/>
      <c r="Q56" s="372"/>
      <c r="R56" s="372"/>
      <c r="S56" s="372"/>
      <c r="T56" s="372"/>
    </row>
    <row r="57" spans="1:20">
      <c r="A57" s="372"/>
      <c r="B57" s="372"/>
      <c r="C57" s="372"/>
      <c r="D57" s="372"/>
      <c r="E57" s="453"/>
      <c r="F57" s="453"/>
      <c r="G57" s="453"/>
      <c r="H57" s="453"/>
      <c r="I57" s="453"/>
      <c r="J57" s="372"/>
      <c r="K57" s="372"/>
      <c r="L57" s="372"/>
      <c r="M57" s="372"/>
      <c r="N57" s="372"/>
      <c r="O57" s="372"/>
      <c r="P57" s="372"/>
      <c r="Q57" s="372"/>
      <c r="R57" s="372"/>
      <c r="S57" s="372"/>
      <c r="T57" s="372"/>
    </row>
    <row r="58" spans="1:20">
      <c r="A58" s="372"/>
      <c r="B58" s="471" t="s">
        <v>491</v>
      </c>
      <c r="C58" s="372"/>
      <c r="D58" s="372"/>
      <c r="E58" s="453"/>
      <c r="F58" s="453"/>
      <c r="G58" s="453"/>
      <c r="H58" s="453"/>
      <c r="I58" s="453"/>
      <c r="J58" s="372"/>
      <c r="K58" s="372"/>
      <c r="L58" s="372"/>
      <c r="M58" s="372"/>
      <c r="N58" s="372"/>
      <c r="O58" s="372"/>
      <c r="P58" s="372"/>
      <c r="Q58" s="372"/>
      <c r="R58" s="372"/>
      <c r="S58" s="372"/>
      <c r="T58" s="372"/>
    </row>
    <row r="59" spans="1:20">
      <c r="A59" s="372"/>
      <c r="B59" s="372"/>
      <c r="C59" s="372"/>
      <c r="D59" s="445" t="s">
        <v>252</v>
      </c>
      <c r="E59" s="441" t="str">
        <f>+표_19</f>
        <v>FCF추정!F22</v>
      </c>
      <c r="F59" s="441" t="str">
        <f>+표_19</f>
        <v>FCF추정!F22</v>
      </c>
      <c r="G59" s="441" t="str">
        <f>+표_19</f>
        <v>FCF추정!F22</v>
      </c>
      <c r="H59" s="441" t="str">
        <f>+표_19</f>
        <v>FCF추정!F22</v>
      </c>
      <c r="I59" s="441" t="str">
        <f>+표_19</f>
        <v>FCF추정!F22</v>
      </c>
      <c r="J59" s="472"/>
      <c r="K59" s="372"/>
      <c r="L59" s="372"/>
      <c r="M59" s="372"/>
      <c r="N59" s="372"/>
      <c r="O59" s="372"/>
      <c r="P59" s="372"/>
      <c r="Q59" s="454"/>
      <c r="R59" s="473"/>
      <c r="S59" s="372"/>
      <c r="T59" s="372"/>
    </row>
    <row r="60" spans="1:20">
      <c r="A60" s="372"/>
      <c r="B60" s="372"/>
      <c r="C60" s="372"/>
      <c r="D60" s="443" t="s">
        <v>270</v>
      </c>
      <c r="E60" s="475" t="e">
        <f ca="1">'보고서(일반)'!AC5</f>
        <v>#N/A</v>
      </c>
      <c r="F60" s="475" t="e">
        <f ca="1">'보고서(일반)'!AD5</f>
        <v>#N/A</v>
      </c>
      <c r="G60" s="475" t="e">
        <f ca="1">'보고서(일반)'!AE5</f>
        <v>#N/A</v>
      </c>
      <c r="H60" s="475" t="e">
        <f ca="1">'보고서(일반)'!AF5</f>
        <v>#N/A</v>
      </c>
      <c r="I60" s="475" t="e">
        <f ca="1">'보고서(일반)'!AG5</f>
        <v>#N/A</v>
      </c>
      <c r="J60" s="472"/>
      <c r="K60" s="372"/>
      <c r="L60" s="372"/>
      <c r="M60" s="372"/>
      <c r="N60" s="372"/>
      <c r="O60" s="372"/>
      <c r="P60" s="372"/>
      <c r="Q60" s="454"/>
      <c r="R60" s="473"/>
      <c r="S60" s="372"/>
      <c r="T60" s="372"/>
    </row>
    <row r="61" spans="1:20">
      <c r="A61" s="372"/>
      <c r="B61" s="372"/>
      <c r="C61" s="372"/>
      <c r="D61" s="443" t="s">
        <v>277</v>
      </c>
      <c r="E61" s="475" t="e">
        <f ca="1">'보고서(일반)'!AC6</f>
        <v>#N/A</v>
      </c>
      <c r="F61" s="475" t="e">
        <f ca="1">'보고서(일반)'!AD6</f>
        <v>#N/A</v>
      </c>
      <c r="G61" s="475" t="e">
        <f ca="1">'보고서(일반)'!AE6</f>
        <v>#N/A</v>
      </c>
      <c r="H61" s="475" t="e">
        <f ca="1">'보고서(일반)'!AF6</f>
        <v>#N/A</v>
      </c>
      <c r="I61" s="475" t="e">
        <f ca="1">'보고서(일반)'!AG6</f>
        <v>#N/A</v>
      </c>
      <c r="J61" s="474"/>
      <c r="K61" s="372"/>
      <c r="L61" s="372"/>
      <c r="M61" s="372"/>
      <c r="N61" s="372"/>
      <c r="O61" s="372"/>
      <c r="P61" s="372"/>
      <c r="Q61" s="454"/>
      <c r="R61" s="473"/>
      <c r="S61" s="372"/>
      <c r="T61" s="372"/>
    </row>
    <row r="62" spans="1:20">
      <c r="A62" s="372"/>
      <c r="B62" s="372"/>
      <c r="C62" s="372"/>
      <c r="D62" s="443" t="s">
        <v>284</v>
      </c>
      <c r="E62" s="475" t="e">
        <f ca="1">'보고서(일반)'!AC7</f>
        <v>#N/A</v>
      </c>
      <c r="F62" s="475" t="e">
        <f ca="1">'보고서(일반)'!AD7</f>
        <v>#N/A</v>
      </c>
      <c r="G62" s="475" t="e">
        <f ca="1">'보고서(일반)'!AE7</f>
        <v>#N/A</v>
      </c>
      <c r="H62" s="475" t="e">
        <f ca="1">'보고서(일반)'!AF7</f>
        <v>#N/A</v>
      </c>
      <c r="I62" s="475" t="e">
        <f ca="1">'보고서(일반)'!AG7</f>
        <v>#N/A</v>
      </c>
      <c r="J62" s="458"/>
      <c r="K62" s="458"/>
      <c r="L62" s="454"/>
      <c r="M62" s="455"/>
      <c r="N62" s="454"/>
      <c r="O62" s="454"/>
      <c r="P62" s="454"/>
      <c r="Q62" s="454"/>
      <c r="R62" s="454"/>
      <c r="S62" s="372"/>
      <c r="T62" s="372"/>
    </row>
    <row r="63" spans="1:20">
      <c r="A63" s="372"/>
      <c r="B63" s="372"/>
      <c r="C63" s="372"/>
      <c r="D63" s="443" t="s">
        <v>290</v>
      </c>
      <c r="E63" s="475" t="e">
        <f ca="1">'보고서(일반)'!AC8</f>
        <v>#N/A</v>
      </c>
      <c r="F63" s="475" t="e">
        <f ca="1">'보고서(일반)'!AD8</f>
        <v>#N/A</v>
      </c>
      <c r="G63" s="475" t="e">
        <f ca="1">'보고서(일반)'!AE8</f>
        <v>#N/A</v>
      </c>
      <c r="H63" s="475" t="e">
        <f ca="1">'보고서(일반)'!AF8</f>
        <v>#N/A</v>
      </c>
      <c r="I63" s="475" t="e">
        <f ca="1">'보고서(일반)'!AG8</f>
        <v>#N/A</v>
      </c>
      <c r="J63" s="458"/>
      <c r="K63" s="458"/>
      <c r="L63" s="454"/>
      <c r="M63" s="456"/>
      <c r="N63" s="454"/>
      <c r="O63" s="454"/>
      <c r="P63" s="454"/>
      <c r="Q63" s="454"/>
      <c r="R63" s="473"/>
      <c r="S63" s="372"/>
      <c r="T63" s="372"/>
    </row>
    <row r="64" spans="1:20">
      <c r="A64" s="372"/>
      <c r="B64" s="372"/>
      <c r="C64" s="372"/>
      <c r="D64" s="457" t="s">
        <v>296</v>
      </c>
      <c r="E64" s="476" t="e">
        <f ca="1">'보고서(일반)'!AC9</f>
        <v>#N/A</v>
      </c>
      <c r="F64" s="476" t="e">
        <f ca="1">'보고서(일반)'!AD9</f>
        <v>#N/A</v>
      </c>
      <c r="G64" s="476" t="e">
        <f ca="1">'보고서(일반)'!AE9</f>
        <v>#N/A</v>
      </c>
      <c r="H64" s="476" t="e">
        <f ca="1">'보고서(일반)'!AF9</f>
        <v>#N/A</v>
      </c>
      <c r="I64" s="476" t="e">
        <f ca="1">'보고서(일반)'!AG9</f>
        <v>#N/A</v>
      </c>
      <c r="J64" s="372"/>
      <c r="K64" s="458" t="s">
        <v>492</v>
      </c>
      <c r="L64" s="454"/>
      <c r="M64" s="454"/>
      <c r="N64" s="454"/>
      <c r="O64" s="454"/>
      <c r="P64" s="454"/>
      <c r="Q64" s="454"/>
      <c r="R64" s="454"/>
      <c r="S64" s="372"/>
      <c r="T64" s="372"/>
    </row>
    <row r="65" spans="1:20">
      <c r="A65" s="372"/>
      <c r="B65" s="372"/>
      <c r="C65" s="372"/>
      <c r="D65" s="457" t="s">
        <v>303</v>
      </c>
      <c r="E65" s="476" t="e">
        <f ca="1">'보고서(일반)'!AC10</f>
        <v>#N/A</v>
      </c>
      <c r="F65" s="476" t="e">
        <f ca="1">'보고서(일반)'!AD10</f>
        <v>#N/A</v>
      </c>
      <c r="G65" s="476" t="e">
        <f ca="1">'보고서(일반)'!AE10</f>
        <v>#N/A</v>
      </c>
      <c r="H65" s="476" t="e">
        <f ca="1">'보고서(일반)'!AF10</f>
        <v>#N/A</v>
      </c>
      <c r="I65" s="476" t="e">
        <f ca="1">'보고서(일반)'!AG10</f>
        <v>#N/A</v>
      </c>
      <c r="J65" s="372"/>
      <c r="K65" s="458" t="s">
        <v>470</v>
      </c>
      <c r="L65" s="454"/>
      <c r="M65" s="454"/>
      <c r="N65" s="454"/>
      <c r="O65" s="454"/>
      <c r="P65" s="454"/>
      <c r="Q65" s="454"/>
      <c r="R65" s="454"/>
      <c r="S65" s="372"/>
      <c r="T65" s="372"/>
    </row>
    <row r="66" spans="1:20">
      <c r="A66" s="372"/>
      <c r="B66" s="372"/>
      <c r="C66" s="372"/>
      <c r="D66" s="457" t="s">
        <v>305</v>
      </c>
      <c r="E66" s="476" t="e">
        <f ca="1">'보고서(일반)'!AC11</f>
        <v>#N/A</v>
      </c>
      <c r="F66" s="476" t="e">
        <f ca="1">'보고서(일반)'!AD11</f>
        <v>#N/A</v>
      </c>
      <c r="G66" s="476" t="e">
        <f ca="1">'보고서(일반)'!AE11</f>
        <v>#N/A</v>
      </c>
      <c r="H66" s="476" t="e">
        <f ca="1">'보고서(일반)'!AF11</f>
        <v>#N/A</v>
      </c>
      <c r="I66" s="476" t="e">
        <f ca="1">'보고서(일반)'!AG11</f>
        <v>#N/A</v>
      </c>
      <c r="J66" s="372"/>
      <c r="K66" s="458" t="s">
        <v>493</v>
      </c>
      <c r="L66" s="454"/>
      <c r="M66" s="454"/>
      <c r="N66" s="454"/>
      <c r="O66" s="454"/>
      <c r="P66" s="454"/>
      <c r="Q66" s="454"/>
      <c r="R66" s="454"/>
      <c r="S66" s="372"/>
      <c r="T66" s="372"/>
    </row>
    <row r="67" spans="1:20">
      <c r="A67" s="372"/>
      <c r="B67" s="372"/>
      <c r="C67" s="372"/>
      <c r="D67" s="457" t="s">
        <v>308</v>
      </c>
      <c r="E67" s="476" t="e">
        <f ca="1">'보고서(일반)'!AC12</f>
        <v>#N/A</v>
      </c>
      <c r="F67" s="476" t="e">
        <f ca="1">'보고서(일반)'!AD12</f>
        <v>#N/A</v>
      </c>
      <c r="G67" s="476" t="e">
        <f ca="1">'보고서(일반)'!AE12</f>
        <v>#N/A</v>
      </c>
      <c r="H67" s="476" t="e">
        <f ca="1">'보고서(일반)'!AF12</f>
        <v>#N/A</v>
      </c>
      <c r="I67" s="476" t="e">
        <f ca="1">'보고서(일반)'!AG12</f>
        <v>#N/A</v>
      </c>
      <c r="J67" s="372"/>
      <c r="K67" s="458" t="s">
        <v>494</v>
      </c>
      <c r="L67" s="454"/>
      <c r="M67" s="454"/>
      <c r="N67" s="454"/>
      <c r="O67" s="454"/>
      <c r="P67" s="454"/>
      <c r="Q67" s="454"/>
      <c r="R67" s="454"/>
      <c r="S67" s="372"/>
      <c r="T67" s="372"/>
    </row>
    <row r="68" spans="1:20">
      <c r="A68" s="372"/>
      <c r="B68" s="372"/>
      <c r="C68" s="372"/>
      <c r="D68" s="459" t="s">
        <v>311</v>
      </c>
      <c r="E68" s="476" t="e">
        <f ca="1">'보고서(일반)'!AC13</f>
        <v>#N/A</v>
      </c>
      <c r="F68" s="476" t="e">
        <f ca="1">'보고서(일반)'!AD13</f>
        <v>#N/A</v>
      </c>
      <c r="G68" s="476" t="e">
        <f ca="1">'보고서(일반)'!AE13</f>
        <v>#N/A</v>
      </c>
      <c r="H68" s="476" t="e">
        <f ca="1">'보고서(일반)'!AF13</f>
        <v>#N/A</v>
      </c>
      <c r="I68" s="476" t="e">
        <f ca="1">'보고서(일반)'!AG13</f>
        <v>#N/A</v>
      </c>
      <c r="J68" s="372"/>
      <c r="K68" s="458" t="s">
        <v>495</v>
      </c>
      <c r="L68" s="454"/>
      <c r="M68" s="454"/>
      <c r="N68" s="454"/>
      <c r="O68" s="454"/>
      <c r="P68" s="454"/>
      <c r="Q68" s="454"/>
      <c r="R68" s="454"/>
      <c r="S68" s="372"/>
      <c r="T68" s="372"/>
    </row>
    <row r="69" spans="1:20">
      <c r="A69" s="372"/>
      <c r="B69" s="372"/>
      <c r="C69" s="372"/>
      <c r="D69" s="459" t="s">
        <v>312</v>
      </c>
      <c r="E69" s="476" t="e">
        <f ca="1">'보고서(일반)'!AC14</f>
        <v>#N/A</v>
      </c>
      <c r="F69" s="476" t="e">
        <f ca="1">'보고서(일반)'!AD14</f>
        <v>#N/A</v>
      </c>
      <c r="G69" s="476" t="e">
        <f ca="1">'보고서(일반)'!AE14</f>
        <v>#N/A</v>
      </c>
      <c r="H69" s="476" t="e">
        <f ca="1">'보고서(일반)'!AF14</f>
        <v>#N/A</v>
      </c>
      <c r="I69" s="476" t="e">
        <f ca="1">'보고서(일반)'!AG14</f>
        <v>#N/A</v>
      </c>
      <c r="J69" s="372"/>
      <c r="K69" s="458" t="s">
        <v>496</v>
      </c>
      <c r="L69" s="454"/>
      <c r="M69" s="454"/>
      <c r="N69" s="454"/>
      <c r="O69" s="454"/>
      <c r="P69" s="454"/>
      <c r="Q69" s="454"/>
      <c r="R69" s="454"/>
      <c r="S69" s="372"/>
      <c r="T69" s="372"/>
    </row>
    <row r="70" spans="1:20">
      <c r="A70" s="372"/>
      <c r="B70" s="372"/>
      <c r="C70" s="372"/>
      <c r="D70" s="460" t="s">
        <v>314</v>
      </c>
      <c r="E70" s="476" t="e">
        <f ca="1">'보고서(일반)'!AC15</f>
        <v>#N/A</v>
      </c>
      <c r="F70" s="476" t="e">
        <f ca="1">'보고서(일반)'!AD15</f>
        <v>#N/A</v>
      </c>
      <c r="G70" s="476" t="e">
        <f ca="1">'보고서(일반)'!AE15</f>
        <v>#N/A</v>
      </c>
      <c r="H70" s="476" t="e">
        <f ca="1">'보고서(일반)'!AF15</f>
        <v>#N/A</v>
      </c>
      <c r="I70" s="476" t="e">
        <f ca="1">'보고서(일반)'!AG15</f>
        <v>#N/A</v>
      </c>
      <c r="J70" s="372"/>
      <c r="K70" s="454"/>
      <c r="L70" s="454"/>
      <c r="M70" s="454"/>
      <c r="N70" s="454"/>
      <c r="O70" s="454"/>
      <c r="P70" s="454"/>
      <c r="Q70" s="454"/>
      <c r="R70" s="454"/>
      <c r="S70" s="372"/>
      <c r="T70" s="372"/>
    </row>
    <row r="71" spans="1:20">
      <c r="A71" s="372"/>
      <c r="B71" s="372"/>
      <c r="C71" s="372"/>
      <c r="D71" s="460" t="s">
        <v>317</v>
      </c>
      <c r="E71" s="476" t="e">
        <f ca="1">'보고서(일반)'!AC16</f>
        <v>#N/A</v>
      </c>
      <c r="F71" s="476" t="e">
        <f ca="1">'보고서(일반)'!AD16</f>
        <v>#N/A</v>
      </c>
      <c r="G71" s="476" t="e">
        <f ca="1">'보고서(일반)'!AE16</f>
        <v>#N/A</v>
      </c>
      <c r="H71" s="476" t="e">
        <f ca="1">'보고서(일반)'!AF16</f>
        <v>#N/A</v>
      </c>
      <c r="I71" s="476" t="e">
        <f ca="1">'보고서(일반)'!AG16</f>
        <v>#N/A</v>
      </c>
      <c r="J71" s="454"/>
      <c r="K71" s="454"/>
      <c r="L71" s="454"/>
      <c r="M71" s="454"/>
      <c r="N71" s="454"/>
      <c r="O71" s="454"/>
      <c r="P71" s="454"/>
      <c r="Q71" s="454"/>
      <c r="R71" s="454"/>
      <c r="S71" s="372"/>
      <c r="T71" s="372"/>
    </row>
    <row r="72" spans="1:20">
      <c r="A72" s="372"/>
      <c r="B72" s="372"/>
      <c r="C72" s="372"/>
      <c r="D72" s="460" t="s">
        <v>320</v>
      </c>
      <c r="E72" s="476" t="e">
        <f ca="1">'보고서(일반)'!AC17</f>
        <v>#N/A</v>
      </c>
      <c r="F72" s="476" t="e">
        <f ca="1">'보고서(일반)'!AD17</f>
        <v>#N/A</v>
      </c>
      <c r="G72" s="476" t="e">
        <f ca="1">'보고서(일반)'!AE17</f>
        <v>#N/A</v>
      </c>
      <c r="H72" s="476" t="e">
        <f ca="1">'보고서(일반)'!AF17</f>
        <v>#N/A</v>
      </c>
      <c r="I72" s="476" t="e">
        <f ca="1">'보고서(일반)'!AG17</f>
        <v>#N/A</v>
      </c>
      <c r="J72" s="454"/>
      <c r="K72" s="454"/>
      <c r="L72" s="454"/>
      <c r="M72" s="454"/>
      <c r="N72" s="454"/>
      <c r="O72" s="454"/>
      <c r="P72" s="454"/>
      <c r="Q72" s="454"/>
      <c r="R72" s="454"/>
      <c r="S72" s="372"/>
      <c r="T72" s="372"/>
    </row>
    <row r="73" spans="1:20">
      <c r="A73" s="372"/>
      <c r="B73" s="372"/>
      <c r="C73" s="372"/>
      <c r="D73" s="460" t="s">
        <v>471</v>
      </c>
      <c r="E73" s="476" t="e">
        <f ca="1">'보고서(일반)'!AC18</f>
        <v>#N/A</v>
      </c>
      <c r="F73" s="476" t="e">
        <f ca="1">'보고서(일반)'!AD18</f>
        <v>#N/A</v>
      </c>
      <c r="G73" s="476" t="e">
        <f ca="1">'보고서(일반)'!AE18</f>
        <v>#N/A</v>
      </c>
      <c r="H73" s="476" t="e">
        <f ca="1">'보고서(일반)'!AF18</f>
        <v>#N/A</v>
      </c>
      <c r="I73" s="476" t="e">
        <f ca="1">'보고서(일반)'!AG18</f>
        <v>#N/A</v>
      </c>
      <c r="J73" s="454"/>
      <c r="K73" s="454"/>
      <c r="L73" s="454"/>
      <c r="M73" s="454"/>
      <c r="N73" s="454"/>
      <c r="O73" s="454"/>
      <c r="P73" s="454"/>
      <c r="Q73" s="454"/>
      <c r="R73" s="454"/>
      <c r="S73" s="372"/>
      <c r="T73" s="372"/>
    </row>
    <row r="74" spans="1:20">
      <c r="A74" s="372"/>
      <c r="B74" s="372"/>
      <c r="C74" s="372"/>
      <c r="D74" s="459" t="s">
        <v>326</v>
      </c>
      <c r="E74" s="476" t="e">
        <f ca="1">'보고서(일반)'!AC19</f>
        <v>#N/A</v>
      </c>
      <c r="F74" s="476" t="e">
        <f ca="1">'보고서(일반)'!AD19</f>
        <v>#N/A</v>
      </c>
      <c r="G74" s="476" t="e">
        <f ca="1">'보고서(일반)'!AE19</f>
        <v>#N/A</v>
      </c>
      <c r="H74" s="476" t="e">
        <f ca="1">'보고서(일반)'!AF19</f>
        <v>#N/A</v>
      </c>
      <c r="I74" s="476" t="e">
        <f ca="1">'보고서(일반)'!AG19</f>
        <v>#N/A</v>
      </c>
      <c r="J74" s="372"/>
      <c r="K74" s="454" t="s">
        <v>472</v>
      </c>
      <c r="L74" s="454"/>
      <c r="M74" s="454"/>
      <c r="N74" s="454"/>
      <c r="O74" s="454"/>
      <c r="P74" s="454"/>
      <c r="Q74" s="454"/>
      <c r="R74" s="454"/>
      <c r="S74" s="372"/>
      <c r="T74" s="372"/>
    </row>
    <row r="75" spans="1:20">
      <c r="A75" s="372"/>
      <c r="B75" s="372"/>
      <c r="C75" s="372"/>
      <c r="D75" s="459" t="s">
        <v>330</v>
      </c>
      <c r="E75" s="476" t="str">
        <f>'보고서(일반)'!AC20</f>
        <v>FCF추정!F19</v>
      </c>
      <c r="F75" s="476" t="str">
        <f>'보고서(일반)'!AD20</f>
        <v>FCF추정!G19</v>
      </c>
      <c r="G75" s="476" t="str">
        <f>'보고서(일반)'!AE20</f>
        <v>FCF추정!H19</v>
      </c>
      <c r="H75" s="476" t="str">
        <f>'보고서(일반)'!AF20</f>
        <v>FCF추정!I19</v>
      </c>
      <c r="I75" s="476" t="str">
        <f>'보고서(일반)'!AG20</f>
        <v>FCF추정!J19</v>
      </c>
      <c r="J75" s="372"/>
      <c r="K75" s="454" t="s">
        <v>503</v>
      </c>
      <c r="L75" s="454"/>
      <c r="M75" s="454"/>
      <c r="N75" s="454"/>
      <c r="O75" s="454"/>
      <c r="P75" s="454"/>
      <c r="Q75" s="454"/>
      <c r="R75" s="454"/>
      <c r="S75" s="372"/>
      <c r="T75" s="372"/>
    </row>
    <row r="76" spans="1:20">
      <c r="A76" s="372"/>
      <c r="B76" s="372"/>
      <c r="C76" s="372"/>
      <c r="D76" s="459" t="s">
        <v>338</v>
      </c>
      <c r="E76" s="475" t="e">
        <f ca="1">'보고서(일반)'!AC21</f>
        <v>#N/A</v>
      </c>
      <c r="F76" s="475" t="e">
        <f ca="1">'보고서(일반)'!AD21</f>
        <v>#N/A</v>
      </c>
      <c r="G76" s="475" t="e">
        <f ca="1">'보고서(일반)'!AE21</f>
        <v>#N/A</v>
      </c>
      <c r="H76" s="475" t="e">
        <f ca="1">'보고서(일반)'!AF21</f>
        <v>#N/A</v>
      </c>
      <c r="I76" s="475" t="e">
        <f ca="1">'보고서(일반)'!AG21</f>
        <v>#N/A</v>
      </c>
      <c r="J76" s="372"/>
      <c r="K76" s="462" t="s">
        <v>504</v>
      </c>
      <c r="L76" s="454"/>
      <c r="M76" s="454"/>
      <c r="N76" s="454"/>
      <c r="O76" s="454"/>
      <c r="P76" s="454"/>
      <c r="Q76" s="454"/>
      <c r="R76" s="454"/>
      <c r="S76" s="372"/>
      <c r="T76" s="372"/>
    </row>
    <row r="77" spans="1:20">
      <c r="A77" s="372"/>
      <c r="B77" s="372"/>
      <c r="C77" s="372"/>
      <c r="D77" s="460" t="s">
        <v>344</v>
      </c>
      <c r="E77" s="476" t="e">
        <f ca="1">'보고서(일반)'!AC22</f>
        <v>#N/A</v>
      </c>
      <c r="F77" s="476" t="e">
        <f ca="1">'보고서(일반)'!AD22</f>
        <v>#N/A</v>
      </c>
      <c r="G77" s="476" t="e">
        <f ca="1">'보고서(일반)'!AE22</f>
        <v>#N/A</v>
      </c>
      <c r="H77" s="476" t="e">
        <f ca="1">'보고서(일반)'!AF22</f>
        <v>#N/A</v>
      </c>
      <c r="I77" s="476" t="e">
        <f ca="1">'보고서(일반)'!AG22</f>
        <v>#N/A</v>
      </c>
      <c r="J77" s="372"/>
      <c r="K77" s="462" t="s">
        <v>502</v>
      </c>
      <c r="L77" s="454"/>
      <c r="M77" s="454"/>
      <c r="N77" s="454"/>
      <c r="O77" s="454"/>
      <c r="P77" s="454"/>
      <c r="Q77" s="454"/>
      <c r="R77" s="454"/>
      <c r="S77" s="372"/>
      <c r="T77" s="372"/>
    </row>
    <row r="78" spans="1:20">
      <c r="A78" s="372"/>
      <c r="B78" s="372"/>
      <c r="C78" s="372"/>
      <c r="D78" s="459" t="s">
        <v>348</v>
      </c>
      <c r="E78" s="477">
        <f ca="1">'보고서(일반)'!AC23</f>
        <v>2.2346919855135192E-2</v>
      </c>
      <c r="F78" s="477">
        <f ca="1">'보고서(일반)'!AD23</f>
        <v>2.2346919855135192E-2</v>
      </c>
      <c r="G78" s="477">
        <f ca="1">'보고서(일반)'!AE23</f>
        <v>2.2346919855135192E-2</v>
      </c>
      <c r="H78" s="477">
        <f ca="1">'보고서(일반)'!AF23</f>
        <v>2.2346919855135192E-2</v>
      </c>
      <c r="I78" s="477">
        <f ca="1">'보고서(일반)'!AG23</f>
        <v>2.2346919855135192E-2</v>
      </c>
      <c r="J78" s="372"/>
      <c r="K78" s="462" t="s">
        <v>501</v>
      </c>
      <c r="L78" s="372"/>
      <c r="M78" s="454"/>
      <c r="N78" s="454"/>
      <c r="O78" s="454"/>
      <c r="P78" s="454"/>
      <c r="Q78" s="454"/>
      <c r="R78" s="454"/>
      <c r="S78" s="372"/>
      <c r="T78" s="372"/>
    </row>
    <row r="79" spans="1:20">
      <c r="A79" s="372"/>
      <c r="B79" s="372"/>
      <c r="C79" s="372"/>
      <c r="D79" s="459" t="s">
        <v>351</v>
      </c>
      <c r="E79" s="478" t="str">
        <f>'보고서(일반)'!AC24</f>
        <v>FCF추정!F24</v>
      </c>
      <c r="F79" s="478" t="str">
        <f>'보고서(일반)'!AD24</f>
        <v>FCF추정!G24</v>
      </c>
      <c r="G79" s="478" t="str">
        <f>'보고서(일반)'!AE24</f>
        <v>FCF추정!H24</v>
      </c>
      <c r="H79" s="478" t="str">
        <f>'보고서(일반)'!AF24</f>
        <v>FCF추정!I24</v>
      </c>
      <c r="I79" s="478" t="str">
        <f>'보고서(일반)'!AG24</f>
        <v>FCF추정!J24</v>
      </c>
      <c r="J79" s="372"/>
      <c r="K79" s="454" t="s">
        <v>497</v>
      </c>
      <c r="L79" s="454"/>
      <c r="M79" s="454"/>
      <c r="N79" s="454"/>
      <c r="O79" s="454"/>
      <c r="P79" s="454"/>
      <c r="Q79" s="454"/>
      <c r="R79" s="454"/>
      <c r="S79" s="372"/>
      <c r="T79" s="372"/>
    </row>
    <row r="80" spans="1:20">
      <c r="A80" s="372"/>
      <c r="B80" s="372"/>
      <c r="C80" s="372"/>
      <c r="D80" s="457" t="s">
        <v>250</v>
      </c>
      <c r="E80" s="478" t="str">
        <f>'보고서(일반)'!AC25</f>
        <v>FCF추정!F5</v>
      </c>
      <c r="F80" s="478" t="str">
        <f>'보고서(일반)'!AD25</f>
        <v>FCF추정!G5</v>
      </c>
      <c r="G80" s="478" t="str">
        <f>'보고서(일반)'!AE25</f>
        <v>FCF추정!H5</v>
      </c>
      <c r="H80" s="478" t="str">
        <f>'보고서(일반)'!AF25</f>
        <v>FCF추정!I5</v>
      </c>
      <c r="I80" s="478" t="str">
        <f>'보고서(일반)'!AG25</f>
        <v>FCF추정!J5</v>
      </c>
      <c r="J80" s="454"/>
      <c r="K80" s="454"/>
      <c r="L80" s="454"/>
      <c r="M80" s="454"/>
      <c r="N80" s="454"/>
      <c r="O80" s="454"/>
      <c r="P80" s="454"/>
      <c r="Q80" s="454"/>
      <c r="R80" s="454"/>
      <c r="S80" s="372"/>
      <c r="T80" s="372"/>
    </row>
    <row r="81" spans="1:20">
      <c r="A81" s="372"/>
      <c r="B81" s="372"/>
      <c r="C81" s="372"/>
      <c r="D81" s="457" t="s">
        <v>473</v>
      </c>
      <c r="E81" s="478" t="str">
        <f>'보고서(일반)'!AC27</f>
        <v>FCF추정!F23</v>
      </c>
      <c r="F81" s="478" t="str">
        <f>'보고서(일반)'!AD27</f>
        <v>FCF추정!G23</v>
      </c>
      <c r="G81" s="478" t="str">
        <f>'보고서(일반)'!AE27</f>
        <v>FCF추정!H23</v>
      </c>
      <c r="H81" s="478" t="str">
        <f>'보고서(일반)'!AF27</f>
        <v>FCF추정!I23</v>
      </c>
      <c r="I81" s="478" t="str">
        <f>'보고서(일반)'!AG27</f>
        <v>FCF추정!J23</v>
      </c>
      <c r="J81" s="454"/>
      <c r="K81" s="454"/>
      <c r="L81" s="454"/>
      <c r="M81" s="454"/>
      <c r="N81" s="454"/>
      <c r="O81" s="454"/>
      <c r="P81" s="454"/>
      <c r="Q81" s="454"/>
      <c r="R81" s="454"/>
      <c r="S81" s="372"/>
      <c r="T81" s="372"/>
    </row>
    <row r="82" spans="1:20">
      <c r="A82" s="372"/>
      <c r="B82" s="372"/>
      <c r="C82" s="372"/>
      <c r="D82" s="457" t="s">
        <v>370</v>
      </c>
      <c r="E82" s="475" t="e">
        <f ca="1">'보고서(일반)'!AC28</f>
        <v>#N/A</v>
      </c>
      <c r="F82" s="475" t="e">
        <f ca="1">'보고서(일반)'!AD28</f>
        <v>#N/A</v>
      </c>
      <c r="G82" s="475" t="e">
        <f ca="1">'보고서(일반)'!AE28</f>
        <v>#N/A</v>
      </c>
      <c r="H82" s="475" t="e">
        <f ca="1">'보고서(일반)'!AF28</f>
        <v>#N/A</v>
      </c>
      <c r="I82" s="475" t="e">
        <f ca="1">'보고서(일반)'!AG28</f>
        <v>#N/A</v>
      </c>
      <c r="J82" s="454"/>
      <c r="K82" s="454"/>
      <c r="L82" s="454"/>
      <c r="M82" s="454"/>
      <c r="N82" s="454"/>
      <c r="O82" s="454"/>
      <c r="P82" s="454"/>
      <c r="Q82" s="454"/>
      <c r="R82" s="454"/>
      <c r="S82" s="372"/>
      <c r="T82" s="372"/>
    </row>
    <row r="83" spans="1:20">
      <c r="A83" s="372"/>
      <c r="B83" s="372"/>
      <c r="C83" s="372"/>
      <c r="D83" s="372"/>
      <c r="E83" s="372"/>
      <c r="F83" s="372"/>
      <c r="G83" s="372"/>
      <c r="H83" s="372"/>
      <c r="I83" s="372"/>
      <c r="J83" s="454"/>
      <c r="K83" s="454"/>
      <c r="L83" s="454"/>
      <c r="M83" s="454"/>
      <c r="N83" s="454"/>
      <c r="O83" s="454"/>
      <c r="P83" s="454"/>
      <c r="Q83" s="454"/>
      <c r="R83" s="454"/>
      <c r="S83" s="372"/>
      <c r="T83" s="372"/>
    </row>
    <row r="84" spans="1:20">
      <c r="A84" s="372"/>
      <c r="B84" s="471" t="s">
        <v>498</v>
      </c>
      <c r="C84" s="372"/>
      <c r="D84" s="372"/>
      <c r="E84" s="372"/>
      <c r="F84" s="372"/>
      <c r="G84" s="372"/>
      <c r="H84" s="372"/>
      <c r="I84" s="372"/>
      <c r="J84" s="454"/>
      <c r="K84" s="454"/>
      <c r="L84" s="454"/>
      <c r="M84" s="454"/>
      <c r="N84" s="454"/>
      <c r="O84" s="454"/>
      <c r="P84" s="454"/>
      <c r="Q84" s="454"/>
      <c r="R84" s="454"/>
      <c r="S84" s="372"/>
      <c r="T84" s="372"/>
    </row>
    <row r="85" spans="1:20">
      <c r="A85" s="372"/>
      <c r="B85" s="372"/>
      <c r="C85" s="372"/>
      <c r="D85" s="443" t="s">
        <v>474</v>
      </c>
      <c r="E85" s="475" t="e">
        <f ca="1">'보고서(일반)'!AC30</f>
        <v>#N/A</v>
      </c>
      <c r="F85" s="454"/>
      <c r="G85" s="454"/>
      <c r="H85" s="454"/>
      <c r="I85" s="454"/>
      <c r="J85" s="454"/>
      <c r="K85" s="454"/>
      <c r="L85" s="454"/>
      <c r="M85" s="454"/>
      <c r="N85" s="454"/>
      <c r="O85" s="454"/>
      <c r="P85" s="454"/>
      <c r="Q85" s="454"/>
      <c r="R85" s="454"/>
      <c r="S85" s="372"/>
      <c r="T85" s="372"/>
    </row>
    <row r="86" spans="1:20">
      <c r="A86" s="372"/>
      <c r="B86" s="372"/>
      <c r="C86" s="372"/>
      <c r="D86" s="461" t="s">
        <v>475</v>
      </c>
      <c r="E86" s="475" t="str">
        <f>'보고서(일반)'!AC31</f>
        <v>FCF추정!K21</v>
      </c>
      <c r="F86" s="462" t="str">
        <f>"회사는 평가대상회사가 속한 산업의 특성과 IMF에서 추정한 한국의 GDP성장률 및 소비자물가상승률 등을 고려하여 영구성장률을 "&amp;영구g&amp;"%로 가정하였습니다."</f>
        <v>회사는 평가대상회사가 속한 산업의 특성과 IMF에서 추정한 한국의 GDP성장률 및 소비자물가상승률 등을 고려하여 영구성장률을 0%로 가정하였습니다.</v>
      </c>
      <c r="G86" s="372"/>
      <c r="H86" s="454"/>
      <c r="I86" s="454"/>
      <c r="J86" s="454"/>
      <c r="K86" s="454"/>
      <c r="L86" s="454"/>
      <c r="M86" s="454"/>
      <c r="N86" s="454"/>
      <c r="O86" s="454"/>
      <c r="P86" s="454"/>
      <c r="Q86" s="454"/>
      <c r="R86" s="454"/>
      <c r="S86" s="372"/>
      <c r="T86" s="372"/>
    </row>
    <row r="87" spans="1:20">
      <c r="A87" s="372"/>
      <c r="B87" s="372"/>
      <c r="C87" s="372"/>
      <c r="D87" s="461" t="s">
        <v>476</v>
      </c>
      <c r="E87" s="475" t="e">
        <f ca="1">'보고서(일반)'!AC32</f>
        <v>#VALUE!</v>
      </c>
      <c r="F87" s="462"/>
      <c r="G87" s="372"/>
      <c r="H87" s="454"/>
      <c r="I87" s="454"/>
      <c r="J87" s="454"/>
      <c r="K87" s="454"/>
      <c r="L87" s="454"/>
      <c r="M87" s="454"/>
      <c r="N87" s="454"/>
      <c r="O87" s="454"/>
      <c r="P87" s="454"/>
      <c r="Q87" s="454"/>
      <c r="R87" s="454"/>
      <c r="S87" s="372"/>
      <c r="T87" s="372"/>
    </row>
    <row r="88" spans="1:20">
      <c r="A88" s="372"/>
      <c r="B88" s="372"/>
      <c r="C88" s="372"/>
      <c r="D88" s="443" t="s">
        <v>389</v>
      </c>
      <c r="E88" s="475" t="str">
        <f>'보고서(일반)'!AC33</f>
        <v>FCF추정!E54</v>
      </c>
      <c r="F88" s="462" t="s">
        <v>499</v>
      </c>
      <c r="G88" s="372"/>
      <c r="H88" s="454"/>
      <c r="I88" s="454"/>
      <c r="J88" s="454"/>
      <c r="K88" s="454"/>
      <c r="L88" s="454"/>
      <c r="M88" s="454"/>
      <c r="N88" s="454"/>
      <c r="O88" s="454"/>
      <c r="P88" s="454"/>
      <c r="Q88" s="454"/>
      <c r="R88" s="454"/>
      <c r="S88" s="372"/>
      <c r="T88" s="372"/>
    </row>
    <row r="89" spans="1:20">
      <c r="A89" s="372"/>
      <c r="B89" s="372"/>
      <c r="C89" s="372"/>
      <c r="D89" s="443" t="s">
        <v>390</v>
      </c>
      <c r="E89" s="475" t="e">
        <f ca="1">'보고서(일반)'!AC34</f>
        <v>#VALUE!</v>
      </c>
      <c r="F89" s="462"/>
      <c r="G89" s="372"/>
      <c r="H89" s="454"/>
      <c r="I89" s="454"/>
      <c r="J89" s="454"/>
      <c r="K89" s="454"/>
      <c r="L89" s="454"/>
      <c r="M89" s="454"/>
      <c r="N89" s="454"/>
      <c r="O89" s="454"/>
      <c r="P89" s="454"/>
      <c r="Q89" s="454"/>
      <c r="R89" s="454"/>
      <c r="S89" s="372"/>
      <c r="T89" s="372"/>
    </row>
    <row r="90" spans="1:20">
      <c r="A90" s="372"/>
      <c r="B90" s="372"/>
      <c r="C90" s="372"/>
      <c r="D90" s="443" t="s">
        <v>392</v>
      </c>
      <c r="E90" s="475" t="str">
        <f>'보고서(일반)'!AC35</f>
        <v>FCF추정!E56</v>
      </c>
      <c r="F90" s="462" t="s">
        <v>500</v>
      </c>
      <c r="G90" s="372"/>
      <c r="H90" s="463"/>
      <c r="I90" s="464"/>
      <c r="J90" s="454"/>
      <c r="K90" s="454"/>
      <c r="L90" s="454"/>
      <c r="M90" s="454"/>
      <c r="N90" s="454"/>
      <c r="O90" s="454"/>
      <c r="P90" s="454"/>
      <c r="Q90" s="454"/>
      <c r="R90" s="454"/>
      <c r="S90" s="372"/>
      <c r="T90" s="372"/>
    </row>
    <row r="91" spans="1:20">
      <c r="A91" s="372"/>
      <c r="B91" s="372"/>
      <c r="C91" s="372"/>
      <c r="D91" s="443" t="s">
        <v>394</v>
      </c>
      <c r="E91" s="475" t="str">
        <f>'보고서(일반)'!AC36</f>
        <v>FCF추정!E57</v>
      </c>
      <c r="G91" s="372"/>
      <c r="H91" s="463"/>
      <c r="I91" s="464"/>
      <c r="J91" s="454"/>
      <c r="K91" s="454"/>
      <c r="L91" s="454"/>
      <c r="M91" s="454"/>
      <c r="N91" s="454"/>
      <c r="O91" s="454"/>
      <c r="P91" s="454"/>
      <c r="Q91" s="454"/>
      <c r="R91" s="454"/>
      <c r="S91" s="372"/>
      <c r="T91" s="372"/>
    </row>
    <row r="92" spans="1:20">
      <c r="A92" s="372"/>
      <c r="B92" s="372"/>
      <c r="C92" s="372"/>
      <c r="D92" s="443" t="s">
        <v>396</v>
      </c>
      <c r="E92" s="475" t="e">
        <f ca="1">'보고서(일반)'!AC37</f>
        <v>#VALUE!</v>
      </c>
      <c r="G92" s="466"/>
      <c r="H92" s="467"/>
      <c r="I92" s="468"/>
      <c r="J92" s="454"/>
      <c r="K92" s="454"/>
      <c r="L92" s="454"/>
      <c r="M92" s="454"/>
      <c r="N92" s="454"/>
      <c r="O92" s="454"/>
      <c r="P92" s="454"/>
      <c r="Q92" s="454"/>
      <c r="R92" s="454"/>
      <c r="S92" s="372"/>
      <c r="T92" s="372"/>
    </row>
    <row r="93" spans="1:20">
      <c r="A93" s="372"/>
      <c r="B93" s="372"/>
      <c r="C93" s="372"/>
      <c r="D93" s="443" t="s">
        <v>717</v>
      </c>
      <c r="E93" s="475" t="str">
        <f>'보고서(일반)'!AC38</f>
        <v>FCF추정!E59</v>
      </c>
      <c r="F93" s="465"/>
      <c r="G93" s="465"/>
      <c r="H93" s="465"/>
      <c r="I93" s="465"/>
      <c r="J93" s="454"/>
      <c r="K93" s="454"/>
      <c r="L93" s="454"/>
      <c r="M93" s="454"/>
      <c r="N93" s="454"/>
      <c r="O93" s="454"/>
      <c r="P93" s="454"/>
      <c r="Q93" s="454"/>
      <c r="R93" s="454"/>
      <c r="S93" s="372"/>
      <c r="T93" s="372"/>
    </row>
    <row r="94" spans="1:20">
      <c r="A94" s="372"/>
      <c r="B94" s="372"/>
      <c r="C94" s="372"/>
      <c r="D94" s="443" t="s">
        <v>400</v>
      </c>
      <c r="E94" s="475" t="str">
        <f>'보고서(일반)'!AC39</f>
        <v>FCF추정!E60</v>
      </c>
      <c r="F94" s="454"/>
      <c r="G94" s="454"/>
      <c r="H94" s="454"/>
      <c r="I94" s="454"/>
      <c r="J94" s="454"/>
      <c r="K94" s="454"/>
      <c r="L94" s="454"/>
      <c r="M94" s="454"/>
      <c r="N94" s="454"/>
      <c r="O94" s="454"/>
      <c r="P94" s="454"/>
      <c r="Q94" s="454"/>
      <c r="R94" s="454"/>
      <c r="S94" s="372"/>
      <c r="T94" s="372"/>
    </row>
    <row r="95" spans="1:20">
      <c r="B95" s="204"/>
      <c r="C95" s="204"/>
      <c r="D95" s="444"/>
      <c r="E95" s="444"/>
      <c r="F95" s="444"/>
      <c r="G95" s="444"/>
      <c r="H95" s="444"/>
      <c r="I95" s="444"/>
      <c r="J95" s="444"/>
      <c r="K95" s="444"/>
      <c r="L95" s="444"/>
      <c r="M95" s="444"/>
      <c r="N95" s="444"/>
      <c r="O95" s="444"/>
      <c r="P95" s="444"/>
      <c r="Q95" s="444"/>
      <c r="R95" s="444"/>
    </row>
    <row r="96" spans="1:20">
      <c r="B96" s="204"/>
      <c r="C96" s="204"/>
      <c r="D96" s="204"/>
      <c r="E96" s="204"/>
      <c r="F96" s="444"/>
      <c r="G96" s="444"/>
      <c r="H96" s="444"/>
      <c r="I96" s="444"/>
      <c r="J96" s="444"/>
      <c r="K96" s="444"/>
      <c r="L96" s="444"/>
      <c r="M96" s="444"/>
      <c r="N96" s="444"/>
      <c r="O96" s="444"/>
      <c r="P96" s="444"/>
      <c r="Q96" s="444"/>
      <c r="R96" s="444"/>
    </row>
  </sheetData>
  <phoneticPr fontId="9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F72"/>
  <sheetViews>
    <sheetView showGridLines="0" topLeftCell="D43" zoomScale="85" zoomScaleNormal="85" workbookViewId="0">
      <selection activeCell="E72" sqref="E72"/>
    </sheetView>
  </sheetViews>
  <sheetFormatPr defaultRowHeight="16.5"/>
  <cols>
    <col min="1" max="2" width="9" hidden="1" customWidth="1"/>
    <col min="3" max="3" width="18.625" hidden="1" customWidth="1"/>
    <col min="4" max="4" width="20.625" customWidth="1"/>
    <col min="5" max="6" width="19.375" bestFit="1" customWidth="1"/>
  </cols>
  <sheetData>
    <row r="1" spans="1:6">
      <c r="A1" s="565"/>
      <c r="B1" s="565"/>
      <c r="C1" s="566"/>
      <c r="D1" s="565" t="s">
        <v>625</v>
      </c>
      <c r="E1" s="565" t="s">
        <v>626</v>
      </c>
      <c r="F1" s="565" t="s">
        <v>627</v>
      </c>
    </row>
    <row r="2" spans="1:6">
      <c r="A2" s="565"/>
      <c r="B2" s="565"/>
      <c r="C2" s="567"/>
      <c r="D2" s="204" t="s">
        <v>628</v>
      </c>
      <c r="E2" s="204">
        <f t="shared" ref="E2:E17" ca="1" si="0">INDIRECT(F2)</f>
        <v>36</v>
      </c>
      <c r="F2" s="204" t="s">
        <v>629</v>
      </c>
    </row>
    <row r="3" spans="1:6">
      <c r="A3" s="565"/>
      <c r="B3" s="565"/>
      <c r="C3" s="567"/>
      <c r="D3" s="204" t="s">
        <v>630</v>
      </c>
      <c r="E3" s="204">
        <f t="shared" ca="1" si="0"/>
        <v>4</v>
      </c>
      <c r="F3" s="204" t="s">
        <v>631</v>
      </c>
    </row>
    <row r="4" spans="1:6">
      <c r="A4" s="565"/>
      <c r="B4" s="565"/>
      <c r="C4" s="567"/>
      <c r="D4" s="204" t="s">
        <v>632</v>
      </c>
      <c r="E4" s="204">
        <f t="shared" ca="1" si="0"/>
        <v>68</v>
      </c>
      <c r="F4" s="204" t="s">
        <v>633</v>
      </c>
    </row>
    <row r="5" spans="1:6">
      <c r="A5" s="565" t="s">
        <v>12</v>
      </c>
      <c r="B5" s="565"/>
      <c r="C5" s="567" t="s">
        <v>17664</v>
      </c>
      <c r="D5" s="204" t="s">
        <v>17665</v>
      </c>
      <c r="E5" s="204">
        <f t="shared" ca="1" si="0"/>
        <v>5</v>
      </c>
      <c r="F5" s="204" t="s">
        <v>634</v>
      </c>
    </row>
    <row r="6" spans="1:6">
      <c r="A6" s="565" t="s">
        <v>12</v>
      </c>
      <c r="B6" s="565"/>
      <c r="C6" s="567" t="s">
        <v>17666</v>
      </c>
      <c r="D6" s="204" t="s">
        <v>17667</v>
      </c>
      <c r="E6" s="204">
        <f t="shared" ca="1" si="0"/>
        <v>16</v>
      </c>
      <c r="F6" s="204" t="s">
        <v>635</v>
      </c>
    </row>
    <row r="7" spans="1:6">
      <c r="A7" s="565" t="s">
        <v>12</v>
      </c>
      <c r="B7" s="565"/>
      <c r="C7" s="567" t="s">
        <v>17668</v>
      </c>
      <c r="D7" s="204" t="s">
        <v>17669</v>
      </c>
      <c r="E7" s="204">
        <f t="shared" ca="1" si="0"/>
        <v>6</v>
      </c>
      <c r="F7" s="204" t="s">
        <v>636</v>
      </c>
    </row>
    <row r="8" spans="1:6">
      <c r="A8" s="565"/>
      <c r="B8" s="565"/>
      <c r="C8" s="567"/>
      <c r="D8" s="204" t="s">
        <v>637</v>
      </c>
      <c r="E8" s="204">
        <f t="shared" ca="1" si="0"/>
        <v>4</v>
      </c>
      <c r="F8" s="204" t="s">
        <v>638</v>
      </c>
    </row>
    <row r="9" spans="1:6">
      <c r="A9" s="565"/>
      <c r="B9" s="565"/>
      <c r="C9" s="567"/>
      <c r="D9" s="204" t="s">
        <v>639</v>
      </c>
      <c r="E9" s="204">
        <f t="shared" ca="1" si="0"/>
        <v>23</v>
      </c>
      <c r="F9" s="204" t="s">
        <v>640</v>
      </c>
    </row>
    <row r="10" spans="1:6">
      <c r="A10" s="565"/>
      <c r="B10" s="565"/>
      <c r="C10" s="567"/>
      <c r="D10" s="204" t="s">
        <v>641</v>
      </c>
      <c r="E10" s="204">
        <f t="shared" ca="1" si="0"/>
        <v>20</v>
      </c>
      <c r="F10" s="204" t="s">
        <v>642</v>
      </c>
    </row>
    <row r="11" spans="1:6">
      <c r="A11" s="565"/>
      <c r="B11" s="565"/>
      <c r="C11" s="567"/>
      <c r="D11" s="204" t="s">
        <v>643</v>
      </c>
      <c r="E11" s="204">
        <f t="shared" ca="1" si="0"/>
        <v>9</v>
      </c>
      <c r="F11" s="204" t="s">
        <v>644</v>
      </c>
    </row>
    <row r="12" spans="1:6">
      <c r="A12" s="565"/>
      <c r="B12" s="565"/>
      <c r="C12" s="567"/>
      <c r="D12" s="204" t="s">
        <v>645</v>
      </c>
      <c r="E12" s="204">
        <f t="shared" ca="1" si="0"/>
        <v>41</v>
      </c>
      <c r="F12" s="204" t="s">
        <v>646</v>
      </c>
    </row>
    <row r="13" spans="1:6">
      <c r="A13" s="565"/>
      <c r="B13" s="565"/>
      <c r="C13" s="567"/>
      <c r="D13" s="204" t="s">
        <v>647</v>
      </c>
      <c r="E13" s="204">
        <f t="shared" ca="1" si="0"/>
        <v>4</v>
      </c>
      <c r="F13" s="204" t="s">
        <v>648</v>
      </c>
    </row>
    <row r="14" spans="1:6">
      <c r="A14" s="565"/>
      <c r="B14" s="565"/>
      <c r="C14" s="567"/>
      <c r="D14" s="204" t="s">
        <v>649</v>
      </c>
      <c r="E14" s="204">
        <f t="shared" ca="1" si="0"/>
        <v>40</v>
      </c>
      <c r="F14" s="204" t="s">
        <v>650</v>
      </c>
    </row>
    <row r="15" spans="1:6">
      <c r="A15" s="565"/>
      <c r="B15" s="565"/>
      <c r="C15" s="567"/>
      <c r="D15" s="204" t="s">
        <v>651</v>
      </c>
      <c r="E15" s="204">
        <f t="shared" ca="1" si="0"/>
        <v>7</v>
      </c>
      <c r="F15" s="204" t="s">
        <v>652</v>
      </c>
    </row>
    <row r="16" spans="1:6">
      <c r="A16" s="565"/>
      <c r="B16" s="565"/>
      <c r="C16" s="567"/>
      <c r="D16" s="204" t="s">
        <v>653</v>
      </c>
      <c r="E16" s="204">
        <f t="shared" ca="1" si="0"/>
        <v>37</v>
      </c>
      <c r="F16" s="204" t="s">
        <v>654</v>
      </c>
    </row>
    <row r="17" spans="1:6">
      <c r="A17" s="565"/>
      <c r="B17" s="565"/>
      <c r="C17" s="567"/>
      <c r="D17" s="204" t="s">
        <v>655</v>
      </c>
      <c r="E17" s="204">
        <f t="shared" ca="1" si="0"/>
        <v>1</v>
      </c>
      <c r="F17" s="204" t="s">
        <v>656</v>
      </c>
    </row>
    <row r="18" spans="1:6">
      <c r="A18" s="565"/>
      <c r="B18" s="565"/>
      <c r="C18" s="204"/>
    </row>
    <row r="19" spans="1:6">
      <c r="A19" s="565"/>
      <c r="B19" s="565"/>
      <c r="C19" s="204"/>
      <c r="D19" s="204"/>
      <c r="E19" s="204"/>
      <c r="F19" s="204"/>
    </row>
    <row r="20" spans="1:6">
      <c r="A20" s="565"/>
      <c r="B20" s="565"/>
      <c r="C20" s="204"/>
      <c r="F20" s="204"/>
    </row>
    <row r="21" spans="1:6">
      <c r="A21" s="565"/>
      <c r="B21" s="565"/>
      <c r="C21" s="565"/>
      <c r="D21" s="565" t="s">
        <v>625</v>
      </c>
      <c r="E21" s="565" t="s">
        <v>626</v>
      </c>
      <c r="F21" s="565" t="s">
        <v>627</v>
      </c>
    </row>
    <row r="22" spans="1:6">
      <c r="A22" s="565"/>
      <c r="B22" s="565"/>
      <c r="C22" s="567"/>
      <c r="D22" s="204" t="s">
        <v>657</v>
      </c>
      <c r="E22" s="204"/>
    </row>
    <row r="23" spans="1:6">
      <c r="A23" s="565"/>
      <c r="B23" s="565"/>
      <c r="C23" s="567"/>
      <c r="D23" s="204" t="s">
        <v>661</v>
      </c>
      <c r="E23" s="204"/>
    </row>
    <row r="24" spans="1:6">
      <c r="A24" s="565"/>
      <c r="B24" s="565"/>
      <c r="C24" s="567"/>
      <c r="D24" s="204" t="s">
        <v>658</v>
      </c>
      <c r="E24" s="204"/>
    </row>
    <row r="25" spans="1:6">
      <c r="A25" s="565"/>
      <c r="B25" s="565"/>
      <c r="C25" s="567"/>
      <c r="D25" s="204" t="s">
        <v>659</v>
      </c>
      <c r="E25" s="570">
        <f ca="1">INDIRECT(F25)</f>
        <v>0</v>
      </c>
      <c r="F25" t="s">
        <v>690</v>
      </c>
    </row>
    <row r="26" spans="1:6">
      <c r="A26" s="565"/>
      <c r="B26" s="565"/>
      <c r="C26" s="565"/>
      <c r="D26" s="204" t="s">
        <v>660</v>
      </c>
      <c r="E26" s="204"/>
    </row>
    <row r="27" spans="1:6">
      <c r="D27" t="s">
        <v>714</v>
      </c>
      <c r="E27" t="str">
        <f>"DCF_"&amp;E28&amp;"("&amp;평가기준일&amp;")"&amp;".xlsm"</f>
        <v>DCF_미래세라텍(2024-12-31).xlsm</v>
      </c>
    </row>
    <row r="28" spans="1:6">
      <c r="D28" t="s">
        <v>715</v>
      </c>
      <c r="E28" t="str">
        <f>SUBSTITUTE(TRIM(COMPANY!E2),"(주)","")</f>
        <v>미래세라텍</v>
      </c>
    </row>
    <row r="29" spans="1:6">
      <c r="D29" t="s">
        <v>723</v>
      </c>
      <c r="E29" t="str">
        <f>"(KAP)("&amp;평가기준일&amp;")"&amp;TRIM(COMPANY!E2)&amp;" 평가보고서"</f>
        <v>(KAP)(2024-12-31)(주)미래세라텍 평가보고서</v>
      </c>
    </row>
    <row r="30" spans="1:6">
      <c r="D30" t="s">
        <v>716</v>
      </c>
      <c r="E30">
        <v>5</v>
      </c>
    </row>
    <row r="50" spans="4:6">
      <c r="D50" s="565" t="s">
        <v>625</v>
      </c>
      <c r="E50" s="565" t="s">
        <v>626</v>
      </c>
      <c r="F50" s="565" t="s">
        <v>627</v>
      </c>
    </row>
    <row r="51" spans="4:6">
      <c r="D51" t="s">
        <v>726</v>
      </c>
      <c r="E51" s="687">
        <f ca="1">평가값</f>
        <v>-13305399948.490595</v>
      </c>
    </row>
    <row r="52" spans="4:6">
      <c r="D52" t="s">
        <v>727</v>
      </c>
      <c r="E52" t="str">
        <f>평가회사명</f>
        <v>미래세라텍</v>
      </c>
    </row>
    <row r="53" spans="4:6">
      <c r="D53" t="s">
        <v>728</v>
      </c>
      <c r="E53" t="str">
        <f>TRIM(+COMPANY!E10)</f>
        <v>위생용 도자기 제조업</v>
      </c>
    </row>
    <row r="54" spans="4:6">
      <c r="D54" t="s">
        <v>659</v>
      </c>
      <c r="E54" s="690">
        <f>영구g/100</f>
        <v>0</v>
      </c>
    </row>
    <row r="55" spans="4:6">
      <c r="D55" t="s">
        <v>729</v>
      </c>
      <c r="E55" s="691">
        <f ca="1">+Bloomberg!P6</f>
        <v>0.17311709359136654</v>
      </c>
    </row>
    <row r="56" spans="4:6">
      <c r="D56" t="s">
        <v>730</v>
      </c>
      <c r="E56" s="691">
        <f ca="1">+Bloomberg!R6</f>
        <v>0.90600000000000003</v>
      </c>
    </row>
    <row r="57" spans="4:6">
      <c r="D57" t="s">
        <v>739</v>
      </c>
      <c r="E57" s="690">
        <f>+RATE!F7/100</f>
        <v>3.3500000000000002E-2</v>
      </c>
    </row>
    <row r="58" spans="4:6">
      <c r="D58" t="s">
        <v>732</v>
      </c>
      <c r="E58" s="690">
        <f>+RATE!F8/100</f>
        <v>0.1197</v>
      </c>
    </row>
    <row r="59" spans="4:6">
      <c r="D59" t="s">
        <v>731</v>
      </c>
      <c r="E59" s="690">
        <f>+WACC!E43/100</f>
        <v>0</v>
      </c>
    </row>
    <row r="60" spans="4:6">
      <c r="D60" t="s">
        <v>734</v>
      </c>
      <c r="E60" s="638" t="e">
        <f ca="1">+'보고서(일반)'!J5</f>
        <v>#N/A</v>
      </c>
    </row>
    <row r="61" spans="4:6">
      <c r="D61" s="204" t="s">
        <v>740</v>
      </c>
      <c r="E61" s="638" t="e">
        <f ca="1">+'보고서(일반)'!J11+'보고서(일반)'!J22</f>
        <v>#N/A</v>
      </c>
    </row>
    <row r="62" spans="4:6">
      <c r="D62" t="s">
        <v>733</v>
      </c>
      <c r="E62" s="638" t="e">
        <f ca="1">+'보고서(일반)'!J44</f>
        <v>#N/A</v>
      </c>
    </row>
    <row r="63" spans="4:6">
      <c r="D63" t="s">
        <v>743</v>
      </c>
      <c r="E63" s="638" t="str">
        <f>+'보고서(일반)'!J58</f>
        <v>FCF추정!F19</v>
      </c>
    </row>
    <row r="64" spans="4:6">
      <c r="D64" t="s">
        <v>735</v>
      </c>
      <c r="E64" s="638" t="e">
        <f ca="1">+'보고서(일반)'!J49+'보고서(일반)'!J51</f>
        <v>#N/A</v>
      </c>
    </row>
    <row r="65" spans="4:6">
      <c r="D65" t="s">
        <v>736</v>
      </c>
      <c r="E65" s="638" t="e">
        <f ca="1">+'보고서(일반)'!J52</f>
        <v>#N/A</v>
      </c>
    </row>
    <row r="66" spans="4:6" s="204" customFormat="1">
      <c r="D66" s="204" t="s">
        <v>738</v>
      </c>
      <c r="E66" s="638" t="str">
        <f>+'보고서(일반)'!AC31</f>
        <v>FCF추정!K21</v>
      </c>
    </row>
    <row r="67" spans="4:6" s="204" customFormat="1">
      <c r="E67" s="638"/>
    </row>
    <row r="68" spans="4:6">
      <c r="D68" t="s">
        <v>737</v>
      </c>
      <c r="E68" s="638" t="str">
        <f>+'보고서(일반)'!AC33</f>
        <v>FCF추정!E54</v>
      </c>
    </row>
    <row r="69" spans="4:6">
      <c r="D69" t="s">
        <v>674</v>
      </c>
      <c r="E69" s="638" t="str">
        <f>+'보고서(일반)'!AC35</f>
        <v>FCF추정!E56</v>
      </c>
    </row>
    <row r="70" spans="4:6">
      <c r="D70" t="s">
        <v>741</v>
      </c>
      <c r="E70" s="638" t="str">
        <f>+'보고서(일반)'!AC38</f>
        <v>FCF추정!E59</v>
      </c>
    </row>
    <row r="71" spans="4:6">
      <c r="D71" t="s">
        <v>763</v>
      </c>
      <c r="E71" t="str" cm="1">
        <f t="array" aca="1" ref="E71" ca="1">INDIRECT(F71)</f>
        <v>2029-12-31</v>
      </c>
      <c r="F71" t="s">
        <v>761</v>
      </c>
    </row>
    <row r="72" spans="4:6">
      <c r="D72" t="s">
        <v>762</v>
      </c>
      <c r="E72">
        <f ca="1">YEAR(E71)+보고서연도설정-5</f>
        <v>2029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이름이 지정된 범위</vt:lpstr>
      </vt:variant>
      <vt:variant>
        <vt:i4>44</vt:i4>
      </vt:variant>
    </vt:vector>
  </HeadingPairs>
  <TitlesOfParts>
    <vt:vector size="63" baseType="lpstr">
      <vt:lpstr>COMPANY</vt:lpstr>
      <vt:lpstr>RATE</vt:lpstr>
      <vt:lpstr>BETA</vt:lpstr>
      <vt:lpstr>Bloomberg</vt:lpstr>
      <vt:lpstr>TABLE</vt:lpstr>
      <vt:lpstr>재무적정보</vt:lpstr>
      <vt:lpstr>WACC</vt:lpstr>
      <vt:lpstr>감가상각추정</vt:lpstr>
      <vt:lpstr>비용추정</vt:lpstr>
      <vt:lpstr>IS추정</vt:lpstr>
      <vt:lpstr>NWC추정</vt:lpstr>
      <vt:lpstr>BS추정</vt:lpstr>
      <vt:lpstr>FCF추정</vt:lpstr>
      <vt:lpstr>성장률추정</vt:lpstr>
      <vt:lpstr>민감도</vt:lpstr>
      <vt:lpstr>보고서(일반)</vt:lpstr>
      <vt:lpstr>백데이터(상세)</vt:lpstr>
      <vt:lpstr>평가요약시트</vt:lpstr>
      <vt:lpstr>Settings</vt:lpstr>
      <vt:lpstr>BS_tbl1_rows</vt:lpstr>
      <vt:lpstr>BS_tbl2_rows</vt:lpstr>
      <vt:lpstr>Cost_tbl1_rows</vt:lpstr>
      <vt:lpstr>Cost_tbl2_rows</vt:lpstr>
      <vt:lpstr>Depr_tbl1_rows</vt:lpstr>
      <vt:lpstr>Depr_tbl2_rows</vt:lpstr>
      <vt:lpstr>Depr_tbl3_rows</vt:lpstr>
      <vt:lpstr>FCF_tbl1_rows</vt:lpstr>
      <vt:lpstr>FCF_tbl2_rows</vt:lpstr>
      <vt:lpstr>FCF_tbl3_rows</vt:lpstr>
      <vt:lpstr>IS_tbl1_rows</vt:lpstr>
      <vt:lpstr>IS_tbl2_rows</vt:lpstr>
      <vt:lpstr>NWC_tbl1_rows</vt:lpstr>
      <vt:lpstr>NWC_tbl2_rows</vt:lpstr>
      <vt:lpstr>WACC_tbl1_rows</vt:lpstr>
      <vt:lpstr>WACC_tbl2_rows</vt:lpstr>
      <vt:lpstr>보고서연도설정</vt:lpstr>
      <vt:lpstr>보고서파일명</vt:lpstr>
      <vt:lpstr>영구g</vt:lpstr>
      <vt:lpstr>저장파일명</vt:lpstr>
      <vt:lpstr>평가값</vt:lpstr>
      <vt:lpstr>평가기준일</vt:lpstr>
      <vt:lpstr>평가회사명</vt:lpstr>
      <vt:lpstr>표_1</vt:lpstr>
      <vt:lpstr>표_10</vt:lpstr>
      <vt:lpstr>표_11</vt:lpstr>
      <vt:lpstr>표_12</vt:lpstr>
      <vt:lpstr>표_13</vt:lpstr>
      <vt:lpstr>표_14</vt:lpstr>
      <vt:lpstr>표_15</vt:lpstr>
      <vt:lpstr>표_16</vt:lpstr>
      <vt:lpstr>표_17</vt:lpstr>
      <vt:lpstr>표_18</vt:lpstr>
      <vt:lpstr>표_19</vt:lpstr>
      <vt:lpstr>표_2</vt:lpstr>
      <vt:lpstr>표_20</vt:lpstr>
      <vt:lpstr>표_21</vt:lpstr>
      <vt:lpstr>표_3</vt:lpstr>
      <vt:lpstr>표_4</vt:lpstr>
      <vt:lpstr>표_5</vt:lpstr>
      <vt:lpstr>표_6</vt:lpstr>
      <vt:lpstr>표_7</vt:lpstr>
      <vt:lpstr>표_8</vt:lpstr>
      <vt:lpstr>표_9</vt:lpstr>
    </vt:vector>
  </TitlesOfParts>
  <Company>KBP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다.유재호</dc:creator>
  <cp:lastModifiedBy>다.채동우</cp:lastModifiedBy>
  <cp:lastPrinted>2022-02-18T08:16:17Z</cp:lastPrinted>
  <dcterms:created xsi:type="dcterms:W3CDTF">2009-11-25T05:04:35Z</dcterms:created>
  <dcterms:modified xsi:type="dcterms:W3CDTF">2024-12-29T03:29:54Z</dcterms:modified>
</cp:coreProperties>
</file>